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12D93C3A-B4C3-4E3E-A124-8D8DD38D35FA}" xr6:coauthVersionLast="47" xr6:coauthVersionMax="47" xr10:uidLastSave="{00000000-0000-0000-0000-000000000000}"/>
  <bookViews>
    <workbookView xWindow="13890" yWindow="2760" windowWidth="23280" windowHeight="15980" firstSheet="9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4" l="1"/>
  <c r="H10" i="4"/>
  <c r="E10" i="4" s="1"/>
  <c r="F17" i="10"/>
  <c r="G10" i="4" l="1"/>
  <c r="H17" i="10"/>
  <c r="E17" i="10" s="1"/>
  <c r="G17" i="10" s="1"/>
  <c r="F44" i="10" l="1"/>
  <c r="H44" i="10"/>
  <c r="E44" i="10" s="1"/>
  <c r="G44" i="10" l="1"/>
  <c r="F14" i="5" l="1"/>
  <c r="H14" i="5"/>
  <c r="E14" i="5" s="1"/>
  <c r="G14" i="5" l="1"/>
  <c r="F7" i="4"/>
  <c r="H7" i="4"/>
  <c r="E7" i="4" s="1"/>
  <c r="G7" i="4" l="1"/>
  <c r="H5" i="10"/>
  <c r="E5" i="10" s="1"/>
  <c r="F9" i="1" l="1"/>
  <c r="G9" i="1" s="1"/>
  <c r="H9" i="1"/>
  <c r="F7" i="7"/>
  <c r="H7" i="7"/>
  <c r="E7" i="7" s="1"/>
  <c r="Y10" i="1"/>
  <c r="Y9" i="1"/>
  <c r="Y8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0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0" i="1" l="1"/>
  <c r="H30" i="1"/>
  <c r="E30" i="1" s="1"/>
  <c r="F45" i="10"/>
  <c r="H45" i="10"/>
  <c r="E45" i="10" s="1"/>
  <c r="K5" i="1"/>
  <c r="L5" i="1" s="1"/>
  <c r="H5" i="1"/>
  <c r="F5" i="1"/>
  <c r="G45" i="10" l="1"/>
  <c r="G30" i="1"/>
  <c r="F8" i="10" l="1"/>
  <c r="E14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8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8" i="1"/>
  <c r="E8" i="1" s="1"/>
  <c r="G8" i="1" s="1"/>
  <c r="E9" i="8" a="1"/>
  <c r="E9" i="8" s="1"/>
  <c r="F4" i="8"/>
  <c r="E4" i="8"/>
  <c r="H3" i="8"/>
  <c r="F3" i="8"/>
  <c r="E3" i="8"/>
  <c r="G5" i="5" l="1"/>
  <c r="G13" i="5"/>
  <c r="G4" i="8"/>
  <c r="G3" i="8"/>
  <c r="H10" i="1" l="1"/>
  <c r="F10" i="1"/>
  <c r="O4" i="1"/>
  <c r="N4" i="1"/>
  <c r="M4" i="1"/>
  <c r="L4" i="1"/>
  <c r="H4" i="1"/>
  <c r="G10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<sst xmlns="http://schemas.openxmlformats.org/spreadsheetml/2006/main" count="1189" uniqueCount="695">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</sst>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6" fillId="0" borderId="0" applyNumberFormat="0" applyFill="0" applyBorder="0" applyAlignment="0" applyProtection="0"/>
  </cellStyleXfs>
  <cellXfs count="297">
    <xf numFmtId="0" fontId="0" fillId="0" borderId="0" xfId="0"/>
    <xf numFmtId="0" fontId="105" fillId="0" borderId="0" xfId="0" applyFont="1"/>
    <xf numFmtId="2" fontId="105" fillId="0" borderId="0" xfId="0" applyNumberFormat="1" applyFont="1" applyAlignment="1">
      <alignment horizontal="right"/>
    </xf>
    <xf numFmtId="3" fontId="105" fillId="0" borderId="0" xfId="0" applyNumberFormat="1" applyFont="1" applyAlignment="1">
      <alignment horizontal="right"/>
    </xf>
    <xf numFmtId="0" fontId="105" fillId="0" borderId="0" xfId="0" applyFont="1" applyAlignment="1">
      <alignment horizontal="right"/>
    </xf>
    <xf numFmtId="0" fontId="107" fillId="0" borderId="0" xfId="1" applyFont="1"/>
    <xf numFmtId="0" fontId="104" fillId="0" borderId="0" xfId="0" applyFont="1"/>
    <xf numFmtId="3" fontId="104" fillId="0" borderId="0" xfId="0" applyNumberFormat="1" applyFont="1" applyAlignment="1">
      <alignment horizontal="right"/>
    </xf>
    <xf numFmtId="0" fontId="103" fillId="0" borderId="0" xfId="0" applyFont="1"/>
    <xf numFmtId="3" fontId="108" fillId="0" borderId="0" xfId="0" applyNumberFormat="1" applyFont="1" applyAlignment="1">
      <alignment horizontal="right"/>
    </xf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3" xfId="0" applyFont="1" applyBorder="1"/>
    <xf numFmtId="0" fontId="99" fillId="0" borderId="4" xfId="0" applyFont="1" applyBorder="1"/>
    <xf numFmtId="2" fontId="99" fillId="0" borderId="4" xfId="0" applyNumberFormat="1" applyFont="1" applyBorder="1" applyAlignment="1">
      <alignment horizontal="right"/>
    </xf>
    <xf numFmtId="3" fontId="99" fillId="0" borderId="4" xfId="0" applyNumberFormat="1" applyFont="1" applyBorder="1" applyAlignment="1">
      <alignment horizontal="right"/>
    </xf>
    <xf numFmtId="0" fontId="99" fillId="0" borderId="4" xfId="0" applyFont="1" applyBorder="1" applyAlignment="1">
      <alignment horizontal="right"/>
    </xf>
    <xf numFmtId="0" fontId="99" fillId="0" borderId="4" xfId="0" applyFont="1" applyBorder="1" applyAlignment="1">
      <alignment horizontal="center"/>
    </xf>
    <xf numFmtId="0" fontId="99" fillId="0" borderId="5" xfId="0" applyFont="1" applyBorder="1" applyAlignment="1">
      <alignment horizontal="center"/>
    </xf>
    <xf numFmtId="0" fontId="99" fillId="0" borderId="0" xfId="0" applyFont="1"/>
    <xf numFmtId="2" fontId="99" fillId="0" borderId="0" xfId="0" applyNumberFormat="1" applyFont="1" applyAlignment="1">
      <alignment horizontal="right"/>
    </xf>
    <xf numFmtId="3" fontId="99" fillId="0" borderId="0" xfId="0" applyNumberFormat="1" applyFont="1" applyAlignment="1">
      <alignment horizontal="right"/>
    </xf>
    <xf numFmtId="0" fontId="99" fillId="0" borderId="0" xfId="0" applyFont="1" applyAlignment="1">
      <alignment horizontal="right"/>
    </xf>
    <xf numFmtId="0" fontId="99" fillId="0" borderId="0" xfId="0" applyFont="1" applyAlignment="1">
      <alignment horizontal="center"/>
    </xf>
    <xf numFmtId="0" fontId="99" fillId="0" borderId="1" xfId="0" applyFont="1" applyBorder="1" applyAlignment="1">
      <alignment horizontal="center"/>
    </xf>
    <xf numFmtId="0" fontId="99" fillId="0" borderId="2" xfId="0" applyFont="1" applyBorder="1" applyAlignment="1">
      <alignment horizontal="center"/>
    </xf>
    <xf numFmtId="4" fontId="99" fillId="0" borderId="0" xfId="0" applyNumberFormat="1" applyFont="1" applyAlignment="1">
      <alignment horizontal="center"/>
    </xf>
    <xf numFmtId="9" fontId="99" fillId="0" borderId="0" xfId="0" applyNumberFormat="1" applyFont="1" applyAlignment="1">
      <alignment horizontal="center"/>
    </xf>
    <xf numFmtId="164" fontId="99" fillId="0" borderId="1" xfId="0" applyNumberFormat="1" applyFont="1" applyBorder="1" applyAlignment="1">
      <alignment horizontal="center"/>
    </xf>
    <xf numFmtId="164" fontId="99" fillId="0" borderId="0" xfId="0" applyNumberFormat="1" applyFont="1" applyAlignment="1">
      <alignment horizontal="center"/>
    </xf>
    <xf numFmtId="164" fontId="99" fillId="0" borderId="2" xfId="0" applyNumberFormat="1" applyFont="1" applyBorder="1" applyAlignment="1">
      <alignment horizontal="center"/>
    </xf>
    <xf numFmtId="4" fontId="99" fillId="0" borderId="1" xfId="0" applyNumberFormat="1" applyFont="1" applyBorder="1" applyAlignment="1">
      <alignment horizontal="center"/>
    </xf>
    <xf numFmtId="4" fontId="99" fillId="0" borderId="2" xfId="0" applyNumberFormat="1" applyFont="1" applyBorder="1" applyAlignment="1">
      <alignment horizontal="center"/>
    </xf>
    <xf numFmtId="0" fontId="98" fillId="0" borderId="0" xfId="0" applyFont="1" applyAlignment="1">
      <alignment horizontal="right"/>
    </xf>
    <xf numFmtId="9" fontId="98" fillId="0" borderId="0" xfId="0" applyNumberFormat="1" applyFont="1" applyAlignment="1">
      <alignment horizontal="center"/>
    </xf>
    <xf numFmtId="0" fontId="97" fillId="0" borderId="4" xfId="0" applyFont="1" applyBorder="1" applyAlignment="1">
      <alignment horizontal="right"/>
    </xf>
    <xf numFmtId="14" fontId="99" fillId="0" borderId="0" xfId="0" applyNumberFormat="1" applyFont="1" applyAlignment="1">
      <alignment horizontal="right"/>
    </xf>
    <xf numFmtId="0" fontId="97" fillId="0" borderId="0" xfId="0" applyFont="1"/>
    <xf numFmtId="0" fontId="96" fillId="0" borderId="0" xfId="0" applyFont="1"/>
    <xf numFmtId="0" fontId="96" fillId="0" borderId="3" xfId="0" applyFont="1" applyBorder="1" applyAlignment="1">
      <alignment horizontal="center"/>
    </xf>
    <xf numFmtId="0" fontId="96" fillId="0" borderId="6" xfId="0" applyFont="1" applyBorder="1" applyAlignment="1">
      <alignment horizontal="center"/>
    </xf>
    <xf numFmtId="0" fontId="96" fillId="0" borderId="4" xfId="0" applyFont="1" applyBorder="1" applyAlignment="1">
      <alignment horizontal="center"/>
    </xf>
    <xf numFmtId="0" fontId="99" fillId="0" borderId="5" xfId="0" applyFont="1" applyBorder="1"/>
    <xf numFmtId="3" fontId="102" fillId="0" borderId="0" xfId="0" applyNumberFormat="1" applyFont="1"/>
    <xf numFmtId="0" fontId="95" fillId="0" borderId="0" xfId="0" applyFont="1"/>
    <xf numFmtId="0" fontId="94" fillId="0" borderId="0" xfId="0" applyFont="1" applyAlignment="1">
      <alignment horizontal="right"/>
    </xf>
    <xf numFmtId="3" fontId="108" fillId="0" borderId="0" xfId="0" applyNumberFormat="1" applyFont="1"/>
    <xf numFmtId="4" fontId="108" fillId="0" borderId="0" xfId="0" applyNumberFormat="1" applyFont="1" applyAlignment="1">
      <alignment horizontal="right"/>
    </xf>
    <xf numFmtId="0" fontId="93" fillId="0" borderId="0" xfId="0" applyFont="1"/>
    <xf numFmtId="0" fontId="109" fillId="0" borderId="0" xfId="0" applyFont="1"/>
    <xf numFmtId="0" fontId="92" fillId="0" borderId="0" xfId="0" applyFont="1"/>
    <xf numFmtId="14" fontId="102" fillId="0" borderId="0" xfId="0" applyNumberFormat="1" applyFont="1"/>
    <xf numFmtId="0" fontId="102" fillId="0" borderId="0" xfId="0" applyFont="1" applyAlignment="1">
      <alignment horizontal="right"/>
    </xf>
    <xf numFmtId="3" fontId="91" fillId="0" borderId="0" xfId="0" applyNumberFormat="1" applyFont="1"/>
    <xf numFmtId="0" fontId="91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3" xfId="0" applyFont="1" applyBorder="1" applyAlignment="1">
      <alignment horizontal="center"/>
    </xf>
    <xf numFmtId="0" fontId="91" fillId="0" borderId="6" xfId="0" applyFont="1" applyBorder="1" applyAlignment="1">
      <alignment horizontal="center"/>
    </xf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5" fillId="0" borderId="0" xfId="0" applyFont="1"/>
    <xf numFmtId="0" fontId="110" fillId="0" borderId="0" xfId="0" applyFont="1"/>
    <xf numFmtId="0" fontId="84" fillId="0" borderId="0" xfId="0" applyFont="1"/>
    <xf numFmtId="0" fontId="111" fillId="0" borderId="0" xfId="1" applyFont="1"/>
    <xf numFmtId="0" fontId="83" fillId="0" borderId="0" xfId="0" applyFont="1"/>
    <xf numFmtId="0" fontId="82" fillId="0" borderId="0" xfId="0" applyFont="1"/>
    <xf numFmtId="0" fontId="82" fillId="0" borderId="0" xfId="0" applyFont="1" applyAlignment="1">
      <alignment horizontal="right"/>
    </xf>
    <xf numFmtId="14" fontId="91" fillId="0" borderId="0" xfId="0" applyNumberFormat="1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107" fillId="0" borderId="1" xfId="1" applyFont="1" applyBorder="1"/>
    <xf numFmtId="9" fontId="99" fillId="0" borderId="2" xfId="0" applyNumberFormat="1" applyFont="1" applyBorder="1" applyAlignment="1">
      <alignment horizontal="center"/>
    </xf>
    <xf numFmtId="0" fontId="85" fillId="0" borderId="0" xfId="0" applyFont="1" applyAlignment="1">
      <alignment horizontal="right"/>
    </xf>
    <xf numFmtId="0" fontId="99" fillId="0" borderId="1" xfId="0" applyFont="1" applyBorder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107" fillId="0" borderId="0" xfId="1" applyFont="1" applyBorder="1"/>
    <xf numFmtId="0" fontId="69" fillId="0" borderId="0" xfId="0" applyFont="1"/>
    <xf numFmtId="0" fontId="68" fillId="0" borderId="0" xfId="0" applyFont="1" applyAlignment="1">
      <alignment horizontal="right"/>
    </xf>
    <xf numFmtId="0" fontId="67" fillId="0" borderId="0" xfId="0" applyFont="1"/>
    <xf numFmtId="3" fontId="67" fillId="0" borderId="0" xfId="0" applyNumberFormat="1" applyFont="1" applyAlignment="1">
      <alignment horizontal="right"/>
    </xf>
    <xf numFmtId="0" fontId="66" fillId="0" borderId="0" xfId="0" applyFont="1"/>
    <xf numFmtId="14" fontId="66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14" fontId="105" fillId="0" borderId="0" xfId="0" applyNumberFormat="1" applyFont="1"/>
    <xf numFmtId="0" fontId="64" fillId="0" borderId="0" xfId="0" applyFont="1"/>
    <xf numFmtId="165" fontId="99" fillId="0" borderId="0" xfId="0" applyNumberFormat="1" applyFont="1" applyAlignment="1">
      <alignment horizontal="right"/>
    </xf>
    <xf numFmtId="0" fontId="64" fillId="0" borderId="0" xfId="0" applyFont="1" applyAlignment="1">
      <alignment horizontal="right"/>
    </xf>
    <xf numFmtId="0" fontId="63" fillId="0" borderId="0" xfId="0" applyFont="1"/>
    <xf numFmtId="4" fontId="91" fillId="0" borderId="0" xfId="0" applyNumberFormat="1" applyFont="1"/>
    <xf numFmtId="0" fontId="62" fillId="0" borderId="0" xfId="0" applyFont="1"/>
    <xf numFmtId="0" fontId="61" fillId="0" borderId="0" xfId="0" applyFont="1"/>
    <xf numFmtId="3" fontId="112" fillId="0" borderId="0" xfId="0" applyNumberFormat="1" applyFont="1"/>
    <xf numFmtId="4" fontId="113" fillId="0" borderId="0" xfId="0" applyNumberFormat="1" applyFont="1" applyAlignment="1">
      <alignment horizontal="right"/>
    </xf>
    <xf numFmtId="3" fontId="112" fillId="0" borderId="0" xfId="0" applyNumberFormat="1" applyFont="1" applyAlignment="1">
      <alignment horizontal="right"/>
    </xf>
    <xf numFmtId="3" fontId="93" fillId="0" borderId="0" xfId="0" applyNumberFormat="1" applyFont="1"/>
    <xf numFmtId="0" fontId="60" fillId="0" borderId="0" xfId="0" applyFont="1"/>
    <xf numFmtId="0" fontId="59" fillId="0" borderId="0" xfId="0" applyFont="1"/>
    <xf numFmtId="3" fontId="59" fillId="0" borderId="0" xfId="0" applyNumberFormat="1" applyFont="1"/>
    <xf numFmtId="3" fontId="59" fillId="2" borderId="0" xfId="0" applyNumberFormat="1" applyFont="1" applyFill="1"/>
    <xf numFmtId="0" fontId="58" fillId="0" borderId="0" xfId="0" applyFont="1"/>
    <xf numFmtId="3" fontId="58" fillId="0" borderId="0" xfId="0" applyNumberFormat="1" applyFont="1"/>
    <xf numFmtId="3" fontId="107" fillId="0" borderId="0" xfId="1" applyNumberFormat="1" applyFont="1"/>
    <xf numFmtId="0" fontId="57" fillId="0" borderId="0" xfId="0" applyFont="1"/>
    <xf numFmtId="4" fontId="99" fillId="0" borderId="0" xfId="0" applyNumberFormat="1" applyFont="1"/>
    <xf numFmtId="4" fontId="105" fillId="0" borderId="0" xfId="0" applyNumberFormat="1" applyFont="1"/>
    <xf numFmtId="0" fontId="56" fillId="0" borderId="0" xfId="0" applyFont="1"/>
    <xf numFmtId="0" fontId="55" fillId="0" borderId="0" xfId="0" applyFont="1"/>
    <xf numFmtId="0" fontId="110" fillId="0" borderId="0" xfId="0" applyFont="1" applyAlignment="1">
      <alignment horizontal="right"/>
    </xf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9" fillId="0" borderId="1" xfId="0" applyFont="1" applyBorder="1"/>
    <xf numFmtId="0" fontId="48" fillId="0" borderId="0" xfId="0" applyFont="1"/>
    <xf numFmtId="0" fontId="47" fillId="0" borderId="0" xfId="0" applyFont="1"/>
    <xf numFmtId="0" fontId="45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66" fontId="102" fillId="0" borderId="0" xfId="0" applyNumberFormat="1" applyFont="1" applyAlignment="1">
      <alignment horizontal="center"/>
    </xf>
    <xf numFmtId="166" fontId="102" fillId="0" borderId="0" xfId="0" applyNumberFormat="1" applyFont="1"/>
    <xf numFmtId="166" fontId="99" fillId="0" borderId="0" xfId="0" applyNumberFormat="1" applyFont="1" applyAlignment="1">
      <alignment horizontal="center"/>
    </xf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 applyAlignment="1">
      <alignment horizontal="right"/>
    </xf>
    <xf numFmtId="0" fontId="38" fillId="0" borderId="0" xfId="0" applyFont="1"/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2" fontId="36" fillId="0" borderId="0" xfId="0" applyNumberFormat="1" applyFont="1" applyAlignment="1">
      <alignment horizontal="right"/>
    </xf>
    <xf numFmtId="14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1" xfId="0" applyFont="1" applyBorder="1"/>
    <xf numFmtId="4" fontId="36" fillId="0" borderId="0" xfId="0" applyNumberFormat="1" applyFont="1" applyAlignment="1">
      <alignment horizontal="right"/>
    </xf>
    <xf numFmtId="0" fontId="105" fillId="0" borderId="0" xfId="0" quotePrefix="1" applyFont="1"/>
    <xf numFmtId="167" fontId="105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14" fontId="102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0" fontId="32" fillId="0" borderId="3" xfId="0" applyFont="1" applyBorder="1"/>
    <xf numFmtId="0" fontId="32" fillId="0" borderId="4" xfId="0" applyFont="1" applyBorder="1"/>
    <xf numFmtId="2" fontId="32" fillId="0" borderId="4" xfId="0" applyNumberFormat="1" applyFont="1" applyBorder="1" applyAlignment="1">
      <alignment horizontal="right"/>
    </xf>
    <xf numFmtId="3" fontId="32" fillId="0" borderId="4" xfId="0" applyNumberFormat="1" applyFont="1" applyBorder="1" applyAlignment="1">
      <alignment horizontal="right"/>
    </xf>
    <xf numFmtId="0" fontId="32" fillId="0" borderId="4" xfId="0" applyFont="1" applyBorder="1" applyAlignment="1">
      <alignment horizontal="right"/>
    </xf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5" xfId="0" applyFont="1" applyBorder="1"/>
    <xf numFmtId="3" fontId="32" fillId="0" borderId="0" xfId="0" applyNumberFormat="1" applyFont="1"/>
    <xf numFmtId="4" fontId="32" fillId="0" borderId="0" xfId="0" applyNumberFormat="1" applyFont="1" applyAlignment="1">
      <alignment horizontal="right"/>
    </xf>
    <xf numFmtId="2" fontId="32" fillId="0" borderId="0" xfId="0" applyNumberFormat="1" applyFont="1" applyAlignment="1">
      <alignment horizontal="right"/>
    </xf>
    <xf numFmtId="14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1" xfId="0" applyFont="1" applyBorder="1"/>
    <xf numFmtId="4" fontId="102" fillId="0" borderId="0" xfId="0" applyNumberFormat="1" applyFont="1"/>
    <xf numFmtId="0" fontId="31" fillId="0" borderId="0" xfId="0" applyFont="1" applyAlignment="1">
      <alignment horizontal="right"/>
    </xf>
    <xf numFmtId="3" fontId="31" fillId="0" borderId="0" xfId="0" applyNumberFormat="1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4" fontId="93" fillId="0" borderId="0" xfId="0" applyNumberFormat="1" applyFont="1"/>
    <xf numFmtId="14" fontId="93" fillId="0" borderId="0" xfId="0" applyNumberFormat="1" applyFont="1"/>
    <xf numFmtId="3" fontId="29" fillId="0" borderId="0" xfId="0" applyNumberFormat="1" applyFont="1"/>
    <xf numFmtId="0" fontId="29" fillId="0" borderId="0" xfId="0" applyFont="1" applyAlignment="1">
      <alignment horizontal="right"/>
    </xf>
    <xf numFmtId="0" fontId="28" fillId="0" borderId="0" xfId="0" applyFont="1"/>
    <xf numFmtId="3" fontId="28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4" fontId="97" fillId="0" borderId="0" xfId="0" applyNumberFormat="1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4" fontId="105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2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9" fontId="20" fillId="0" borderId="0" xfId="0" applyNumberFormat="1" applyFont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4" fontId="20" fillId="0" borderId="6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/>
    <xf numFmtId="0" fontId="20" fillId="0" borderId="4" xfId="0" applyFont="1" applyBorder="1"/>
    <xf numFmtId="2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14" fontId="20" fillId="0" borderId="0" xfId="0" applyNumberFormat="1" applyFont="1" applyAlignment="1">
      <alignment horizontal="right"/>
    </xf>
    <xf numFmtId="4" fontId="20" fillId="0" borderId="0" xfId="0" applyNumberFormat="1" applyFont="1" applyAlignment="1">
      <alignment horizontal="center"/>
    </xf>
    <xf numFmtId="9" fontId="20" fillId="0" borderId="2" xfId="0" applyNumberFormat="1" applyFont="1" applyBorder="1" applyAlignment="1">
      <alignment horizontal="center"/>
    </xf>
    <xf numFmtId="164" fontId="20" fillId="0" borderId="2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4" fontId="20" fillId="0" borderId="2" xfId="0" applyNumberFormat="1" applyFont="1" applyBorder="1" applyAlignment="1">
      <alignment horizontal="center"/>
    </xf>
    <xf numFmtId="4" fontId="20" fillId="0" borderId="0" xfId="0" applyNumberFormat="1" applyFont="1" applyAlignment="1">
      <alignment horizontal="right"/>
    </xf>
    <xf numFmtId="0" fontId="20" fillId="0" borderId="1" xfId="0" applyFont="1" applyBorder="1"/>
    <xf numFmtId="0" fontId="20" fillId="0" borderId="7" xfId="0" applyFont="1" applyBorder="1"/>
    <xf numFmtId="0" fontId="20" fillId="0" borderId="6" xfId="0" applyFont="1" applyBorder="1"/>
    <xf numFmtId="2" fontId="20" fillId="0" borderId="6" xfId="0" applyNumberFormat="1" applyFont="1" applyBorder="1" applyAlignment="1">
      <alignment horizontal="right"/>
    </xf>
    <xf numFmtId="3" fontId="20" fillId="0" borderId="6" xfId="0" applyNumberFormat="1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0" fontId="20" fillId="0" borderId="8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14" fontId="18" fillId="0" borderId="0" xfId="0" applyNumberFormat="1" applyFont="1" applyAlignment="1">
      <alignment horizontal="right"/>
    </xf>
    <xf numFmtId="0" fontId="17" fillId="0" borderId="0" xfId="0" applyFont="1"/>
    <xf numFmtId="4" fontId="99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4" fontId="12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0" fontId="10" fillId="2" borderId="0" xfId="0" applyFont="1" applyFill="1"/>
    <xf numFmtId="0" fontId="20" fillId="2" borderId="0" xfId="0" applyFont="1" applyFill="1"/>
    <xf numFmtId="0" fontId="49" fillId="2" borderId="0" xfId="0" applyFont="1" applyFill="1"/>
    <xf numFmtId="3" fontId="10" fillId="2" borderId="0" xfId="0" applyNumberFormat="1" applyFont="1" applyFill="1"/>
    <xf numFmtId="0" fontId="46" fillId="2" borderId="0" xfId="0" applyFont="1" applyFill="1"/>
    <xf numFmtId="0" fontId="36" fillId="2" borderId="0" xfId="0" applyFont="1" applyFill="1"/>
    <xf numFmtId="0" fontId="86" fillId="2" borderId="0" xfId="0" applyFont="1" applyFill="1"/>
    <xf numFmtId="0" fontId="9" fillId="0" borderId="0" xfId="0" applyFont="1" applyAlignment="1">
      <alignment horizontal="right"/>
    </xf>
    <xf numFmtId="3" fontId="9" fillId="0" borderId="0" xfId="0" applyNumberFormat="1" applyFont="1"/>
    <xf numFmtId="0" fontId="8" fillId="2" borderId="0" xfId="0" applyFont="1" applyFill="1"/>
    <xf numFmtId="0" fontId="8" fillId="0" borderId="0" xfId="0" applyFont="1"/>
    <xf numFmtId="0" fontId="8" fillId="0" borderId="1" xfId="1" applyFont="1" applyBorder="1"/>
    <xf numFmtId="3" fontId="7" fillId="0" borderId="0" xfId="0" applyNumberFormat="1" applyFont="1"/>
    <xf numFmtId="3" fontId="6" fillId="0" borderId="0" xfId="0" applyNumberFormat="1" applyFont="1"/>
    <xf numFmtId="0" fontId="5" fillId="0" borderId="0" xfId="0" applyFont="1"/>
    <xf numFmtId="0" fontId="4" fillId="0" borderId="0" xfId="0" applyFont="1"/>
    <xf numFmtId="3" fontId="3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sharedStrings" Target="sharedStrings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9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4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-8.2669436621803205E-2</v>
      </c>
      <c r="P2" s="219">
        <f>AVERAGE(P4:P5)</f>
        <v>43.693672640147184</v>
      </c>
      <c r="Q2" s="220">
        <f>AVERAGE(Q4:Q5)</f>
        <v>38.145764758572241</v>
      </c>
      <c r="R2" s="220">
        <f>AVERAGE(R4:R5)</f>
        <v>32.478993356731614</v>
      </c>
      <c r="S2" s="221">
        <f>AVERAGE(S4:S5)</f>
        <v>27.98027609088399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2564803.08</v>
      </c>
      <c r="F5" s="216">
        <f>[3]Main!$L$5-[3]Main!$L$6</f>
        <v>122756</v>
      </c>
      <c r="G5" s="216">
        <f>+E5-F5</f>
        <v>2442047.08</v>
      </c>
      <c r="H5" s="216">
        <f>[3]Main!$L$3</f>
        <v>12348</v>
      </c>
      <c r="I5" s="213" t="s">
        <v>614</v>
      </c>
      <c r="J5" s="233">
        <v>45519</v>
      </c>
      <c r="K5" s="234">
        <f>[3]Model!$BI$38</f>
        <v>255.16230593712166</v>
      </c>
      <c r="L5" s="218">
        <f>K5/D5-1</f>
        <v>0.2284546046753726</v>
      </c>
      <c r="M5" s="218">
        <f>[3]Model!$BI$35</f>
        <v>0.08</v>
      </c>
      <c r="N5" s="218">
        <f>[3]Model!$BI$34</f>
        <v>0.02</v>
      </c>
      <c r="O5" s="235">
        <f>[3]Model!$BI$36</f>
        <v>0.03</v>
      </c>
      <c r="P5" s="219">
        <f>+$G$5/$H$5/T5</f>
        <v>43.180957831629783</v>
      </c>
      <c r="Q5" s="221">
        <f>+$G$5/$H$5/U5</f>
        <v>33.94453609161895</v>
      </c>
      <c r="R5" s="221">
        <f>+$G$5/$H$5/V5</f>
        <v>25.175743092783506</v>
      </c>
      <c r="S5" s="221">
        <f>+$G$5/$H$5/W5</f>
        <v>21.817915735643641</v>
      </c>
      <c r="T5" s="237">
        <f>[3]Model!$AS$29</f>
        <v>4.5799964361174039</v>
      </c>
      <c r="U5" s="234">
        <f>[3]Model!$AT$29</f>
        <v>5.8262287763546796</v>
      </c>
      <c r="V5" s="234">
        <f>[3]Model!$AU$29</f>
        <v>7.8555231616456105</v>
      </c>
      <c r="W5" s="238">
        <f>[3]Model!$AV$29</f>
        <v>9.064506223841919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86" t="s">
        <v>252</v>
      </c>
      <c r="B7" s="288" t="s">
        <v>681</v>
      </c>
      <c r="C7" s="287" t="s">
        <v>682</v>
      </c>
      <c r="F7" s="216"/>
      <c r="G7" s="216"/>
      <c r="H7" s="216"/>
      <c r="J7" s="233"/>
      <c r="O7" s="223"/>
    </row>
    <row r="8" spans="1:25" x14ac:dyDescent="0.25">
      <c r="A8" s="277" t="s">
        <v>252</v>
      </c>
      <c r="B8" s="82" t="s">
        <v>173</v>
      </c>
      <c r="C8" s="214" t="s">
        <v>174</v>
      </c>
      <c r="D8" s="239">
        <v>2825.35</v>
      </c>
      <c r="E8" s="216">
        <f>D8*H8/CAD</f>
        <v>46084.890152016626</v>
      </c>
      <c r="F8" s="216">
        <f>[5]Main!$O$5-[5]Main!$O$6</f>
        <v>-1163</v>
      </c>
      <c r="G8" s="216">
        <f>E8-F8</f>
        <v>47247.890152016626</v>
      </c>
      <c r="H8" s="216">
        <f>+[5]Main!$O$3</f>
        <v>21.19153</v>
      </c>
      <c r="I8" s="213" t="s">
        <v>379</v>
      </c>
      <c r="J8" s="233">
        <v>45047</v>
      </c>
      <c r="O8" s="223"/>
      <c r="X8" s="214">
        <v>1995</v>
      </c>
      <c r="Y8" s="214">
        <f t="shared" ref="Y8:Y10" si="2">2025-X8</f>
        <v>30</v>
      </c>
    </row>
    <row r="9" spans="1:25" x14ac:dyDescent="0.25">
      <c r="A9" s="277" t="s">
        <v>252</v>
      </c>
      <c r="B9" s="82" t="s">
        <v>56</v>
      </c>
      <c r="C9" s="214" t="s">
        <v>480</v>
      </c>
      <c r="D9" s="215">
        <v>83.89</v>
      </c>
      <c r="E9" s="216">
        <v>41017</v>
      </c>
      <c r="F9" s="216">
        <f>+[6]Main!$L$5-[6]Main!$L$6</f>
        <v>1921.489</v>
      </c>
      <c r="G9" s="216">
        <f>+E9-F9</f>
        <v>39095.510999999999</v>
      </c>
      <c r="H9" s="216">
        <f>+[6]Main!$L$3</f>
        <v>507</v>
      </c>
      <c r="I9" s="263" t="s">
        <v>670</v>
      </c>
      <c r="J9" s="233">
        <v>45701</v>
      </c>
      <c r="O9" s="223"/>
      <c r="X9" s="214">
        <v>2009</v>
      </c>
      <c r="Y9" s="214">
        <f t="shared" si="2"/>
        <v>16</v>
      </c>
    </row>
    <row r="10" spans="1:25" x14ac:dyDescent="0.25">
      <c r="A10" s="277" t="s">
        <v>252</v>
      </c>
      <c r="B10" s="82" t="s">
        <v>38</v>
      </c>
      <c r="C10" s="214" t="s">
        <v>39</v>
      </c>
      <c r="D10" s="215">
        <v>92.75</v>
      </c>
      <c r="E10" s="216">
        <f>+D10*[7]Main!$L$3/8</f>
        <v>32856.6875</v>
      </c>
      <c r="F10" s="216">
        <f>([7]Main!$L$5-[7]Main!$L$6)/RMB</f>
        <v>30585.01483679525</v>
      </c>
      <c r="G10" s="216">
        <f>E10-F10</f>
        <v>2271.6726632047503</v>
      </c>
      <c r="H10" s="216">
        <f>+[7]Main!$L$3</f>
        <v>2834</v>
      </c>
      <c r="I10" s="213" t="s">
        <v>14</v>
      </c>
      <c r="O10" s="223"/>
      <c r="X10" s="214">
        <v>2000</v>
      </c>
      <c r="Y10" s="214">
        <f t="shared" si="2"/>
        <v>25</v>
      </c>
    </row>
    <row r="11" spans="1:25" x14ac:dyDescent="0.25">
      <c r="A11" s="277" t="s">
        <v>252</v>
      </c>
      <c r="B11" s="82" t="s">
        <v>38</v>
      </c>
      <c r="C11" s="214" t="s">
        <v>633</v>
      </c>
      <c r="F11" s="216"/>
      <c r="G11" s="216"/>
      <c r="H11" s="216"/>
      <c r="O11" s="223"/>
    </row>
    <row r="12" spans="1:25" x14ac:dyDescent="0.25">
      <c r="A12" s="277" t="s">
        <v>252</v>
      </c>
      <c r="B12" s="240" t="s">
        <v>311</v>
      </c>
      <c r="C12" s="214" t="s">
        <v>312</v>
      </c>
      <c r="D12" s="215">
        <v>46.37</v>
      </c>
      <c r="E12" s="216">
        <v>20860</v>
      </c>
      <c r="O12" s="223"/>
      <c r="X12" s="214">
        <v>1987</v>
      </c>
    </row>
    <row r="13" spans="1:25" x14ac:dyDescent="0.25">
      <c r="A13" s="277" t="s">
        <v>252</v>
      </c>
      <c r="B13" s="240" t="s">
        <v>420</v>
      </c>
      <c r="C13" s="214" t="s">
        <v>421</v>
      </c>
      <c r="D13" s="215">
        <v>547.96</v>
      </c>
      <c r="E13" s="216">
        <v>58644</v>
      </c>
      <c r="O13" s="223"/>
    </row>
    <row r="14" spans="1:25" x14ac:dyDescent="0.25">
      <c r="A14" s="214" t="s">
        <v>252</v>
      </c>
      <c r="B14" s="240" t="s">
        <v>422</v>
      </c>
      <c r="C14" s="214" t="s">
        <v>423</v>
      </c>
      <c r="D14" s="215">
        <v>281.41000000000003</v>
      </c>
      <c r="E14" s="216">
        <f>129933/RMB</f>
        <v>19277.893175074183</v>
      </c>
      <c r="O14" s="223"/>
    </row>
    <row r="15" spans="1:25" x14ac:dyDescent="0.25">
      <c r="A15" s="214" t="s">
        <v>252</v>
      </c>
      <c r="B15" s="240" t="s">
        <v>78</v>
      </c>
      <c r="C15" s="214" t="s">
        <v>79</v>
      </c>
      <c r="D15" s="215">
        <v>16.87</v>
      </c>
      <c r="E15" s="216">
        <v>11408</v>
      </c>
      <c r="O15" s="223"/>
      <c r="X15" s="214">
        <v>2007</v>
      </c>
    </row>
    <row r="16" spans="1:25" x14ac:dyDescent="0.25">
      <c r="A16" s="214" t="s">
        <v>252</v>
      </c>
      <c r="B16" s="240" t="s">
        <v>441</v>
      </c>
      <c r="C16" s="214" t="s">
        <v>442</v>
      </c>
      <c r="D16" s="215">
        <v>34.99</v>
      </c>
      <c r="E16" s="216">
        <v>18901</v>
      </c>
      <c r="O16" s="223"/>
    </row>
    <row r="17" spans="1:24" x14ac:dyDescent="0.25">
      <c r="A17" s="277" t="s">
        <v>252</v>
      </c>
      <c r="B17" s="240" t="s">
        <v>84</v>
      </c>
      <c r="C17" s="214" t="s">
        <v>85</v>
      </c>
      <c r="D17" s="215">
        <v>363.45</v>
      </c>
      <c r="E17" s="216">
        <v>15250</v>
      </c>
      <c r="O17" s="223"/>
      <c r="X17" s="214">
        <v>1966</v>
      </c>
    </row>
    <row r="18" spans="1:24" x14ac:dyDescent="0.25">
      <c r="B18" s="240" t="s">
        <v>101</v>
      </c>
      <c r="C18" s="214" t="s">
        <v>102</v>
      </c>
      <c r="D18" s="215">
        <v>408.48</v>
      </c>
      <c r="E18" s="216">
        <v>10570</v>
      </c>
      <c r="O18" s="223"/>
    </row>
    <row r="19" spans="1:24" x14ac:dyDescent="0.25">
      <c r="B19" s="240" t="s">
        <v>105</v>
      </c>
      <c r="C19" s="214" t="s">
        <v>106</v>
      </c>
      <c r="D19" s="215">
        <v>80.52</v>
      </c>
      <c r="E19" s="216">
        <v>10310</v>
      </c>
      <c r="O19" s="223"/>
      <c r="X19" s="214">
        <v>2007</v>
      </c>
    </row>
    <row r="20" spans="1:24" x14ac:dyDescent="0.25">
      <c r="B20" s="240" t="s">
        <v>109</v>
      </c>
      <c r="C20" s="214" t="s">
        <v>110</v>
      </c>
      <c r="D20" s="215">
        <v>8.17</v>
      </c>
      <c r="E20" s="216">
        <v>9320</v>
      </c>
      <c r="O20" s="223"/>
    </row>
    <row r="21" spans="1:24" x14ac:dyDescent="0.25">
      <c r="B21" s="240" t="s">
        <v>113</v>
      </c>
      <c r="C21" s="214" t="s">
        <v>114</v>
      </c>
      <c r="D21" s="215">
        <v>203.42</v>
      </c>
      <c r="E21" s="216">
        <v>8580</v>
      </c>
      <c r="O21" s="223"/>
      <c r="X21" s="214">
        <v>2003</v>
      </c>
    </row>
    <row r="22" spans="1:24" x14ac:dyDescent="0.25">
      <c r="A22" s="278" t="s">
        <v>252</v>
      </c>
      <c r="B22" s="240" t="s">
        <v>116</v>
      </c>
      <c r="C22" s="214" t="s">
        <v>117</v>
      </c>
      <c r="D22" s="215">
        <v>126.81</v>
      </c>
      <c r="E22" s="216">
        <v>8200</v>
      </c>
      <c r="O22" s="223"/>
    </row>
    <row r="23" spans="1:24" x14ac:dyDescent="0.25">
      <c r="A23" s="278" t="s">
        <v>252</v>
      </c>
      <c r="B23" s="240" t="s">
        <v>118</v>
      </c>
      <c r="C23" s="214" t="s">
        <v>119</v>
      </c>
      <c r="D23" s="215">
        <v>50.35</v>
      </c>
      <c r="E23" s="216">
        <v>8150</v>
      </c>
      <c r="O23" s="223"/>
    </row>
    <row r="24" spans="1:24" x14ac:dyDescent="0.25">
      <c r="B24" s="240" t="s">
        <v>121</v>
      </c>
      <c r="C24" s="214" t="s">
        <v>122</v>
      </c>
      <c r="D24" s="215">
        <v>88.7</v>
      </c>
      <c r="E24" s="216">
        <v>7910</v>
      </c>
      <c r="O24" s="223"/>
    </row>
    <row r="25" spans="1:24" x14ac:dyDescent="0.25">
      <c r="A25" s="214" t="s">
        <v>252</v>
      </c>
      <c r="B25" s="240" t="s">
        <v>125</v>
      </c>
      <c r="C25" s="214" t="s">
        <v>126</v>
      </c>
      <c r="D25" s="215">
        <v>50.36</v>
      </c>
      <c r="E25" s="216">
        <v>7140</v>
      </c>
      <c r="O25" s="223"/>
    </row>
    <row r="26" spans="1:24" x14ac:dyDescent="0.25">
      <c r="A26" s="214" t="s">
        <v>252</v>
      </c>
      <c r="B26" s="240" t="s">
        <v>127</v>
      </c>
      <c r="C26" s="214" t="s">
        <v>128</v>
      </c>
      <c r="D26" s="215">
        <v>80.58</v>
      </c>
      <c r="E26" s="216">
        <v>6930</v>
      </c>
      <c r="O26" s="223"/>
    </row>
    <row r="27" spans="1:24" x14ac:dyDescent="0.25">
      <c r="B27" s="240" t="s">
        <v>133</v>
      </c>
      <c r="C27" s="214" t="s">
        <v>134</v>
      </c>
      <c r="D27" s="215">
        <v>54.6</v>
      </c>
      <c r="E27" s="216">
        <v>6370</v>
      </c>
      <c r="O27" s="223"/>
    </row>
    <row r="28" spans="1:24" x14ac:dyDescent="0.25">
      <c r="A28" s="214" t="s">
        <v>252</v>
      </c>
      <c r="B28" s="240" t="s">
        <v>135</v>
      </c>
      <c r="C28" s="214" t="s">
        <v>136</v>
      </c>
      <c r="D28" s="215">
        <v>62.59</v>
      </c>
      <c r="E28" s="216">
        <v>6350</v>
      </c>
      <c r="O28" s="223"/>
    </row>
    <row r="29" spans="1:24" x14ac:dyDescent="0.25">
      <c r="A29" s="278" t="s">
        <v>252</v>
      </c>
      <c r="B29" s="240" t="s">
        <v>137</v>
      </c>
      <c r="C29" s="214" t="s">
        <v>137</v>
      </c>
      <c r="D29" s="215">
        <v>62.71</v>
      </c>
      <c r="E29" s="216">
        <v>3603</v>
      </c>
      <c r="O29" s="223"/>
    </row>
    <row r="30" spans="1:24" x14ac:dyDescent="0.25">
      <c r="B30" s="82" t="s">
        <v>332</v>
      </c>
      <c r="C30" s="214" t="s">
        <v>616</v>
      </c>
      <c r="D30" s="215">
        <v>13.99</v>
      </c>
      <c r="E30" s="216">
        <f>+D30*H30</f>
        <v>1249.307</v>
      </c>
      <c r="F30" s="216">
        <f>+[8]Main!$K$5-[8]Main!$K$6</f>
        <v>357.65600000000001</v>
      </c>
      <c r="G30" s="216">
        <f>+E30-F30</f>
        <v>891.65100000000007</v>
      </c>
      <c r="H30" s="216">
        <f>+[8]Main!$K$3</f>
        <v>89.3</v>
      </c>
      <c r="I30" s="213" t="s">
        <v>614</v>
      </c>
      <c r="J30" s="233">
        <v>45546</v>
      </c>
      <c r="O30" s="223"/>
    </row>
    <row r="31" spans="1:24" x14ac:dyDescent="0.25">
      <c r="A31" s="214" t="s">
        <v>252</v>
      </c>
      <c r="B31" s="240" t="s">
        <v>501</v>
      </c>
      <c r="C31" s="214" t="s">
        <v>502</v>
      </c>
      <c r="O31" s="223"/>
    </row>
    <row r="32" spans="1:24" x14ac:dyDescent="0.25">
      <c r="A32" s="214" t="s">
        <v>252</v>
      </c>
      <c r="B32" s="240" t="s">
        <v>138</v>
      </c>
      <c r="C32" s="214" t="s">
        <v>139</v>
      </c>
      <c r="D32" s="215">
        <v>21.19</v>
      </c>
      <c r="E32" s="216">
        <v>2965</v>
      </c>
      <c r="O32" s="223"/>
    </row>
    <row r="33" spans="1:15" x14ac:dyDescent="0.25">
      <c r="B33" s="240" t="s">
        <v>214</v>
      </c>
      <c r="C33" s="214" t="s">
        <v>215</v>
      </c>
      <c r="D33" s="215">
        <v>13.95</v>
      </c>
      <c r="E33" s="216">
        <v>2030</v>
      </c>
      <c r="O33" s="223"/>
    </row>
    <row r="34" spans="1:15" x14ac:dyDescent="0.25">
      <c r="B34" s="240" t="s">
        <v>216</v>
      </c>
      <c r="C34" s="214" t="s">
        <v>217</v>
      </c>
      <c r="D34" s="215">
        <v>19.95</v>
      </c>
      <c r="E34" s="216">
        <v>2560</v>
      </c>
      <c r="O34" s="223"/>
    </row>
    <row r="35" spans="1:15" x14ac:dyDescent="0.25">
      <c r="B35" s="240" t="s">
        <v>225</v>
      </c>
      <c r="C35" s="214" t="s">
        <v>226</v>
      </c>
      <c r="O35" s="223"/>
    </row>
    <row r="36" spans="1:15" x14ac:dyDescent="0.25">
      <c r="B36" s="240" t="s">
        <v>392</v>
      </c>
      <c r="O36" s="223"/>
    </row>
    <row r="37" spans="1:15" x14ac:dyDescent="0.25">
      <c r="A37" s="214" t="s">
        <v>252</v>
      </c>
      <c r="B37" s="240" t="s">
        <v>491</v>
      </c>
      <c r="C37" s="214" t="s">
        <v>492</v>
      </c>
      <c r="O37" s="223"/>
    </row>
    <row r="38" spans="1:15" x14ac:dyDescent="0.25">
      <c r="A38" s="214" t="s">
        <v>252</v>
      </c>
      <c r="B38" s="240" t="s">
        <v>426</v>
      </c>
      <c r="C38" s="214" t="s">
        <v>427</v>
      </c>
      <c r="O38" s="223"/>
    </row>
    <row r="39" spans="1:15" x14ac:dyDescent="0.25">
      <c r="A39" s="214" t="s">
        <v>252</v>
      </c>
      <c r="B39" s="240" t="s">
        <v>524</v>
      </c>
      <c r="C39" s="214" t="s">
        <v>525</v>
      </c>
      <c r="O39" s="223"/>
    </row>
    <row r="40" spans="1:15" x14ac:dyDescent="0.25">
      <c r="B40" s="240" t="s">
        <v>635</v>
      </c>
      <c r="C40" s="214" t="s">
        <v>634</v>
      </c>
      <c r="O40" s="223"/>
    </row>
    <row r="41" spans="1:15" x14ac:dyDescent="0.25">
      <c r="A41" s="214" t="s">
        <v>252</v>
      </c>
      <c r="B41" s="240" t="s">
        <v>528</v>
      </c>
      <c r="C41" s="214" t="s">
        <v>529</v>
      </c>
      <c r="O41" s="223"/>
    </row>
    <row r="42" spans="1:15" x14ac:dyDescent="0.25">
      <c r="A42" s="214" t="s">
        <v>252</v>
      </c>
      <c r="B42" s="240" t="s">
        <v>536</v>
      </c>
      <c r="C42" s="214" t="s">
        <v>537</v>
      </c>
      <c r="O42" s="223"/>
    </row>
    <row r="43" spans="1:15" x14ac:dyDescent="0.25">
      <c r="A43" s="214" t="s">
        <v>252</v>
      </c>
      <c r="B43" s="240" t="s">
        <v>544</v>
      </c>
      <c r="C43" s="214" t="s">
        <v>545</v>
      </c>
      <c r="O43" s="223"/>
    </row>
    <row r="44" spans="1:15" x14ac:dyDescent="0.25">
      <c r="A44" s="214" t="s">
        <v>252</v>
      </c>
      <c r="B44" s="241" t="s">
        <v>584</v>
      </c>
      <c r="C44" s="242" t="s">
        <v>585</v>
      </c>
      <c r="D44" s="243"/>
      <c r="E44" s="244"/>
      <c r="F44" s="245"/>
      <c r="G44" s="245"/>
      <c r="H44" s="245"/>
      <c r="I44" s="245"/>
      <c r="J44" s="245"/>
      <c r="K44" s="232"/>
      <c r="L44" s="232"/>
      <c r="M44" s="232"/>
      <c r="N44" s="232"/>
      <c r="O44" s="246"/>
    </row>
  </sheetData>
  <hyperlinks>
    <hyperlink ref="B5" r:id="rId1" xr:uid="{3019DEB6-D8CA-4815-8BF6-407E9419A3F9}"/>
    <hyperlink ref="B10" r:id="rId2" xr:uid="{831B52E7-EF7A-4831-8425-59EAD7D0F934}"/>
    <hyperlink ref="B8" r:id="rId3" xr:uid="{BF4E9546-147A-4F10-92B1-A91E9292F4F6}"/>
    <hyperlink ref="B4" r:id="rId4" xr:uid="{8FE2D0E7-8B55-451A-A95B-7A06B5C1BDA4}"/>
    <hyperlink ref="B30" r:id="rId5" xr:uid="{AF3EBCC3-F32C-4B1E-8C8A-0ED2650C9EB0}"/>
    <hyperlink ref="B11" r:id="rId6" xr:uid="{C1A3BE0B-0C3D-40FB-B4F0-1BE34D12DC86}"/>
    <hyperlink ref="B6" r:id="rId7" xr:uid="{6F4FC9F3-1266-40EF-B7DC-C87EBFC917E2}"/>
    <hyperlink ref="B9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6">
        <v>45728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31" t="s">
        <v>252</v>
      </c>
      <c r="B17" s="82" t="s">
        <v>192</v>
      </c>
      <c r="C17" s="20" t="s">
        <v>193</v>
      </c>
      <c r="D17" s="21">
        <v>82</v>
      </c>
      <c r="E17" s="22">
        <f t="shared" si="2"/>
        <v>12326.037951999999</v>
      </c>
      <c r="F17" s="54">
        <f>+[23]Main!$K$5-[23]Main!$K$6</f>
        <v>-1673.636</v>
      </c>
      <c r="G17" s="54">
        <f>+E17-F17</f>
        <v>13999.673951999999</v>
      </c>
      <c r="H17" s="54">
        <f>+[23]Main!$K$3</f>
        <v>150.31753599999999</v>
      </c>
      <c r="I17" s="296" t="s">
        <v>670</v>
      </c>
      <c r="J17" s="76">
        <v>45719</v>
      </c>
    </row>
    <row r="18" spans="1:24" s="20" customFormat="1" x14ac:dyDescent="0.25">
      <c r="A18" s="279" t="s">
        <v>252</v>
      </c>
      <c r="B18" s="93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53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131" t="s">
        <v>252</v>
      </c>
      <c r="B19" s="5" t="s">
        <v>294</v>
      </c>
      <c r="C19" s="77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9" t="s">
        <v>614</v>
      </c>
      <c r="J19" s="37">
        <v>45555</v>
      </c>
      <c r="X19" s="55">
        <v>2011</v>
      </c>
    </row>
    <row r="20" spans="1:24" s="20" customFormat="1" x14ac:dyDescent="0.25">
      <c r="A20" s="131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9" t="s">
        <v>252</v>
      </c>
      <c r="B21" s="5" t="s">
        <v>393</v>
      </c>
      <c r="C21" s="131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4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31" t="s">
        <v>252</v>
      </c>
      <c r="B22" s="87" t="s">
        <v>326</v>
      </c>
      <c r="C22" s="92" t="s">
        <v>373</v>
      </c>
      <c r="D22" s="55">
        <v>25.54</v>
      </c>
      <c r="E22" s="54">
        <v>4800</v>
      </c>
      <c r="X22" s="55">
        <v>2012</v>
      </c>
    </row>
    <row r="23" spans="1:24" x14ac:dyDescent="0.25">
      <c r="A23" s="131" t="s">
        <v>252</v>
      </c>
      <c r="B23" s="105" t="s">
        <v>386</v>
      </c>
      <c r="C23" s="105" t="s">
        <v>387</v>
      </c>
      <c r="D23" s="55">
        <v>10.88</v>
      </c>
      <c r="E23" s="54">
        <v>3000</v>
      </c>
    </row>
    <row r="24" spans="1:24" x14ac:dyDescent="0.25">
      <c r="B24" s="85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31" t="s">
        <v>252</v>
      </c>
      <c r="B25" s="85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693</v>
      </c>
      <c r="C44" s="295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96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/>
      <c r="B45" s="5" t="s">
        <v>615</v>
      </c>
      <c r="C45" s="136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7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494</v>
      </c>
      <c r="C46" s="131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497</v>
      </c>
      <c r="C47" s="131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511</v>
      </c>
      <c r="C48" s="131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514</v>
      </c>
      <c r="C49" s="131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520</v>
      </c>
      <c r="C50" s="131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522</v>
      </c>
      <c r="C51" s="131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526</v>
      </c>
      <c r="C52" s="131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1" t="s">
        <v>252</v>
      </c>
      <c r="B53" s="131" t="s">
        <v>540</v>
      </c>
      <c r="C53" s="131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546</v>
      </c>
      <c r="C54" s="133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3" t="s">
        <v>252</v>
      </c>
      <c r="B55" s="133" t="s">
        <v>548</v>
      </c>
      <c r="C55" s="133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564</v>
      </c>
      <c r="C56" s="134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566</v>
      </c>
      <c r="C57" s="134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568</v>
      </c>
      <c r="C58" s="134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574</v>
      </c>
      <c r="C59" s="134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576</v>
      </c>
      <c r="C60" s="134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582</v>
      </c>
      <c r="C61" s="134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588</v>
      </c>
      <c r="C62" s="134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 t="s">
        <v>252</v>
      </c>
      <c r="B63" s="134" t="s">
        <v>590</v>
      </c>
      <c r="C63" s="134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620</v>
      </c>
      <c r="C64" s="147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7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/>
      <c r="B65" s="5" t="s">
        <v>663</v>
      </c>
      <c r="C65" s="250" t="s">
        <v>664</v>
      </c>
      <c r="D65" s="251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52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592</v>
      </c>
      <c r="C66" s="134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602</v>
      </c>
      <c r="C67" s="134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606</v>
      </c>
      <c r="C68" s="134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608</v>
      </c>
      <c r="C69" s="134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 t="s">
        <v>252</v>
      </c>
      <c r="B70" s="134" t="s">
        <v>610</v>
      </c>
      <c r="C70" s="134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14" t="s">
        <v>657</v>
      </c>
      <c r="C71" s="214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254" t="s">
        <v>666</v>
      </c>
      <c r="C72" s="254" t="s">
        <v>665</v>
      </c>
      <c r="D72" s="251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4"/>
      <c r="B73" s="5" t="s">
        <v>669</v>
      </c>
      <c r="C73" s="255" t="s">
        <v>669</v>
      </c>
      <c r="D73" s="251">
        <v>18</v>
      </c>
      <c r="E73" s="22"/>
      <c r="F73" s="23"/>
      <c r="G73" s="23"/>
      <c r="H73" s="22">
        <f>+[34]Main!$O$3</f>
        <v>237.44796100000002</v>
      </c>
      <c r="I73" s="256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3"/>
      <c r="B74" s="133"/>
      <c r="C74" s="133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ht="13" x14ac:dyDescent="0.3">
      <c r="B75" s="70" t="s">
        <v>247</v>
      </c>
      <c r="I75" s="108" t="s">
        <v>213</v>
      </c>
    </row>
    <row r="76" spans="1:23" x14ac:dyDescent="0.25">
      <c r="B76" s="108" t="s">
        <v>394</v>
      </c>
      <c r="E76" s="55">
        <v>30000</v>
      </c>
      <c r="I76" s="126" t="s">
        <v>452</v>
      </c>
    </row>
    <row r="77" spans="1:23" x14ac:dyDescent="0.25">
      <c r="B77" s="108" t="s">
        <v>395</v>
      </c>
      <c r="E77" s="55">
        <v>10000</v>
      </c>
      <c r="F77" s="108" t="s">
        <v>397</v>
      </c>
      <c r="G77" s="108" t="s">
        <v>396</v>
      </c>
      <c r="H77" s="108" t="s">
        <v>398</v>
      </c>
      <c r="I77" s="55">
        <v>2013</v>
      </c>
    </row>
    <row r="78" spans="1:23" x14ac:dyDescent="0.25">
      <c r="B78" s="108" t="s">
        <v>120</v>
      </c>
      <c r="E78" s="55">
        <v>10000</v>
      </c>
      <c r="F78" s="108"/>
      <c r="G78" s="108"/>
      <c r="H78" s="108"/>
    </row>
    <row r="79" spans="1:23" x14ac:dyDescent="0.25">
      <c r="B79" s="123" t="s">
        <v>98</v>
      </c>
      <c r="E79" s="55">
        <v>12000</v>
      </c>
    </row>
    <row r="80" spans="1:23" x14ac:dyDescent="0.25">
      <c r="B80" s="69" t="s">
        <v>274</v>
      </c>
      <c r="E80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+[38]Main!$J$5-[38]Main!$J$6</f>
        <v>591.05100000000004</v>
      </c>
      <c r="G13" s="112">
        <f>+E13-F13</f>
        <v>15996.554400000001</v>
      </c>
      <c r="H13" s="112">
        <f>+[38]Main!$J$3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+[40]Main!$K$5-[40]Main!$K$6</f>
        <v>-41.52800000000002</v>
      </c>
      <c r="G17" s="22">
        <f>+E17-F17</f>
        <v>310.61119199999996</v>
      </c>
      <c r="H17" s="112">
        <f>+[40]Main!$K$3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+[41]Main!$N$5-[41]Main!$N$6</f>
        <v>1696.7459999999999</v>
      </c>
      <c r="G3" s="156">
        <f t="shared" ref="G3:G8" si="0">E3-F3</f>
        <v>55775.706251789998</v>
      </c>
      <c r="H3" s="156">
        <f>+[41]Main!$N$3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+D4*[42]Main!$L$3*EUR</f>
        <v>53089.738980000009</v>
      </c>
      <c r="F4" s="156">
        <f>+([42]Main!$L$5-[42]Main!$L$6)*EUR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+[43]Main!$K$5-[43]Main!$K$6</f>
        <v>-289.71199999999999</v>
      </c>
      <c r="G5" s="156">
        <f t="shared" si="0"/>
        <v>69727.7258</v>
      </c>
      <c r="H5" s="156">
        <f>+[43]Main!$K$3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+[44]Main!$L$5-[44]Main!$L$6</f>
        <v>-1005</v>
      </c>
      <c r="G6" s="156">
        <f t="shared" si="0"/>
        <v>45269.86632465</v>
      </c>
      <c r="H6" s="156">
        <f>+[44]Main!$L$3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+[45]Main!$M$5-[45]Main!$M$6</f>
        <v>-235.76700000000005</v>
      </c>
      <c r="G7" s="156">
        <f t="shared" si="0"/>
        <v>20837.083825649999</v>
      </c>
      <c r="H7" s="156">
        <f>+[45]Main!$M$3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([46]Main!$L$5-[46]Main!$L$6)*EUR</f>
        <v>-3389.8630000000003</v>
      </c>
      <c r="G8" s="156">
        <f t="shared" si="0"/>
        <v>34753.602288425049</v>
      </c>
      <c r="H8" s="156">
        <f>[46]Main!$L$3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3" t="s">
        <v>614</v>
      </c>
      <c r="J5" s="37">
        <v>45548</v>
      </c>
      <c r="K5" s="24"/>
      <c r="L5" s="24"/>
      <c r="M5" s="142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A21" s="279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5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5">
      <c r="A23" s="279" t="s">
        <v>252</v>
      </c>
      <c r="B23" s="82" t="s">
        <v>74</v>
      </c>
      <c r="C23" s="20" t="s">
        <v>75</v>
      </c>
      <c r="D23" s="21">
        <v>102.23</v>
      </c>
      <c r="E23" s="22">
        <f>+D23*[52]Main!$K$3</f>
        <v>20147.20788088</v>
      </c>
      <c r="F23" s="22">
        <f>+[52]Main!$K$5-[52]Main!$K$6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5">
      <c r="B24" s="5" t="s">
        <v>653</v>
      </c>
      <c r="C24" s="1" t="s">
        <v>654</v>
      </c>
      <c r="D24" s="212">
        <v>12.55</v>
      </c>
      <c r="E24" s="3">
        <f>+D24*H24</f>
        <v>1641.7643438000002</v>
      </c>
      <c r="F24" s="3">
        <f>+[53]Main!$L$5-[53]Main!$L$6</f>
        <v>585.51599999999996</v>
      </c>
      <c r="G24" s="3">
        <f>+E24-F24</f>
        <v>1056.2483438000004</v>
      </c>
      <c r="H24" s="3">
        <f>+[53]Main!$L$3</f>
        <v>130.81787600000001</v>
      </c>
      <c r="I24" s="4" t="s">
        <v>655</v>
      </c>
      <c r="J24" s="101">
        <v>45629</v>
      </c>
    </row>
    <row r="25" spans="1:26" s="20" customFormat="1" x14ac:dyDescent="0.25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B26" s="129" t="s">
        <v>478</v>
      </c>
      <c r="C26" s="129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5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2">
        <f>G29/Y29</f>
        <v>116.66666666666667</v>
      </c>
    </row>
    <row r="30" spans="1:26" s="20" customFormat="1" x14ac:dyDescent="0.25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5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5">
      <c r="B32" s="49" t="s">
        <v>248</v>
      </c>
    </row>
    <row r="33" spans="2:10" x14ac:dyDescent="0.25">
      <c r="B33" s="108" t="s">
        <v>399</v>
      </c>
    </row>
    <row r="34" spans="2:10" x14ac:dyDescent="0.25">
      <c r="B34" s="128" t="s">
        <v>462</v>
      </c>
    </row>
    <row r="35" spans="2:10" x14ac:dyDescent="0.25">
      <c r="B35" s="124" t="s">
        <v>443</v>
      </c>
      <c r="E35" s="10">
        <v>100</v>
      </c>
      <c r="H35" s="124" t="s">
        <v>444</v>
      </c>
    </row>
    <row r="36" spans="2:10" x14ac:dyDescent="0.25">
      <c r="B36" s="128" t="s">
        <v>463</v>
      </c>
      <c r="H36" s="124"/>
      <c r="J36" s="128" t="s">
        <v>464</v>
      </c>
    </row>
    <row r="37" spans="2:10" x14ac:dyDescent="0.25">
      <c r="B37" s="128" t="s">
        <v>468</v>
      </c>
      <c r="H37" s="124"/>
      <c r="J37" s="128"/>
    </row>
    <row r="38" spans="2:10" x14ac:dyDescent="0.25">
      <c r="B38" s="128" t="s">
        <v>469</v>
      </c>
      <c r="H38" s="124"/>
      <c r="J38" s="128"/>
    </row>
    <row r="39" spans="2:10" x14ac:dyDescent="0.25">
      <c r="B39" s="128" t="s">
        <v>470</v>
      </c>
    </row>
    <row r="40" spans="2:10" x14ac:dyDescent="0.25">
      <c r="B40" s="128" t="s">
        <v>476</v>
      </c>
      <c r="J40" s="128" t="s">
        <v>477</v>
      </c>
    </row>
    <row r="41" spans="2:10" x14ac:dyDescent="0.25">
      <c r="B41" s="128" t="s">
        <v>471</v>
      </c>
    </row>
    <row r="42" spans="2:10" x14ac:dyDescent="0.25">
      <c r="B42" s="128" t="s">
        <v>473</v>
      </c>
    </row>
    <row r="43" spans="2:10" x14ac:dyDescent="0.25">
      <c r="B43" s="128"/>
    </row>
    <row r="44" spans="2:10" x14ac:dyDescent="0.25">
      <c r="B44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+[54]Main!$K$5-[54]Main!$K$6</f>
        <v>675</v>
      </c>
      <c r="G3" s="170">
        <f>+E3-F3</f>
        <v>523925</v>
      </c>
      <c r="H3" s="170">
        <f>+[54]Main!$K$3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[55]Main!$L$5-[55]Main!$L$6</f>
        <v>-1833</v>
      </c>
      <c r="G6" s="170">
        <f>E6-F6</f>
        <v>173473</v>
      </c>
      <c r="H6" s="170">
        <f>+[55]Main!$L$3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+[56]Main!$Q$5-[56]Main!$Q$6</f>
        <v>-7938</v>
      </c>
      <c r="G7" s="170">
        <f>+E7-F7</f>
        <v>171075.07800000001</v>
      </c>
      <c r="H7" s="170">
        <f>+[56]Main!$Q$3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[57]Main!$M$5-[57]Main!$M$6</f>
        <v>5527</v>
      </c>
      <c r="G8" s="170">
        <f>E8-F8</f>
        <v>74913.62</v>
      </c>
      <c r="H8" s="170">
        <f>[57]Main!$M$3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+[58]Main!$L$5-[58]Main!$L$6</f>
        <v>7251</v>
      </c>
      <c r="G13" s="170">
        <f>+E13-F13</f>
        <v>12828.375799999998</v>
      </c>
      <c r="H13" s="170">
        <f>+[58]Main!$L$3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A14" s="280" t="s">
        <v>252</v>
      </c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A16" s="280" t="s">
        <v>252</v>
      </c>
      <c r="B16" s="289" t="s">
        <v>683</v>
      </c>
      <c r="C16" s="289" t="s">
        <v>684</v>
      </c>
      <c r="D16" s="183"/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A17" s="280" t="s">
        <v>252</v>
      </c>
      <c r="B17" s="290" t="s">
        <v>685</v>
      </c>
      <c r="C17" s="290" t="s">
        <v>686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A18" s="280" t="s">
        <v>252</v>
      </c>
      <c r="B18" s="293" t="s">
        <v>101</v>
      </c>
      <c r="C18" s="293" t="s">
        <v>102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B19" s="182" t="s">
        <v>288</v>
      </c>
      <c r="C19" s="182" t="s">
        <v>289</v>
      </c>
      <c r="D19" s="183">
        <v>98.94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A20" s="280" t="s">
        <v>252</v>
      </c>
      <c r="B20" s="285" t="s">
        <v>679</v>
      </c>
      <c r="C20" s="285" t="s">
        <v>680</v>
      </c>
      <c r="D20" s="183"/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82" t="s">
        <v>292</v>
      </c>
      <c r="C21" s="182" t="s">
        <v>293</v>
      </c>
      <c r="D21" s="183"/>
      <c r="E21" s="170"/>
      <c r="F21" s="170"/>
      <c r="G21" s="170"/>
      <c r="H21" s="170"/>
      <c r="I21" s="170"/>
      <c r="O21" s="171"/>
      <c r="P21" s="171"/>
    </row>
    <row r="22" spans="1:23" s="182" customFormat="1" x14ac:dyDescent="0.25">
      <c r="A22" s="280" t="s">
        <v>252</v>
      </c>
      <c r="B22" s="192" t="s">
        <v>636</v>
      </c>
      <c r="C22" s="192" t="s">
        <v>637</v>
      </c>
      <c r="D22" s="183">
        <v>27.5</v>
      </c>
      <c r="E22" s="170"/>
      <c r="F22" s="170"/>
      <c r="G22" s="170"/>
      <c r="H22" s="170"/>
      <c r="I22" s="170"/>
      <c r="O22" s="171"/>
      <c r="P22" s="171"/>
    </row>
    <row r="23" spans="1:23" s="182" customFormat="1" x14ac:dyDescent="0.25">
      <c r="A23" s="280" t="s">
        <v>252</v>
      </c>
      <c r="B23" s="182" t="s">
        <v>295</v>
      </c>
      <c r="C23" s="182" t="s">
        <v>296</v>
      </c>
      <c r="D23" s="183">
        <v>142.76</v>
      </c>
      <c r="E23" s="170"/>
      <c r="F23" s="170"/>
      <c r="G23" s="170"/>
      <c r="H23" s="170"/>
      <c r="I23" s="170"/>
      <c r="O23" s="171"/>
      <c r="P23" s="171"/>
    </row>
    <row r="24" spans="1:23" s="182" customFormat="1" x14ac:dyDescent="0.25">
      <c r="A24" s="280" t="s">
        <v>252</v>
      </c>
      <c r="B24" s="182" t="s">
        <v>305</v>
      </c>
      <c r="C24" s="182" t="s">
        <v>306</v>
      </c>
      <c r="D24" s="183">
        <v>72.069999999999993</v>
      </c>
      <c r="E24" s="170"/>
      <c r="F24" s="170"/>
      <c r="G24" s="170"/>
      <c r="H24" s="170"/>
      <c r="I24" s="170"/>
      <c r="O24" s="171"/>
      <c r="P24" s="171"/>
    </row>
    <row r="25" spans="1:23" s="182" customFormat="1" x14ac:dyDescent="0.25">
      <c r="A25" s="280" t="s">
        <v>252</v>
      </c>
      <c r="B25" s="182" t="s">
        <v>70</v>
      </c>
      <c r="C25" s="182" t="s">
        <v>71</v>
      </c>
      <c r="D25" s="183">
        <v>68.930000000000007</v>
      </c>
      <c r="E25" s="170">
        <v>18053</v>
      </c>
      <c r="F25" s="170"/>
      <c r="G25" s="170"/>
      <c r="H25" s="170"/>
      <c r="I25" s="170"/>
      <c r="O25" s="171"/>
      <c r="P25" s="171"/>
    </row>
    <row r="26" spans="1:23" s="182" customFormat="1" x14ac:dyDescent="0.25">
      <c r="A26" s="182" t="s">
        <v>252</v>
      </c>
      <c r="B26" s="182" t="s">
        <v>82</v>
      </c>
      <c r="C26" s="182" t="s">
        <v>83</v>
      </c>
      <c r="D26" s="183">
        <v>58.75</v>
      </c>
      <c r="E26" s="170">
        <v>14980</v>
      </c>
      <c r="F26" s="170"/>
      <c r="G26" s="170"/>
      <c r="H26" s="170"/>
      <c r="I26" s="170"/>
      <c r="O26" s="171"/>
      <c r="P26" s="171"/>
    </row>
    <row r="27" spans="1:23" s="182" customFormat="1" x14ac:dyDescent="0.25">
      <c r="A27" s="182" t="s">
        <v>252</v>
      </c>
      <c r="B27" s="182" t="s">
        <v>103</v>
      </c>
      <c r="C27" s="182" t="s">
        <v>104</v>
      </c>
      <c r="D27" s="183">
        <v>184.44</v>
      </c>
      <c r="E27" s="170">
        <v>10400</v>
      </c>
      <c r="F27" s="170"/>
      <c r="G27" s="170"/>
      <c r="H27" s="170"/>
      <c r="I27" s="170"/>
      <c r="O27" s="171"/>
      <c r="P27" s="171"/>
    </row>
    <row r="28" spans="1:23" x14ac:dyDescent="0.25">
      <c r="A28" s="280" t="s">
        <v>252</v>
      </c>
      <c r="B28" s="189" t="s">
        <v>299</v>
      </c>
      <c r="C28" s="171" t="s">
        <v>300</v>
      </c>
      <c r="D28" s="184">
        <v>175.2</v>
      </c>
      <c r="E28" s="170">
        <v>27500</v>
      </c>
      <c r="F28" s="170"/>
      <c r="G28" s="170"/>
      <c r="H28" s="170"/>
      <c r="J28" s="172"/>
      <c r="K28" s="186"/>
      <c r="L28" s="186"/>
      <c r="M28" s="186"/>
      <c r="N28" s="186"/>
      <c r="Q28" s="186"/>
      <c r="R28" s="186"/>
      <c r="S28" s="187"/>
      <c r="T28" s="188"/>
      <c r="U28" s="186"/>
      <c r="V28" s="186"/>
      <c r="W28" s="187"/>
    </row>
    <row r="29" spans="1:23" x14ac:dyDescent="0.25">
      <c r="A29" s="171" t="s">
        <v>252</v>
      </c>
      <c r="B29" s="189" t="s">
        <v>64</v>
      </c>
      <c r="C29" s="171" t="s">
        <v>65</v>
      </c>
      <c r="D29" s="184">
        <v>312</v>
      </c>
      <c r="E29" s="170">
        <v>19090</v>
      </c>
    </row>
    <row r="30" spans="1:23" x14ac:dyDescent="0.25">
      <c r="B30" s="200" t="s">
        <v>643</v>
      </c>
      <c r="C30" s="200" t="s">
        <v>644</v>
      </c>
      <c r="D30" s="184">
        <v>8.1300000000000008</v>
      </c>
      <c r="E30" s="170">
        <v>1700</v>
      </c>
    </row>
    <row r="31" spans="1:23" x14ac:dyDescent="0.25">
      <c r="A31" s="171" t="s">
        <v>252</v>
      </c>
      <c r="B31" s="171" t="s">
        <v>424</v>
      </c>
      <c r="C31" s="171" t="s">
        <v>425</v>
      </c>
    </row>
    <row r="32" spans="1:23" x14ac:dyDescent="0.25">
      <c r="A32" s="171" t="s">
        <v>252</v>
      </c>
      <c r="B32" s="171" t="s">
        <v>430</v>
      </c>
      <c r="C32" s="171" t="s">
        <v>431</v>
      </c>
    </row>
    <row r="33" spans="1:9" x14ac:dyDescent="0.25">
      <c r="A33" s="171" t="s">
        <v>252</v>
      </c>
      <c r="B33" s="171" t="s">
        <v>486</v>
      </c>
      <c r="C33" s="171" t="s">
        <v>487</v>
      </c>
    </row>
    <row r="34" spans="1:9" x14ac:dyDescent="0.25">
      <c r="A34" s="171" t="s">
        <v>252</v>
      </c>
      <c r="B34" s="171" t="s">
        <v>518</v>
      </c>
      <c r="C34" s="171" t="s">
        <v>519</v>
      </c>
    </row>
    <row r="35" spans="1:9" x14ac:dyDescent="0.25">
      <c r="A35" s="171" t="s">
        <v>252</v>
      </c>
      <c r="B35" s="171" t="s">
        <v>542</v>
      </c>
      <c r="C35" s="171" t="s">
        <v>543</v>
      </c>
    </row>
    <row r="36" spans="1:9" x14ac:dyDescent="0.25">
      <c r="A36" s="171" t="s">
        <v>252</v>
      </c>
      <c r="B36" s="171" t="s">
        <v>572</v>
      </c>
      <c r="C36" s="171" t="s">
        <v>573</v>
      </c>
    </row>
    <row r="37" spans="1:9" x14ac:dyDescent="0.25">
      <c r="B37" s="205" t="s">
        <v>649</v>
      </c>
      <c r="C37" s="205" t="s">
        <v>650</v>
      </c>
    </row>
    <row r="38" spans="1:9" x14ac:dyDescent="0.25">
      <c r="A38" s="171" t="s">
        <v>252</v>
      </c>
      <c r="B38" s="171" t="s">
        <v>586</v>
      </c>
      <c r="C38" s="171" t="s">
        <v>587</v>
      </c>
    </row>
    <row r="39" spans="1:9" x14ac:dyDescent="0.25">
      <c r="A39" s="171" t="s">
        <v>252</v>
      </c>
      <c r="B39" s="171" t="s">
        <v>594</v>
      </c>
      <c r="C39" s="171" t="s">
        <v>595</v>
      </c>
    </row>
    <row r="40" spans="1:9" x14ac:dyDescent="0.25">
      <c r="A40" s="171" t="s">
        <v>252</v>
      </c>
      <c r="B40" s="171" t="s">
        <v>596</v>
      </c>
      <c r="C40" s="171" t="s">
        <v>597</v>
      </c>
    </row>
    <row r="41" spans="1:9" x14ac:dyDescent="0.25">
      <c r="B41" s="5" t="s">
        <v>659</v>
      </c>
      <c r="C41" s="248" t="s">
        <v>661</v>
      </c>
      <c r="D41" s="183">
        <v>89.5</v>
      </c>
    </row>
    <row r="42" spans="1:9" x14ac:dyDescent="0.25">
      <c r="B42" s="5" t="s">
        <v>660</v>
      </c>
      <c r="C42" s="248" t="s">
        <v>662</v>
      </c>
    </row>
    <row r="43" spans="1:9" x14ac:dyDescent="0.25">
      <c r="A43" s="171" t="s">
        <v>252</v>
      </c>
      <c r="B43" s="171" t="s">
        <v>598</v>
      </c>
      <c r="C43" s="171" t="s">
        <v>599</v>
      </c>
    </row>
    <row r="44" spans="1:9" x14ac:dyDescent="0.25">
      <c r="A44" s="171" t="s">
        <v>252</v>
      </c>
      <c r="B44" s="171" t="s">
        <v>604</v>
      </c>
      <c r="C44" s="171" t="s">
        <v>605</v>
      </c>
    </row>
    <row r="46" spans="1:9" s="182" customFormat="1" ht="13" x14ac:dyDescent="0.3">
      <c r="B46" s="47" t="s">
        <v>33</v>
      </c>
      <c r="C46" s="47" t="s">
        <v>150</v>
      </c>
      <c r="D46" s="48">
        <v>0</v>
      </c>
      <c r="E46" s="9">
        <v>100000</v>
      </c>
      <c r="F46" s="170"/>
      <c r="G46" s="170"/>
      <c r="H46" s="170"/>
      <c r="I46" s="170"/>
    </row>
    <row r="47" spans="1:9" ht="13" x14ac:dyDescent="0.3">
      <c r="B47" s="109" t="s">
        <v>58</v>
      </c>
      <c r="C47" s="109"/>
      <c r="D47" s="110">
        <v>0</v>
      </c>
      <c r="E47" s="111">
        <v>26000</v>
      </c>
    </row>
    <row r="48" spans="1:9" ht="13" x14ac:dyDescent="0.3">
      <c r="B48" s="182" t="s">
        <v>86</v>
      </c>
      <c r="C48" s="182"/>
      <c r="D48" s="48">
        <v>0</v>
      </c>
      <c r="E48" s="170">
        <v>15000</v>
      </c>
    </row>
    <row r="49" spans="2:5" ht="13" x14ac:dyDescent="0.3">
      <c r="B49" s="171" t="s">
        <v>241</v>
      </c>
      <c r="D49" s="48">
        <v>0</v>
      </c>
      <c r="E49" s="172">
        <v>75</v>
      </c>
    </row>
    <row r="50" spans="2:5" ht="13" x14ac:dyDescent="0.3">
      <c r="B50" s="171" t="s">
        <v>243</v>
      </c>
      <c r="D50" s="48">
        <v>0</v>
      </c>
    </row>
    <row r="51" spans="2:5" x14ac:dyDescent="0.25">
      <c r="B51" s="171" t="s">
        <v>273</v>
      </c>
      <c r="E51" s="172">
        <v>424</v>
      </c>
    </row>
    <row r="52" spans="2:5" x14ac:dyDescent="0.25">
      <c r="B52" s="171" t="s">
        <v>275</v>
      </c>
      <c r="E52" s="172">
        <v>159.5</v>
      </c>
    </row>
    <row r="53" spans="2:5" x14ac:dyDescent="0.25">
      <c r="B53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1" r:id="rId5" xr:uid="{132B7EB0-8BB8-4C45-9D4A-8D6FD8E92C4F}"/>
    <hyperlink ref="B42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+[59]Main!$K$5-[59]Main!$K$6</f>
        <v>7245</v>
      </c>
      <c r="G4" s="44">
        <f>+E4-F4</f>
        <v>161211.74599999998</v>
      </c>
      <c r="H4" s="44">
        <f>+[59]Main!$K$3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([60]Main!$O$5-[60]Main!$O$6)/RMB</f>
        <v>121948.96142433234</v>
      </c>
      <c r="G5" s="22">
        <f>+E5-F5</f>
        <v>111256.03232566765</v>
      </c>
      <c r="H5" s="22">
        <f>+[60]Main!$L$3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([60]Main!$O$5-[60]Main!$O$6)/RMB</f>
        <v>121948.96142433234</v>
      </c>
      <c r="G6" s="3">
        <f>+E6-F6</f>
        <v>107705.29728289586</v>
      </c>
      <c r="H6" s="44">
        <f>+[60]Main!$O$3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  <c r="D9" s="190">
        <v>119.23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+[61]Main!$L$5-[61]Main!$L$6</f>
        <v>7643.4470000000001</v>
      </c>
      <c r="G10" s="22">
        <f>E10-F10</f>
        <v>66071.040644859997</v>
      </c>
      <c r="H10" s="44">
        <f>+[61]Main!$L$3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+D13*[62]Main!$M$3</f>
        <v>46254.6</v>
      </c>
      <c r="F13" s="22">
        <f>+[62]Main!$M$5-[62]Main!$M$6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5">
      <c r="A14" s="281" t="s">
        <v>252</v>
      </c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+[63]Main!$L$5-[63]Main!$L$6</f>
        <v>4606</v>
      </c>
      <c r="G14" s="44">
        <f>+E14-F14</f>
        <v>39340.137438419995</v>
      </c>
      <c r="H14" s="44">
        <f>+[63]Main!$L$3</f>
        <v>1798.8594939999998</v>
      </c>
      <c r="I14" s="284" t="s">
        <v>655</v>
      </c>
      <c r="J14" s="52">
        <v>45712</v>
      </c>
    </row>
    <row r="15" spans="1:24" s="20" customFormat="1" x14ac:dyDescent="0.25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81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281" t="s">
        <v>252</v>
      </c>
      <c r="B18" s="291" t="s">
        <v>689</v>
      </c>
      <c r="C18" s="292" t="s">
        <v>690</v>
      </c>
    </row>
    <row r="19" spans="1:23" x14ac:dyDescent="0.25">
      <c r="A19" s="281" t="s">
        <v>252</v>
      </c>
      <c r="B19" s="294" t="s">
        <v>691</v>
      </c>
      <c r="C19" s="294" t="s">
        <v>692</v>
      </c>
    </row>
    <row r="20" spans="1:23" x14ac:dyDescent="0.25">
      <c r="B20" s="5" t="s">
        <v>509</v>
      </c>
      <c r="C20" s="131" t="s">
        <v>510</v>
      </c>
      <c r="D20" s="190">
        <v>305.11</v>
      </c>
    </row>
    <row r="21" spans="1:23" x14ac:dyDescent="0.25">
      <c r="A21" s="79"/>
      <c r="B21" s="79" t="s">
        <v>303</v>
      </c>
      <c r="C21" s="79" t="s">
        <v>304</v>
      </c>
    </row>
    <row r="22" spans="1:23" x14ac:dyDescent="0.25">
      <c r="A22" s="80"/>
      <c r="B22" s="80" t="s">
        <v>307</v>
      </c>
      <c r="C22" s="80" t="s">
        <v>308</v>
      </c>
    </row>
    <row r="23" spans="1:23" x14ac:dyDescent="0.25">
      <c r="A23" s="81"/>
      <c r="B23" s="81" t="s">
        <v>309</v>
      </c>
      <c r="C23" s="81" t="s">
        <v>310</v>
      </c>
    </row>
    <row r="24" spans="1:23" x14ac:dyDescent="0.25">
      <c r="A24" s="281" t="s">
        <v>252</v>
      </c>
      <c r="B24" s="10" t="s">
        <v>157</v>
      </c>
      <c r="C24" s="10" t="s">
        <v>158</v>
      </c>
    </row>
    <row r="25" spans="1:23" x14ac:dyDescent="0.25">
      <c r="A25" s="281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5">
      <c r="B26" s="10" t="s">
        <v>159</v>
      </c>
      <c r="C26" s="10" t="s">
        <v>160</v>
      </c>
    </row>
    <row r="27" spans="1:23" s="20" customFormat="1" x14ac:dyDescent="0.25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5">
      <c r="B28" s="5" t="s">
        <v>376</v>
      </c>
      <c r="C28" s="96" t="s">
        <v>377</v>
      </c>
      <c r="D28" s="10">
        <v>8.86</v>
      </c>
      <c r="E28" s="44">
        <f>+D28*H28</f>
        <v>963.51364147999993</v>
      </c>
      <c r="F28" s="44">
        <f>+[64]Main!$K$5-[64]Main!$K$6</f>
        <v>-1163.2909999999999</v>
      </c>
      <c r="G28" s="44">
        <f>+E28-F28</f>
        <v>2126.8046414800001</v>
      </c>
      <c r="H28" s="44">
        <f>+[64]Main!$K$3</f>
        <v>108.748718</v>
      </c>
      <c r="I28" s="99" t="s">
        <v>348</v>
      </c>
      <c r="J28" s="52">
        <v>44965</v>
      </c>
    </row>
    <row r="29" spans="1:23" x14ac:dyDescent="0.25">
      <c r="B29" s="5" t="s">
        <v>628</v>
      </c>
      <c r="C29" s="153" t="s">
        <v>629</v>
      </c>
      <c r="D29" s="10">
        <v>1.77</v>
      </c>
      <c r="E29" s="44">
        <f>+D29*H29</f>
        <v>183.49568582999999</v>
      </c>
      <c r="F29" s="44">
        <f>+[65]Main!$K$5-[65]Main!$K$6</f>
        <v>4.47199999999998</v>
      </c>
      <c r="G29" s="44">
        <f>+E29-F29</f>
        <v>179.02368583000001</v>
      </c>
      <c r="H29" s="44">
        <f>+[65]Main!$K$3</f>
        <v>103.66987899999999</v>
      </c>
      <c r="I29" s="202" t="s">
        <v>614</v>
      </c>
      <c r="J29" s="52">
        <v>45556</v>
      </c>
    </row>
    <row r="30" spans="1:23" x14ac:dyDescent="0.25">
      <c r="B30" s="98" t="s">
        <v>378</v>
      </c>
      <c r="E30" s="44"/>
      <c r="F30" s="44"/>
      <c r="G30" s="44"/>
    </row>
    <row r="31" spans="1:23" x14ac:dyDescent="0.25">
      <c r="B31" s="5" t="s">
        <v>647</v>
      </c>
      <c r="C31" s="205" t="s">
        <v>648</v>
      </c>
      <c r="D31" s="10">
        <v>1.02</v>
      </c>
      <c r="E31" s="44">
        <f>+D31*H31</f>
        <v>114.86102394</v>
      </c>
      <c r="F31" s="44">
        <f>+[66]Main!$J$5-[66]Main!$J$6</f>
        <v>69.837999999999994</v>
      </c>
      <c r="G31" s="44">
        <f>+E31-F31</f>
        <v>45.023023940000002</v>
      </c>
      <c r="H31" s="44">
        <f>+[66]Main!$J$3</f>
        <v>112.608847</v>
      </c>
      <c r="I31" s="206" t="s">
        <v>614</v>
      </c>
      <c r="J31" s="52">
        <v>45583</v>
      </c>
    </row>
    <row r="32" spans="1:23" x14ac:dyDescent="0.25">
      <c r="B32" s="134" t="s">
        <v>552</v>
      </c>
      <c r="C32" s="134" t="s">
        <v>553</v>
      </c>
    </row>
    <row r="33" spans="1:12" x14ac:dyDescent="0.25">
      <c r="A33" s="281" t="s">
        <v>252</v>
      </c>
      <c r="B33" s="266" t="s">
        <v>677</v>
      </c>
      <c r="C33" s="266" t="s">
        <v>678</v>
      </c>
    </row>
    <row r="34" spans="1:12" x14ac:dyDescent="0.25">
      <c r="B34" s="134" t="s">
        <v>560</v>
      </c>
      <c r="C34" s="134" t="s">
        <v>561</v>
      </c>
    </row>
    <row r="35" spans="1:12" x14ac:dyDescent="0.25">
      <c r="B35" s="135" t="s">
        <v>613</v>
      </c>
      <c r="C35" s="135" t="s">
        <v>612</v>
      </c>
    </row>
    <row r="36" spans="1:12" x14ac:dyDescent="0.25">
      <c r="B36" s="5" t="s">
        <v>645</v>
      </c>
      <c r="C36" s="203" t="s">
        <v>646</v>
      </c>
      <c r="D36" s="190">
        <v>41.16</v>
      </c>
    </row>
    <row r="38" spans="1:12" x14ac:dyDescent="0.25">
      <c r="B38" s="1" t="s">
        <v>115</v>
      </c>
      <c r="C38" s="1"/>
      <c r="D38" s="2"/>
      <c r="E38" s="3">
        <v>8333</v>
      </c>
    </row>
    <row r="39" spans="1:12" x14ac:dyDescent="0.25">
      <c r="B39" s="20" t="s">
        <v>63</v>
      </c>
      <c r="C39" s="20"/>
      <c r="D39" s="21"/>
      <c r="E39" s="22">
        <v>22000</v>
      </c>
    </row>
    <row r="40" spans="1:12" x14ac:dyDescent="0.25">
      <c r="B40" s="20" t="s">
        <v>55</v>
      </c>
      <c r="C40" s="20"/>
      <c r="D40" s="21"/>
      <c r="E40" s="22">
        <v>30000</v>
      </c>
    </row>
    <row r="41" spans="1:12" x14ac:dyDescent="0.25">
      <c r="B41" s="126" t="s">
        <v>450</v>
      </c>
      <c r="L41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283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283" t="s">
        <v>252</v>
      </c>
      <c r="B6" s="74" t="s">
        <v>290</v>
      </c>
      <c r="C6" s="74" t="s">
        <v>291</v>
      </c>
    </row>
    <row r="7" spans="1:24" x14ac:dyDescent="0.25">
      <c r="A7" s="283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+[67]Main!$K$5-[67]Main!$K$6</f>
        <v>1162.098</v>
      </c>
      <c r="G7" s="44">
        <f>+E7-F7</f>
        <v>31827.205945000002</v>
      </c>
      <c r="H7" s="44">
        <f>[67]Main!$K$3</f>
        <v>153.43862300000001</v>
      </c>
      <c r="I7" s="284" t="s">
        <v>655</v>
      </c>
      <c r="J7" s="168">
        <v>45702</v>
      </c>
    </row>
    <row r="8" spans="1:24" s="1" customFormat="1" x14ac:dyDescent="0.25">
      <c r="A8" s="283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90">
        <v>147</v>
      </c>
      <c r="E9" s="44">
        <f>+D9*H9</f>
        <v>50230.301897999998</v>
      </c>
      <c r="F9" s="44">
        <f>+[68]Main!$N$5-[68]Main!$N$6</f>
        <v>472.05500000000006</v>
      </c>
      <c r="G9" s="44">
        <f>+E9-F9</f>
        <v>49758.246897999998</v>
      </c>
      <c r="H9" s="44">
        <f>+[68]Main!$N$3</f>
        <v>341.70273399999996</v>
      </c>
      <c r="I9" s="167" t="s">
        <v>614</v>
      </c>
      <c r="J9" s="168">
        <v>45561</v>
      </c>
    </row>
    <row r="10" spans="1:24" x14ac:dyDescent="0.25">
      <c r="A10" s="131"/>
      <c r="B10" s="5" t="s">
        <v>192</v>
      </c>
      <c r="C10" s="295" t="s">
        <v>193</v>
      </c>
      <c r="D10" s="190">
        <v>82.09</v>
      </c>
      <c r="E10" s="44">
        <f>+D10*H10</f>
        <v>12339.566530239999</v>
      </c>
      <c r="F10" s="44">
        <f>+[23]Main!$K$5-[23]Main!$K$6</f>
        <v>-1673.636</v>
      </c>
      <c r="G10" s="44">
        <f>+E10-F10</f>
        <v>14013.20253024</v>
      </c>
      <c r="H10" s="44">
        <f>+[23]Main!$K$3</f>
        <v>150.31753599999999</v>
      </c>
      <c r="I10" s="296" t="s">
        <v>670</v>
      </c>
      <c r="J10" s="168">
        <v>45719</v>
      </c>
    </row>
    <row r="11" spans="1:24" x14ac:dyDescent="0.25">
      <c r="A11" s="131" t="s">
        <v>252</v>
      </c>
      <c r="B11" s="123" t="s">
        <v>432</v>
      </c>
      <c r="C11" s="123" t="s">
        <v>433</v>
      </c>
    </row>
    <row r="12" spans="1:24" x14ac:dyDescent="0.25">
      <c r="A12" s="131" t="s">
        <v>252</v>
      </c>
      <c r="B12" s="131" t="s">
        <v>94</v>
      </c>
      <c r="C12" s="131" t="s">
        <v>95</v>
      </c>
    </row>
    <row r="13" spans="1:24" x14ac:dyDescent="0.25">
      <c r="A13" s="131" t="s">
        <v>252</v>
      </c>
      <c r="B13" s="131" t="s">
        <v>503</v>
      </c>
      <c r="C13" s="131" t="s">
        <v>504</v>
      </c>
    </row>
    <row r="14" spans="1:24" x14ac:dyDescent="0.25">
      <c r="A14" s="131" t="s">
        <v>252</v>
      </c>
      <c r="B14" s="131" t="s">
        <v>532</v>
      </c>
      <c r="C14" s="131" t="s">
        <v>533</v>
      </c>
    </row>
    <row r="15" spans="1:24" x14ac:dyDescent="0.25">
      <c r="A15" s="131" t="s">
        <v>252</v>
      </c>
      <c r="B15" s="131" t="s">
        <v>538</v>
      </c>
      <c r="C15" s="131" t="s">
        <v>539</v>
      </c>
    </row>
    <row r="16" spans="1:24" x14ac:dyDescent="0.25">
      <c r="A16" s="134" t="s">
        <v>252</v>
      </c>
      <c r="B16" s="134" t="s">
        <v>556</v>
      </c>
      <c r="C16" s="134" t="s">
        <v>557</v>
      </c>
    </row>
    <row r="17" spans="1:5" x14ac:dyDescent="0.25">
      <c r="A17" s="134" t="s">
        <v>252</v>
      </c>
      <c r="B17" s="134" t="s">
        <v>570</v>
      </c>
      <c r="C17" s="134" t="s">
        <v>571</v>
      </c>
    </row>
    <row r="18" spans="1:5" x14ac:dyDescent="0.25">
      <c r="A18" s="134" t="s">
        <v>252</v>
      </c>
      <c r="B18" s="134" t="s">
        <v>600</v>
      </c>
      <c r="C18" s="134" t="s">
        <v>601</v>
      </c>
    </row>
    <row r="22" spans="1:5" x14ac:dyDescent="0.25">
      <c r="B22" s="214" t="s">
        <v>656</v>
      </c>
      <c r="C22" s="214" t="s">
        <v>247</v>
      </c>
      <c r="E22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  <hyperlink ref="B10" r:id="rId3" xr:uid="{8401614B-19A8-4528-B8D8-58C3F54EB3EF}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2025-03-13T19:26:04Z</dcterms:modified>
  <cp:category/>
  <cp:contentStatus/>
</cp:coreProperties>
</file>