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25AE905-E6B3-47B2-A7FC-4CE056ACD9B5}" xr6:coauthVersionLast="47" xr6:coauthVersionMax="47" xr10:uidLastSave="{00000000-0000-0000-0000-000000000000}"/>
  <bookViews>
    <workbookView xWindow="23230" yWindow="1680" windowWidth="14670" windowHeight="15600" activeTab="1" xr2:uid="{9D3513DD-3418-4219-8827-A91F6C35E82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0" i="2" l="1"/>
  <c r="AM29" i="2"/>
  <c r="AH30" i="2"/>
  <c r="AH29" i="2"/>
  <c r="U23" i="2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S23" i="2"/>
  <c r="T23" i="2" s="1"/>
  <c r="R26" i="2"/>
  <c r="Q26" i="2"/>
  <c r="S20" i="2"/>
  <c r="S5" i="2"/>
  <c r="N5" i="2"/>
  <c r="M5" i="2"/>
  <c r="M20" i="2" s="1"/>
  <c r="L5" i="2"/>
  <c r="N20" i="2"/>
  <c r="L20" i="2"/>
  <c r="R28" i="2"/>
  <c r="R23" i="2"/>
  <c r="Q23" i="2"/>
  <c r="R20" i="2"/>
  <c r="R5" i="2"/>
  <c r="Q5" i="2"/>
  <c r="F23" i="2"/>
  <c r="D23" i="2"/>
  <c r="E23" i="2" s="1"/>
  <c r="G20" i="2"/>
  <c r="H23" i="2"/>
  <c r="K20" i="2"/>
  <c r="D13" i="2"/>
  <c r="D11" i="2"/>
  <c r="D7" i="2"/>
  <c r="H20" i="2"/>
  <c r="H13" i="2"/>
  <c r="H7" i="2"/>
  <c r="H11" i="2"/>
  <c r="H12" i="2"/>
  <c r="H14" i="2" s="1"/>
  <c r="H16" i="2" s="1"/>
  <c r="H17" i="2" s="1"/>
  <c r="J20" i="2"/>
  <c r="I20" i="2"/>
  <c r="F11" i="2"/>
  <c r="F7" i="2"/>
  <c r="J13" i="2"/>
  <c r="J11" i="2"/>
  <c r="J7" i="2"/>
  <c r="I23" i="2"/>
  <c r="J23" i="2" s="1"/>
  <c r="J25" i="2" s="1"/>
  <c r="I24" i="2"/>
  <c r="I13" i="2"/>
  <c r="I7" i="2"/>
  <c r="I11" i="2"/>
  <c r="E11" i="2"/>
  <c r="E7" i="2"/>
  <c r="E12" i="2" s="1"/>
  <c r="E14" i="2" s="1"/>
  <c r="E16" i="2" s="1"/>
  <c r="E17" i="2" s="1"/>
  <c r="K4" i="1"/>
  <c r="K7" i="1" s="1"/>
  <c r="K3" i="1"/>
  <c r="T29" i="2" l="1"/>
  <c r="T30" i="2" s="1"/>
  <c r="S28" i="2"/>
  <c r="I25" i="2"/>
  <c r="D12" i="2"/>
  <c r="D14" i="2" s="1"/>
  <c r="D16" i="2" s="1"/>
  <c r="D17" i="2" s="1"/>
  <c r="J12" i="2"/>
  <c r="J14" i="2" s="1"/>
  <c r="J16" i="2" s="1"/>
  <c r="J17" i="2" s="1"/>
  <c r="I12" i="2"/>
  <c r="I14" i="2" s="1"/>
  <c r="I16" i="2" s="1"/>
  <c r="I17" i="2" s="1"/>
  <c r="F12" i="2"/>
  <c r="F14" i="2" s="1"/>
  <c r="F16" i="2" s="1"/>
  <c r="F17" i="2" s="1"/>
  <c r="X29" i="2" l="1"/>
  <c r="X30" i="2" s="1"/>
  <c r="AB29" i="2" l="1"/>
  <c r="AB30" i="2" s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<sst xmlns="http://schemas.openxmlformats.org/spreadsheetml/2006/main" count="43" uniqueCount="39">
  <si>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</si>
  <si>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</si>
  <si>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</si>
  <si>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</si>
  <si>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</si>
  <si>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</si>
  <si>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</si>
  <si>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</si>
  <si>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</si>
  <si>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</si>
  <si>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</si>
  <si>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</si>
  <si>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</si>
  <si>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</si>
  <si>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</si>
  <si>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</si>
  <si>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</si>
  <si>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</si>
  <si>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</si>
  <si>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</si>
  <si>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</si>
  <si>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</si>
  <si>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</si>
  <si>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</si>
  <si>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</si>
  <si>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</si>
  <si>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</si>
  <si>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</si>
  <si>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</si>
  <si>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</si>
  <si>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</si>
  <si>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</si>
  <si>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</si>
  <si>
    <t>Apps</t>
  </si>
  <si>
    <t>Ads</t>
  </si>
  <si>
    <t>CFFO</t>
  </si>
  <si>
    <t>CX</t>
  </si>
  <si>
    <t>FCF</t>
  </si>
  <si>
    <t>CFFO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</si>
</sst>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CD55AD6-C227-4952-B4BF-3BB29D3C47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30079</xdr:colOff>
      <xdr:row>0</xdr:row>
      <xdr:rowOff>43447</xdr:rowOff>
    </xdr:from>
    <xdr:to>
      <xdr:col>10</xdr:col>
      <xdr:colOff>30079</xdr:colOff>
      <xdr:row>34</xdr:row>
      <xdr:rowOff>3342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DD647D5-FB81-9CB8-CC54-A6CE301CFBF7}"/>
            </a:ext>
          </a:extLst>
        </xdr:cNvPr>
        <xdr:cNvCxnSpPr/>
      </xdr:nvCxnSpPr>
      <xdr:spPr>
        <a:xfrm>
          <a:off x="6784474" y="43447"/>
          <a:ext cx="0" cy="510005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B4EB-6472-46BD-A0D3-B5A7B85DE441}">
  <dimension ref="J2:L7"/>
  <sheetViews>
    <sheetView zoomScaleNormal="100" workbookViewId="0"/>
  </sheetViews>
  <sheetFormatPr defaultRowHeight="12.5" x14ac:dyDescent="0.25"/>
  <sheetData>
    <row r="2" spans="10:12" x14ac:dyDescent="0.25">
      <c r="J2" t="s">
        <v>0</v>
      </c>
      <c r="K2" s="1">
        <v>295</v>
      </c>
    </row>
    <row r="3" spans="10:12" x14ac:dyDescent="0.25">
      <c r="J3" t="s">
        <v>1</v>
      </c>
      <c r="K3" s="2">
        <f>298.667774+36.92403</f>
        <v>335.59180400000002</v>
      </c>
      <c r="L3" s="3" t="s">
        <v>6</v>
      </c>
    </row>
    <row r="4" spans="10:12" x14ac:dyDescent="0.25">
      <c r="J4" t="s">
        <v>2</v>
      </c>
      <c r="K4" s="2">
        <f>+K2*K3</f>
        <v>98999.582180000012</v>
      </c>
    </row>
    <row r="5" spans="10:12" x14ac:dyDescent="0.25">
      <c r="J5" t="s">
        <v>3</v>
      </c>
      <c r="K5" s="2">
        <v>567.596</v>
      </c>
      <c r="L5" s="3" t="s">
        <v>6</v>
      </c>
    </row>
    <row r="6" spans="10:12" x14ac:dyDescent="0.25">
      <c r="J6" t="s">
        <v>4</v>
      </c>
      <c r="K6" s="2">
        <v>3474.4560000000001</v>
      </c>
      <c r="L6" s="3" t="s">
        <v>6</v>
      </c>
    </row>
    <row r="7" spans="10:12" x14ac:dyDescent="0.25">
      <c r="J7" t="s">
        <v>5</v>
      </c>
      <c r="K7" s="2">
        <f>+K4-K5+K6</f>
        <v>101906.44218000001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880E-57D9-4582-ABFA-84647DFD24DC}">
  <dimension ref="A1:CF30"/>
  <sheetViews>
    <sheetView tabSelected="1" zoomScale="115" zoomScaleNormal="115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X3" sqref="X3"/>
    </sheetView>
  </sheetViews>
  <sheetFormatPr defaultRowHeight="12.5" x14ac:dyDescent="0.25"/>
  <cols>
    <col min="1" max="1" width="5" bestFit="1" customWidth="1"/>
    <col min="2" max="2" width="18.1796875" bestFit="1" customWidth="1"/>
    <col min="3" max="10" width="9.1796875" style="3"/>
    <col min="20" max="20" width="9.6328125" bestFit="1" customWidth="1"/>
    <col min="24" max="24" width="10.26953125" customWidth="1"/>
    <col min="28" max="28" width="10.08984375" bestFit="1" customWidth="1"/>
    <col min="34" max="34" width="10.08984375" bestFit="1" customWidth="1"/>
    <col min="39" max="39" width="11.54296875" bestFit="1" customWidth="1"/>
  </cols>
  <sheetData>
    <row r="1" spans="1:19" x14ac:dyDescent="0.25">
      <c r="A1" s="8" t="s">
        <v>7</v>
      </c>
    </row>
    <row r="2" spans="1:19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K2" s="3" t="s">
        <v>28</v>
      </c>
      <c r="L2" s="3" t="s">
        <v>29</v>
      </c>
      <c r="M2" s="3" t="s">
        <v>30</v>
      </c>
      <c r="N2" s="3" t="s">
        <v>31</v>
      </c>
      <c r="Q2">
        <v>2023</v>
      </c>
      <c r="R2">
        <v>2024</v>
      </c>
      <c r="S2">
        <v>2025</v>
      </c>
    </row>
    <row r="3" spans="1:19" s="2" customFormat="1" x14ac:dyDescent="0.25">
      <c r="B3" s="2" t="s">
        <v>34</v>
      </c>
      <c r="C3" s="5"/>
      <c r="D3" s="5"/>
      <c r="E3" s="5"/>
      <c r="F3" s="5">
        <v>576.48900000000003</v>
      </c>
      <c r="G3" s="5"/>
      <c r="H3" s="5"/>
      <c r="I3" s="5"/>
      <c r="J3" s="5">
        <v>999.48699999999997</v>
      </c>
      <c r="K3" s="5"/>
      <c r="L3" s="5"/>
      <c r="M3" s="5"/>
      <c r="N3" s="5"/>
    </row>
    <row r="4" spans="1:19" s="2" customFormat="1" x14ac:dyDescent="0.25">
      <c r="B4" s="2" t="s">
        <v>33</v>
      </c>
      <c r="C4" s="5"/>
      <c r="D4" s="5"/>
      <c r="E4" s="5"/>
      <c r="F4" s="5">
        <v>376.77199999999999</v>
      </c>
      <c r="G4" s="5"/>
      <c r="H4" s="5"/>
      <c r="I4" s="5"/>
      <c r="J4" s="5">
        <v>373.29199999999997</v>
      </c>
      <c r="K4" s="5"/>
      <c r="L4" s="5"/>
      <c r="M4" s="5"/>
      <c r="N4" s="5"/>
    </row>
    <row r="5" spans="1:19" s="6" customFormat="1" ht="13" x14ac:dyDescent="0.3">
      <c r="B5" s="6" t="s">
        <v>8</v>
      </c>
      <c r="C5" s="7">
        <v>715.40499999999997</v>
      </c>
      <c r="D5" s="7">
        <v>750.16499999999996</v>
      </c>
      <c r="E5" s="7">
        <v>864.25599999999997</v>
      </c>
      <c r="F5" s="7">
        <v>953.26099999999997</v>
      </c>
      <c r="G5" s="7">
        <v>1058.115</v>
      </c>
      <c r="H5" s="7">
        <v>1080.1189999999999</v>
      </c>
      <c r="I5" s="7">
        <v>1198.2349999999999</v>
      </c>
      <c r="J5" s="7">
        <v>1372.779</v>
      </c>
      <c r="K5" s="6">
        <v>1390</v>
      </c>
      <c r="L5" s="6">
        <f>+H5*1.3</f>
        <v>1404.1547</v>
      </c>
      <c r="M5" s="6">
        <f>+I5*1.29</f>
        <v>1545.7231499999998</v>
      </c>
      <c r="N5" s="6">
        <f>+J5*1.28</f>
        <v>1757.1571200000001</v>
      </c>
      <c r="Q5" s="6">
        <f>SUM(C5:F5)</f>
        <v>3283.087</v>
      </c>
      <c r="R5" s="6">
        <f>SUM(G5:J5)</f>
        <v>4709.2479999999996</v>
      </c>
      <c r="S5" s="6">
        <f>SUM(K5:N5)</f>
        <v>6097.0349699999997</v>
      </c>
    </row>
    <row r="6" spans="1:19" s="2" customFormat="1" x14ac:dyDescent="0.25">
      <c r="B6" s="2" t="s">
        <v>16</v>
      </c>
      <c r="C6" s="5"/>
      <c r="D6" s="5">
        <v>258.57499999999999</v>
      </c>
      <c r="E6" s="5">
        <v>265.04899999999998</v>
      </c>
      <c r="F6" s="5">
        <v>273.60700000000003</v>
      </c>
      <c r="G6" s="5"/>
      <c r="H6" s="5">
        <v>282.54700000000003</v>
      </c>
      <c r="I6" s="5">
        <v>269.65899999999999</v>
      </c>
      <c r="J6" s="5">
        <v>320.452</v>
      </c>
    </row>
    <row r="7" spans="1:19" s="2" customFormat="1" x14ac:dyDescent="0.25">
      <c r="B7" s="2" t="s">
        <v>17</v>
      </c>
      <c r="C7" s="5"/>
      <c r="D7" s="5">
        <f>+D5-D6</f>
        <v>491.59</v>
      </c>
      <c r="E7" s="5">
        <f>+E5-E6</f>
        <v>599.20699999999999</v>
      </c>
      <c r="F7" s="5">
        <f>+F5-F6</f>
        <v>679.654</v>
      </c>
      <c r="G7" s="5"/>
      <c r="H7" s="5">
        <f>+H5-H6</f>
        <v>797.57199999999989</v>
      </c>
      <c r="I7" s="5">
        <f>+I5-I6</f>
        <v>928.57599999999991</v>
      </c>
      <c r="J7" s="5">
        <f>+J5-J6</f>
        <v>1052.327</v>
      </c>
    </row>
    <row r="8" spans="1:19" s="2" customFormat="1" x14ac:dyDescent="0.25">
      <c r="B8" s="2" t="s">
        <v>18</v>
      </c>
      <c r="C8" s="5"/>
      <c r="D8" s="5">
        <v>192.42699999999999</v>
      </c>
      <c r="E8" s="5">
        <v>212.352</v>
      </c>
      <c r="F8" s="5">
        <v>222.96299999999999</v>
      </c>
      <c r="G8" s="5"/>
      <c r="H8" s="5">
        <v>202.107</v>
      </c>
      <c r="I8" s="5">
        <v>205.75299999999999</v>
      </c>
      <c r="J8" s="5">
        <v>214.66200000000001</v>
      </c>
    </row>
    <row r="9" spans="1:19" s="2" customFormat="1" x14ac:dyDescent="0.25">
      <c r="B9" s="2" t="s">
        <v>19</v>
      </c>
      <c r="C9" s="5"/>
      <c r="D9" s="5">
        <v>137.42400000000001</v>
      </c>
      <c r="E9" s="5">
        <v>159.28800000000001</v>
      </c>
      <c r="F9" s="5">
        <v>150.82300000000001</v>
      </c>
      <c r="G9" s="5"/>
      <c r="H9" s="5">
        <v>163.89599999999999</v>
      </c>
      <c r="I9" s="5">
        <v>149.99</v>
      </c>
      <c r="J9" s="5">
        <v>169.48</v>
      </c>
    </row>
    <row r="10" spans="1:19" s="2" customFormat="1" x14ac:dyDescent="0.25">
      <c r="B10" s="2" t="s">
        <v>20</v>
      </c>
      <c r="C10" s="5"/>
      <c r="D10" s="5">
        <v>30.411000000000001</v>
      </c>
      <c r="E10" s="5">
        <v>41.249000000000002</v>
      </c>
      <c r="F10" s="5">
        <v>36.353999999999999</v>
      </c>
      <c r="G10" s="5"/>
      <c r="H10" s="5">
        <v>40.582999999999998</v>
      </c>
      <c r="I10" s="5">
        <v>37.899000000000001</v>
      </c>
      <c r="J10" s="5">
        <v>60.204999999999998</v>
      </c>
    </row>
    <row r="11" spans="1:19" s="2" customFormat="1" x14ac:dyDescent="0.25">
      <c r="B11" s="2" t="s">
        <v>21</v>
      </c>
      <c r="C11" s="5"/>
      <c r="D11" s="5">
        <f>+D10+D9+D8</f>
        <v>360.262</v>
      </c>
      <c r="E11" s="5">
        <f>+E10+E9+E8</f>
        <v>412.88900000000001</v>
      </c>
      <c r="F11" s="5">
        <f>+F10+F9+F8</f>
        <v>410.14</v>
      </c>
      <c r="G11" s="5"/>
      <c r="H11" s="5">
        <f>+H10+H9+H8</f>
        <v>406.58600000000001</v>
      </c>
      <c r="I11" s="5">
        <f>+I10+I9+I8</f>
        <v>393.642</v>
      </c>
      <c r="J11" s="5">
        <f>+J10+J9+J8</f>
        <v>444.34699999999998</v>
      </c>
    </row>
    <row r="12" spans="1:19" s="2" customFormat="1" x14ac:dyDescent="0.25">
      <c r="B12" s="2" t="s">
        <v>22</v>
      </c>
      <c r="C12" s="5"/>
      <c r="D12" s="5">
        <f>+D7-D11</f>
        <v>131.32799999999997</v>
      </c>
      <c r="E12" s="5">
        <f>+E7-E11</f>
        <v>186.31799999999998</v>
      </c>
      <c r="F12" s="5">
        <f>+F7-F11</f>
        <v>269.51400000000001</v>
      </c>
      <c r="G12" s="5"/>
      <c r="H12" s="5">
        <f>+H7-H11</f>
        <v>390.98599999999988</v>
      </c>
      <c r="I12" s="5">
        <f>+I7-I11</f>
        <v>534.93399999999997</v>
      </c>
      <c r="J12" s="5">
        <f>+J7-J11</f>
        <v>607.98</v>
      </c>
    </row>
    <row r="13" spans="1:19" s="2" customFormat="1" x14ac:dyDescent="0.25">
      <c r="B13" s="2" t="s">
        <v>23</v>
      </c>
      <c r="C13" s="5"/>
      <c r="D13" s="5">
        <f>-50.987+15.461</f>
        <v>-35.526000000000003</v>
      </c>
      <c r="E13" s="5">
        <v>-77.093000000000004</v>
      </c>
      <c r="F13" s="5">
        <v>-71.584000000000003</v>
      </c>
      <c r="G13" s="5"/>
      <c r="H13" s="5">
        <f>-74.666+8.947</f>
        <v>-65.718999999999994</v>
      </c>
      <c r="I13" s="5">
        <f>-75.213+7.948</f>
        <v>-67.264999999999986</v>
      </c>
      <c r="J13" s="5">
        <f>-94.199+1.343</f>
        <v>-92.855999999999995</v>
      </c>
    </row>
    <row r="14" spans="1:19" s="2" customFormat="1" x14ac:dyDescent="0.25">
      <c r="B14" s="2" t="s">
        <v>24</v>
      </c>
      <c r="C14" s="5"/>
      <c r="D14" s="5">
        <f>+D12+D13</f>
        <v>95.801999999999964</v>
      </c>
      <c r="E14" s="5">
        <f>+E12+E13</f>
        <v>109.22499999999998</v>
      </c>
      <c r="F14" s="5">
        <f>+F12+F13</f>
        <v>197.93</v>
      </c>
      <c r="G14" s="5"/>
      <c r="H14" s="5">
        <f>+H12+H13</f>
        <v>325.26699999999988</v>
      </c>
      <c r="I14" s="5">
        <f>+I12+I13</f>
        <v>467.66899999999998</v>
      </c>
      <c r="J14" s="5">
        <f>+J12+J13</f>
        <v>515.12400000000002</v>
      </c>
    </row>
    <row r="15" spans="1:19" s="2" customFormat="1" x14ac:dyDescent="0.25">
      <c r="B15" s="2" t="s">
        <v>25</v>
      </c>
      <c r="C15" s="5"/>
      <c r="D15" s="5">
        <v>15.445</v>
      </c>
      <c r="E15" s="5">
        <v>0.58599999999999997</v>
      </c>
      <c r="F15" s="5">
        <v>6.6630000000000003</v>
      </c>
      <c r="G15" s="5"/>
      <c r="H15" s="5">
        <v>15.298</v>
      </c>
      <c r="I15" s="5">
        <v>33.249000000000002</v>
      </c>
      <c r="J15" s="5">
        <v>0</v>
      </c>
    </row>
    <row r="16" spans="1:19" s="2" customFormat="1" x14ac:dyDescent="0.25">
      <c r="B16" s="2" t="s">
        <v>26</v>
      </c>
      <c r="C16" s="5"/>
      <c r="D16" s="5">
        <f>+D14-D15</f>
        <v>80.356999999999971</v>
      </c>
      <c r="E16" s="5">
        <f>+E14-E15</f>
        <v>108.63899999999998</v>
      </c>
      <c r="F16" s="5">
        <f>+F14-F15</f>
        <v>191.267</v>
      </c>
      <c r="G16" s="5"/>
      <c r="H16" s="5">
        <f>+H14-H15</f>
        <v>309.96899999999988</v>
      </c>
      <c r="I16" s="5">
        <f>+I14-I15</f>
        <v>434.41999999999996</v>
      </c>
      <c r="J16" s="5">
        <f>+J14-J15</f>
        <v>515.12400000000002</v>
      </c>
    </row>
    <row r="17" spans="2:84" x14ac:dyDescent="0.25">
      <c r="B17" s="2" t="s">
        <v>27</v>
      </c>
      <c r="D17" s="4">
        <f>+D16/D18</f>
        <v>0.21935071157546074</v>
      </c>
      <c r="E17" s="4">
        <f>+E16/E18</f>
        <v>0.30439088282411614</v>
      </c>
      <c r="F17" s="4">
        <f>+F16/F18</f>
        <v>0.55042130466312889</v>
      </c>
      <c r="H17" s="4">
        <f>+H16/H18</f>
        <v>0.89080715518778286</v>
      </c>
      <c r="I17" s="4">
        <f>+I16/I18</f>
        <v>1.2475250840573942</v>
      </c>
      <c r="J17" s="4">
        <f>+J16/J18</f>
        <v>1.4869761506719363</v>
      </c>
    </row>
    <row r="18" spans="2:84" s="2" customFormat="1" x14ac:dyDescent="0.25">
      <c r="B18" s="2" t="s">
        <v>1</v>
      </c>
      <c r="C18" s="5"/>
      <c r="D18" s="5">
        <v>366.34027500000002</v>
      </c>
      <c r="E18" s="5">
        <v>356.90622200000001</v>
      </c>
      <c r="F18" s="5">
        <v>347.49200000000002</v>
      </c>
      <c r="G18" s="5"/>
      <c r="H18" s="5">
        <v>347.964201</v>
      </c>
      <c r="I18" s="5">
        <v>348.22546299999999</v>
      </c>
      <c r="J18" s="5">
        <v>346.42384800000002</v>
      </c>
    </row>
    <row r="20" spans="2:84" s="11" customFormat="1" ht="13" x14ac:dyDescent="0.3">
      <c r="B20" s="6" t="s">
        <v>32</v>
      </c>
      <c r="C20" s="9"/>
      <c r="D20" s="9"/>
      <c r="E20" s="9"/>
      <c r="F20" s="9"/>
      <c r="G20" s="10">
        <f>+G5/C5-1</f>
        <v>0.47904333908764962</v>
      </c>
      <c r="H20" s="10">
        <f>+H5/D5-1</f>
        <v>0.43984190144834789</v>
      </c>
      <c r="I20" s="10">
        <f>+I5/E5-1</f>
        <v>0.38643526917950233</v>
      </c>
      <c r="J20" s="10">
        <f>+J5/F5-1</f>
        <v>0.44008723738829136</v>
      </c>
      <c r="K20" s="10">
        <f>+K5/G5-1</f>
        <v>0.31365683314195536</v>
      </c>
      <c r="L20" s="10">
        <f t="shared" ref="L20:N20" si="0">+L5/H5-1</f>
        <v>0.30000000000000004</v>
      </c>
      <c r="M20" s="10">
        <f t="shared" si="0"/>
        <v>0.29000000000000004</v>
      </c>
      <c r="N20" s="10">
        <f t="shared" si="0"/>
        <v>0.28000000000000003</v>
      </c>
      <c r="R20" s="12">
        <f>+R5/Q5-1</f>
        <v>0.43439634709649777</v>
      </c>
      <c r="S20" s="12">
        <f>+S5/R5-1</f>
        <v>0.29469396600051656</v>
      </c>
    </row>
    <row r="23" spans="2:84" s="2" customFormat="1" x14ac:dyDescent="0.25">
      <c r="B23" s="2" t="s">
        <v>35</v>
      </c>
      <c r="C23" s="5">
        <v>288.66199999999998</v>
      </c>
      <c r="D23" s="5">
        <f>518.456-C23</f>
        <v>229.79400000000004</v>
      </c>
      <c r="E23" s="5">
        <f>717.522-D23-C23</f>
        <v>199.06600000000003</v>
      </c>
      <c r="F23" s="5">
        <f>1061.51-E23-D23-C23</f>
        <v>343.98799999999989</v>
      </c>
      <c r="G23" s="5">
        <v>392.779</v>
      </c>
      <c r="H23" s="5">
        <f>847.306-G23</f>
        <v>454.52700000000004</v>
      </c>
      <c r="I23" s="5">
        <f>1398.008-H23-G23</f>
        <v>550.702</v>
      </c>
      <c r="J23" s="5">
        <f>2099.011-I23-H23-G23</f>
        <v>701.00299999999993</v>
      </c>
      <c r="Q23" s="2">
        <f>SUM(C23:F23)</f>
        <v>1061.51</v>
      </c>
      <c r="R23" s="2">
        <f>SUM(G23:J23)</f>
        <v>2099.011</v>
      </c>
      <c r="S23" s="2">
        <f>+S5*S26</f>
        <v>3048.5174849999999</v>
      </c>
      <c r="T23" s="2">
        <f>+S23*1.2</f>
        <v>3658.2209819999998</v>
      </c>
      <c r="U23" s="2">
        <f t="shared" ref="U23:CF23" si="1">+T23*1.2</f>
        <v>4389.8651783999994</v>
      </c>
      <c r="V23" s="2">
        <f t="shared" si="1"/>
        <v>5267.8382140799995</v>
      </c>
      <c r="W23" s="2">
        <f t="shared" si="1"/>
        <v>6321.405856895999</v>
      </c>
      <c r="X23" s="2">
        <f t="shared" si="1"/>
        <v>7585.6870282751988</v>
      </c>
      <c r="Y23" s="2">
        <f t="shared" si="1"/>
        <v>9102.8244339302382</v>
      </c>
      <c r="Z23" s="2">
        <f t="shared" si="1"/>
        <v>10923.389320716286</v>
      </c>
      <c r="AA23" s="2">
        <f t="shared" si="1"/>
        <v>13108.067184859543</v>
      </c>
      <c r="AB23" s="2">
        <f t="shared" si="1"/>
        <v>15729.68062183145</v>
      </c>
      <c r="AC23" s="2">
        <f t="shared" si="1"/>
        <v>18875.616746197738</v>
      </c>
      <c r="AD23" s="2">
        <f t="shared" si="1"/>
        <v>22650.740095437286</v>
      </c>
      <c r="AE23" s="2">
        <f t="shared" si="1"/>
        <v>27180.888114524743</v>
      </c>
      <c r="AF23" s="2">
        <f t="shared" si="1"/>
        <v>32617.06573742969</v>
      </c>
      <c r="AG23" s="2">
        <f t="shared" si="1"/>
        <v>39140.478884915625</v>
      </c>
      <c r="AH23" s="2">
        <f t="shared" si="1"/>
        <v>46968.574661898747</v>
      </c>
      <c r="AI23" s="2">
        <f t="shared" si="1"/>
        <v>56362.289594278496</v>
      </c>
      <c r="AJ23" s="2">
        <f t="shared" si="1"/>
        <v>67634.747513134193</v>
      </c>
      <c r="AK23" s="2">
        <f t="shared" si="1"/>
        <v>81161.697015761034</v>
      </c>
      <c r="AL23" s="2">
        <f t="shared" si="1"/>
        <v>97394.036418913238</v>
      </c>
      <c r="AM23" s="2">
        <f t="shared" si="1"/>
        <v>116872.84370269589</v>
      </c>
      <c r="AN23" s="2">
        <f t="shared" si="1"/>
        <v>140247.41244323505</v>
      </c>
      <c r="AO23" s="2">
        <f t="shared" si="1"/>
        <v>168296.89493188207</v>
      </c>
      <c r="AP23" s="2">
        <f t="shared" si="1"/>
        <v>201956.27391825846</v>
      </c>
      <c r="AQ23" s="2">
        <f t="shared" si="1"/>
        <v>242347.52870191014</v>
      </c>
      <c r="AR23" s="2">
        <f t="shared" si="1"/>
        <v>290817.03444229218</v>
      </c>
      <c r="AS23" s="2">
        <f t="shared" si="1"/>
        <v>348980.44133075059</v>
      </c>
      <c r="AT23" s="2">
        <f t="shared" si="1"/>
        <v>418776.52959690068</v>
      </c>
      <c r="AU23" s="2">
        <f t="shared" si="1"/>
        <v>502531.83551628079</v>
      </c>
      <c r="AV23" s="2">
        <f t="shared" si="1"/>
        <v>603038.2026195369</v>
      </c>
      <c r="AW23" s="2">
        <f t="shared" si="1"/>
        <v>723645.84314344428</v>
      </c>
      <c r="AX23" s="2">
        <f t="shared" si="1"/>
        <v>868375.01177213306</v>
      </c>
      <c r="AY23" s="2">
        <f t="shared" si="1"/>
        <v>1042050.0141265596</v>
      </c>
      <c r="AZ23" s="2">
        <f t="shared" si="1"/>
        <v>1250460.0169518716</v>
      </c>
      <c r="BA23" s="2">
        <f t="shared" si="1"/>
        <v>1500552.0203422459</v>
      </c>
      <c r="BB23" s="2">
        <f t="shared" si="1"/>
        <v>1800662.424410695</v>
      </c>
      <c r="BC23" s="2">
        <f t="shared" si="1"/>
        <v>2160794.9092928339</v>
      </c>
      <c r="BD23" s="2">
        <f t="shared" si="1"/>
        <v>2592953.8911514007</v>
      </c>
      <c r="BE23" s="2">
        <f t="shared" si="1"/>
        <v>3111544.6693816809</v>
      </c>
      <c r="BF23" s="2">
        <f t="shared" si="1"/>
        <v>3733853.603258017</v>
      </c>
      <c r="BG23" s="2">
        <f t="shared" si="1"/>
        <v>4480624.3239096198</v>
      </c>
      <c r="BH23" s="2">
        <f t="shared" si="1"/>
        <v>5376749.1886915434</v>
      </c>
      <c r="BI23" s="2">
        <f t="shared" si="1"/>
        <v>6452099.0264298515</v>
      </c>
      <c r="BJ23" s="2">
        <f t="shared" si="1"/>
        <v>7742518.8317158213</v>
      </c>
      <c r="BK23" s="2">
        <f t="shared" si="1"/>
        <v>9291022.5980589855</v>
      </c>
      <c r="BL23" s="2">
        <f t="shared" si="1"/>
        <v>11149227.117670782</v>
      </c>
      <c r="BM23" s="2">
        <f t="shared" si="1"/>
        <v>13379072.541204939</v>
      </c>
      <c r="BN23" s="2">
        <f t="shared" si="1"/>
        <v>16054887.049445925</v>
      </c>
      <c r="BO23" s="2">
        <f t="shared" si="1"/>
        <v>19265864.459335111</v>
      </c>
      <c r="BP23" s="2">
        <f t="shared" si="1"/>
        <v>23119037.351202134</v>
      </c>
      <c r="BQ23" s="2">
        <f t="shared" si="1"/>
        <v>27742844.821442559</v>
      </c>
      <c r="BR23" s="2">
        <f t="shared" si="1"/>
        <v>33291413.78573107</v>
      </c>
      <c r="BS23" s="2">
        <f t="shared" si="1"/>
        <v>39949696.542877279</v>
      </c>
      <c r="BT23" s="2">
        <f t="shared" si="1"/>
        <v>47939635.851452731</v>
      </c>
      <c r="BU23" s="2">
        <f t="shared" si="1"/>
        <v>57527563.021743275</v>
      </c>
      <c r="BV23" s="2">
        <f t="shared" si="1"/>
        <v>69033075.626091927</v>
      </c>
      <c r="BW23" s="2">
        <f t="shared" si="1"/>
        <v>82839690.751310304</v>
      </c>
      <c r="BX23" s="2">
        <f t="shared" si="1"/>
        <v>99407628.901572362</v>
      </c>
      <c r="BY23" s="2">
        <f t="shared" si="1"/>
        <v>119289154.68188684</v>
      </c>
      <c r="BZ23" s="2">
        <f t="shared" si="1"/>
        <v>143146985.6182642</v>
      </c>
      <c r="CA23" s="2">
        <f t="shared" si="1"/>
        <v>171776382.74191704</v>
      </c>
      <c r="CB23" s="2">
        <f t="shared" si="1"/>
        <v>206131659.29030046</v>
      </c>
      <c r="CC23" s="2">
        <f t="shared" si="1"/>
        <v>247357991.14836055</v>
      </c>
      <c r="CD23" s="2">
        <f t="shared" si="1"/>
        <v>296829589.37803262</v>
      </c>
      <c r="CE23" s="2">
        <f t="shared" si="1"/>
        <v>356195507.25363916</v>
      </c>
      <c r="CF23" s="2">
        <f t="shared" si="1"/>
        <v>427434608.70436698</v>
      </c>
    </row>
    <row r="24" spans="2:84" s="2" customFormat="1" x14ac:dyDescent="0.25">
      <c r="B24" s="2" t="s">
        <v>36</v>
      </c>
      <c r="C24" s="5"/>
      <c r="D24" s="5"/>
      <c r="E24" s="5"/>
      <c r="F24" s="5"/>
      <c r="G24" s="5"/>
      <c r="H24" s="5"/>
      <c r="I24" s="5">
        <f>-18.289-H24-G24</f>
        <v>-18.289000000000001</v>
      </c>
      <c r="J24" s="5"/>
    </row>
    <row r="25" spans="2:84" s="2" customFormat="1" x14ac:dyDescent="0.25">
      <c r="B25" s="2" t="s">
        <v>37</v>
      </c>
      <c r="C25" s="5"/>
      <c r="D25" s="5"/>
      <c r="E25" s="5"/>
      <c r="F25" s="5"/>
      <c r="G25" s="5"/>
      <c r="H25" s="5"/>
      <c r="I25" s="5">
        <f>+I23+I24</f>
        <v>532.41300000000001</v>
      </c>
      <c r="J25" s="5">
        <f>+J23+J24</f>
        <v>701.00299999999993</v>
      </c>
    </row>
    <row r="26" spans="2:84" x14ac:dyDescent="0.25">
      <c r="B26" s="2" t="s">
        <v>38</v>
      </c>
      <c r="Q26" s="13">
        <f>+Q23/Q5</f>
        <v>0.32332679578701384</v>
      </c>
      <c r="R26" s="13">
        <f>+R23/R5</f>
        <v>0.44572105779946186</v>
      </c>
      <c r="S26" s="13">
        <v>0.5</v>
      </c>
    </row>
    <row r="28" spans="2:84" x14ac:dyDescent="0.25">
      <c r="R28" s="13">
        <f>+R23/Q23-1</f>
        <v>0.97738221966820849</v>
      </c>
      <c r="S28" s="13">
        <f>+S23/R23-1</f>
        <v>0.45235898477902214</v>
      </c>
    </row>
    <row r="29" spans="2:84" x14ac:dyDescent="0.25">
      <c r="T29" s="1">
        <f>+T23*20</f>
        <v>73164.419639999993</v>
      </c>
      <c r="X29" s="1">
        <f>+X23*20</f>
        <v>151713.74056550398</v>
      </c>
      <c r="AB29" s="1">
        <f>+AB23*20</f>
        <v>314593.61243662902</v>
      </c>
      <c r="AH29" s="1">
        <f>+AH23*20</f>
        <v>939371.49323797494</v>
      </c>
      <c r="AM29" s="1">
        <f>+AM23*20</f>
        <v>2337456.8740539178</v>
      </c>
    </row>
    <row r="30" spans="2:84" x14ac:dyDescent="0.25">
      <c r="T30" s="1">
        <f>PV(11%,1,0,-T29)</f>
        <v>65913.891567567553</v>
      </c>
      <c r="X30" s="1">
        <f>PV(11%,5,0,-X29)</f>
        <v>90034.720823329961</v>
      </c>
      <c r="AB30" s="1">
        <f>PV(11%,9,0,-AB29)</f>
        <v>122982.43603816564</v>
      </c>
      <c r="AH30" s="1">
        <f>PV(11%,15,0,-AH29)</f>
        <v>196332.72520613723</v>
      </c>
      <c r="AM30" s="1">
        <f>PV(11%,20,0,-AM29)</f>
        <v>289923.90874245093</v>
      </c>
    </row>
  </sheetData>
  <hyperlinks>
    <hyperlink ref="A1" location="Main!A1" display="Main" xr:uid="{00BC675E-771E-402D-B12F-64736781FF0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2024-12-09T16:54:55Z</dcterms:created>
  <dcterms:modified xsi:type="dcterms:W3CDTF">2025-02-26T15:21:09Z</dcterms:modified>
</cp:coreProperties>
</file>