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C13394C-CAAB-452C-99CC-8C43BA75F175}" xr6:coauthVersionLast="47" xr6:coauthVersionMax="47" xr10:uidLastSave="{00000000-0000-0000-0000-000000000000}"/>
  <bookViews>
    <workbookView xWindow="19110" yWindow="0" windowWidth="19380" windowHeight="2097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5" i="2" l="1"/>
  <c r="Z94" i="2"/>
  <c r="Z92" i="2"/>
  <c r="Z91" i="2"/>
  <c r="Z90" i="2"/>
  <c r="Z89" i="2"/>
  <c r="Z88" i="2"/>
  <c r="Z87" i="2"/>
  <c r="Z86" i="2"/>
  <c r="Z85" i="2"/>
  <c r="Z83" i="2"/>
  <c r="Z82" i="2"/>
  <c r="Z81" i="2"/>
  <c r="Z80" i="2"/>
  <c r="Y94" i="2"/>
  <c r="Y91" i="2"/>
  <c r="Y89" i="2"/>
  <c r="Y88" i="2"/>
  <c r="Y87" i="2"/>
  <c r="Y86" i="2"/>
  <c r="Y85" i="2"/>
  <c r="Y82" i="2"/>
  <c r="Y81" i="2"/>
  <c r="Y80" i="2"/>
  <c r="Y79" i="2"/>
  <c r="Y95" i="2"/>
  <c r="X91" i="2"/>
  <c r="X88" i="2"/>
  <c r="X87" i="2"/>
  <c r="X86" i="2"/>
  <c r="X85" i="2"/>
  <c r="X89" i="2"/>
  <c r="X82" i="2"/>
  <c r="X81" i="2"/>
  <c r="X79" i="2"/>
  <c r="Z79" i="2" s="1"/>
  <c r="W88" i="2"/>
  <c r="W80" i="2"/>
  <c r="W83" i="2" s="1"/>
  <c r="W76" i="2"/>
  <c r="X76" i="2" s="1"/>
  <c r="Y76" i="2" s="1"/>
  <c r="X75" i="2"/>
  <c r="X74" i="2"/>
  <c r="X73" i="2"/>
  <c r="X72" i="2"/>
  <c r="X70" i="2"/>
  <c r="Y70" i="2" s="1"/>
  <c r="Z70" i="2" s="1"/>
  <c r="X69" i="2"/>
  <c r="Y75" i="2"/>
  <c r="Y74" i="2"/>
  <c r="Y73" i="2"/>
  <c r="Y72" i="2"/>
  <c r="Z72" i="2" s="1"/>
  <c r="Y69" i="2"/>
  <c r="Z75" i="2"/>
  <c r="Z74" i="2"/>
  <c r="Z69" i="2"/>
  <c r="Z73" i="2"/>
  <c r="Y60" i="2"/>
  <c r="Y61" i="2"/>
  <c r="Y44" i="2"/>
  <c r="Z43" i="2"/>
  <c r="Y43" i="2"/>
  <c r="Z66" i="2"/>
  <c r="Y66" i="2"/>
  <c r="Z54" i="2"/>
  <c r="Y54" i="2"/>
  <c r="AP11" i="2"/>
  <c r="Y37" i="2"/>
  <c r="AF41" i="2"/>
  <c r="AO30" i="2"/>
  <c r="AP25" i="2"/>
  <c r="AP22" i="2"/>
  <c r="AP21" i="2"/>
  <c r="AP20" i="2"/>
  <c r="AP14" i="2"/>
  <c r="AP13" i="2"/>
  <c r="AP12" i="2"/>
  <c r="AP10" i="2"/>
  <c r="AP9" i="2"/>
  <c r="AP8" i="2"/>
  <c r="AO8" i="2"/>
  <c r="AO14" i="2"/>
  <c r="AO13" i="2"/>
  <c r="AO12" i="2"/>
  <c r="AO11" i="2"/>
  <c r="AO10" i="2"/>
  <c r="AO9" i="2"/>
  <c r="AN9" i="2"/>
  <c r="X98" i="2"/>
  <c r="Z37" i="2"/>
  <c r="Z35" i="2"/>
  <c r="Y35" i="2"/>
  <c r="Z34" i="2"/>
  <c r="Y34" i="2"/>
  <c r="Z25" i="2"/>
  <c r="Z22" i="2"/>
  <c r="Z21" i="2"/>
  <c r="Z20" i="2"/>
  <c r="Z23" i="2" s="1"/>
  <c r="X37" i="2"/>
  <c r="X35" i="2"/>
  <c r="X34" i="2"/>
  <c r="W90" i="2"/>
  <c r="W77" i="2"/>
  <c r="W94" i="2" s="1"/>
  <c r="W61" i="2"/>
  <c r="W60" i="2"/>
  <c r="W66" i="2" s="1"/>
  <c r="X60" i="2"/>
  <c r="X61" i="2"/>
  <c r="X66" i="2" s="1"/>
  <c r="X44" i="2"/>
  <c r="X43" i="2" s="1"/>
  <c r="W41" i="2"/>
  <c r="W40" i="2"/>
  <c r="W37" i="2"/>
  <c r="W35" i="2"/>
  <c r="W34" i="2"/>
  <c r="W44" i="2"/>
  <c r="W43" i="2" s="1"/>
  <c r="W99" i="2"/>
  <c r="W98" i="2"/>
  <c r="Z15" i="2"/>
  <c r="Z16" i="2" s="1"/>
  <c r="Z19" i="2" s="1"/>
  <c r="Z38" i="2" s="1"/>
  <c r="X15" i="2"/>
  <c r="X16" i="2" s="1"/>
  <c r="W15" i="2"/>
  <c r="W16" i="2" s="1"/>
  <c r="W19" i="2" s="1"/>
  <c r="W38" i="2" s="1"/>
  <c r="Y23" i="2"/>
  <c r="X23" i="2"/>
  <c r="W23" i="2"/>
  <c r="Z30" i="2"/>
  <c r="AP30" i="2" s="1"/>
  <c r="V88" i="2"/>
  <c r="V90" i="2" s="1"/>
  <c r="V80" i="2"/>
  <c r="V83" i="2" s="1"/>
  <c r="V76" i="2"/>
  <c r="V77" i="2" s="1"/>
  <c r="V94" i="2" s="1"/>
  <c r="V60" i="2"/>
  <c r="V61" i="2"/>
  <c r="V62" i="2"/>
  <c r="V44" i="2"/>
  <c r="V54" i="2" s="1"/>
  <c r="V98" i="2"/>
  <c r="U88" i="2"/>
  <c r="U90" i="2" s="1"/>
  <c r="U80" i="2"/>
  <c r="U83" i="2" s="1"/>
  <c r="U76" i="2"/>
  <c r="U77" i="2" s="1"/>
  <c r="U94" i="2" s="1"/>
  <c r="U60" i="2"/>
  <c r="U61" i="2"/>
  <c r="U52" i="2"/>
  <c r="U44" i="2"/>
  <c r="U54" i="2" s="1"/>
  <c r="U98" i="2"/>
  <c r="T91" i="2"/>
  <c r="T89" i="2"/>
  <c r="T86" i="2"/>
  <c r="T85" i="2"/>
  <c r="T82" i="2"/>
  <c r="T81" i="2"/>
  <c r="T75" i="2"/>
  <c r="T74" i="2"/>
  <c r="T73" i="2"/>
  <c r="T72" i="2"/>
  <c r="T71" i="2"/>
  <c r="T70" i="2"/>
  <c r="S88" i="2"/>
  <c r="T88" i="2" s="1"/>
  <c r="S80" i="2"/>
  <c r="S83" i="2" s="1"/>
  <c r="S76" i="2"/>
  <c r="S77" i="2" s="1"/>
  <c r="S94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8" i="2"/>
  <c r="L4" i="1"/>
  <c r="L7" i="1" s="1"/>
  <c r="S98" i="2"/>
  <c r="P88" i="2"/>
  <c r="P90" i="2" s="1"/>
  <c r="P80" i="2"/>
  <c r="P83" i="2" s="1"/>
  <c r="X90" i="2" l="1"/>
  <c r="X41" i="2"/>
  <c r="X40" i="2"/>
  <c r="X19" i="2"/>
  <c r="X38" i="2" s="1"/>
  <c r="X99" i="2"/>
  <c r="X80" i="2"/>
  <c r="Y90" i="2"/>
  <c r="X83" i="2"/>
  <c r="Y83" i="2"/>
  <c r="X77" i="2"/>
  <c r="X94" i="2" s="1"/>
  <c r="X95" i="2" s="1"/>
  <c r="Y77" i="2"/>
  <c r="Z76" i="2"/>
  <c r="Z77" i="2" s="1"/>
  <c r="Z41" i="2"/>
  <c r="Z40" i="2"/>
  <c r="Y15" i="2"/>
  <c r="W92" i="2"/>
  <c r="V66" i="2"/>
  <c r="W54" i="2"/>
  <c r="X54" i="2"/>
  <c r="Z24" i="2"/>
  <c r="Z26" i="2" s="1"/>
  <c r="X24" i="2"/>
  <c r="X26" i="2" s="1"/>
  <c r="W24" i="2"/>
  <c r="W26" i="2" s="1"/>
  <c r="V92" i="2"/>
  <c r="V43" i="2"/>
  <c r="S66" i="2"/>
  <c r="U43" i="2"/>
  <c r="U66" i="2"/>
  <c r="U92" i="2"/>
  <c r="T66" i="2"/>
  <c r="S90" i="2"/>
  <c r="S92" i="2" s="1"/>
  <c r="T76" i="2"/>
  <c r="T77" i="2" s="1"/>
  <c r="T80" i="2"/>
  <c r="T83" i="2" s="1"/>
  <c r="T90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6" i="2"/>
  <c r="AN103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8" i="2"/>
  <c r="R90" i="2" s="1"/>
  <c r="R80" i="2"/>
  <c r="R83" i="2" s="1"/>
  <c r="R76" i="2"/>
  <c r="R77" i="2" s="1"/>
  <c r="R94" i="2" s="1"/>
  <c r="R37" i="2"/>
  <c r="R35" i="2"/>
  <c r="R34" i="2"/>
  <c r="R23" i="2"/>
  <c r="X28" i="2" l="1"/>
  <c r="X39" i="2"/>
  <c r="X92" i="2"/>
  <c r="W36" i="2"/>
  <c r="Y92" i="2"/>
  <c r="Y16" i="2"/>
  <c r="Y19" i="2" s="1"/>
  <c r="AP15" i="2"/>
  <c r="Z27" i="2"/>
  <c r="Z39" i="2" s="1"/>
  <c r="Y40" i="2"/>
  <c r="Y41" i="2"/>
  <c r="X29" i="2"/>
  <c r="X68" i="2"/>
  <c r="W28" i="2"/>
  <c r="W39" i="2"/>
  <c r="T94" i="2"/>
  <c r="T92" i="2"/>
  <c r="U23" i="2"/>
  <c r="P94" i="2"/>
  <c r="P92" i="2"/>
  <c r="AN16" i="2"/>
  <c r="AN41" i="2" s="1"/>
  <c r="S23" i="2"/>
  <c r="AH24" i="2"/>
  <c r="AH26" i="2" s="1"/>
  <c r="AH28" i="2" s="1"/>
  <c r="AF24" i="2"/>
  <c r="AF26" i="2" s="1"/>
  <c r="AG24" i="2"/>
  <c r="AG26" i="2" s="1"/>
  <c r="R92" i="2"/>
  <c r="V95" i="2" l="1"/>
  <c r="W95" i="2"/>
  <c r="U95" i="2"/>
  <c r="Y38" i="2"/>
  <c r="AP19" i="2"/>
  <c r="Z28" i="2"/>
  <c r="Y24" i="2"/>
  <c r="Y26" i="2" s="1"/>
  <c r="W29" i="2"/>
  <c r="W68" i="2"/>
  <c r="AH39" i="2"/>
  <c r="AF28" i="2"/>
  <c r="AF39" i="2"/>
  <c r="AG39" i="2"/>
  <c r="AG28" i="2"/>
  <c r="Z29" i="2" l="1"/>
  <c r="Z68" i="2"/>
  <c r="R61" i="2"/>
  <c r="R60" i="2"/>
  <c r="R52" i="2"/>
  <c r="R44" i="2"/>
  <c r="K99" i="2"/>
  <c r="R98" i="2"/>
  <c r="Q34" i="2"/>
  <c r="P34" i="2"/>
  <c r="O34" i="2"/>
  <c r="Q98" i="2"/>
  <c r="P98" i="2"/>
  <c r="O98" i="2"/>
  <c r="O88" i="2"/>
  <c r="O90" i="2" s="1"/>
  <c r="O80" i="2"/>
  <c r="O83" i="2" s="1"/>
  <c r="O76" i="2"/>
  <c r="K76" i="2"/>
  <c r="K77" i="2" s="1"/>
  <c r="K94" i="2" s="1"/>
  <c r="O77" i="2"/>
  <c r="O94" i="2" s="1"/>
  <c r="N77" i="2"/>
  <c r="N94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4" i="2" s="1"/>
  <c r="M94" i="2"/>
  <c r="Q61" i="2"/>
  <c r="Q60" i="2"/>
  <c r="Q52" i="2"/>
  <c r="Q44" i="2"/>
  <c r="Q43" i="2" s="1"/>
  <c r="G61" i="2"/>
  <c r="G60" i="2"/>
  <c r="G44" i="2"/>
  <c r="G43" i="2" s="1"/>
  <c r="G52" i="2"/>
  <c r="C88" i="2"/>
  <c r="C90" i="2" s="1"/>
  <c r="C80" i="2"/>
  <c r="C83" i="2" s="1"/>
  <c r="C76" i="2"/>
  <c r="C77" i="2" s="1"/>
  <c r="G88" i="2"/>
  <c r="G90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K41" i="2" s="1"/>
  <c r="AJ15" i="2"/>
  <c r="AJ16" i="2" s="1"/>
  <c r="AJ41" i="2" s="1"/>
  <c r="AI15" i="2"/>
  <c r="AI16" i="2" s="1"/>
  <c r="AI41" i="2" s="1"/>
  <c r="AL14" i="2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4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P95" i="2" l="1"/>
  <c r="O95" i="2"/>
  <c r="N95" i="2"/>
  <c r="R95" i="2"/>
  <c r="T95" i="2"/>
  <c r="S95" i="2"/>
  <c r="AL34" i="2"/>
  <c r="Q95" i="2"/>
  <c r="Q66" i="2"/>
  <c r="Y39" i="2"/>
  <c r="AP27" i="2"/>
  <c r="Y28" i="2"/>
  <c r="Y68" i="2" s="1"/>
  <c r="O99" i="2"/>
  <c r="O41" i="2"/>
  <c r="G40" i="2"/>
  <c r="G41" i="2"/>
  <c r="M99" i="2"/>
  <c r="M41" i="2"/>
  <c r="I40" i="2"/>
  <c r="I41" i="2"/>
  <c r="H19" i="2"/>
  <c r="H38" i="2" s="1"/>
  <c r="H41" i="2"/>
  <c r="P99" i="2"/>
  <c r="P41" i="2"/>
  <c r="L99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9" i="2"/>
  <c r="U15" i="2"/>
  <c r="Y36" i="2" s="1"/>
  <c r="O92" i="2"/>
  <c r="R16" i="2"/>
  <c r="R36" i="2"/>
  <c r="G66" i="2"/>
  <c r="N54" i="2"/>
  <c r="R66" i="2"/>
  <c r="V15" i="2"/>
  <c r="G54" i="2"/>
  <c r="G92" i="2"/>
  <c r="C92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AM41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AL41" i="2" l="1"/>
  <c r="V36" i="2"/>
  <c r="Z36" i="2"/>
  <c r="X36" i="2"/>
  <c r="AO15" i="2"/>
  <c r="Y29" i="2"/>
  <c r="AP43" i="2"/>
  <c r="H24" i="2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9" i="2"/>
  <c r="R32" i="2"/>
  <c r="R19" i="2"/>
  <c r="R38" i="2" s="1"/>
  <c r="R99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9" i="2" l="1"/>
  <c r="Z32" i="2"/>
  <c r="AQ13" i="2"/>
  <c r="U99" i="2"/>
  <c r="U19" i="2"/>
  <c r="U32" i="2"/>
  <c r="H39" i="2"/>
  <c r="S32" i="2"/>
  <c r="S99" i="2"/>
  <c r="S19" i="2"/>
  <c r="S38" i="2" s="1"/>
  <c r="T19" i="2"/>
  <c r="T24" i="2" s="1"/>
  <c r="T99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9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36" i="2"/>
  <c r="N28" i="2"/>
  <c r="N39" i="2"/>
  <c r="Q28" i="2"/>
  <c r="Q68" i="2" s="1"/>
  <c r="AO19" i="2" l="1"/>
  <c r="AO41" i="2"/>
  <c r="AP38" i="2"/>
  <c r="AP17" i="2"/>
  <c r="AP41" i="2"/>
  <c r="AQ37" i="2"/>
  <c r="V39" i="2"/>
  <c r="U39" i="2"/>
  <c r="U28" i="2"/>
  <c r="T39" i="2"/>
  <c r="T28" i="2"/>
  <c r="S28" i="2"/>
  <c r="AN24" i="2"/>
  <c r="AN26" i="2" s="1"/>
  <c r="AQ16" i="2"/>
  <c r="AQ40" i="2" s="1"/>
  <c r="AP40" i="2"/>
  <c r="AT9" i="2"/>
  <c r="AP32" i="2"/>
  <c r="N29" i="2"/>
  <c r="N68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19" i="2" l="1"/>
  <c r="AQ38" i="2" s="1"/>
  <c r="AQ41" i="2"/>
  <c r="V28" i="2"/>
  <c r="U29" i="2"/>
  <c r="U68" i="2"/>
  <c r="S29" i="2"/>
  <c r="S68" i="2"/>
  <c r="T29" i="2"/>
  <c r="T68" i="2"/>
  <c r="AN39" i="2"/>
  <c r="AR16" i="2"/>
  <c r="AU9" i="2"/>
  <c r="R29" i="2"/>
  <c r="R68" i="2"/>
  <c r="AR36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T10" i="2"/>
  <c r="AS37" i="2"/>
  <c r="AU11" i="2"/>
  <c r="AO24" i="2"/>
  <c r="AO38" i="2"/>
  <c r="AR19" i="2" l="1"/>
  <c r="AR38" i="2" s="1"/>
  <c r="AR41" i="2"/>
  <c r="AS19" i="2"/>
  <c r="AS41" i="2"/>
  <c r="V29" i="2"/>
  <c r="V68" i="2"/>
  <c r="AT15" i="2"/>
  <c r="AT16" i="2" s="1"/>
  <c r="AR32" i="2"/>
  <c r="AR40" i="2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T19" i="2" l="1"/>
  <c r="AT41" i="2"/>
  <c r="AU34" i="2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T38" i="2"/>
  <c r="AT32" i="2"/>
  <c r="AT40" i="2"/>
  <c r="AV10" i="2"/>
  <c r="AV37" i="2" s="1"/>
  <c r="AU37" i="2"/>
  <c r="AO28" i="2"/>
  <c r="AU19" i="2" l="1"/>
  <c r="AU41" i="2"/>
  <c r="AS17" i="2"/>
  <c r="AT17" i="2"/>
  <c r="AV15" i="2"/>
  <c r="AV16" i="2" s="1"/>
  <c r="AU36" i="2"/>
  <c r="AV20" i="2"/>
  <c r="AV23" i="2" s="1"/>
  <c r="AU23" i="2"/>
  <c r="AV36" i="2"/>
  <c r="AT24" i="2"/>
  <c r="AO29" i="2"/>
  <c r="AV19" i="2" l="1"/>
  <c r="AV41" i="2"/>
  <c r="AV38" i="2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8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<sst xmlns="http://schemas.openxmlformats.org/spreadsheetml/2006/main" count="262" uniqueCount="237">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</sst>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33409</xdr:colOff>
      <xdr:row>0</xdr:row>
      <xdr:rowOff>0</xdr:rowOff>
    </xdr:from>
    <xdr:to>
      <xdr:col>26</xdr:col>
      <xdr:colOff>33409</xdr:colOff>
      <xdr:row>115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912503" y="0"/>
          <a:ext cx="0" cy="1822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45368</xdr:colOff>
      <xdr:row>0</xdr:row>
      <xdr:rowOff>0</xdr:rowOff>
    </xdr:from>
    <xdr:to>
      <xdr:col>41</xdr:col>
      <xdr:colOff>45368</xdr:colOff>
      <xdr:row>115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863946" y="0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L2" sqref="L2"/>
    </sheetView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14.7265625" customWidth="1"/>
  </cols>
  <sheetData>
    <row r="1" spans="2:13" ht="13" x14ac:dyDescent="0.3">
      <c r="K1" s="7"/>
    </row>
    <row r="2" spans="2:13" x14ac:dyDescent="0.25">
      <c r="B2" t="s">
        <v>211</v>
      </c>
      <c r="K2" t="s">
        <v>0</v>
      </c>
      <c r="L2" s="1">
        <v>207</v>
      </c>
    </row>
    <row r="3" spans="2:13" x14ac:dyDescent="0.25">
      <c r="C3" t="s">
        <v>212</v>
      </c>
      <c r="H3" s="4"/>
      <c r="I3" s="3"/>
      <c r="K3" t="s">
        <v>1</v>
      </c>
      <c r="L3" s="3">
        <v>12696</v>
      </c>
      <c r="M3" s="2" t="s">
        <v>205</v>
      </c>
    </row>
    <row r="4" spans="2:13" x14ac:dyDescent="0.25">
      <c r="C4" t="s">
        <v>219</v>
      </c>
      <c r="D4" t="s">
        <v>220</v>
      </c>
      <c r="H4" s="4"/>
      <c r="K4" t="s">
        <v>2</v>
      </c>
      <c r="L4" s="3">
        <f>L2*L3</f>
        <v>2628072</v>
      </c>
    </row>
    <row r="5" spans="2:13" x14ac:dyDescent="0.25">
      <c r="C5" t="s">
        <v>216</v>
      </c>
      <c r="D5" t="s">
        <v>217</v>
      </c>
      <c r="H5" s="6"/>
      <c r="K5" t="s">
        <v>3</v>
      </c>
      <c r="L5" s="3">
        <v>134897</v>
      </c>
      <c r="M5" s="2" t="s">
        <v>205</v>
      </c>
    </row>
    <row r="6" spans="2:13" x14ac:dyDescent="0.25">
      <c r="C6" t="s">
        <v>213</v>
      </c>
      <c r="D6" t="s">
        <v>218</v>
      </c>
      <c r="K6" t="s">
        <v>4</v>
      </c>
      <c r="L6" s="3">
        <v>13238</v>
      </c>
      <c r="M6" s="2" t="s">
        <v>205</v>
      </c>
    </row>
    <row r="7" spans="2:13" x14ac:dyDescent="0.25">
      <c r="C7" t="s">
        <v>214</v>
      </c>
      <c r="K7" t="s">
        <v>5</v>
      </c>
      <c r="L7" s="3">
        <f>L4-L5+L6</f>
        <v>2506413</v>
      </c>
    </row>
    <row r="8" spans="2:13" ht="13" x14ac:dyDescent="0.3">
      <c r="D8" t="s">
        <v>215</v>
      </c>
      <c r="K8" s="7"/>
    </row>
    <row r="9" spans="2:13" ht="13" x14ac:dyDescent="0.3">
      <c r="K9" s="7" t="s">
        <v>25</v>
      </c>
      <c r="L9" s="13">
        <v>1998</v>
      </c>
    </row>
    <row r="10" spans="2:13" x14ac:dyDescent="0.25">
      <c r="B10" t="s">
        <v>221</v>
      </c>
      <c r="L10" s="3"/>
    </row>
    <row r="11" spans="2:13" ht="13" x14ac:dyDescent="0.3">
      <c r="C11" t="s">
        <v>222</v>
      </c>
      <c r="D11" t="s">
        <v>223</v>
      </c>
      <c r="K11" s="8"/>
    </row>
    <row r="12" spans="2:13" x14ac:dyDescent="0.25">
      <c r="C12" t="s">
        <v>226</v>
      </c>
      <c r="K12" t="s">
        <v>101</v>
      </c>
      <c r="L12" s="19" t="s">
        <v>102</v>
      </c>
    </row>
    <row r="13" spans="2:13" x14ac:dyDescent="0.25">
      <c r="C13" t="s">
        <v>227</v>
      </c>
      <c r="D13" t="s">
        <v>228</v>
      </c>
      <c r="K13" t="s">
        <v>103</v>
      </c>
      <c r="L13" s="19" t="s">
        <v>104</v>
      </c>
    </row>
    <row r="14" spans="2:13" x14ac:dyDescent="0.25">
      <c r="C14" t="s">
        <v>231</v>
      </c>
      <c r="K14" s="3" t="s">
        <v>108</v>
      </c>
      <c r="L14" s="20" t="s">
        <v>109</v>
      </c>
      <c r="M14" s="3"/>
    </row>
    <row r="15" spans="2:13" x14ac:dyDescent="0.25">
      <c r="K15" t="s">
        <v>110</v>
      </c>
      <c r="L15" s="19" t="s">
        <v>111</v>
      </c>
    </row>
    <row r="16" spans="2:13" x14ac:dyDescent="0.25">
      <c r="K16" t="s">
        <v>39</v>
      </c>
      <c r="L16" s="19" t="s">
        <v>112</v>
      </c>
    </row>
    <row r="17" spans="2:14" x14ac:dyDescent="0.25">
      <c r="B17" t="s">
        <v>224</v>
      </c>
      <c r="K17" t="s">
        <v>113</v>
      </c>
      <c r="L17" s="19" t="s">
        <v>114</v>
      </c>
    </row>
    <row r="18" spans="2:14" x14ac:dyDescent="0.25">
      <c r="B18" t="s">
        <v>225</v>
      </c>
      <c r="K18" t="s">
        <v>115</v>
      </c>
      <c r="L18" s="19" t="s">
        <v>116</v>
      </c>
    </row>
    <row r="19" spans="2:14" x14ac:dyDescent="0.25">
      <c r="B19" t="s">
        <v>230</v>
      </c>
      <c r="K19" t="s">
        <v>117</v>
      </c>
      <c r="L19" s="19" t="s">
        <v>118</v>
      </c>
    </row>
    <row r="20" spans="2:14" x14ac:dyDescent="0.25">
      <c r="B20" t="s">
        <v>39</v>
      </c>
      <c r="K20" t="s">
        <v>119</v>
      </c>
      <c r="L20" s="19" t="s">
        <v>120</v>
      </c>
    </row>
    <row r="21" spans="2:14" x14ac:dyDescent="0.25">
      <c r="B21" t="s">
        <v>229</v>
      </c>
      <c r="K21" t="s">
        <v>121</v>
      </c>
      <c r="L21" s="19" t="s">
        <v>122</v>
      </c>
    </row>
    <row r="22" spans="2:14" x14ac:dyDescent="0.25">
      <c r="K22" t="s">
        <v>123</v>
      </c>
      <c r="L22" s="19"/>
    </row>
    <row r="25" spans="2:14" x14ac:dyDescent="0.25">
      <c r="K25" t="s">
        <v>178</v>
      </c>
      <c r="L25" t="s">
        <v>176</v>
      </c>
      <c r="M25" t="s">
        <v>177</v>
      </c>
      <c r="N25" t="s">
        <v>234</v>
      </c>
    </row>
    <row r="26" spans="2:14" x14ac:dyDescent="0.25">
      <c r="K26" t="s">
        <v>174</v>
      </c>
      <c r="L26" t="s">
        <v>173</v>
      </c>
      <c r="M26" t="s">
        <v>175</v>
      </c>
    </row>
    <row r="27" spans="2:14" x14ac:dyDescent="0.25">
      <c r="K27" t="s">
        <v>170</v>
      </c>
      <c r="L27" t="s">
        <v>171</v>
      </c>
      <c r="M27" t="s">
        <v>172</v>
      </c>
    </row>
    <row r="28" spans="2:14" x14ac:dyDescent="0.25">
      <c r="K28" t="s">
        <v>168</v>
      </c>
      <c r="L28" t="s">
        <v>169</v>
      </c>
      <c r="M28" t="s">
        <v>156</v>
      </c>
    </row>
    <row r="29" spans="2:14" x14ac:dyDescent="0.25">
      <c r="K29" t="s">
        <v>165</v>
      </c>
      <c r="L29" t="s">
        <v>166</v>
      </c>
      <c r="M29" t="s">
        <v>167</v>
      </c>
    </row>
    <row r="30" spans="2:14" x14ac:dyDescent="0.25">
      <c r="K30" t="s">
        <v>118</v>
      </c>
      <c r="L30" t="s">
        <v>164</v>
      </c>
      <c r="M30" t="s">
        <v>148</v>
      </c>
    </row>
    <row r="31" spans="2:14" x14ac:dyDescent="0.25">
      <c r="K31" t="s">
        <v>162</v>
      </c>
      <c r="L31" t="s">
        <v>163</v>
      </c>
      <c r="M31" t="s">
        <v>140</v>
      </c>
    </row>
    <row r="32" spans="2:14" x14ac:dyDescent="0.25">
      <c r="K32" t="s">
        <v>160</v>
      </c>
      <c r="L32" t="s">
        <v>161</v>
      </c>
      <c r="M32" t="s">
        <v>148</v>
      </c>
    </row>
    <row r="33" spans="11:14" x14ac:dyDescent="0.25">
      <c r="K33" t="s">
        <v>157</v>
      </c>
      <c r="L33" t="s">
        <v>158</v>
      </c>
      <c r="M33" t="s">
        <v>159</v>
      </c>
    </row>
    <row r="34" spans="11:14" x14ac:dyDescent="0.25">
      <c r="K34" t="s">
        <v>155</v>
      </c>
      <c r="L34" t="s">
        <v>154</v>
      </c>
      <c r="M34" t="s">
        <v>156</v>
      </c>
    </row>
    <row r="35" spans="11:14" x14ac:dyDescent="0.25">
      <c r="K35" t="s">
        <v>151</v>
      </c>
      <c r="L35" t="s">
        <v>152</v>
      </c>
      <c r="M35" t="s">
        <v>153</v>
      </c>
    </row>
    <row r="36" spans="11:14" x14ac:dyDescent="0.25">
      <c r="K36" t="s">
        <v>149</v>
      </c>
      <c r="L36" t="s">
        <v>150</v>
      </c>
      <c r="M36" t="s">
        <v>140</v>
      </c>
    </row>
    <row r="37" spans="11:14" x14ac:dyDescent="0.25">
      <c r="K37" t="s">
        <v>146</v>
      </c>
      <c r="L37" t="s">
        <v>147</v>
      </c>
      <c r="M37" t="s">
        <v>148</v>
      </c>
    </row>
    <row r="38" spans="11:14" ht="13" x14ac:dyDescent="0.3">
      <c r="K38" s="7" t="s">
        <v>128</v>
      </c>
      <c r="L38" t="s">
        <v>129</v>
      </c>
      <c r="M38" t="s">
        <v>210</v>
      </c>
      <c r="N38" t="s">
        <v>209</v>
      </c>
    </row>
    <row r="39" spans="11:14" x14ac:dyDescent="0.25">
      <c r="K39" t="s">
        <v>143</v>
      </c>
      <c r="L39" t="s">
        <v>144</v>
      </c>
      <c r="M39" t="s">
        <v>145</v>
      </c>
    </row>
    <row r="40" spans="11:14" x14ac:dyDescent="0.25">
      <c r="K40" t="s">
        <v>141</v>
      </c>
      <c r="L40" t="s">
        <v>142</v>
      </c>
      <c r="M40" t="s">
        <v>140</v>
      </c>
    </row>
    <row r="41" spans="11:14" x14ac:dyDescent="0.25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5">
      <c r="K42" t="s">
        <v>133</v>
      </c>
      <c r="L42" t="s">
        <v>134</v>
      </c>
      <c r="M42" t="s">
        <v>136</v>
      </c>
      <c r="N42" t="s">
        <v>135</v>
      </c>
    </row>
    <row r="43" spans="11:14" ht="13" x14ac:dyDescent="0.3">
      <c r="K43" s="7" t="s">
        <v>130</v>
      </c>
      <c r="L43" t="s">
        <v>127</v>
      </c>
      <c r="M43" t="s">
        <v>132</v>
      </c>
    </row>
    <row r="44" spans="11:14" ht="13" x14ac:dyDescent="0.3">
      <c r="K44" s="7" t="s">
        <v>126</v>
      </c>
      <c r="L44" t="s">
        <v>125</v>
      </c>
      <c r="N44" t="s">
        <v>235</v>
      </c>
    </row>
    <row r="45" spans="11:14" ht="13" x14ac:dyDescent="0.3">
      <c r="K45" s="7" t="s">
        <v>124</v>
      </c>
      <c r="L45" t="s">
        <v>131</v>
      </c>
    </row>
    <row r="46" spans="11:14" x14ac:dyDescent="0.25">
      <c r="K46" t="s">
        <v>179</v>
      </c>
    </row>
    <row r="47" spans="11:14" ht="13" x14ac:dyDescent="0.3">
      <c r="K47" s="7" t="s">
        <v>180</v>
      </c>
    </row>
    <row r="48" spans="11:14" x14ac:dyDescent="0.25">
      <c r="K48" t="s">
        <v>181</v>
      </c>
      <c r="L48" t="s">
        <v>182</v>
      </c>
    </row>
    <row r="49" spans="11:11" x14ac:dyDescent="0.25">
      <c r="K49" t="s">
        <v>183</v>
      </c>
    </row>
    <row r="50" spans="11:11" x14ac:dyDescent="0.25">
      <c r="K50" t="s">
        <v>184</v>
      </c>
    </row>
    <row r="51" spans="11:11" x14ac:dyDescent="0.25">
      <c r="K51" t="s">
        <v>185</v>
      </c>
    </row>
    <row r="52" spans="11:11" ht="13" x14ac:dyDescent="0.3">
      <c r="K52" s="7" t="s">
        <v>186</v>
      </c>
    </row>
    <row r="53" spans="11:11" x14ac:dyDescent="0.25">
      <c r="K53" t="s">
        <v>187</v>
      </c>
    </row>
    <row r="54" spans="11:11" x14ac:dyDescent="0.25">
      <c r="K54" t="s">
        <v>188</v>
      </c>
    </row>
    <row r="55" spans="11:11" x14ac:dyDescent="0.25">
      <c r="K55" t="s">
        <v>189</v>
      </c>
    </row>
    <row r="56" spans="11:11" x14ac:dyDescent="0.25">
      <c r="K56" t="s">
        <v>190</v>
      </c>
    </row>
    <row r="57" spans="11:11" ht="13" x14ac:dyDescent="0.3">
      <c r="K57" s="7" t="s">
        <v>191</v>
      </c>
    </row>
    <row r="58" spans="11:11" x14ac:dyDescent="0.25">
      <c r="K58" t="s">
        <v>192</v>
      </c>
    </row>
    <row r="59" spans="11:11" x14ac:dyDescent="0.25">
      <c r="K59" t="s">
        <v>193</v>
      </c>
    </row>
    <row r="60" spans="11:11" x14ac:dyDescent="0.25">
      <c r="K60" t="s">
        <v>194</v>
      </c>
    </row>
    <row r="61" spans="11:11" x14ac:dyDescent="0.25">
      <c r="K61" t="s">
        <v>195</v>
      </c>
    </row>
    <row r="62" spans="11:11" x14ac:dyDescent="0.25">
      <c r="K62" t="s">
        <v>196</v>
      </c>
    </row>
    <row r="63" spans="11:11" x14ac:dyDescent="0.25">
      <c r="K63" t="s">
        <v>197</v>
      </c>
    </row>
    <row r="64" spans="11:11" x14ac:dyDescent="0.25">
      <c r="K64" t="s">
        <v>198</v>
      </c>
    </row>
    <row r="65" spans="11:11" x14ac:dyDescent="0.25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6"/>
  <sheetViews>
    <sheetView tabSelected="1" zoomScale="160" zoomScaleNormal="160" workbookViewId="0">
      <pane xSplit="2" ySplit="2" topLeftCell="S63" activePane="bottomRight" state="frozen"/>
      <selection pane="topRight" activeCell="C1" sqref="C1"/>
      <selection pane="bottomLeft" activeCell="A4" sqref="A4"/>
      <selection pane="bottomRight" activeCell="Z95" sqref="Z95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40" max="40" width="9.1796875" customWidth="1"/>
    <col min="47" max="48" width="9.26953125" customWidth="1"/>
    <col min="50" max="50" width="9" customWidth="1"/>
    <col min="51" max="51" width="9.453125" customWidth="1"/>
  </cols>
  <sheetData>
    <row r="1" spans="1:48" x14ac:dyDescent="0.25">
      <c r="A1" s="12" t="s">
        <v>7</v>
      </c>
    </row>
    <row r="2" spans="1:4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5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25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25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25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191</v>
      </c>
    </row>
    <row r="9" spans="1:4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1248</v>
      </c>
      <c r="AQ9" s="3">
        <f t="shared" ref="AQ9:AV9" si="6">+AP9*1.01</f>
        <v>1260.48</v>
      </c>
      <c r="AR9" s="3">
        <f t="shared" si="6"/>
        <v>1273.0848000000001</v>
      </c>
      <c r="AS9" s="3">
        <f t="shared" si="6"/>
        <v>1285.815648</v>
      </c>
      <c r="AT9" s="3">
        <f t="shared" si="6"/>
        <v>1298.6738044799999</v>
      </c>
      <c r="AU9" s="3">
        <f t="shared" si="6"/>
        <v>1311.6605425247999</v>
      </c>
      <c r="AV9" s="3">
        <f t="shared" si="6"/>
        <v>1324.7771479500479</v>
      </c>
    </row>
    <row r="10" spans="1:4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43229</v>
      </c>
      <c r="AQ10" s="3">
        <f>+AP10*1.3</f>
        <v>56197.700000000004</v>
      </c>
      <c r="AR10" s="3">
        <f>+AQ10*1.3</f>
        <v>73057.010000000009</v>
      </c>
      <c r="AS10" s="3">
        <f>+AR10*1.3</f>
        <v>94974.113000000012</v>
      </c>
      <c r="AT10" s="3">
        <f>+AS10*1.2</f>
        <v>113968.93560000001</v>
      </c>
      <c r="AU10" s="3">
        <f>+AT10*1.2</f>
        <v>136762.72272000002</v>
      </c>
      <c r="AV10" s="3">
        <f>+AU10*1.2</f>
        <v>164115.26726400002</v>
      </c>
    </row>
    <row r="11" spans="1:48" s="3" customFormat="1" x14ac:dyDescent="0.25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40340</v>
      </c>
      <c r="AQ11" s="3">
        <f t="shared" ref="AQ11:AV11" si="7">+AP11*1.03</f>
        <v>41550.200000000004</v>
      </c>
      <c r="AR11" s="3">
        <f t="shared" si="7"/>
        <v>42796.706000000006</v>
      </c>
      <c r="AS11" s="3">
        <f t="shared" si="7"/>
        <v>44080.607180000006</v>
      </c>
      <c r="AT11" s="3">
        <f t="shared" si="7"/>
        <v>45403.025395400007</v>
      </c>
      <c r="AU11" s="3">
        <f t="shared" si="7"/>
        <v>46765.116157262011</v>
      </c>
      <c r="AV11" s="3">
        <f t="shared" si="7"/>
        <v>48168.06964197987</v>
      </c>
    </row>
    <row r="12" spans="1:4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30359</v>
      </c>
      <c r="AQ12" s="3">
        <f t="shared" ref="AQ12:AV12" si="8">+AP12*1.03</f>
        <v>31269.77</v>
      </c>
      <c r="AR12" s="3">
        <f t="shared" si="8"/>
        <v>32207.863100000002</v>
      </c>
      <c r="AS12" s="3">
        <f t="shared" si="8"/>
        <v>33174.098993</v>
      </c>
      <c r="AT12" s="3">
        <f t="shared" si="8"/>
        <v>34169.321962790003</v>
      </c>
      <c r="AU12" s="3">
        <f t="shared" si="8"/>
        <v>35194.401621673707</v>
      </c>
      <c r="AV12" s="3">
        <f t="shared" si="8"/>
        <v>36250.23367032392</v>
      </c>
    </row>
    <row r="13" spans="1:4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36147</v>
      </c>
      <c r="AQ13" s="3">
        <f t="shared" ref="AQ13:AV13" si="9">+AP13*1.05</f>
        <v>37954.35</v>
      </c>
      <c r="AR13" s="3">
        <f t="shared" si="9"/>
        <v>39852.067499999997</v>
      </c>
      <c r="AS13" s="3">
        <f t="shared" si="9"/>
        <v>41844.670874999996</v>
      </c>
      <c r="AT13" s="3">
        <f t="shared" si="9"/>
        <v>43936.904418749997</v>
      </c>
      <c r="AU13" s="3">
        <f t="shared" si="9"/>
        <v>46133.749639687499</v>
      </c>
      <c r="AV13" s="3">
        <f t="shared" si="9"/>
        <v>48440.437121671879</v>
      </c>
    </row>
    <row r="14" spans="1:4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198084</v>
      </c>
      <c r="AQ14" s="3">
        <f t="shared" ref="AQ14:AV14" si="10">+AP14*1.1</f>
        <v>217892.40000000002</v>
      </c>
      <c r="AR14" s="3">
        <f t="shared" si="10"/>
        <v>239681.64000000004</v>
      </c>
      <c r="AS14" s="3">
        <f t="shared" si="10"/>
        <v>263649.80400000006</v>
      </c>
      <c r="AT14" s="3">
        <f t="shared" si="10"/>
        <v>290014.78440000012</v>
      </c>
      <c r="AU14" s="3">
        <f t="shared" si="10"/>
        <v>319016.26284000016</v>
      </c>
      <c r="AV14" s="3">
        <f t="shared" si="10"/>
        <v>350917.88912400021</v>
      </c>
    </row>
    <row r="15" spans="1:48" s="3" customFormat="1" x14ac:dyDescent="0.25">
      <c r="B15" s="3" t="s">
        <v>38</v>
      </c>
      <c r="C15" s="11">
        <f t="shared" ref="C15:G15" si="11">SUM(C11:C14)</f>
        <v>34207</v>
      </c>
      <c r="D15" s="11">
        <f t="shared" si="11"/>
        <v>0</v>
      </c>
      <c r="E15" s="11">
        <f t="shared" si="11"/>
        <v>0</v>
      </c>
      <c r="F15" s="11">
        <f t="shared" si="11"/>
        <v>0</v>
      </c>
      <c r="G15" s="11">
        <f t="shared" si="11"/>
        <v>38198</v>
      </c>
      <c r="H15" s="11">
        <f t="shared" ref="H15" si="12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3">SUM(L11:L14)</f>
        <v>57067</v>
      </c>
      <c r="M15" s="11">
        <f t="shared" ref="M15:Q15" si="14">SUM(M11:M14)</f>
        <v>59884</v>
      </c>
      <c r="N15" s="11">
        <f t="shared" si="14"/>
        <v>69400</v>
      </c>
      <c r="O15" s="11">
        <f t="shared" si="14"/>
        <v>61472</v>
      </c>
      <c r="P15" s="11">
        <f t="shared" si="14"/>
        <v>62841</v>
      </c>
      <c r="Q15" s="11">
        <f t="shared" si="14"/>
        <v>61377</v>
      </c>
      <c r="R15" s="11">
        <f t="shared" ref="R15:Z15" si="15">SUM(R11:R14)</f>
        <v>67838</v>
      </c>
      <c r="S15" s="11">
        <f t="shared" si="15"/>
        <v>61961</v>
      </c>
      <c r="T15" s="11">
        <f t="shared" si="15"/>
        <v>66285</v>
      </c>
      <c r="U15" s="11">
        <f t="shared" si="15"/>
        <v>67986</v>
      </c>
      <c r="V15" s="11">
        <f t="shared" si="15"/>
        <v>76311</v>
      </c>
      <c r="W15" s="11">
        <f t="shared" si="15"/>
        <v>70398</v>
      </c>
      <c r="X15" s="11">
        <f t="shared" si="15"/>
        <v>73928</v>
      </c>
      <c r="Y15" s="11">
        <f t="shared" si="15"/>
        <v>76510</v>
      </c>
      <c r="Z15" s="11">
        <f t="shared" si="15"/>
        <v>84094</v>
      </c>
      <c r="AI15" s="11">
        <f t="shared" ref="AI15:AL15" si="16">SUM(AI11:AI14)</f>
        <v>106491</v>
      </c>
      <c r="AJ15" s="11">
        <f t="shared" si="16"/>
        <v>130524</v>
      </c>
      <c r="AK15" s="11">
        <f t="shared" si="16"/>
        <v>151825</v>
      </c>
      <c r="AL15" s="11">
        <f t="shared" si="16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304930</v>
      </c>
      <c r="AQ15" s="11">
        <f t="shared" ref="AQ15:AV15" si="17">SUM(AQ11:AQ14)</f>
        <v>328666.72000000003</v>
      </c>
      <c r="AR15" s="11">
        <f t="shared" si="17"/>
        <v>354538.27660000004</v>
      </c>
      <c r="AS15" s="11">
        <f t="shared" si="17"/>
        <v>382749.18104800006</v>
      </c>
      <c r="AT15" s="11">
        <f t="shared" si="17"/>
        <v>413524.03617694014</v>
      </c>
      <c r="AU15" s="11">
        <f t="shared" si="17"/>
        <v>447109.53025862342</v>
      </c>
      <c r="AV15" s="11">
        <f t="shared" si="17"/>
        <v>483776.62955797592</v>
      </c>
    </row>
    <row r="16" spans="1:48" s="9" customFormat="1" ht="13" x14ac:dyDescent="0.3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76693</v>
      </c>
      <c r="V16" s="10">
        <f t="shared" si="21"/>
        <v>86310</v>
      </c>
      <c r="W16" s="10">
        <f t="shared" si="21"/>
        <v>80539</v>
      </c>
      <c r="X16" s="10">
        <f t="shared" si="21"/>
        <v>84742</v>
      </c>
      <c r="Y16" s="10">
        <f t="shared" si="21"/>
        <v>88268</v>
      </c>
      <c r="Z16" s="10">
        <f t="shared" si="21"/>
        <v>96049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2">AI15+AI10+AI9+AI8</f>
        <v>110855</v>
      </c>
      <c r="AJ16" s="10">
        <f t="shared" si="22"/>
        <v>136819</v>
      </c>
      <c r="AK16" s="10">
        <f t="shared" si="22"/>
        <v>161857</v>
      </c>
      <c r="AL16" s="10">
        <f t="shared" si="22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3">AO15+AO10+AO9+AO8</f>
        <v>307394</v>
      </c>
      <c r="AP16" s="10">
        <f t="shared" ref="AP16" si="24">AP15+AP10+AP9+AP8</f>
        <v>349598</v>
      </c>
      <c r="AQ16" s="10">
        <f t="shared" ref="AQ16" si="25">AQ15+AQ10+AQ9+AQ8</f>
        <v>386124.9</v>
      </c>
      <c r="AR16" s="10">
        <f t="shared" ref="AR16" si="26">AR15+AR10+AR9+AR8</f>
        <v>428868.37140000006</v>
      </c>
      <c r="AS16" s="10">
        <f t="shared" ref="AS16" si="27">AS15+AS10+AS9+AS8</f>
        <v>479009.10969600006</v>
      </c>
      <c r="AT16" s="10">
        <f t="shared" ref="AT16" si="28">AT15+AT10+AT9+AT8</f>
        <v>528791.64558142016</v>
      </c>
      <c r="AU16" s="10">
        <f t="shared" ref="AU16" si="29">AU15+AU10+AU9+AU8</f>
        <v>585183.91352114815</v>
      </c>
      <c r="AV16" s="10">
        <f t="shared" ref="AV16" si="30">AV15+AV10+AV9+AV8</f>
        <v>649216.67396992596</v>
      </c>
    </row>
    <row r="17" spans="2:105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146033.58000000002</v>
      </c>
      <c r="AQ17" s="3">
        <f t="shared" ref="AQ17:AV17" si="31">+AQ16-AQ19</f>
        <v>169894.95599999998</v>
      </c>
      <c r="AR17" s="3">
        <f t="shared" si="31"/>
        <v>188702.08341600001</v>
      </c>
      <c r="AS17" s="3">
        <f t="shared" si="31"/>
        <v>210764.00826624001</v>
      </c>
      <c r="AT17" s="3">
        <f t="shared" si="31"/>
        <v>232668.32405582484</v>
      </c>
      <c r="AU17" s="3">
        <f t="shared" si="31"/>
        <v>257480.92194930516</v>
      </c>
      <c r="AV17" s="3">
        <f t="shared" si="31"/>
        <v>285655.33654676739</v>
      </c>
    </row>
    <row r="18" spans="2:105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</row>
    <row r="19" spans="2:105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2">H16-H17</f>
        <v>19744</v>
      </c>
      <c r="I19" s="11">
        <f t="shared" ref="I19" si="33">I16-I17</f>
        <v>25056</v>
      </c>
      <c r="J19" s="11">
        <f t="shared" ref="J19:N19" si="34">J16-J17</f>
        <v>30818</v>
      </c>
      <c r="K19" s="11">
        <f t="shared" si="34"/>
        <v>31211</v>
      </c>
      <c r="L19" s="11">
        <f t="shared" si="34"/>
        <v>35653</v>
      </c>
      <c r="M19" s="11">
        <f t="shared" si="34"/>
        <v>37497</v>
      </c>
      <c r="N19" s="11">
        <f t="shared" si="34"/>
        <v>42337</v>
      </c>
      <c r="O19" s="11">
        <f>O16-O17</f>
        <v>38412</v>
      </c>
      <c r="P19" s="11">
        <f t="shared" ref="P19:Q19" si="35">P16-P17</f>
        <v>39581</v>
      </c>
      <c r="Q19" s="11">
        <f t="shared" si="35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6">V16-V17</f>
        <v>48735</v>
      </c>
      <c r="W19" s="11">
        <f t="shared" si="36"/>
        <v>46827</v>
      </c>
      <c r="X19" s="11">
        <f t="shared" si="36"/>
        <v>49235</v>
      </c>
      <c r="Y19" s="11">
        <f>+Y16-Y17</f>
        <v>51794</v>
      </c>
      <c r="Z19" s="11">
        <f>+Z16*0.58</f>
        <v>55708.42</v>
      </c>
      <c r="AF19" s="3">
        <f t="shared" ref="AF19:AK19" si="37">+AF16-AF17</f>
        <v>40310</v>
      </c>
      <c r="AG19" s="3">
        <f t="shared" si="37"/>
        <v>46825</v>
      </c>
      <c r="AH19" s="3">
        <f t="shared" si="37"/>
        <v>55134</v>
      </c>
      <c r="AI19" s="3">
        <f t="shared" si="37"/>
        <v>65272</v>
      </c>
      <c r="AJ19" s="3">
        <f t="shared" si="37"/>
        <v>77270</v>
      </c>
      <c r="AK19" s="3">
        <f t="shared" si="37"/>
        <v>89961</v>
      </c>
      <c r="AL19" s="3">
        <f>AL16-AL17</f>
        <v>97795</v>
      </c>
      <c r="AM19" s="3">
        <f t="shared" ref="AM19" si="38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203564.41999999998</v>
      </c>
      <c r="AQ19" s="3">
        <f t="shared" ref="AQ19:AV19" si="39">+AQ16*0.56</f>
        <v>216229.94400000005</v>
      </c>
      <c r="AR19" s="3">
        <f t="shared" si="39"/>
        <v>240166.28798400005</v>
      </c>
      <c r="AS19" s="3">
        <f t="shared" si="39"/>
        <v>268245.10142976005</v>
      </c>
      <c r="AT19" s="3">
        <f t="shared" si="39"/>
        <v>296123.32152559533</v>
      </c>
      <c r="AU19" s="3">
        <f t="shared" si="39"/>
        <v>327702.99157184298</v>
      </c>
      <c r="AV19" s="3">
        <f t="shared" si="39"/>
        <v>363561.33742315858</v>
      </c>
    </row>
    <row r="20" spans="2:105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f t="shared" ref="Z20:Z22" si="40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1">SUM(O20:R20)</f>
        <v>39500</v>
      </c>
      <c r="AO20" s="3">
        <f>+AN20*1.05</f>
        <v>41475</v>
      </c>
      <c r="AP20" s="3">
        <f>SUM(W20:Z20)</f>
        <v>48444.13</v>
      </c>
      <c r="AQ20" s="3">
        <f t="shared" ref="AQ20:AV20" si="42">+AP20*1.05</f>
        <v>50866.336499999998</v>
      </c>
      <c r="AR20" s="3">
        <f t="shared" si="42"/>
        <v>53409.653324999999</v>
      </c>
      <c r="AS20" s="3">
        <f t="shared" si="42"/>
        <v>56080.135991250005</v>
      </c>
      <c r="AT20" s="3">
        <f t="shared" si="42"/>
        <v>58884.142790812504</v>
      </c>
      <c r="AU20" s="3">
        <f t="shared" si="42"/>
        <v>61828.349930353135</v>
      </c>
      <c r="AV20" s="3">
        <f t="shared" si="42"/>
        <v>64919.767426870792</v>
      </c>
    </row>
    <row r="21" spans="2:105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f t="shared" si="40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1"/>
        <v>26567</v>
      </c>
      <c r="AO21" s="3">
        <f>+AN21*1.05</f>
        <v>27895.350000000002</v>
      </c>
      <c r="AP21" s="3">
        <f>SUM(W21:Z21)</f>
        <v>28241.190000000002</v>
      </c>
      <c r="AQ21" s="3">
        <f t="shared" ref="AQ21:AV21" si="43">+AP21*1.05</f>
        <v>29653.249500000005</v>
      </c>
      <c r="AR21" s="3">
        <f t="shared" si="43"/>
        <v>31135.911975000006</v>
      </c>
      <c r="AS21" s="3">
        <f t="shared" si="43"/>
        <v>32692.707573750009</v>
      </c>
      <c r="AT21" s="3">
        <f t="shared" si="43"/>
        <v>34327.34295243751</v>
      </c>
      <c r="AU21" s="3">
        <f t="shared" si="43"/>
        <v>36043.71010005939</v>
      </c>
      <c r="AV21" s="3">
        <f t="shared" si="43"/>
        <v>37845.89560506236</v>
      </c>
    </row>
    <row r="22" spans="2:105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f t="shared" si="40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1"/>
        <v>15724</v>
      </c>
      <c r="AO22" s="3">
        <f>+AN22*1.05</f>
        <v>16510.2</v>
      </c>
      <c r="AP22" s="3">
        <f>SUM(W22:Z22)</f>
        <v>15041.060000000001</v>
      </c>
      <c r="AQ22" s="3">
        <f t="shared" ref="AQ22:AV22" si="44">+AP22*1.05</f>
        <v>15793.113000000001</v>
      </c>
      <c r="AR22" s="3">
        <f t="shared" si="44"/>
        <v>16582.768650000002</v>
      </c>
      <c r="AS22" s="3">
        <f t="shared" si="44"/>
        <v>17411.907082500002</v>
      </c>
      <c r="AT22" s="3">
        <f t="shared" si="44"/>
        <v>18282.502436625004</v>
      </c>
      <c r="AU22" s="3">
        <f t="shared" si="44"/>
        <v>19196.627558456254</v>
      </c>
      <c r="AV22" s="3">
        <f t="shared" si="44"/>
        <v>20156.458936379066</v>
      </c>
    </row>
    <row r="23" spans="2:105" s="3" customFormat="1" x14ac:dyDescent="0.25">
      <c r="B23" s="3" t="s">
        <v>26</v>
      </c>
      <c r="C23" s="11">
        <f t="shared" ref="C23" si="45">SUM(C20:C22)</f>
        <v>12022</v>
      </c>
      <c r="D23" s="11"/>
      <c r="E23" s="11"/>
      <c r="F23" s="11"/>
      <c r="G23" s="11">
        <f t="shared" ref="G23" si="46">SUM(G20:G22)</f>
        <v>14200</v>
      </c>
      <c r="H23" s="11">
        <f t="shared" ref="H23" si="47">SUM(H20:H22)</f>
        <v>13361</v>
      </c>
      <c r="I23" s="11">
        <f t="shared" ref="I23" si="48">SUM(I20:I22)</f>
        <v>13843</v>
      </c>
      <c r="J23" s="11">
        <f t="shared" ref="J23" si="49">SUM(J20:J22)</f>
        <v>15167</v>
      </c>
      <c r="K23" s="11">
        <f>SUM(K20:K22)</f>
        <v>14774</v>
      </c>
      <c r="L23" s="11">
        <f t="shared" ref="L23:O23" si="50">SUM(L20:L22)</f>
        <v>16292</v>
      </c>
      <c r="M23" s="11">
        <f t="shared" si="50"/>
        <v>16466</v>
      </c>
      <c r="N23" s="11">
        <f t="shared" si="50"/>
        <v>20452</v>
      </c>
      <c r="O23" s="11">
        <f t="shared" si="50"/>
        <v>18318</v>
      </c>
      <c r="P23" s="11">
        <f t="shared" ref="P23:Q23" si="51">SUM(P20:P22)</f>
        <v>20128</v>
      </c>
      <c r="Q23" s="11">
        <f t="shared" si="51"/>
        <v>20799</v>
      </c>
      <c r="R23" s="11">
        <f>SUM(R20:R22)</f>
        <v>22546</v>
      </c>
      <c r="S23" s="11">
        <f t="shared" ref="S23:W23" si="52">SUM(S20:S22)</f>
        <v>21760</v>
      </c>
      <c r="T23" s="11">
        <f>SUM(T20:T22)</f>
        <v>20850</v>
      </c>
      <c r="U23" s="11">
        <f t="shared" si="52"/>
        <v>22121</v>
      </c>
      <c r="V23" s="11">
        <f t="shared" si="52"/>
        <v>25038</v>
      </c>
      <c r="W23" s="11">
        <f t="shared" si="52"/>
        <v>21355</v>
      </c>
      <c r="X23" s="11">
        <f t="shared" ref="X23:Z23" si="53">SUM(X20:X22)</f>
        <v>21810</v>
      </c>
      <c r="Y23" s="11">
        <f t="shared" si="53"/>
        <v>23273</v>
      </c>
      <c r="Z23" s="11">
        <f t="shared" si="53"/>
        <v>25288.38</v>
      </c>
      <c r="AF23" s="3">
        <f>SUM(AF20:AF22)</f>
        <v>23814</v>
      </c>
      <c r="AG23" s="3">
        <f t="shared" ref="AG23:AK23" si="54">SUM(AG20:AG22)</f>
        <v>27465</v>
      </c>
      <c r="AH23" s="3">
        <f t="shared" si="54"/>
        <v>31418</v>
      </c>
      <c r="AI23" s="3">
        <f t="shared" si="54"/>
        <v>36390</v>
      </c>
      <c r="AJ23" s="3">
        <f t="shared" si="54"/>
        <v>45878</v>
      </c>
      <c r="AK23" s="3">
        <f t="shared" si="54"/>
        <v>54033</v>
      </c>
      <c r="AL23" s="3">
        <f>SUM(AL20:AL22)</f>
        <v>56571</v>
      </c>
      <c r="AM23" s="3">
        <f t="shared" ref="AM23:AO23" si="55">SUM(AM20:AM22)</f>
        <v>67984</v>
      </c>
      <c r="AN23" s="3">
        <f t="shared" si="55"/>
        <v>81791</v>
      </c>
      <c r="AO23" s="3">
        <f t="shared" si="55"/>
        <v>85880.55</v>
      </c>
      <c r="AP23" s="3">
        <f t="shared" ref="AP23:AV23" si="56">SUM(AP20:AP22)</f>
        <v>91726.38</v>
      </c>
      <c r="AQ23" s="3">
        <f t="shared" si="56"/>
        <v>96312.699000000008</v>
      </c>
      <c r="AR23" s="3">
        <f t="shared" si="56"/>
        <v>101128.33395</v>
      </c>
      <c r="AS23" s="3">
        <f t="shared" si="56"/>
        <v>106184.75064750001</v>
      </c>
      <c r="AT23" s="3">
        <f t="shared" si="56"/>
        <v>111493.98817987501</v>
      </c>
      <c r="AU23" s="3">
        <f t="shared" si="56"/>
        <v>117068.68758886878</v>
      </c>
      <c r="AV23" s="3">
        <f t="shared" si="56"/>
        <v>122922.12196831222</v>
      </c>
    </row>
    <row r="24" spans="2:105" s="3" customFormat="1" x14ac:dyDescent="0.25">
      <c r="B24" s="3" t="s">
        <v>27</v>
      </c>
      <c r="C24" s="11">
        <f t="shared" ref="C24" si="57">C19-C23</f>
        <v>8305</v>
      </c>
      <c r="D24" s="11"/>
      <c r="E24" s="11"/>
      <c r="F24" s="11"/>
      <c r="G24" s="11">
        <f t="shared" ref="G24" si="58">G19-G23</f>
        <v>7977</v>
      </c>
      <c r="H24" s="11">
        <f t="shared" ref="H24" si="59">H19-H23</f>
        <v>6383</v>
      </c>
      <c r="I24" s="11">
        <f t="shared" ref="I24" si="60">I19-I23</f>
        <v>11213</v>
      </c>
      <c r="J24" s="11">
        <f t="shared" ref="J24" si="61">J19-J23</f>
        <v>15651</v>
      </c>
      <c r="K24" s="11">
        <f t="shared" ref="K24:N24" si="62">K19-K23</f>
        <v>16437</v>
      </c>
      <c r="L24" s="11">
        <f t="shared" si="62"/>
        <v>19361</v>
      </c>
      <c r="M24" s="11">
        <f t="shared" si="62"/>
        <v>21031</v>
      </c>
      <c r="N24" s="11">
        <f t="shared" si="62"/>
        <v>21885</v>
      </c>
      <c r="O24" s="11">
        <f>O19-O23</f>
        <v>20094</v>
      </c>
      <c r="P24" s="11">
        <f t="shared" ref="P24:R24" si="63">P19-P23</f>
        <v>19453</v>
      </c>
      <c r="Q24" s="11">
        <f t="shared" si="63"/>
        <v>17135</v>
      </c>
      <c r="R24" s="11">
        <f t="shared" si="63"/>
        <v>18160</v>
      </c>
      <c r="S24" s="11">
        <f t="shared" ref="S24:W24" si="64">S19-S23</f>
        <v>17415</v>
      </c>
      <c r="T24" s="11">
        <f>T19-T23</f>
        <v>21838</v>
      </c>
      <c r="U24" s="11">
        <f t="shared" si="64"/>
        <v>21343</v>
      </c>
      <c r="V24" s="11">
        <f t="shared" si="64"/>
        <v>23697</v>
      </c>
      <c r="W24" s="11">
        <f t="shared" si="64"/>
        <v>25472</v>
      </c>
      <c r="X24" s="11">
        <f t="shared" ref="X24:Z24" si="65">X19-X23</f>
        <v>27425</v>
      </c>
      <c r="Y24" s="11">
        <f t="shared" si="65"/>
        <v>28521</v>
      </c>
      <c r="Z24" s="11">
        <f t="shared" si="65"/>
        <v>30420.039999999997</v>
      </c>
      <c r="AF24" s="3">
        <f>AF19-AF23</f>
        <v>16496</v>
      </c>
      <c r="AG24" s="3">
        <f t="shared" ref="AG24:AK24" si="66">AG19-AG23</f>
        <v>19360</v>
      </c>
      <c r="AH24" s="3">
        <f t="shared" si="66"/>
        <v>23716</v>
      </c>
      <c r="AI24" s="3">
        <f t="shared" si="66"/>
        <v>28882</v>
      </c>
      <c r="AJ24" s="3">
        <f t="shared" si="66"/>
        <v>31392</v>
      </c>
      <c r="AK24" s="3">
        <f t="shared" si="66"/>
        <v>35928</v>
      </c>
      <c r="AL24" s="3">
        <f>AL19-AL23</f>
        <v>41224</v>
      </c>
      <c r="AM24" s="3">
        <f t="shared" ref="AM24:AO24" si="67">AM19-AM23</f>
        <v>78714</v>
      </c>
      <c r="AN24" s="3">
        <f t="shared" si="67"/>
        <v>74842</v>
      </c>
      <c r="AO24" s="3">
        <f t="shared" si="67"/>
        <v>86260.090000000011</v>
      </c>
      <c r="AP24" s="3">
        <f t="shared" ref="AP24:AV24" si="68">AP19-AP23</f>
        <v>111838.03999999998</v>
      </c>
      <c r="AQ24" s="3">
        <f t="shared" si="68"/>
        <v>119917.24500000004</v>
      </c>
      <c r="AR24" s="3">
        <f t="shared" si="68"/>
        <v>139037.95403400005</v>
      </c>
      <c r="AS24" s="3">
        <f t="shared" si="68"/>
        <v>162060.35078226004</v>
      </c>
      <c r="AT24" s="3">
        <f t="shared" si="68"/>
        <v>184629.33334572031</v>
      </c>
      <c r="AU24" s="3">
        <f t="shared" si="68"/>
        <v>210634.3039829742</v>
      </c>
      <c r="AV24" s="3">
        <f t="shared" si="68"/>
        <v>240639.21545484636</v>
      </c>
    </row>
    <row r="25" spans="2:105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v>0</v>
      </c>
      <c r="Z25" s="11">
        <f>+Y25</f>
        <v>0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9">SUM(O25:R25)</f>
        <v>-3514</v>
      </c>
      <c r="AO25" s="3">
        <f>+AN43*$AY$34</f>
        <v>0</v>
      </c>
      <c r="AP25" s="3">
        <f>SUM(W25:Z25)</f>
        <v>2969</v>
      </c>
      <c r="AQ25" s="3">
        <f t="shared" ref="AQ25:AV25" si="70">+AP43*$AY$34</f>
        <v>0</v>
      </c>
      <c r="AR25" s="3">
        <f t="shared" si="70"/>
        <v>983.32140900000024</v>
      </c>
      <c r="AS25" s="3">
        <f t="shared" si="70"/>
        <v>2131.4958676326009</v>
      </c>
      <c r="AT25" s="3">
        <f t="shared" si="70"/>
        <v>3477.8690101617203</v>
      </c>
      <c r="AU25" s="3">
        <f t="shared" si="70"/>
        <v>5020.3480694799537</v>
      </c>
      <c r="AV25" s="3">
        <f t="shared" si="70"/>
        <v>6788.7162163100775</v>
      </c>
    </row>
    <row r="26" spans="2:105" s="3" customFormat="1" x14ac:dyDescent="0.25">
      <c r="B26" s="3" t="s">
        <v>29</v>
      </c>
      <c r="C26" s="11">
        <f t="shared" ref="C26" si="71">C24+C25</f>
        <v>9843</v>
      </c>
      <c r="D26" s="11"/>
      <c r="E26" s="11"/>
      <c r="F26" s="11"/>
      <c r="G26" s="11">
        <f t="shared" ref="G26" si="72">G24+G25</f>
        <v>7757</v>
      </c>
      <c r="H26" s="11">
        <f t="shared" ref="H26" si="73">H24+H25</f>
        <v>8277</v>
      </c>
      <c r="I26" s="11">
        <f t="shared" ref="I26" si="74">I24+I25</f>
        <v>13359</v>
      </c>
      <c r="J26" s="11">
        <f t="shared" ref="J26" si="75">J24+J25</f>
        <v>18689</v>
      </c>
      <c r="K26" s="11">
        <f>K24+K25</f>
        <v>21283</v>
      </c>
      <c r="L26" s="11">
        <f t="shared" ref="L26:O26" si="76">L24+L25</f>
        <v>21625</v>
      </c>
      <c r="M26" s="11">
        <f t="shared" si="76"/>
        <v>23064</v>
      </c>
      <c r="N26" s="11">
        <f t="shared" si="76"/>
        <v>24402</v>
      </c>
      <c r="O26" s="11">
        <f t="shared" si="76"/>
        <v>18934</v>
      </c>
      <c r="P26" s="11">
        <f t="shared" ref="P26:Z26" si="77">P24+P25</f>
        <v>19014</v>
      </c>
      <c r="Q26" s="11">
        <f t="shared" si="77"/>
        <v>16233</v>
      </c>
      <c r="R26" s="11">
        <f t="shared" si="77"/>
        <v>17147</v>
      </c>
      <c r="S26" s="11">
        <f t="shared" si="77"/>
        <v>18205</v>
      </c>
      <c r="T26" s="11">
        <f t="shared" si="77"/>
        <v>21903</v>
      </c>
      <c r="U26" s="11">
        <f t="shared" si="77"/>
        <v>21197</v>
      </c>
      <c r="V26" s="11">
        <f t="shared" si="77"/>
        <v>24412</v>
      </c>
      <c r="W26" s="11">
        <f t="shared" si="77"/>
        <v>28315</v>
      </c>
      <c r="X26" s="11">
        <f t="shared" si="77"/>
        <v>27551</v>
      </c>
      <c r="Y26" s="11">
        <f t="shared" si="77"/>
        <v>28521</v>
      </c>
      <c r="Z26" s="11">
        <f t="shared" si="77"/>
        <v>30420.039999999997</v>
      </c>
      <c r="AF26" s="3">
        <f t="shared" ref="AF26:AK26" si="78">+AF24+AF25</f>
        <v>17259</v>
      </c>
      <c r="AG26" s="3">
        <f t="shared" si="78"/>
        <v>19651</v>
      </c>
      <c r="AH26" s="3">
        <f t="shared" si="78"/>
        <v>24150</v>
      </c>
      <c r="AI26" s="3">
        <f t="shared" si="78"/>
        <v>29929</v>
      </c>
      <c r="AJ26" s="3">
        <f t="shared" si="78"/>
        <v>39984</v>
      </c>
      <c r="AK26" s="3">
        <f t="shared" si="78"/>
        <v>41322</v>
      </c>
      <c r="AL26" s="3">
        <f>AL24+AL25</f>
        <v>48082</v>
      </c>
      <c r="AM26" s="3">
        <f t="shared" ref="AM26:AO26" si="79">AM24+AM25</f>
        <v>90734</v>
      </c>
      <c r="AN26" s="3">
        <f t="shared" si="79"/>
        <v>71328</v>
      </c>
      <c r="AO26" s="3">
        <f t="shared" si="79"/>
        <v>86260.090000000011</v>
      </c>
      <c r="AP26" s="3">
        <f t="shared" ref="AP26:AV26" si="80">AP24+AP25</f>
        <v>114807.03999999998</v>
      </c>
      <c r="AQ26" s="3">
        <f t="shared" si="80"/>
        <v>119917.24500000004</v>
      </c>
      <c r="AR26" s="3">
        <f t="shared" si="80"/>
        <v>140021.27544300005</v>
      </c>
      <c r="AS26" s="3">
        <f t="shared" si="80"/>
        <v>164191.84664989263</v>
      </c>
      <c r="AT26" s="3">
        <f t="shared" si="80"/>
        <v>188107.20235588204</v>
      </c>
      <c r="AU26" s="3">
        <f t="shared" si="80"/>
        <v>215654.65205245416</v>
      </c>
      <c r="AV26" s="3">
        <f t="shared" si="80"/>
        <v>247427.93167115643</v>
      </c>
    </row>
    <row r="27" spans="2:105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f>+Z26*0.1</f>
        <v>3042.0039999999999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9"/>
        <v>11356</v>
      </c>
      <c r="AO27" s="3">
        <f>+AO26*0.18</f>
        <v>15526.816200000001</v>
      </c>
      <c r="AP27" s="3">
        <f>SUM(W27:Z27)</f>
        <v>17032.004000000001</v>
      </c>
      <c r="AQ27" s="3">
        <f t="shared" ref="AQ27:AV27" si="81">+AQ26*0.18</f>
        <v>21585.104100000008</v>
      </c>
      <c r="AR27" s="3">
        <f t="shared" si="81"/>
        <v>25203.82957974001</v>
      </c>
      <c r="AS27" s="3">
        <f t="shared" si="81"/>
        <v>29554.53239698067</v>
      </c>
      <c r="AT27" s="3">
        <f t="shared" si="81"/>
        <v>33859.296424058768</v>
      </c>
      <c r="AU27" s="3">
        <f t="shared" si="81"/>
        <v>38817.837369441746</v>
      </c>
      <c r="AV27" s="3">
        <f t="shared" si="81"/>
        <v>44537.027700808154</v>
      </c>
    </row>
    <row r="28" spans="2:105" s="3" customFormat="1" x14ac:dyDescent="0.25">
      <c r="B28" s="3" t="s">
        <v>31</v>
      </c>
      <c r="C28" s="11">
        <f t="shared" ref="C28" si="82">C26-C27</f>
        <v>8354</v>
      </c>
      <c r="D28" s="11"/>
      <c r="E28" s="11"/>
      <c r="F28" s="11"/>
      <c r="G28" s="11">
        <f t="shared" ref="G28" si="83">G26-G27</f>
        <v>6836</v>
      </c>
      <c r="H28" s="11">
        <f t="shared" ref="H28" si="84">H26-H27</f>
        <v>6959</v>
      </c>
      <c r="I28" s="11">
        <f t="shared" ref="I28" si="85">I26-I27</f>
        <v>11247</v>
      </c>
      <c r="J28" s="11">
        <f t="shared" ref="J28" si="86">J26-J27</f>
        <v>15227</v>
      </c>
      <c r="K28" s="11">
        <f>K26-K27</f>
        <v>17930</v>
      </c>
      <c r="L28" s="11">
        <f t="shared" ref="L28:O28" si="87">L26-L27</f>
        <v>18165</v>
      </c>
      <c r="M28" s="11">
        <f t="shared" si="87"/>
        <v>18936</v>
      </c>
      <c r="N28" s="11">
        <f t="shared" si="87"/>
        <v>20642</v>
      </c>
      <c r="O28" s="11">
        <f t="shared" si="87"/>
        <v>16436</v>
      </c>
      <c r="P28" s="11">
        <f t="shared" ref="P28:Z28" si="88">P26-P27</f>
        <v>16002</v>
      </c>
      <c r="Q28" s="11">
        <f t="shared" si="88"/>
        <v>13910</v>
      </c>
      <c r="R28" s="11">
        <f t="shared" si="88"/>
        <v>13624</v>
      </c>
      <c r="S28" s="11">
        <f t="shared" si="88"/>
        <v>15051</v>
      </c>
      <c r="T28" s="11">
        <f t="shared" si="88"/>
        <v>18368</v>
      </c>
      <c r="U28" s="11">
        <f t="shared" si="88"/>
        <v>19689</v>
      </c>
      <c r="V28" s="11">
        <f t="shared" si="88"/>
        <v>20687</v>
      </c>
      <c r="W28" s="11">
        <f t="shared" si="88"/>
        <v>23662</v>
      </c>
      <c r="X28" s="11">
        <f t="shared" si="88"/>
        <v>23619</v>
      </c>
      <c r="Y28" s="11">
        <f t="shared" si="88"/>
        <v>23116</v>
      </c>
      <c r="Z28" s="11">
        <f t="shared" si="88"/>
        <v>27378.035999999996</v>
      </c>
      <c r="AF28" s="3">
        <f t="shared" ref="AF28:AK28" si="89">+AF26-AF27</f>
        <v>13620</v>
      </c>
      <c r="AG28" s="3">
        <f t="shared" si="89"/>
        <v>16348</v>
      </c>
      <c r="AH28" s="3">
        <f t="shared" si="89"/>
        <v>19478</v>
      </c>
      <c r="AI28" s="3">
        <f t="shared" si="89"/>
        <v>15398</v>
      </c>
      <c r="AJ28" s="3">
        <f t="shared" si="89"/>
        <v>35807</v>
      </c>
      <c r="AK28" s="3">
        <f t="shared" si="89"/>
        <v>36040</v>
      </c>
      <c r="AL28" s="3">
        <f>AL26-AL27</f>
        <v>40269</v>
      </c>
      <c r="AM28" s="3">
        <f t="shared" ref="AM28:AO28" si="90">AM26-AM27</f>
        <v>76033</v>
      </c>
      <c r="AN28" s="3">
        <f t="shared" si="90"/>
        <v>59972</v>
      </c>
      <c r="AO28" s="3">
        <f t="shared" si="90"/>
        <v>70733.27380000001</v>
      </c>
      <c r="AP28" s="3">
        <f t="shared" ref="AP28:AV28" si="91">AP26-AP27</f>
        <v>97775.035999999978</v>
      </c>
      <c r="AQ28" s="3">
        <f t="shared" si="91"/>
        <v>98332.140900000028</v>
      </c>
      <c r="AR28" s="3">
        <f t="shared" si="91"/>
        <v>114817.44586326004</v>
      </c>
      <c r="AS28" s="3">
        <f t="shared" si="91"/>
        <v>134637.31425291195</v>
      </c>
      <c r="AT28" s="3">
        <f t="shared" si="91"/>
        <v>154247.90593182328</v>
      </c>
      <c r="AU28" s="3">
        <f t="shared" si="91"/>
        <v>176836.8146830124</v>
      </c>
      <c r="AV28" s="3">
        <f t="shared" si="91"/>
        <v>202890.90397034827</v>
      </c>
      <c r="AW28" s="3">
        <f>+AV28*(1+$AY$32)</f>
        <v>202890.90397034827</v>
      </c>
      <c r="AX28" s="3">
        <f t="shared" ref="AX28:DA28" si="92">+AW28*(1+$AY$32)</f>
        <v>202890.90397034827</v>
      </c>
      <c r="AY28" s="3">
        <f t="shared" si="92"/>
        <v>202890.90397034827</v>
      </c>
      <c r="AZ28" s="3">
        <f t="shared" si="92"/>
        <v>202890.90397034827</v>
      </c>
      <c r="BA28" s="3">
        <f t="shared" si="92"/>
        <v>202890.90397034827</v>
      </c>
      <c r="BB28" s="3">
        <f t="shared" si="92"/>
        <v>202890.90397034827</v>
      </c>
      <c r="BC28" s="3">
        <f t="shared" si="92"/>
        <v>202890.90397034827</v>
      </c>
      <c r="BD28" s="3">
        <f t="shared" si="92"/>
        <v>202890.90397034827</v>
      </c>
      <c r="BE28" s="3">
        <f t="shared" si="92"/>
        <v>202890.90397034827</v>
      </c>
      <c r="BF28" s="3">
        <f t="shared" si="92"/>
        <v>202890.90397034827</v>
      </c>
      <c r="BG28" s="3">
        <f t="shared" si="92"/>
        <v>202890.90397034827</v>
      </c>
      <c r="BH28" s="3">
        <f t="shared" si="92"/>
        <v>202890.90397034827</v>
      </c>
      <c r="BI28" s="3">
        <f t="shared" si="92"/>
        <v>202890.90397034827</v>
      </c>
      <c r="BJ28" s="3">
        <f t="shared" si="92"/>
        <v>202890.90397034827</v>
      </c>
      <c r="BK28" s="3">
        <f t="shared" si="92"/>
        <v>202890.90397034827</v>
      </c>
      <c r="BL28" s="3">
        <f t="shared" si="92"/>
        <v>202890.90397034827</v>
      </c>
      <c r="BM28" s="3">
        <f t="shared" si="92"/>
        <v>202890.90397034827</v>
      </c>
      <c r="BN28" s="3">
        <f t="shared" si="92"/>
        <v>202890.90397034827</v>
      </c>
      <c r="BO28" s="3">
        <f t="shared" si="92"/>
        <v>202890.90397034827</v>
      </c>
      <c r="BP28" s="3">
        <f t="shared" si="92"/>
        <v>202890.90397034827</v>
      </c>
      <c r="BQ28" s="3">
        <f t="shared" si="92"/>
        <v>202890.90397034827</v>
      </c>
      <c r="BR28" s="3">
        <f t="shared" si="92"/>
        <v>202890.90397034827</v>
      </c>
      <c r="BS28" s="3">
        <f t="shared" si="92"/>
        <v>202890.90397034827</v>
      </c>
      <c r="BT28" s="3">
        <f t="shared" si="92"/>
        <v>202890.90397034827</v>
      </c>
      <c r="BU28" s="3">
        <f t="shared" si="92"/>
        <v>202890.90397034827</v>
      </c>
      <c r="BV28" s="3">
        <f t="shared" si="92"/>
        <v>202890.90397034827</v>
      </c>
      <c r="BW28" s="3">
        <f t="shared" si="92"/>
        <v>202890.90397034827</v>
      </c>
      <c r="BX28" s="3">
        <f t="shared" si="92"/>
        <v>202890.90397034827</v>
      </c>
      <c r="BY28" s="3">
        <f t="shared" si="92"/>
        <v>202890.90397034827</v>
      </c>
      <c r="BZ28" s="3">
        <f t="shared" si="92"/>
        <v>202890.90397034827</v>
      </c>
      <c r="CA28" s="3">
        <f t="shared" si="92"/>
        <v>202890.90397034827</v>
      </c>
      <c r="CB28" s="3">
        <f t="shared" si="92"/>
        <v>202890.90397034827</v>
      </c>
      <c r="CC28" s="3">
        <f t="shared" si="92"/>
        <v>202890.90397034827</v>
      </c>
      <c r="CD28" s="3">
        <f t="shared" si="92"/>
        <v>202890.90397034827</v>
      </c>
      <c r="CE28" s="3">
        <f t="shared" si="92"/>
        <v>202890.90397034827</v>
      </c>
      <c r="CF28" s="3">
        <f t="shared" si="92"/>
        <v>202890.90397034827</v>
      </c>
      <c r="CG28" s="3">
        <f t="shared" si="92"/>
        <v>202890.90397034827</v>
      </c>
      <c r="CH28" s="3">
        <f t="shared" si="92"/>
        <v>202890.90397034827</v>
      </c>
      <c r="CI28" s="3">
        <f t="shared" si="92"/>
        <v>202890.90397034827</v>
      </c>
      <c r="CJ28" s="3">
        <f t="shared" si="92"/>
        <v>202890.90397034827</v>
      </c>
      <c r="CK28" s="3">
        <f t="shared" si="92"/>
        <v>202890.90397034827</v>
      </c>
      <c r="CL28" s="3">
        <f t="shared" si="92"/>
        <v>202890.90397034827</v>
      </c>
      <c r="CM28" s="3">
        <f t="shared" si="92"/>
        <v>202890.90397034827</v>
      </c>
      <c r="CN28" s="3">
        <f t="shared" si="92"/>
        <v>202890.90397034827</v>
      </c>
      <c r="CO28" s="3">
        <f t="shared" si="92"/>
        <v>202890.90397034827</v>
      </c>
      <c r="CP28" s="3">
        <f t="shared" si="92"/>
        <v>202890.90397034827</v>
      </c>
      <c r="CQ28" s="3">
        <f t="shared" si="92"/>
        <v>202890.90397034827</v>
      </c>
      <c r="CR28" s="3">
        <f t="shared" si="92"/>
        <v>202890.90397034827</v>
      </c>
      <c r="CS28" s="3">
        <f t="shared" si="92"/>
        <v>202890.90397034827</v>
      </c>
      <c r="CT28" s="3">
        <f t="shared" si="92"/>
        <v>202890.90397034827</v>
      </c>
      <c r="CU28" s="3">
        <f t="shared" si="92"/>
        <v>202890.90397034827</v>
      </c>
      <c r="CV28" s="3">
        <f t="shared" si="92"/>
        <v>202890.90397034827</v>
      </c>
      <c r="CW28" s="3">
        <f t="shared" si="92"/>
        <v>202890.90397034827</v>
      </c>
      <c r="CX28" s="3">
        <f t="shared" si="92"/>
        <v>202890.90397034827</v>
      </c>
      <c r="CY28" s="3">
        <f t="shared" si="92"/>
        <v>202890.90397034827</v>
      </c>
      <c r="CZ28" s="3">
        <f t="shared" si="92"/>
        <v>202890.90397034827</v>
      </c>
      <c r="DA28" s="3">
        <f t="shared" si="92"/>
        <v>202890.90397034827</v>
      </c>
    </row>
    <row r="29" spans="2:105" s="7" customFormat="1" ht="13" x14ac:dyDescent="0.3">
      <c r="B29" s="9" t="s">
        <v>32</v>
      </c>
      <c r="C29" s="14">
        <f t="shared" ref="C29" si="93">C28/C30</f>
        <v>11.919318455824756</v>
      </c>
      <c r="D29" s="14"/>
      <c r="E29" s="14"/>
      <c r="F29" s="14"/>
      <c r="G29" s="14">
        <f t="shared" ref="G29" si="94">G28/G30</f>
        <v>9.8748026411774639</v>
      </c>
      <c r="H29" s="14">
        <f t="shared" ref="H29" si="95">H28/H30</f>
        <v>10.129194904399265</v>
      </c>
      <c r="I29" s="14">
        <f t="shared" ref="I29" si="96">I28/I30</f>
        <v>16.398605528022852</v>
      </c>
      <c r="J29" s="14">
        <f t="shared" ref="J29" si="97">J28/J30</f>
        <v>22.295301836540162</v>
      </c>
      <c r="K29" s="14">
        <f t="shared" ref="K29:N29" si="98">K28/K30</f>
        <v>26.287585896482916</v>
      </c>
      <c r="L29" s="14">
        <f t="shared" si="98"/>
        <v>1.3364479105356091</v>
      </c>
      <c r="M29" s="14">
        <f t="shared" si="98"/>
        <v>27.990344690984287</v>
      </c>
      <c r="N29" s="14">
        <f t="shared" si="98"/>
        <v>30.69474329100823</v>
      </c>
      <c r="O29" s="14">
        <f>O28/O30</f>
        <v>24.621339792764896</v>
      </c>
      <c r="P29" s="14">
        <f t="shared" ref="P29:Z29" si="99">P28/P30</f>
        <v>1.2087015635622025</v>
      </c>
      <c r="Q29" s="14">
        <f t="shared" si="99"/>
        <v>1.0620752844162786</v>
      </c>
      <c r="R29" s="14">
        <f t="shared" si="99"/>
        <v>1.0522901058160192</v>
      </c>
      <c r="S29" s="14">
        <f t="shared" si="99"/>
        <v>1.1737502924432659</v>
      </c>
      <c r="T29" s="14">
        <f t="shared" si="99"/>
        <v>1.4544302795154012</v>
      </c>
      <c r="U29" s="14">
        <f t="shared" si="99"/>
        <v>1.5508034026465027</v>
      </c>
      <c r="V29" s="14">
        <f t="shared" si="99"/>
        <v>1.6415648309792097</v>
      </c>
      <c r="W29" s="14">
        <f t="shared" si="99"/>
        <v>1.8888800191586175</v>
      </c>
      <c r="X29" s="14">
        <f t="shared" si="99"/>
        <v>1.8902761104441776</v>
      </c>
      <c r="Y29" s="14">
        <f t="shared" si="99"/>
        <v>1.8613414928738223</v>
      </c>
      <c r="Z29" s="14">
        <f t="shared" si="99"/>
        <v>2.20452822288429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0">AP28/AP30</f>
        <v>7.8730200499235021</v>
      </c>
      <c r="AQ29" s="17">
        <f t="shared" si="100"/>
        <v>7.91787912875433</v>
      </c>
      <c r="AR29" s="17">
        <f t="shared" si="100"/>
        <v>9.2453052470617632</v>
      </c>
      <c r="AS29" s="17">
        <f t="shared" si="100"/>
        <v>10.841236351792572</v>
      </c>
      <c r="AT29" s="17">
        <f t="shared" si="100"/>
        <v>12.420316123023051</v>
      </c>
      <c r="AU29" s="17">
        <f t="shared" si="100"/>
        <v>14.239215289718366</v>
      </c>
      <c r="AV29" s="17">
        <f t="shared" si="100"/>
        <v>16.337136965162113</v>
      </c>
    </row>
    <row r="30" spans="2:105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f>Y30</f>
        <v>12419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12419</v>
      </c>
      <c r="AQ30" s="3">
        <f t="shared" ref="AQ30:AV30" si="101">+AP30</f>
        <v>12419</v>
      </c>
      <c r="AR30" s="3">
        <f t="shared" si="101"/>
        <v>12419</v>
      </c>
      <c r="AS30" s="3">
        <f t="shared" si="101"/>
        <v>12419</v>
      </c>
      <c r="AT30" s="3">
        <f t="shared" si="101"/>
        <v>12419</v>
      </c>
      <c r="AU30" s="3">
        <f t="shared" si="101"/>
        <v>12419</v>
      </c>
      <c r="AV30" s="3">
        <f t="shared" si="101"/>
        <v>12419</v>
      </c>
    </row>
    <row r="32" spans="2:105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2">K16/G16-1</f>
        <v>0.34391020189994892</v>
      </c>
      <c r="L32" s="16">
        <f t="shared" si="102"/>
        <v>0.61579235971486024</v>
      </c>
      <c r="M32" s="16">
        <f t="shared" ref="M32" si="103">M16/I16-1</f>
        <v>0.41030472353973102</v>
      </c>
      <c r="N32" s="16">
        <f t="shared" ref="N32" si="104">N16/J16-1</f>
        <v>0.32386024113325607</v>
      </c>
      <c r="O32" s="16">
        <f>O16/K16-1</f>
        <v>0.22954405756228069</v>
      </c>
      <c r="P32" s="16">
        <f t="shared" ref="P32:T32" si="105">P16/L16-1</f>
        <v>0.12613122171945701</v>
      </c>
      <c r="Q32" s="16">
        <f t="shared" si="105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5"/>
        <v>7.0589079428858392E-2</v>
      </c>
      <c r="U32" s="16">
        <f t="shared" ref="U32:Z32" si="106">U16/Q16-1</f>
        <v>0.11001273664100042</v>
      </c>
      <c r="V32" s="16">
        <f t="shared" si="106"/>
        <v>0.13494108983799702</v>
      </c>
      <c r="W32" s="16">
        <f t="shared" si="106"/>
        <v>0.15406880937710454</v>
      </c>
      <c r="X32" s="16">
        <f t="shared" si="106"/>
        <v>0.13589083695244231</v>
      </c>
      <c r="Y32" s="16">
        <f t="shared" si="106"/>
        <v>0.15092642092498654</v>
      </c>
      <c r="Z32" s="16">
        <f t="shared" si="106"/>
        <v>0.11283744641408866</v>
      </c>
      <c r="AA32" s="16"/>
      <c r="AE32" s="18">
        <f t="shared" ref="AE32:AN32" si="107">AE16/AD16-1</f>
        <v>0.2059123786355046</v>
      </c>
      <c r="AF32" s="18">
        <f t="shared" si="107"/>
        <v>0.18880023055170292</v>
      </c>
      <c r="AG32" s="18">
        <f t="shared" si="107"/>
        <v>0.13617975485219924</v>
      </c>
      <c r="AH32" s="18">
        <f t="shared" si="107"/>
        <v>0.20380322447292265</v>
      </c>
      <c r="AI32" s="18">
        <f t="shared" si="107"/>
        <v>0.22801090038993266</v>
      </c>
      <c r="AJ32" s="18">
        <f t="shared" si="107"/>
        <v>0.23421586757475987</v>
      </c>
      <c r="AK32" s="18">
        <f t="shared" si="107"/>
        <v>0.18300089899794614</v>
      </c>
      <c r="AL32" s="18">
        <f t="shared" si="107"/>
        <v>0.12770532012826141</v>
      </c>
      <c r="AM32" s="18">
        <f t="shared" si="107"/>
        <v>0.41150076427049154</v>
      </c>
      <c r="AN32" s="18">
        <f t="shared" si="107"/>
        <v>9.7808156437157789E-2</v>
      </c>
      <c r="AO32" s="18">
        <f t="shared" ref="AO32:AV32" si="108">AO16/AN16-1</f>
        <v>8.6827702272695095E-2</v>
      </c>
      <c r="AP32" s="18">
        <f t="shared" si="108"/>
        <v>0.13729610857726571</v>
      </c>
      <c r="AQ32" s="18">
        <f t="shared" si="108"/>
        <v>0.10448257713144815</v>
      </c>
      <c r="AR32" s="18">
        <f t="shared" si="108"/>
        <v>0.11069856256356436</v>
      </c>
      <c r="AS32" s="18">
        <f t="shared" si="108"/>
        <v>0.11691405018355705</v>
      </c>
      <c r="AT32" s="18">
        <f t="shared" si="108"/>
        <v>0.10392816102602787</v>
      </c>
      <c r="AU32" s="18">
        <f t="shared" si="108"/>
        <v>0.1066436438830709</v>
      </c>
      <c r="AV32" s="18">
        <f t="shared" si="108"/>
        <v>0.10942330944041534</v>
      </c>
      <c r="AX32" s="18" t="s">
        <v>72</v>
      </c>
      <c r="AY32" s="18">
        <v>0</v>
      </c>
    </row>
    <row r="33" spans="2:51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25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9">+K14/G14-1</f>
        <v>0.30107746306423966</v>
      </c>
      <c r="L34" s="15">
        <f t="shared" ref="L34:N34" si="110">+L14/H14-1</f>
        <v>0.68136404146535945</v>
      </c>
      <c r="M34" s="15">
        <f t="shared" si="110"/>
        <v>0.43997266307236682</v>
      </c>
      <c r="N34" s="15">
        <f t="shared" si="110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1">+S14/O14-1</f>
        <v>1.8703619566863505E-2</v>
      </c>
      <c r="T34" s="15">
        <f t="shared" si="111"/>
        <v>4.7654157143208309E-2</v>
      </c>
      <c r="U34" s="15">
        <f t="shared" si="111"/>
        <v>0.11348289031083225</v>
      </c>
      <c r="V34" s="15">
        <f t="shared" si="111"/>
        <v>0.12712421368885551</v>
      </c>
      <c r="W34" s="15">
        <f t="shared" ref="W34:X34" si="112">+W14/S14-1</f>
        <v>0.14363586808394668</v>
      </c>
      <c r="X34" s="15">
        <f t="shared" si="112"/>
        <v>0.13796096462419061</v>
      </c>
      <c r="Y34" s="15">
        <f t="shared" ref="Y34" si="113">+Y14/U14-1</f>
        <v>0.12172352700676869</v>
      </c>
      <c r="Z34" s="15">
        <f t="shared" ref="Z34" si="114">+Z14/V14-1</f>
        <v>0.12523948354852155</v>
      </c>
      <c r="AJ34" s="5">
        <f t="shared" ref="AJ34:AN34" si="115">+AJ14/AI14-1</f>
        <v>0.22181318130380601</v>
      </c>
      <c r="AK34" s="5">
        <f t="shared" si="115"/>
        <v>0.15028840742824978</v>
      </c>
      <c r="AL34" s="5">
        <f t="shared" si="115"/>
        <v>6.0612546501554343E-2</v>
      </c>
      <c r="AM34" s="5">
        <f t="shared" si="115"/>
        <v>0.43136783840402826</v>
      </c>
      <c r="AN34" s="5">
        <f t="shared" si="115"/>
        <v>9.0627118985438182E-2</v>
      </c>
      <c r="AO34" s="5">
        <f>+AO14/AN14-1</f>
        <v>7.7457679285934056E-2</v>
      </c>
      <c r="AP34" s="15">
        <f t="shared" ref="AP34:AV34" si="116">+AP14/AO14-1</f>
        <v>0.13169516605440124</v>
      </c>
      <c r="AQ34" s="15">
        <f t="shared" si="116"/>
        <v>0.10000000000000009</v>
      </c>
      <c r="AR34" s="15">
        <f t="shared" si="116"/>
        <v>0.10000000000000009</v>
      </c>
      <c r="AS34" s="15">
        <f t="shared" si="116"/>
        <v>0.10000000000000009</v>
      </c>
      <c r="AT34" s="15">
        <f t="shared" si="116"/>
        <v>0.10000000000000009</v>
      </c>
      <c r="AU34" s="15">
        <f t="shared" si="116"/>
        <v>0.10000000000000009</v>
      </c>
      <c r="AV34" s="15">
        <f t="shared" si="116"/>
        <v>0.10000000000000009</v>
      </c>
      <c r="AX34" s="5" t="s">
        <v>74</v>
      </c>
      <c r="AY34" s="5">
        <v>0.01</v>
      </c>
    </row>
    <row r="35" spans="2:51" s="5" customFormat="1" x14ac:dyDescent="0.25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7">+K13/G13-1</f>
        <v>0.48712233779098568</v>
      </c>
      <c r="L35" s="15">
        <f t="shared" ref="L35:Q35" si="118">+L13/H13-1</f>
        <v>0.83683105981112282</v>
      </c>
      <c r="M35" s="15">
        <f t="shared" si="118"/>
        <v>0.4304149295215407</v>
      </c>
      <c r="N35" s="15">
        <f t="shared" si="118"/>
        <v>0.25388525780682647</v>
      </c>
      <c r="O35" s="15">
        <f t="shared" si="118"/>
        <v>0.143880099916736</v>
      </c>
      <c r="P35" s="15">
        <f t="shared" si="118"/>
        <v>4.8271922307911996E-2</v>
      </c>
      <c r="Q35" s="15">
        <f t="shared" si="118"/>
        <v>-1.8598195697432374E-2</v>
      </c>
      <c r="R35" s="15">
        <f>+R13/N13-1</f>
        <v>-7.7609174099386058E-2</v>
      </c>
      <c r="S35" s="15">
        <f t="shared" ref="S35:V35" si="119">+S13/O13-1</f>
        <v>-2.5622361333527466E-2</v>
      </c>
      <c r="T35" s="15">
        <f t="shared" si="119"/>
        <v>4.4277929155313256E-2</v>
      </c>
      <c r="U35" s="15">
        <f t="shared" si="119"/>
        <v>0.12459340970159816</v>
      </c>
      <c r="V35" s="15">
        <f t="shared" si="119"/>
        <v>0.15534346351877426</v>
      </c>
      <c r="W35" s="15">
        <f t="shared" ref="W35:X35" si="120">+W13/S13-1</f>
        <v>0.20872553414014638</v>
      </c>
      <c r="X35" s="15">
        <f t="shared" si="120"/>
        <v>0.13020221787345077</v>
      </c>
      <c r="Y35" s="15">
        <f t="shared" ref="Y35" si="121">+Y13/U13-1</f>
        <v>0.12185613682092544</v>
      </c>
      <c r="Z35" s="15">
        <f t="shared" ref="Z35" si="122">+Z13/V13-1</f>
        <v>0.1383695652173913</v>
      </c>
      <c r="AJ35" s="5">
        <f t="shared" ref="AJ35:AM35" si="123">+AJ13/AI13-1</f>
        <v>0.36871165644171788</v>
      </c>
      <c r="AK35" s="5">
        <f t="shared" si="123"/>
        <v>0.35804571940833707</v>
      </c>
      <c r="AL35" s="5">
        <f t="shared" si="123"/>
        <v>0.30516865799722748</v>
      </c>
      <c r="AM35" s="5">
        <f t="shared" si="123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4">+AP13/AO13-1</f>
        <v>0.14715963186290071</v>
      </c>
      <c r="AQ35" s="15">
        <f t="shared" si="124"/>
        <v>5.0000000000000044E-2</v>
      </c>
      <c r="AR35" s="15">
        <f t="shared" si="124"/>
        <v>5.0000000000000044E-2</v>
      </c>
      <c r="AS35" s="15">
        <f t="shared" si="124"/>
        <v>5.0000000000000044E-2</v>
      </c>
      <c r="AT35" s="15">
        <f t="shared" si="124"/>
        <v>5.0000000000000044E-2</v>
      </c>
      <c r="AU35" s="15">
        <f t="shared" si="124"/>
        <v>5.0000000000000044E-2</v>
      </c>
      <c r="AV35" s="15">
        <f t="shared" si="124"/>
        <v>5.0000000000000044E-2</v>
      </c>
      <c r="AX35" s="5" t="s">
        <v>75</v>
      </c>
      <c r="AY35" s="3">
        <f>NPV(AY33,AO28:DA28)+Main!L5-Main!L6</f>
        <v>2519269.4770367467</v>
      </c>
    </row>
    <row r="36" spans="2:5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5">K15/G15-1</f>
        <v>0.33980836693020566</v>
      </c>
      <c r="L36" s="15">
        <f t="shared" ref="L36" si="126">L15/H15-1</f>
        <v>0.63090508988025484</v>
      </c>
      <c r="M36" s="15">
        <f t="shared" ref="M36" si="127">M15/I15-1</f>
        <v>0.40661921875367013</v>
      </c>
      <c r="N36" s="15">
        <f t="shared" ref="N36" si="128">N15/J15-1</f>
        <v>0.31257919921320898</v>
      </c>
      <c r="O36" s="15">
        <f>O15/K15-1</f>
        <v>0.20114111532299028</v>
      </c>
      <c r="P36" s="15">
        <f t="shared" ref="P36:Q36" si="129">P15/L15-1</f>
        <v>0.10117931554138115</v>
      </c>
      <c r="Q36" s="15">
        <f t="shared" si="129"/>
        <v>2.4931534299645897E-2</v>
      </c>
      <c r="R36" s="15">
        <f>R15/N15-1</f>
        <v>-2.2507204610951015E-2</v>
      </c>
      <c r="S36" s="15">
        <f t="shared" ref="S36:V36" si="130">S15/O15-1</f>
        <v>7.9548412285268544E-3</v>
      </c>
      <c r="T36" s="15">
        <f t="shared" si="130"/>
        <v>5.4804984007256419E-2</v>
      </c>
      <c r="U36" s="15">
        <f t="shared" si="130"/>
        <v>0.1076787721785033</v>
      </c>
      <c r="V36" s="15">
        <f t="shared" si="130"/>
        <v>0.12490049824582083</v>
      </c>
      <c r="W36" s="15">
        <f t="shared" ref="W36:X36" si="131">W15/S15-1</f>
        <v>0.13616629815529113</v>
      </c>
      <c r="X36" s="15">
        <f t="shared" si="131"/>
        <v>0.11530512182243347</v>
      </c>
      <c r="Y36" s="15">
        <f t="shared" ref="Y36" si="132">Y15/U15-1</f>
        <v>0.12537875444944557</v>
      </c>
      <c r="Z36" s="15">
        <f t="shared" ref="Z36" si="133">Z15/V15-1</f>
        <v>0.10199053871656782</v>
      </c>
      <c r="AJ36" s="5">
        <f t="shared" ref="AJ36:AN36" si="134">+AJ15/AI15-1</f>
        <v>0.22568104346846218</v>
      </c>
      <c r="AK36" s="5">
        <f t="shared" si="134"/>
        <v>0.16319604057491333</v>
      </c>
      <c r="AL36" s="5">
        <f t="shared" si="134"/>
        <v>0.11071957846204517</v>
      </c>
      <c r="AM36" s="5">
        <f t="shared" si="134"/>
        <v>0.40853915260770313</v>
      </c>
      <c r="AN36" s="5">
        <f t="shared" si="134"/>
        <v>6.7355986005919188E-2</v>
      </c>
      <c r="AO36" s="5">
        <f>+AO15/AN15-1</f>
        <v>7.5001577735003711E-2</v>
      </c>
      <c r="AP36" s="15">
        <f t="shared" ref="AP36:AV36" si="135">+AP15/AO15-1</f>
        <v>0.11883262457667221</v>
      </c>
      <c r="AQ36" s="15">
        <f t="shared" si="135"/>
        <v>7.7843177122618457E-2</v>
      </c>
      <c r="AR36" s="15">
        <f t="shared" si="135"/>
        <v>7.8716690877616013E-2</v>
      </c>
      <c r="AS36" s="15">
        <f t="shared" si="135"/>
        <v>7.957082862403686E-2</v>
      </c>
      <c r="AT36" s="15">
        <f t="shared" si="135"/>
        <v>8.0404757613526057E-2</v>
      </c>
      <c r="AU36" s="15">
        <f t="shared" si="135"/>
        <v>8.1217755543749437E-2</v>
      </c>
      <c r="AV36" s="15">
        <f t="shared" si="135"/>
        <v>8.2009209864399413E-2</v>
      </c>
      <c r="AX36" s="5" t="s">
        <v>76</v>
      </c>
      <c r="AY36" s="1">
        <f>+AY35/Main!L3</f>
        <v>198.43017304952321</v>
      </c>
    </row>
    <row r="37" spans="2:51" s="5" customFormat="1" x14ac:dyDescent="0.25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6">K10/G10-1</f>
        <v>0.4573280518545193</v>
      </c>
      <c r="L37" s="15">
        <f t="shared" ref="L37" si="137">L10/H10-1</f>
        <v>0.53907549052211512</v>
      </c>
      <c r="M37" s="15">
        <f t="shared" ref="M37" si="138">M10/I10-1</f>
        <v>0.44889663182346107</v>
      </c>
      <c r="N37" s="15">
        <f t="shared" ref="N37" si="139">N10/J10-1</f>
        <v>0.44635865309318712</v>
      </c>
      <c r="O37" s="15">
        <f>O10/K10-1</f>
        <v>0.4383493946132937</v>
      </c>
      <c r="P37" s="15">
        <f t="shared" ref="P37:Q37" si="140">P10/L10-1</f>
        <v>0.35609334485738975</v>
      </c>
      <c r="Q37" s="15">
        <f t="shared" si="140"/>
        <v>0.37635270541082155</v>
      </c>
      <c r="R37" s="15">
        <f>R10/N10-1</f>
        <v>0.3201588160981772</v>
      </c>
      <c r="S37" s="15">
        <f t="shared" ref="S37:V37" si="141">S10/O10-1</f>
        <v>0.28053599037965982</v>
      </c>
      <c r="T37" s="15">
        <f t="shared" si="141"/>
        <v>0.2796367112810707</v>
      </c>
      <c r="U37" s="15">
        <f t="shared" si="141"/>
        <v>0.22466511357018049</v>
      </c>
      <c r="V37" s="15">
        <f t="shared" si="141"/>
        <v>0.25659603554340404</v>
      </c>
      <c r="W37" s="15">
        <f t="shared" ref="W37:X37" si="142">W10/S10-1</f>
        <v>0.28441105446740012</v>
      </c>
      <c r="X37" s="15">
        <f t="shared" si="142"/>
        <v>0.28838251774374291</v>
      </c>
      <c r="Y37" s="15">
        <f>Y10/U10-1</f>
        <v>0.34978004993460954</v>
      </c>
      <c r="Z37" s="15">
        <f t="shared" ref="Z37" si="143">Z10/V10-1</f>
        <v>0.3005874673629243</v>
      </c>
      <c r="AJ37" s="5">
        <f t="shared" ref="AJ37:AN37" si="144">+AJ10/AI10-1</f>
        <v>0.43934911242603558</v>
      </c>
      <c r="AK37" s="5">
        <f t="shared" si="144"/>
        <v>0.52757793764988015</v>
      </c>
      <c r="AL37" s="5">
        <f t="shared" si="144"/>
        <v>0.46434178066831122</v>
      </c>
      <c r="AM37" s="5">
        <f t="shared" si="144"/>
        <v>0.47070985527222597</v>
      </c>
      <c r="AN37" s="5">
        <f t="shared" si="144"/>
        <v>0.36832239925023424</v>
      </c>
      <c r="AO37" s="5">
        <f>+AO10/AN10-1</f>
        <v>0.25905631659056327</v>
      </c>
      <c r="AP37" s="15">
        <f t="shared" ref="AP37:AV37" si="145">+AP10/AO10-1</f>
        <v>0.30648573500967125</v>
      </c>
      <c r="AQ37" s="15">
        <f t="shared" si="145"/>
        <v>0.30000000000000004</v>
      </c>
      <c r="AR37" s="15">
        <f t="shared" si="145"/>
        <v>0.30000000000000004</v>
      </c>
      <c r="AS37" s="15">
        <f t="shared" si="145"/>
        <v>0.30000000000000004</v>
      </c>
      <c r="AT37" s="15">
        <f t="shared" si="145"/>
        <v>0.19999999999999996</v>
      </c>
      <c r="AU37" s="15">
        <f t="shared" si="145"/>
        <v>0.19999999999999996</v>
      </c>
      <c r="AV37" s="15">
        <f t="shared" si="145"/>
        <v>0.19999999999999996</v>
      </c>
      <c r="AX37" s="5" t="s">
        <v>232</v>
      </c>
      <c r="AY37" s="1">
        <v>163</v>
      </c>
    </row>
    <row r="38" spans="2:51" s="18" customFormat="1" ht="13" x14ac:dyDescent="0.3">
      <c r="B38" s="18" t="s">
        <v>33</v>
      </c>
      <c r="C38" s="16"/>
      <c r="D38" s="16"/>
      <c r="E38" s="16"/>
      <c r="F38" s="16"/>
      <c r="G38" s="16">
        <f t="shared" ref="G38:H38" si="146">G19/G16</f>
        <v>0.53881289632887097</v>
      </c>
      <c r="H38" s="16">
        <f t="shared" si="146"/>
        <v>0.51554952085019712</v>
      </c>
      <c r="I38" s="16">
        <f t="shared" ref="I38" si="147">I19/I16</f>
        <v>0.54265479825872265</v>
      </c>
      <c r="J38" s="16">
        <f t="shared" ref="J38" si="148">J19/J16</f>
        <v>0.54163590987380927</v>
      </c>
      <c r="K38" s="16">
        <f>K19/K16</f>
        <v>0.56425136493473627</v>
      </c>
      <c r="L38" s="16">
        <f t="shared" ref="L38:O38" si="149">L19/L16</f>
        <v>0.57616354234001288</v>
      </c>
      <c r="M38" s="16">
        <f t="shared" si="149"/>
        <v>0.57583156730857832</v>
      </c>
      <c r="N38" s="16">
        <f t="shared" si="149"/>
        <v>0.56205774975107869</v>
      </c>
      <c r="O38" s="16">
        <f t="shared" si="149"/>
        <v>0.5647909896928438</v>
      </c>
      <c r="P38" s="16">
        <f t="shared" ref="P38:Q38" si="150">P19/P16</f>
        <v>0.56799885197675248</v>
      </c>
      <c r="Q38" s="16">
        <f t="shared" si="150"/>
        <v>0.54903606785156023</v>
      </c>
      <c r="R38" s="16">
        <f>R19/R16</f>
        <v>0.53526719966337055</v>
      </c>
      <c r="S38" s="16">
        <f t="shared" ref="S38:V38" si="151">S19/S16</f>
        <v>0.56135096794531936</v>
      </c>
      <c r="T38" s="16">
        <f t="shared" si="151"/>
        <v>0.5721945204010509</v>
      </c>
      <c r="U38" s="16">
        <f t="shared" si="151"/>
        <v>0.56672708069836886</v>
      </c>
      <c r="V38" s="16">
        <f t="shared" si="151"/>
        <v>0.56465067778936395</v>
      </c>
      <c r="W38" s="16">
        <f t="shared" ref="W38:Z38" si="152">W19/W16</f>
        <v>0.58142018152696207</v>
      </c>
      <c r="X38" s="16">
        <f t="shared" si="152"/>
        <v>0.58099879634655782</v>
      </c>
      <c r="Y38" s="16">
        <f t="shared" si="152"/>
        <v>0.58678116644763678</v>
      </c>
      <c r="Z38" s="16">
        <f t="shared" si="152"/>
        <v>0.57999999999999996</v>
      </c>
      <c r="AF38" s="18">
        <f t="shared" ref="AF38" si="153">AF19/AF16</f>
        <v>0.6107483219951213</v>
      </c>
      <c r="AG38" s="18">
        <f t="shared" ref="AG38" si="154">AG19/AG16</f>
        <v>0.62442491565429592</v>
      </c>
      <c r="AH38" s="18">
        <f t="shared" ref="AH38:AI38" si="155">AH19/AH16</f>
        <v>0.61075416518964909</v>
      </c>
      <c r="AI38" s="18">
        <f t="shared" si="155"/>
        <v>0.58880519597672631</v>
      </c>
      <c r="AJ38" s="18">
        <f t="shared" ref="AJ38:AL38" si="156">AJ19/AJ16</f>
        <v>0.5647607422945643</v>
      </c>
      <c r="AK38" s="18">
        <f t="shared" si="156"/>
        <v>0.5558054331910266</v>
      </c>
      <c r="AL38" s="18">
        <f t="shared" si="156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57">AO19/AO16</f>
        <v>0.56000000000000005</v>
      </c>
      <c r="AP38" s="16">
        <f t="shared" ref="AP38:AV38" si="158">AP19/AP16</f>
        <v>0.58228142037425834</v>
      </c>
      <c r="AQ38" s="16">
        <f t="shared" si="158"/>
        <v>0.56000000000000005</v>
      </c>
      <c r="AR38" s="16">
        <f t="shared" si="158"/>
        <v>0.56000000000000005</v>
      </c>
      <c r="AS38" s="16">
        <f t="shared" si="158"/>
        <v>0.56000000000000005</v>
      </c>
      <c r="AT38" s="16">
        <f t="shared" si="158"/>
        <v>0.56000000000000005</v>
      </c>
      <c r="AU38" s="16">
        <f t="shared" si="158"/>
        <v>0.56000000000000005</v>
      </c>
      <c r="AV38" s="16">
        <f t="shared" si="158"/>
        <v>0.56000000000000005</v>
      </c>
      <c r="AX38" s="18" t="s">
        <v>233</v>
      </c>
      <c r="AY38" s="18">
        <f>+AY36/AY37-1</f>
        <v>0.21736302484370063</v>
      </c>
    </row>
    <row r="39" spans="2:51" s="5" customFormat="1" x14ac:dyDescent="0.25">
      <c r="B39" s="5" t="s">
        <v>70</v>
      </c>
      <c r="C39" s="15"/>
      <c r="D39" s="15"/>
      <c r="E39" s="15"/>
      <c r="F39" s="15"/>
      <c r="G39" s="15">
        <f t="shared" ref="G39" si="159">+G27/G26</f>
        <v>0.11873146835116669</v>
      </c>
      <c r="H39" s="15">
        <f>+H27/H26</f>
        <v>0.15923643832306392</v>
      </c>
      <c r="I39" s="15">
        <f t="shared" ref="I39:Q39" si="160">+I27/I26</f>
        <v>0.15809566584325174</v>
      </c>
      <c r="J39" s="15">
        <f t="shared" si="160"/>
        <v>0.18524265610787094</v>
      </c>
      <c r="K39" s="15">
        <f t="shared" si="160"/>
        <v>0.15754357938260583</v>
      </c>
      <c r="L39" s="15">
        <f t="shared" si="160"/>
        <v>0.16</v>
      </c>
      <c r="M39" s="15">
        <f t="shared" si="160"/>
        <v>0.17898022892819979</v>
      </c>
      <c r="N39" s="15">
        <f t="shared" si="160"/>
        <v>0.15408573067781328</v>
      </c>
      <c r="O39" s="15">
        <f t="shared" si="160"/>
        <v>0.13193197422625963</v>
      </c>
      <c r="P39" s="15">
        <f t="shared" si="160"/>
        <v>0.15840959293152415</v>
      </c>
      <c r="Q39" s="15">
        <f t="shared" si="160"/>
        <v>0.14310355448777182</v>
      </c>
      <c r="R39" s="15">
        <f>+R27/R26</f>
        <v>0.20545868081880211</v>
      </c>
      <c r="S39" s="15">
        <f t="shared" ref="S39:V39" si="161">+S27/S26</f>
        <v>0.17324910738808019</v>
      </c>
      <c r="T39" s="15">
        <f t="shared" si="161"/>
        <v>0.16139341642697347</v>
      </c>
      <c r="U39" s="15">
        <f t="shared" si="161"/>
        <v>7.1142142756050381E-2</v>
      </c>
      <c r="V39" s="15">
        <f t="shared" si="161"/>
        <v>0.15258889070948714</v>
      </c>
      <c r="W39" s="15">
        <f t="shared" ref="W39:X39" si="162">+W27/W26</f>
        <v>0.16432986049796927</v>
      </c>
      <c r="X39" s="15">
        <f t="shared" si="162"/>
        <v>0.14271714275343908</v>
      </c>
      <c r="Y39" s="15">
        <f t="shared" ref="Y39:Z39" si="163">+Y27/Y26</f>
        <v>0.18950948423968303</v>
      </c>
      <c r="Z39" s="15">
        <f t="shared" si="163"/>
        <v>0.1</v>
      </c>
      <c r="AF39" s="15">
        <f t="shared" ref="AF39" si="164">+AF27/AF26</f>
        <v>0.21084651486181122</v>
      </c>
      <c r="AG39" s="15">
        <f t="shared" ref="AG39" si="165">+AG27/AG26</f>
        <v>0.16808304920869166</v>
      </c>
      <c r="AH39" s="15">
        <f t="shared" ref="AH39:AI39" si="166">+AH27/AH26</f>
        <v>0.19345755693581781</v>
      </c>
      <c r="AI39" s="15">
        <f t="shared" si="166"/>
        <v>0.48551572053860803</v>
      </c>
      <c r="AJ39" s="15">
        <f t="shared" ref="AJ39:AL39" si="167">+AJ27/AJ26</f>
        <v>0.10446678671468587</v>
      </c>
      <c r="AK39" s="15">
        <f t="shared" si="167"/>
        <v>0.12782537147282319</v>
      </c>
      <c r="AL39" s="15">
        <f t="shared" si="167"/>
        <v>0.16249324071378063</v>
      </c>
      <c r="AM39" s="15">
        <f t="shared" ref="AM39:AO39" si="168">+AM27/AM26</f>
        <v>0.16202305640663919</v>
      </c>
      <c r="AN39" s="15">
        <f>+AN27/AN26</f>
        <v>0.1592081650964558</v>
      </c>
      <c r="AO39" s="15">
        <f t="shared" si="168"/>
        <v>0.18</v>
      </c>
      <c r="AP39" s="15">
        <f t="shared" ref="AP39:AV39" si="169">+AP27/AP26</f>
        <v>0.14835330655681048</v>
      </c>
      <c r="AQ39" s="15">
        <f t="shared" si="169"/>
        <v>0.18</v>
      </c>
      <c r="AR39" s="15">
        <f t="shared" si="169"/>
        <v>0.18</v>
      </c>
      <c r="AS39" s="15">
        <f t="shared" si="169"/>
        <v>0.18</v>
      </c>
      <c r="AT39" s="15">
        <f t="shared" si="169"/>
        <v>0.18000000000000002</v>
      </c>
      <c r="AU39" s="15">
        <f t="shared" si="169"/>
        <v>0.18</v>
      </c>
      <c r="AV39" s="15">
        <f t="shared" si="169"/>
        <v>0.18</v>
      </c>
    </row>
    <row r="40" spans="2:51" s="5" customFormat="1" x14ac:dyDescent="0.25">
      <c r="B40" s="5" t="s">
        <v>47</v>
      </c>
      <c r="C40" s="15"/>
      <c r="D40" s="15"/>
      <c r="E40" s="15"/>
      <c r="F40" s="15"/>
      <c r="G40" s="15">
        <f t="shared" ref="G40:H40" si="170">G14/G16</f>
        <v>0.5953011492018756</v>
      </c>
      <c r="H40" s="15">
        <f t="shared" si="170"/>
        <v>0.55667545760764547</v>
      </c>
      <c r="I40" s="15">
        <f t="shared" ref="I40" si="171">I14/I16</f>
        <v>0.57041994239057459</v>
      </c>
      <c r="J40" s="15">
        <f>J14/J16</f>
        <v>0.56070512144539353</v>
      </c>
      <c r="K40" s="15">
        <f t="shared" ref="K40:O40" si="172">K14/K16</f>
        <v>0.57632787359438842</v>
      </c>
      <c r="L40" s="15">
        <f t="shared" si="172"/>
        <v>0.57926632191338079</v>
      </c>
      <c r="M40" s="15">
        <f t="shared" si="172"/>
        <v>0.58241960748180222</v>
      </c>
      <c r="N40" s="15">
        <f t="shared" si="172"/>
        <v>0.5748556256223033</v>
      </c>
      <c r="O40" s="15">
        <f t="shared" si="172"/>
        <v>0.58252341532987306</v>
      </c>
      <c r="P40" s="15">
        <f t="shared" ref="P40:Q40" si="173">P14/P16</f>
        <v>0.58389897395422252</v>
      </c>
      <c r="Q40" s="15">
        <f t="shared" si="173"/>
        <v>0.57226596422161757</v>
      </c>
      <c r="R40" s="15">
        <f>R14/R16</f>
        <v>0.56022512097622557</v>
      </c>
      <c r="S40" s="15">
        <f t="shared" ref="S40:V40" si="174">S14/S16</f>
        <v>0.57831687850172664</v>
      </c>
      <c r="T40" s="15">
        <f t="shared" si="174"/>
        <v>0.57139027397994746</v>
      </c>
      <c r="U40" s="15">
        <f t="shared" si="174"/>
        <v>0.574054998500515</v>
      </c>
      <c r="V40" s="15">
        <f t="shared" si="174"/>
        <v>0.55636658556366581</v>
      </c>
      <c r="W40" s="15">
        <f t="shared" ref="W40:X40" si="175">W14/W16</f>
        <v>0.57308881411490087</v>
      </c>
      <c r="X40" s="15">
        <f t="shared" si="175"/>
        <v>0.57243161596374881</v>
      </c>
      <c r="Y40" s="15">
        <f t="shared" ref="Y40:Z40" si="176">Y14/Y16</f>
        <v>0.55948928263923503</v>
      </c>
      <c r="Z40" s="15">
        <f t="shared" si="176"/>
        <v>0.5625670230819686</v>
      </c>
      <c r="AL40" s="15">
        <f t="shared" ref="AL40:AO40" si="177">AL14/AL16</f>
        <v>0.57011839344316184</v>
      </c>
      <c r="AM40" s="15">
        <f t="shared" si="177"/>
        <v>0.57814289096674776</v>
      </c>
      <c r="AN40" s="15">
        <f t="shared" si="177"/>
        <v>0.57436111386103605</v>
      </c>
      <c r="AO40" s="15">
        <f t="shared" si="177"/>
        <v>0.56940929230889348</v>
      </c>
      <c r="AP40" s="15">
        <f t="shared" ref="AP40:AV40" si="178">AP14/AP16</f>
        <v>0.56660507211139655</v>
      </c>
      <c r="AQ40" s="15">
        <f t="shared" si="178"/>
        <v>0.56430548768028177</v>
      </c>
      <c r="AR40" s="15">
        <f t="shared" si="178"/>
        <v>0.558869937686433</v>
      </c>
      <c r="AS40" s="15">
        <f t="shared" si="178"/>
        <v>0.55040665962975877</v>
      </c>
      <c r="AT40" s="15">
        <f t="shared" si="178"/>
        <v>0.54844812096288198</v>
      </c>
      <c r="AU40" s="15">
        <f t="shared" si="178"/>
        <v>0.54515555788337833</v>
      </c>
      <c r="AV40" s="15">
        <f t="shared" si="178"/>
        <v>0.5405250715114196</v>
      </c>
    </row>
    <row r="41" spans="2:51" s="5" customFormat="1" x14ac:dyDescent="0.25">
      <c r="B41" s="5" t="s">
        <v>107</v>
      </c>
      <c r="C41" s="15"/>
      <c r="D41" s="15"/>
      <c r="E41" s="15"/>
      <c r="F41" s="15"/>
      <c r="G41" s="15">
        <f t="shared" ref="G41:J41" si="179">(G14+G13+G12)/G16</f>
        <v>0.82030661580699238</v>
      </c>
      <c r="H41" s="15">
        <f t="shared" si="179"/>
        <v>0.7798783194506097</v>
      </c>
      <c r="I41" s="15">
        <f t="shared" si="179"/>
        <v>0.80339159248911707</v>
      </c>
      <c r="J41" s="15">
        <f t="shared" si="179"/>
        <v>0.81196175612499566</v>
      </c>
      <c r="K41" s="15">
        <f t="shared" ref="K41:Q41" si="180">(K14+K13+K12)/K16</f>
        <v>0.80782442058068482</v>
      </c>
      <c r="L41" s="15">
        <f t="shared" si="180"/>
        <v>0.81519069166127989</v>
      </c>
      <c r="M41" s="15">
        <f t="shared" si="180"/>
        <v>0.81590343683774069</v>
      </c>
      <c r="N41" s="15">
        <f t="shared" si="180"/>
        <v>0.81299701294390969</v>
      </c>
      <c r="O41" s="15">
        <f t="shared" si="180"/>
        <v>0.80370822366970052</v>
      </c>
      <c r="P41" s="15">
        <f t="shared" si="180"/>
        <v>0.80774915692042759</v>
      </c>
      <c r="Q41" s="15">
        <f t="shared" si="180"/>
        <v>0.78854281248190816</v>
      </c>
      <c r="R41" s="15">
        <f>(R14+R13+R12)/R16</f>
        <v>0.77637807700399752</v>
      </c>
      <c r="S41" s="15">
        <f t="shared" ref="S41:V41" si="181">(S14+S13+S12)/S16</f>
        <v>0.78163554816799685</v>
      </c>
      <c r="T41" s="15">
        <f t="shared" si="181"/>
        <v>0.779354994370275</v>
      </c>
      <c r="U41" s="15">
        <f t="shared" si="181"/>
        <v>0.77773721200109525</v>
      </c>
      <c r="V41" s="15">
        <f t="shared" si="181"/>
        <v>0.75908932916232186</v>
      </c>
      <c r="W41" s="15">
        <f t="shared" ref="W41:X41" si="182">(W14+W13+W12)/W16</f>
        <v>0.76557940873365704</v>
      </c>
      <c r="X41" s="15">
        <f t="shared" si="182"/>
        <v>0.76250265511788728</v>
      </c>
      <c r="Y41" s="15">
        <f t="shared" ref="Y41:Z41" si="183">(Y14+Y13+Y12)/Y16</f>
        <v>0.74606879050165409</v>
      </c>
      <c r="Z41" s="15">
        <f t="shared" si="183"/>
        <v>0.75441701631458946</v>
      </c>
      <c r="AF41" s="15">
        <f t="shared" ref="AF41:AV41" si="184">(AF14+AF13+AF12)/AF16</f>
        <v>0</v>
      </c>
      <c r="AG41" s="15"/>
      <c r="AH41" s="15"/>
      <c r="AI41" s="15">
        <f t="shared" si="184"/>
        <v>0.86218032565062463</v>
      </c>
      <c r="AJ41" s="15">
        <f t="shared" si="184"/>
        <v>0.85120487651568866</v>
      </c>
      <c r="AK41" s="15">
        <f t="shared" si="184"/>
        <v>0.83290188252593333</v>
      </c>
      <c r="AL41" s="15">
        <f t="shared" si="184"/>
        <v>0.80494392610408327</v>
      </c>
      <c r="AM41" s="15">
        <f t="shared" si="184"/>
        <v>0.81314795623299452</v>
      </c>
      <c r="AN41" s="15">
        <f t="shared" si="184"/>
        <v>0.79365073752987592</v>
      </c>
      <c r="AO41" s="15">
        <f t="shared" si="184"/>
        <v>0.7737789286713469</v>
      </c>
      <c r="AP41" s="15">
        <f t="shared" si="184"/>
        <v>0.75684071419172882</v>
      </c>
      <c r="AQ41" s="15">
        <f t="shared" si="184"/>
        <v>0.74358457587169335</v>
      </c>
      <c r="AR41" s="15">
        <f t="shared" si="184"/>
        <v>0.72689335793719012</v>
      </c>
      <c r="AS41" s="15">
        <f t="shared" si="184"/>
        <v>0.70701906709651896</v>
      </c>
      <c r="AT41" s="15">
        <f t="shared" si="184"/>
        <v>0.69615511867019275</v>
      </c>
      <c r="AU41" s="15">
        <f t="shared" si="184"/>
        <v>0.68413434623044056</v>
      </c>
      <c r="AV41" s="15">
        <f t="shared" si="184"/>
        <v>0.67097561936028605</v>
      </c>
    </row>
    <row r="43" spans="2:51" x14ac:dyDescent="0.25">
      <c r="B43" s="3" t="s">
        <v>71</v>
      </c>
      <c r="G43" s="11">
        <f>+G44-G62</f>
        <v>124580</v>
      </c>
      <c r="N43" s="11">
        <f t="shared" ref="N43:O43" si="185">+N44-N62</f>
        <v>154381</v>
      </c>
      <c r="O43" s="11">
        <f t="shared" si="185"/>
        <v>149723</v>
      </c>
      <c r="P43" s="11">
        <f t="shared" ref="P43:Z43" si="186">+P44-P62</f>
        <v>140928</v>
      </c>
      <c r="Q43" s="11">
        <f t="shared" si="186"/>
        <v>132025</v>
      </c>
      <c r="R43" s="11">
        <f t="shared" si="186"/>
        <v>129553</v>
      </c>
      <c r="S43" s="11">
        <f t="shared" si="186"/>
        <v>132618</v>
      </c>
      <c r="T43" s="11">
        <f t="shared" si="186"/>
        <v>135851</v>
      </c>
      <c r="U43" s="11">
        <f t="shared" si="186"/>
        <v>137061</v>
      </c>
      <c r="V43" s="11">
        <f t="shared" si="186"/>
        <v>128671</v>
      </c>
      <c r="W43" s="11">
        <f t="shared" si="186"/>
        <v>128856</v>
      </c>
      <c r="X43" s="11">
        <f t="shared" si="186"/>
        <v>121659</v>
      </c>
      <c r="Y43" s="11">
        <f t="shared" si="186"/>
        <v>117110</v>
      </c>
      <c r="Z43" s="11">
        <f t="shared" si="186"/>
        <v>0</v>
      </c>
      <c r="AH43" s="3">
        <v>72053</v>
      </c>
      <c r="AN43" s="3"/>
      <c r="AO43" s="3"/>
      <c r="AP43" s="3">
        <f>+Z43</f>
        <v>0</v>
      </c>
      <c r="AQ43" s="3">
        <f t="shared" ref="AQ43:AV43" si="187">+AP43+AQ28</f>
        <v>98332.140900000028</v>
      </c>
      <c r="AR43" s="3">
        <f t="shared" si="187"/>
        <v>213149.58676326007</v>
      </c>
      <c r="AS43" s="3">
        <f t="shared" si="187"/>
        <v>347786.90101617202</v>
      </c>
      <c r="AT43" s="3">
        <f t="shared" si="187"/>
        <v>502034.80694799533</v>
      </c>
      <c r="AU43" s="3">
        <f t="shared" si="187"/>
        <v>678871.62163100776</v>
      </c>
      <c r="AV43" s="3">
        <f t="shared" si="187"/>
        <v>881762.52560135606</v>
      </c>
    </row>
    <row r="44" spans="2:51" s="3" customFormat="1" x14ac:dyDescent="0.25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>
        <f>93230+36177</f>
        <v>129407</v>
      </c>
      <c r="Z44" s="11"/>
    </row>
    <row r="45" spans="2:51" s="3" customFormat="1" x14ac:dyDescent="0.25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>
        <v>49104</v>
      </c>
      <c r="Z45" s="11"/>
    </row>
    <row r="46" spans="2:51" s="3" customFormat="1" x14ac:dyDescent="0.25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/>
    </row>
    <row r="47" spans="2:51" s="3" customFormat="1" x14ac:dyDescent="0.25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>
        <v>0</v>
      </c>
      <c r="Z47" s="11"/>
    </row>
    <row r="48" spans="2:51" s="3" customFormat="1" x14ac:dyDescent="0.25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>
        <v>15207</v>
      </c>
      <c r="Z48" s="11"/>
    </row>
    <row r="49" spans="2:26" x14ac:dyDescent="0.25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>
        <v>15915</v>
      </c>
      <c r="Z49" s="11"/>
    </row>
    <row r="50" spans="2:26" x14ac:dyDescent="0.25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>
        <v>161270</v>
      </c>
      <c r="Z50" s="11"/>
    </row>
    <row r="51" spans="2:26" x14ac:dyDescent="0.25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>
        <v>13561</v>
      </c>
      <c r="Z51" s="11"/>
    </row>
    <row r="52" spans="2:26" x14ac:dyDescent="0.25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>
        <v>31935</v>
      </c>
      <c r="Z52" s="11"/>
    </row>
    <row r="53" spans="2:26" x14ac:dyDescent="0.25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>
        <v>13867</v>
      </c>
      <c r="Z53" s="11"/>
    </row>
    <row r="54" spans="2:26" x14ac:dyDescent="0.25">
      <c r="B54" s="3" t="s">
        <v>59</v>
      </c>
      <c r="G54" s="11">
        <f>SUM(G44:G53)</f>
        <v>273403</v>
      </c>
      <c r="N54" s="11">
        <f t="shared" ref="N54:Z54" si="188">SUM(N44:N53)</f>
        <v>359268</v>
      </c>
      <c r="O54" s="11">
        <f t="shared" si="188"/>
        <v>357096</v>
      </c>
      <c r="P54" s="11">
        <f t="shared" si="188"/>
        <v>355185</v>
      </c>
      <c r="Q54" s="11">
        <f t="shared" si="188"/>
        <v>358255</v>
      </c>
      <c r="R54" s="11">
        <f t="shared" si="188"/>
        <v>365264</v>
      </c>
      <c r="S54" s="11">
        <f t="shared" si="188"/>
        <v>369491</v>
      </c>
      <c r="T54" s="11">
        <f t="shared" si="188"/>
        <v>383044</v>
      </c>
      <c r="U54" s="11">
        <f t="shared" si="188"/>
        <v>396711</v>
      </c>
      <c r="V54" s="11">
        <f t="shared" si="188"/>
        <v>402392</v>
      </c>
      <c r="W54" s="11">
        <f t="shared" si="188"/>
        <v>407350</v>
      </c>
      <c r="X54" s="11">
        <f t="shared" si="188"/>
        <v>414770</v>
      </c>
      <c r="Y54" s="11">
        <f t="shared" si="188"/>
        <v>430266</v>
      </c>
      <c r="Z54" s="11">
        <f t="shared" si="188"/>
        <v>0</v>
      </c>
    </row>
    <row r="55" spans="2:26" x14ac:dyDescent="0.25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5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>
        <v>7049</v>
      </c>
      <c r="Z56" s="11"/>
    </row>
    <row r="57" spans="2:26" x14ac:dyDescent="0.25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>
        <v>12908</v>
      </c>
      <c r="Z57" s="11"/>
    </row>
    <row r="58" spans="2:26" x14ac:dyDescent="0.25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>
        <v>46585</v>
      </c>
      <c r="Z58" s="11"/>
    </row>
    <row r="59" spans="2:26" x14ac:dyDescent="0.25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>
        <v>9365</v>
      </c>
      <c r="Z59" s="11"/>
    </row>
    <row r="60" spans="2:26" x14ac:dyDescent="0.25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>
        <f>4896+1015</f>
        <v>5911</v>
      </c>
      <c r="Z60" s="11"/>
    </row>
    <row r="61" spans="2:26" x14ac:dyDescent="0.25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>
        <f>8219+706</f>
        <v>8925</v>
      </c>
      <c r="Z61" s="11"/>
    </row>
    <row r="62" spans="2:26" x14ac:dyDescent="0.25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>
        <v>12297</v>
      </c>
      <c r="Z62" s="11"/>
    </row>
    <row r="63" spans="2:26" x14ac:dyDescent="0.25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>
        <v>11654</v>
      </c>
      <c r="Z63" s="11"/>
    </row>
    <row r="64" spans="2:26" x14ac:dyDescent="0.25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>
        <v>1453</v>
      </c>
      <c r="Z64" s="11"/>
    </row>
    <row r="65" spans="2:26" x14ac:dyDescent="0.25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>
        <v>314119</v>
      </c>
      <c r="Z65" s="11"/>
    </row>
    <row r="66" spans="2:26" x14ac:dyDescent="0.25">
      <c r="B66" s="3" t="s">
        <v>67</v>
      </c>
      <c r="G66" s="11">
        <f>SUM(G56:G65)</f>
        <v>273403</v>
      </c>
      <c r="N66" s="11">
        <f t="shared" ref="N66:Z66" si="189">SUM(N56:N65)</f>
        <v>359268</v>
      </c>
      <c r="O66" s="11">
        <f t="shared" si="189"/>
        <v>357096</v>
      </c>
      <c r="P66" s="11">
        <f t="shared" si="189"/>
        <v>355185</v>
      </c>
      <c r="Q66" s="11">
        <f t="shared" si="189"/>
        <v>358255</v>
      </c>
      <c r="R66" s="11">
        <f t="shared" si="189"/>
        <v>365264</v>
      </c>
      <c r="S66" s="11">
        <f t="shared" si="189"/>
        <v>369491</v>
      </c>
      <c r="T66" s="11">
        <f t="shared" si="189"/>
        <v>383044</v>
      </c>
      <c r="U66" s="11">
        <f t="shared" si="189"/>
        <v>396711</v>
      </c>
      <c r="V66" s="11">
        <f t="shared" si="189"/>
        <v>402392</v>
      </c>
      <c r="W66" s="11">
        <f t="shared" si="189"/>
        <v>407350</v>
      </c>
      <c r="X66" s="11">
        <f t="shared" si="189"/>
        <v>414770</v>
      </c>
      <c r="Y66" s="11">
        <f t="shared" si="189"/>
        <v>430266</v>
      </c>
      <c r="Z66" s="11">
        <f t="shared" si="189"/>
        <v>0</v>
      </c>
    </row>
    <row r="68" spans="2:26" s="3" customFormat="1" x14ac:dyDescent="0.25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Z68" si="190">+H28</f>
        <v>6959</v>
      </c>
      <c r="I68" s="11">
        <f t="shared" si="190"/>
        <v>11247</v>
      </c>
      <c r="J68" s="11">
        <f t="shared" si="190"/>
        <v>15227</v>
      </c>
      <c r="K68" s="11">
        <f t="shared" si="190"/>
        <v>17930</v>
      </c>
      <c r="L68" s="11">
        <f t="shared" si="190"/>
        <v>18165</v>
      </c>
      <c r="M68" s="11">
        <f t="shared" si="190"/>
        <v>18936</v>
      </c>
      <c r="N68" s="11">
        <f t="shared" si="190"/>
        <v>20642</v>
      </c>
      <c r="O68" s="11">
        <f t="shared" si="190"/>
        <v>16436</v>
      </c>
      <c r="P68" s="11">
        <f t="shared" si="190"/>
        <v>16002</v>
      </c>
      <c r="Q68" s="11">
        <f t="shared" si="190"/>
        <v>13910</v>
      </c>
      <c r="R68" s="11">
        <f t="shared" si="190"/>
        <v>13624</v>
      </c>
      <c r="S68" s="11">
        <f t="shared" si="190"/>
        <v>15051</v>
      </c>
      <c r="T68" s="11">
        <f t="shared" si="190"/>
        <v>18368</v>
      </c>
      <c r="U68" s="11">
        <f t="shared" si="190"/>
        <v>19689</v>
      </c>
      <c r="V68" s="11">
        <f t="shared" si="190"/>
        <v>20687</v>
      </c>
      <c r="W68" s="11">
        <f t="shared" si="190"/>
        <v>23662</v>
      </c>
      <c r="X68" s="11">
        <f t="shared" si="190"/>
        <v>23619</v>
      </c>
      <c r="Y68" s="11">
        <f t="shared" si="190"/>
        <v>23116</v>
      </c>
      <c r="Z68" s="11">
        <f t="shared" si="190"/>
        <v>27378.035999999996</v>
      </c>
    </row>
    <row r="69" spans="2:26" s="3" customFormat="1" x14ac:dyDescent="0.25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23662</v>
      </c>
      <c r="X69" s="11">
        <f>47281-W69</f>
        <v>23619</v>
      </c>
      <c r="Y69" s="11">
        <f>73582-X69-W69</f>
        <v>26301</v>
      </c>
      <c r="Z69" s="11">
        <f>100118-Y69-X69-W69</f>
        <v>26536</v>
      </c>
    </row>
    <row r="70" spans="2:26" s="3" customFormat="1" x14ac:dyDescent="0.25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3413</v>
      </c>
      <c r="X70" s="11">
        <f>7121-W70</f>
        <v>3708</v>
      </c>
      <c r="Y70" s="11">
        <f>11106-X70-W70</f>
        <v>3985</v>
      </c>
      <c r="Z70" s="11">
        <f>15311-Y70-X70-W70</f>
        <v>4205</v>
      </c>
    </row>
    <row r="71" spans="2:26" s="3" customFormat="1" x14ac:dyDescent="0.25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</row>
    <row r="72" spans="2:26" s="3" customFormat="1" x14ac:dyDescent="0.25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5264</v>
      </c>
      <c r="X72" s="11">
        <f>11129-W72</f>
        <v>5865</v>
      </c>
      <c r="Y72" s="11">
        <f>16975-X72-W72</f>
        <v>5846</v>
      </c>
      <c r="Z72" s="11">
        <f>22785-Y72-X72-W72</f>
        <v>5810</v>
      </c>
    </row>
    <row r="73" spans="2:26" s="3" customFormat="1" x14ac:dyDescent="0.25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419</v>
      </c>
      <c r="X73" s="11">
        <f>-2738-W73</f>
        <v>-3157</v>
      </c>
      <c r="Y73" s="11">
        <f>-3809-X73-W73</f>
        <v>-1071</v>
      </c>
      <c r="Z73" s="11">
        <f>-5257-Y73-X73-W73</f>
        <v>-1448</v>
      </c>
    </row>
    <row r="74" spans="2:26" s="3" customFormat="1" x14ac:dyDescent="0.25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-1781</v>
      </c>
      <c r="X74" s="11">
        <f>-757-W74</f>
        <v>1024</v>
      </c>
      <c r="Y74" s="11">
        <f>-2738-X74-W74</f>
        <v>-1981</v>
      </c>
      <c r="Z74" s="11">
        <f>-2671-Y74-X74-W74</f>
        <v>67</v>
      </c>
    </row>
    <row r="75" spans="2:26" s="3" customFormat="1" x14ac:dyDescent="0.25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334</v>
      </c>
      <c r="X75" s="11">
        <f>1185-W75</f>
        <v>851</v>
      </c>
      <c r="Y75" s="11">
        <f>2592-X75-W75</f>
        <v>1407</v>
      </c>
      <c r="Z75" s="11">
        <f>3419-Y75-X75-W75</f>
        <v>827</v>
      </c>
    </row>
    <row r="76" spans="2:26" s="3" customFormat="1" x14ac:dyDescent="0.25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3167+3011-1000-2124-5054-322-141</f>
        <v>-2463</v>
      </c>
      <c r="X76" s="11">
        <f>110-889-1532-563-5176+97+220-W76</f>
        <v>-5270</v>
      </c>
      <c r="Y76" s="11">
        <f>-1321-2797-2334-42-6366+478+860-X76-W76</f>
        <v>-3789</v>
      </c>
      <c r="Z76" s="11">
        <f>-5891-2418-1397+359-1161+1059+1043-Y76-X76-W76</f>
        <v>3116</v>
      </c>
    </row>
    <row r="77" spans="2:26" s="3" customFormat="1" x14ac:dyDescent="0.25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Z77" si="191">SUM(N69:N76)</f>
        <v>0</v>
      </c>
      <c r="O77" s="11">
        <f t="shared" si="191"/>
        <v>25106</v>
      </c>
      <c r="P77" s="11">
        <f t="shared" si="191"/>
        <v>19422</v>
      </c>
      <c r="Q77" s="11">
        <f t="shared" si="191"/>
        <v>23353</v>
      </c>
      <c r="R77" s="11">
        <f t="shared" si="191"/>
        <v>23614</v>
      </c>
      <c r="S77" s="11">
        <f t="shared" si="191"/>
        <v>23509</v>
      </c>
      <c r="T77" s="11">
        <f t="shared" si="191"/>
        <v>28666</v>
      </c>
      <c r="U77" s="11">
        <f t="shared" si="191"/>
        <v>30656</v>
      </c>
      <c r="V77" s="11">
        <f t="shared" si="191"/>
        <v>18915</v>
      </c>
      <c r="W77" s="11">
        <f t="shared" si="191"/>
        <v>28848</v>
      </c>
      <c r="X77" s="11">
        <f>SUM(X69:X76)</f>
        <v>26640</v>
      </c>
      <c r="Y77" s="11">
        <f t="shared" si="191"/>
        <v>30698</v>
      </c>
      <c r="Z77" s="11">
        <f t="shared" si="191"/>
        <v>39113</v>
      </c>
    </row>
    <row r="78" spans="2:26" s="3" customFormat="1" x14ac:dyDescent="0.25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5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-12012</v>
      </c>
      <c r="X79" s="11">
        <f>-25198-W79</f>
        <v>-13186</v>
      </c>
      <c r="Y79" s="11">
        <f>-38259-X79-W79</f>
        <v>-13061</v>
      </c>
      <c r="Z79" s="11">
        <f>-52535-Y79-X79-W79</f>
        <v>-14276</v>
      </c>
    </row>
    <row r="80" spans="2:26" s="3" customFormat="1" x14ac:dyDescent="0.25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-20684+24985-1206+313</f>
        <v>3408</v>
      </c>
      <c r="X80" s="11">
        <f>-43011+58577-2199+605-W80</f>
        <v>10564</v>
      </c>
      <c r="Y80" s="11">
        <f>-65034+81779-3234+732-X80-W80</f>
        <v>271</v>
      </c>
      <c r="Z80" s="11">
        <f>-86679+103428-5034+882-Y80-X80-W80</f>
        <v>-1646</v>
      </c>
    </row>
    <row r="81" spans="2:26" s="3" customFormat="1" x14ac:dyDescent="0.25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-61</v>
      </c>
      <c r="X81" s="11">
        <f>-87-W81</f>
        <v>-26</v>
      </c>
      <c r="Y81" s="11">
        <f>-2840-X81-W81</f>
        <v>-2753</v>
      </c>
      <c r="Z81" s="11">
        <f>-2931-Y81-X81-W81</f>
        <v>-91</v>
      </c>
    </row>
    <row r="82" spans="2:26" s="3" customFormat="1" x14ac:dyDescent="0.25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101</v>
      </c>
      <c r="X82" s="11">
        <f>-32-W82</f>
        <v>-133</v>
      </c>
      <c r="Y82" s="11">
        <f>-2500-X82-W82</f>
        <v>-2468</v>
      </c>
      <c r="Z82" s="11">
        <f>-2667-Y82-X82-W82</f>
        <v>-167</v>
      </c>
    </row>
    <row r="83" spans="2:26" s="3" customFormat="1" x14ac:dyDescent="0.25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Z83" si="192">SUM(R79:R82)</f>
        <v>-6227</v>
      </c>
      <c r="S83" s="11">
        <f t="shared" si="192"/>
        <v>-2946</v>
      </c>
      <c r="T83" s="11">
        <f t="shared" si="192"/>
        <v>-10800</v>
      </c>
      <c r="U83" s="11">
        <f t="shared" si="192"/>
        <v>-7150</v>
      </c>
      <c r="V83" s="11">
        <f t="shared" si="192"/>
        <v>-6167</v>
      </c>
      <c r="W83" s="11">
        <f t="shared" si="192"/>
        <v>-8564</v>
      </c>
      <c r="X83" s="11">
        <f t="shared" si="192"/>
        <v>-2781</v>
      </c>
      <c r="Y83" s="11">
        <f t="shared" si="192"/>
        <v>-18011</v>
      </c>
      <c r="Z83" s="11">
        <f t="shared" si="192"/>
        <v>-16180</v>
      </c>
    </row>
    <row r="84" spans="2:26" s="3" customFormat="1" x14ac:dyDescent="0.25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5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-2929</v>
      </c>
      <c r="X85" s="11">
        <f>-6138-W85</f>
        <v>-3209</v>
      </c>
      <c r="Y85" s="11">
        <f>-9141-X85-W85</f>
        <v>-3003</v>
      </c>
      <c r="Z85" s="11">
        <f>-12190-Y85-X85-W85</f>
        <v>-3049</v>
      </c>
    </row>
    <row r="86" spans="2:26" s="3" customFormat="1" x14ac:dyDescent="0.25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-15696</v>
      </c>
      <c r="X86" s="11">
        <f>-31380-W86</f>
        <v>-15684</v>
      </c>
      <c r="Y86" s="11">
        <f>-46671-X86-W86</f>
        <v>-15291</v>
      </c>
      <c r="Z86" s="11">
        <f>-62222-Y86-X86-W86</f>
        <v>-15551</v>
      </c>
    </row>
    <row r="87" spans="2:26" s="3" customFormat="1" x14ac:dyDescent="0.25">
      <c r="B87" s="3" t="s">
        <v>236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>
        <v>0</v>
      </c>
      <c r="X87" s="11">
        <f>-2466-W87</f>
        <v>-2466</v>
      </c>
      <c r="Y87" s="11">
        <f>-4921-X87-W87</f>
        <v>-2455</v>
      </c>
      <c r="Z87" s="11">
        <f>-7363-Y87-X87-W87</f>
        <v>-2442</v>
      </c>
    </row>
    <row r="88" spans="2:26" s="3" customFormat="1" x14ac:dyDescent="0.25">
      <c r="B88" s="3" t="s">
        <v>4</v>
      </c>
      <c r="C88" s="11">
        <f>315-345</f>
        <v>-30</v>
      </c>
      <c r="D88" s="11"/>
      <c r="E88" s="11"/>
      <c r="F88" s="11"/>
      <c r="G88" s="11">
        <f>1898-1947</f>
        <v>-49</v>
      </c>
      <c r="H88" s="11"/>
      <c r="I88" s="11"/>
      <c r="J88" s="11"/>
      <c r="K88" s="11"/>
      <c r="L88" s="11"/>
      <c r="M88" s="11"/>
      <c r="N88" s="11"/>
      <c r="O88" s="11">
        <f>16422-16420</f>
        <v>2</v>
      </c>
      <c r="P88" s="11">
        <f>12806-13162</f>
        <v>-356</v>
      </c>
      <c r="Q88" s="11"/>
      <c r="R88" s="11">
        <f>8550-8718</f>
        <v>-168</v>
      </c>
      <c r="S88" s="11">
        <f>6927-6952</f>
        <v>-25</v>
      </c>
      <c r="T88" s="11">
        <f>8050-8207-S88</f>
        <v>-132</v>
      </c>
      <c r="U88" s="11">
        <f>1248-1414</f>
        <v>-166</v>
      </c>
      <c r="V88" s="11">
        <f>1492-1929</f>
        <v>-437</v>
      </c>
      <c r="W88" s="11">
        <f>1982-3079</f>
        <v>-1097</v>
      </c>
      <c r="X88" s="11">
        <f>4875-5502-W88</f>
        <v>470</v>
      </c>
      <c r="Y88" s="11">
        <f>8694-8951-X88-W88</f>
        <v>370</v>
      </c>
      <c r="Z88" s="11">
        <f>13589-12701-Y88-X88-W88</f>
        <v>1145</v>
      </c>
    </row>
    <row r="89" spans="2:26" s="3" customFormat="1" x14ac:dyDescent="0.25">
      <c r="B89" s="3" t="s">
        <v>94</v>
      </c>
      <c r="C89" s="11">
        <v>47</v>
      </c>
      <c r="D89" s="11"/>
      <c r="E89" s="11"/>
      <c r="F89" s="11"/>
      <c r="G89" s="11">
        <v>1600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/>
      <c r="R89" s="11">
        <v>25</v>
      </c>
      <c r="S89" s="11">
        <v>3</v>
      </c>
      <c r="T89" s="11">
        <f>5-S89</f>
        <v>2</v>
      </c>
      <c r="U89" s="11">
        <v>3</v>
      </c>
      <c r="V89" s="11">
        <v>0</v>
      </c>
      <c r="W89" s="11">
        <v>8</v>
      </c>
      <c r="X89" s="11">
        <f>8-W89</f>
        <v>0</v>
      </c>
      <c r="Y89" s="11">
        <f>293-X89-W89</f>
        <v>285</v>
      </c>
      <c r="Z89" s="11">
        <f>1154-Y89-X89-W89</f>
        <v>861</v>
      </c>
    </row>
    <row r="90" spans="2:26" s="3" customFormat="1" x14ac:dyDescent="0.25">
      <c r="B90" s="3" t="s">
        <v>90</v>
      </c>
      <c r="C90" s="11">
        <f>SUM(C85:C89)</f>
        <v>-4183</v>
      </c>
      <c r="D90" s="11"/>
      <c r="E90" s="11"/>
      <c r="F90" s="11"/>
      <c r="G90" s="11">
        <f>SUM(G85:G89)</f>
        <v>-8186</v>
      </c>
      <c r="H90" s="11"/>
      <c r="I90" s="11"/>
      <c r="J90" s="11"/>
      <c r="K90" s="11"/>
      <c r="L90" s="11"/>
      <c r="M90" s="11"/>
      <c r="N90" s="11"/>
      <c r="O90" s="11">
        <f>SUM(O85:O89)</f>
        <v>-16214</v>
      </c>
      <c r="P90" s="11">
        <f>SUM(P85:P89)</f>
        <v>-17817</v>
      </c>
      <c r="Q90" s="11"/>
      <c r="R90" s="11">
        <f>SUM(R85:R89)</f>
        <v>-17629</v>
      </c>
      <c r="S90" s="11">
        <f>SUM(S85:S89)</f>
        <v>-16568</v>
      </c>
      <c r="T90" s="11">
        <f>SUM(T85:T89)</f>
        <v>-17835</v>
      </c>
      <c r="U90" s="11">
        <f>SUM(U85:U89)</f>
        <v>-18382</v>
      </c>
      <c r="V90" s="11">
        <f>SUM(V85:V89)</f>
        <v>-19308</v>
      </c>
      <c r="W90" s="11">
        <f>SUM(W85:W89)</f>
        <v>-19714</v>
      </c>
      <c r="X90" s="11">
        <f>SUM(X85:X89)</f>
        <v>-20889</v>
      </c>
      <c r="Y90" s="11">
        <f>SUM(Y85:Y89)</f>
        <v>-20094</v>
      </c>
      <c r="Z90" s="11">
        <f>SUM(Z85:Z89)</f>
        <v>-19036</v>
      </c>
    </row>
    <row r="91" spans="2:26" s="3" customFormat="1" x14ac:dyDescent="0.25">
      <c r="B91" s="3" t="s">
        <v>41</v>
      </c>
      <c r="C91" s="11">
        <v>18</v>
      </c>
      <c r="D91" s="11"/>
      <c r="E91" s="11"/>
      <c r="F91" s="11"/>
      <c r="G91" s="11">
        <v>-272</v>
      </c>
      <c r="H91" s="11"/>
      <c r="I91" s="11"/>
      <c r="J91" s="11"/>
      <c r="K91" s="11"/>
      <c r="L91" s="11"/>
      <c r="M91" s="11"/>
      <c r="N91" s="11"/>
      <c r="O91" s="11">
        <v>100</v>
      </c>
      <c r="P91" s="11">
        <v>-368</v>
      </c>
      <c r="Q91" s="11"/>
      <c r="R91" s="11">
        <v>137</v>
      </c>
      <c r="S91" s="11">
        <v>50</v>
      </c>
      <c r="T91" s="11">
        <f>24-S91</f>
        <v>-26</v>
      </c>
      <c r="U91" s="11">
        <v>-351</v>
      </c>
      <c r="V91" s="11">
        <v>-94</v>
      </c>
      <c r="W91" s="11">
        <v>-125</v>
      </c>
      <c r="X91" s="11">
        <f>-363-W91</f>
        <v>-238</v>
      </c>
      <c r="Y91" s="11">
        <f>-222-X91-W91</f>
        <v>141</v>
      </c>
      <c r="Z91" s="11">
        <f>-612-Y91-X91-W91</f>
        <v>-390</v>
      </c>
    </row>
    <row r="92" spans="2:26" s="3" customFormat="1" x14ac:dyDescent="0.25">
      <c r="B92" s="3" t="s">
        <v>95</v>
      </c>
      <c r="C92" s="11">
        <f>+C91+C90+C83+C77</f>
        <v>2447</v>
      </c>
      <c r="D92" s="11"/>
      <c r="E92" s="11"/>
      <c r="F92" s="11"/>
      <c r="G92" s="11">
        <f>+G91+G90+G83+G77</f>
        <v>1146</v>
      </c>
      <c r="H92" s="11"/>
      <c r="I92" s="11"/>
      <c r="J92" s="11"/>
      <c r="K92" s="11"/>
      <c r="L92" s="11"/>
      <c r="M92" s="11"/>
      <c r="N92" s="11"/>
      <c r="O92" s="11">
        <f>+O91+O90+O83+O77</f>
        <v>-59</v>
      </c>
      <c r="P92" s="11">
        <f>+P91+P90+P83+P77</f>
        <v>-2950</v>
      </c>
      <c r="Q92" s="11"/>
      <c r="R92" s="11">
        <f t="shared" ref="R92:Z92" si="193">+R91+R90+R83+R77</f>
        <v>-105</v>
      </c>
      <c r="S92" s="11">
        <f t="shared" si="193"/>
        <v>4045</v>
      </c>
      <c r="T92" s="11">
        <f t="shared" si="193"/>
        <v>5</v>
      </c>
      <c r="U92" s="11">
        <f t="shared" si="193"/>
        <v>4773</v>
      </c>
      <c r="V92" s="11">
        <f t="shared" si="193"/>
        <v>-6654</v>
      </c>
      <c r="W92" s="11">
        <f t="shared" si="193"/>
        <v>445</v>
      </c>
      <c r="X92" s="11">
        <f t="shared" si="193"/>
        <v>2732</v>
      </c>
      <c r="Y92" s="11">
        <f t="shared" si="193"/>
        <v>-7266</v>
      </c>
      <c r="Z92" s="11">
        <f t="shared" si="193"/>
        <v>3507</v>
      </c>
    </row>
    <row r="93" spans="2:26" s="3" customFormat="1" x14ac:dyDescent="0.25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2:26" s="3" customFormat="1" x14ac:dyDescent="0.25">
      <c r="B94" s="3" t="s">
        <v>37</v>
      </c>
      <c r="C94" s="11"/>
      <c r="D94" s="11"/>
      <c r="E94" s="11"/>
      <c r="F94" s="11"/>
      <c r="G94" s="11"/>
      <c r="H94" s="11"/>
      <c r="I94" s="11"/>
      <c r="J94" s="11">
        <f>J77-J79</f>
        <v>28156</v>
      </c>
      <c r="K94" s="11">
        <f>K77-K79</f>
        <v>25231</v>
      </c>
      <c r="L94" s="11"/>
      <c r="M94" s="11">
        <f t="shared" ref="M94:N94" si="194">M77-M79</f>
        <v>32358</v>
      </c>
      <c r="N94" s="11">
        <f t="shared" si="194"/>
        <v>6383</v>
      </c>
      <c r="O94" s="11">
        <f>O77+O79</f>
        <v>15320</v>
      </c>
      <c r="P94" s="11">
        <f t="shared" ref="P94:S94" si="195">P77+P79</f>
        <v>12594</v>
      </c>
      <c r="Q94" s="11">
        <f t="shared" si="195"/>
        <v>16077</v>
      </c>
      <c r="R94" s="11">
        <f t="shared" si="195"/>
        <v>16019</v>
      </c>
      <c r="S94" s="11">
        <f t="shared" si="195"/>
        <v>17220</v>
      </c>
      <c r="T94" s="11">
        <f>T77+T79</f>
        <v>21778</v>
      </c>
      <c r="U94" s="11">
        <f>U77+U79</f>
        <v>22601</v>
      </c>
      <c r="V94" s="11">
        <f>V77+V79</f>
        <v>7896</v>
      </c>
      <c r="W94" s="11">
        <f>W77+W79</f>
        <v>16836</v>
      </c>
      <c r="X94" s="11">
        <f>X77+X79</f>
        <v>13454</v>
      </c>
      <c r="Y94" s="11">
        <f>Y77+Y79</f>
        <v>17637</v>
      </c>
      <c r="Z94" s="11">
        <f>Z77+Z79</f>
        <v>24837</v>
      </c>
    </row>
    <row r="95" spans="2:26" s="9" customFormat="1" ht="13" x14ac:dyDescent="0.3">
      <c r="B95" s="9" t="s">
        <v>208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>
        <f t="shared" ref="N95:T95" si="196">SUM(K94:N94)</f>
        <v>63972</v>
      </c>
      <c r="O95" s="10">
        <f t="shared" si="196"/>
        <v>54061</v>
      </c>
      <c r="P95" s="10">
        <f t="shared" si="196"/>
        <v>66655</v>
      </c>
      <c r="Q95" s="10">
        <f t="shared" si="196"/>
        <v>50374</v>
      </c>
      <c r="R95" s="10">
        <f t="shared" si="196"/>
        <v>60010</v>
      </c>
      <c r="S95" s="10">
        <f t="shared" si="196"/>
        <v>61910</v>
      </c>
      <c r="T95" s="10">
        <f t="shared" si="196"/>
        <v>71094</v>
      </c>
      <c r="U95" s="10">
        <f>SUM(R94:U94)</f>
        <v>77618</v>
      </c>
      <c r="V95" s="10">
        <f>SUM(S94:V94)</f>
        <v>69495</v>
      </c>
      <c r="W95" s="10">
        <f>SUM(T94:W94)</f>
        <v>69111</v>
      </c>
      <c r="X95" s="10">
        <f>SUM(U94:X94)</f>
        <v>60787</v>
      </c>
      <c r="Y95" s="10">
        <f>SUM(V94:Y94)</f>
        <v>55823</v>
      </c>
      <c r="Z95" s="10">
        <f>SUM(W94:Z94)</f>
        <v>72764</v>
      </c>
    </row>
    <row r="96" spans="2:26" x14ac:dyDescent="0.25">
      <c r="R96" s="11"/>
    </row>
    <row r="97" spans="2:40" s="3" customFormat="1" x14ac:dyDescent="0.25">
      <c r="B97" s="3" t="s">
        <v>52</v>
      </c>
      <c r="C97" s="11">
        <v>103459</v>
      </c>
      <c r="D97" s="11"/>
      <c r="E97" s="11"/>
      <c r="F97" s="11"/>
      <c r="G97" s="11">
        <v>123048</v>
      </c>
      <c r="H97" s="11"/>
      <c r="I97" s="11"/>
      <c r="J97" s="11"/>
      <c r="K97" s="11">
        <v>139995</v>
      </c>
      <c r="L97" s="11">
        <v>144056</v>
      </c>
      <c r="M97" s="11">
        <v>150028</v>
      </c>
      <c r="N97" s="11">
        <v>156500</v>
      </c>
      <c r="O97" s="11">
        <v>163906</v>
      </c>
      <c r="P97" s="11">
        <v>174014</v>
      </c>
      <c r="Q97" s="11">
        <v>186779</v>
      </c>
      <c r="R97" s="11">
        <v>190234</v>
      </c>
      <c r="S97" s="11">
        <v>190711</v>
      </c>
      <c r="T97" s="11">
        <v>181798</v>
      </c>
      <c r="U97" s="11">
        <v>182381</v>
      </c>
      <c r="V97" s="11">
        <v>182502</v>
      </c>
      <c r="W97" s="11">
        <v>180895</v>
      </c>
      <c r="X97" s="11">
        <v>181798</v>
      </c>
      <c r="Y97" s="11"/>
      <c r="Z97" s="11"/>
    </row>
    <row r="98" spans="2:40" x14ac:dyDescent="0.25">
      <c r="B98" s="3" t="s">
        <v>81</v>
      </c>
      <c r="O98" s="15">
        <f t="shared" ref="O98:X98" si="197">+O97/K97-1</f>
        <v>0.17079895710561099</v>
      </c>
      <c r="P98" s="15">
        <f t="shared" si="197"/>
        <v>0.20796079302493475</v>
      </c>
      <c r="Q98" s="15">
        <f t="shared" si="197"/>
        <v>0.24496094062441687</v>
      </c>
      <c r="R98" s="15">
        <f t="shared" si="197"/>
        <v>0.21555271565495215</v>
      </c>
      <c r="S98" s="15">
        <f t="shared" si="197"/>
        <v>0.16353885763791443</v>
      </c>
      <c r="T98" s="15">
        <f t="shared" si="197"/>
        <v>4.4732033054811771E-2</v>
      </c>
      <c r="U98" s="15">
        <f t="shared" si="197"/>
        <v>-2.3546544311726647E-2</v>
      </c>
      <c r="V98" s="15">
        <f t="shared" si="197"/>
        <v>-4.0644679710251541E-2</v>
      </c>
      <c r="W98" s="15">
        <f t="shared" si="197"/>
        <v>-5.1470549679882072E-2</v>
      </c>
      <c r="X98" s="15">
        <f t="shared" si="197"/>
        <v>0</v>
      </c>
    </row>
    <row r="99" spans="2:40" x14ac:dyDescent="0.25">
      <c r="B99" s="3" t="s">
        <v>100</v>
      </c>
      <c r="G99" s="11">
        <f>+G16/G97*1000</f>
        <v>334.49548143813797</v>
      </c>
      <c r="K99" s="11">
        <f t="shared" ref="K99:X99" si="198">+K16/K97*1000</f>
        <v>395.11411121825779</v>
      </c>
      <c r="L99" s="11">
        <f t="shared" si="198"/>
        <v>429.55517298828232</v>
      </c>
      <c r="M99" s="11">
        <f t="shared" si="198"/>
        <v>434.03897939051376</v>
      </c>
      <c r="N99" s="11">
        <f t="shared" si="198"/>
        <v>481.30990415335464</v>
      </c>
      <c r="O99" s="11">
        <f t="shared" si="198"/>
        <v>414.93905043134475</v>
      </c>
      <c r="P99" s="11">
        <f t="shared" si="198"/>
        <v>400.45628512648409</v>
      </c>
      <c r="Q99" s="11">
        <f t="shared" si="198"/>
        <v>369.91310586307884</v>
      </c>
      <c r="R99" s="11">
        <f t="shared" si="198"/>
        <v>399.76029521536634</v>
      </c>
      <c r="S99" s="11">
        <f t="shared" si="198"/>
        <v>365.93064899245451</v>
      </c>
      <c r="T99" s="11">
        <f t="shared" si="198"/>
        <v>410.36755079813861</v>
      </c>
      <c r="U99" s="11">
        <f t="shared" si="198"/>
        <v>420.50981187733373</v>
      </c>
      <c r="V99" s="11">
        <f t="shared" si="198"/>
        <v>472.92632409507837</v>
      </c>
      <c r="W99" s="11">
        <f t="shared" si="198"/>
        <v>445.22513060062471</v>
      </c>
      <c r="X99" s="11">
        <f t="shared" si="198"/>
        <v>466.1327407342215</v>
      </c>
    </row>
    <row r="102" spans="2:40" x14ac:dyDescent="0.25">
      <c r="B102" s="3" t="s">
        <v>105</v>
      </c>
      <c r="AG102">
        <v>37.94</v>
      </c>
      <c r="AH102">
        <v>38.590000000000003</v>
      </c>
      <c r="AI102">
        <v>52.32</v>
      </c>
      <c r="AJ102">
        <v>51.78</v>
      </c>
      <c r="AK102">
        <v>66.849999999999994</v>
      </c>
      <c r="AL102">
        <v>87.59</v>
      </c>
      <c r="AM102">
        <v>144.68</v>
      </c>
      <c r="AN102">
        <v>88.73</v>
      </c>
    </row>
    <row r="103" spans="2:40" x14ac:dyDescent="0.25">
      <c r="AN103" s="5">
        <f>AN102/AG102-1</f>
        <v>1.3386926726410122</v>
      </c>
    </row>
    <row r="105" spans="2:40" x14ac:dyDescent="0.25">
      <c r="B105" t="s">
        <v>106</v>
      </c>
      <c r="AG105" s="3">
        <v>5007.41</v>
      </c>
      <c r="AH105" s="3">
        <v>5383.12</v>
      </c>
      <c r="AI105" s="3">
        <v>6903.39</v>
      </c>
      <c r="AJ105" s="3">
        <v>6635.28</v>
      </c>
      <c r="AK105" s="3">
        <v>8972.6</v>
      </c>
      <c r="AL105" s="3">
        <v>12888.28</v>
      </c>
      <c r="AM105" s="3">
        <v>15644.97</v>
      </c>
      <c r="AN105" s="3">
        <v>10466.48</v>
      </c>
    </row>
    <row r="106" spans="2:40" x14ac:dyDescent="0.25">
      <c r="AN106" s="5">
        <f>AN105/AG105-1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2025-02-26T16:24:38Z</dcterms:modified>
</cp:coreProperties>
</file>