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A632B391-C5E6-4025-92A7-6183C5E5FD6B}" xr6:coauthVersionLast="47" xr6:coauthVersionMax="47" xr10:uidLastSave="{00000000-0000-0000-0000-000000000000}"/>
  <bookViews>
    <workbookView xWindow="9050" yWindow="4000" windowWidth="28800" windowHeight="1537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9" i="2" l="1"/>
  <c r="Z46" i="2" l="1"/>
  <c r="Y46" i="2"/>
  <c r="X46" i="2"/>
  <c r="Z47" i="2"/>
  <c r="Y47" i="2"/>
  <c r="Z44" i="2"/>
  <c r="Y44" i="2"/>
  <c r="Z45" i="2"/>
  <c r="Y45" i="2"/>
  <c r="Z43" i="2"/>
  <c r="Y43" i="2"/>
  <c r="Y55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55" i="2"/>
  <c r="X55" i="2"/>
  <c r="Z31" i="2"/>
  <c r="Y31" i="2"/>
  <c r="Z30" i="2"/>
  <c r="Y30" i="2"/>
  <c r="Z28" i="2"/>
  <c r="Z27" i="2"/>
  <c r="Y28" i="2"/>
  <c r="Y27" i="2"/>
  <c r="Z26" i="2"/>
  <c r="Y26" i="2"/>
  <c r="W62" i="2"/>
  <c r="BJ20" i="2"/>
  <c r="BI20" i="2"/>
  <c r="BH20" i="2"/>
  <c r="BG20" i="2"/>
  <c r="BF20" i="2"/>
  <c r="BE20" i="2"/>
  <c r="BD20" i="2"/>
  <c r="BK20" i="2"/>
  <c r="BK7" i="2"/>
  <c r="V18" i="2"/>
  <c r="V16" i="2"/>
  <c r="V15" i="2"/>
  <c r="V14" i="2"/>
  <c r="V13" i="2"/>
  <c r="V12" i="2"/>
  <c r="V11" i="2"/>
  <c r="V10" i="2"/>
  <c r="V9" i="2"/>
  <c r="V8" i="2"/>
  <c r="W5" i="2"/>
  <c r="X49" i="2"/>
  <c r="X42" i="2"/>
  <c r="X43" i="2" s="1"/>
  <c r="X47" i="2"/>
  <c r="X39" i="2"/>
  <c r="X38" i="2"/>
  <c r="X37" i="2"/>
  <c r="X36" i="2"/>
  <c r="X31" i="2"/>
  <c r="X30" i="2"/>
  <c r="W111" i="2"/>
  <c r="W104" i="2"/>
  <c r="W106" i="2" s="1"/>
  <c r="W101" i="2"/>
  <c r="W100" i="2"/>
  <c r="W95" i="2"/>
  <c r="W97" i="2" s="1"/>
  <c r="W90" i="2"/>
  <c r="W91" i="2" s="1"/>
  <c r="W108" i="2" s="1"/>
  <c r="W20" i="2"/>
  <c r="W53" i="2"/>
  <c r="W54" i="2"/>
  <c r="W59" i="2"/>
  <c r="W58" i="2"/>
  <c r="W52" i="2"/>
  <c r="W77" i="2"/>
  <c r="W76" i="2"/>
  <c r="W74" i="2"/>
  <c r="W82" i="2" s="1"/>
  <c r="W69" i="2"/>
  <c r="W63" i="2"/>
  <c r="W40" i="2"/>
  <c r="W35" i="2"/>
  <c r="U101" i="2"/>
  <c r="U100" i="2"/>
  <c r="U95" i="2"/>
  <c r="U90" i="2"/>
  <c r="U76" i="2"/>
  <c r="U77" i="2"/>
  <c r="U74" i="2"/>
  <c r="U69" i="2"/>
  <c r="U63" i="2"/>
  <c r="U35" i="2"/>
  <c r="X44" i="2" l="1"/>
  <c r="X45" i="2"/>
  <c r="X40" i="2"/>
  <c r="X41" i="2" s="1"/>
  <c r="W71" i="2"/>
  <c r="U20" i="2"/>
  <c r="V20" i="2"/>
  <c r="T20" i="2"/>
  <c r="S20" i="2"/>
  <c r="R20" i="2"/>
  <c r="Q20" i="2"/>
  <c r="P20" i="2"/>
  <c r="V5" i="2"/>
  <c r="U5" i="2"/>
  <c r="T5" i="2"/>
  <c r="S5" i="2"/>
  <c r="W32" i="2"/>
  <c r="V54" i="2"/>
  <c r="U54" i="2"/>
  <c r="V53" i="2"/>
  <c r="U53" i="2"/>
  <c r="V52" i="2"/>
  <c r="U52" i="2"/>
  <c r="V51" i="2"/>
  <c r="U51" i="2"/>
  <c r="V111" i="2"/>
  <c r="V112" i="2" s="1"/>
  <c r="U111" i="2"/>
  <c r="U112" i="2" s="1"/>
  <c r="U104" i="2"/>
  <c r="V101" i="2"/>
  <c r="V100" i="2"/>
  <c r="V104" i="2" s="1"/>
  <c r="V95" i="2"/>
  <c r="V97" i="2" s="1"/>
  <c r="U97" i="2"/>
  <c r="U91" i="2"/>
  <c r="V90" i="2"/>
  <c r="V91" i="2" s="1"/>
  <c r="V108" i="2" s="1"/>
  <c r="V76" i="2"/>
  <c r="V77" i="2"/>
  <c r="V74" i="2"/>
  <c r="U82" i="2"/>
  <c r="V63" i="2"/>
  <c r="U71" i="2"/>
  <c r="V69" i="2"/>
  <c r="V71" i="2" s="1"/>
  <c r="V40" i="2"/>
  <c r="V35" i="2"/>
  <c r="Z32" i="2"/>
  <c r="Y32" i="2"/>
  <c r="X32" i="2"/>
  <c r="F18" i="2"/>
  <c r="F16" i="2"/>
  <c r="F15" i="2"/>
  <c r="F14" i="2"/>
  <c r="F13" i="2"/>
  <c r="F12" i="2"/>
  <c r="F11" i="2"/>
  <c r="F10" i="2"/>
  <c r="F9" i="2"/>
  <c r="F8" i="2"/>
  <c r="G54" i="2"/>
  <c r="G53" i="2"/>
  <c r="G52" i="2"/>
  <c r="K111" i="2"/>
  <c r="G101" i="2"/>
  <c r="G104" i="2"/>
  <c r="G95" i="2"/>
  <c r="G97" i="2" s="1"/>
  <c r="G90" i="2"/>
  <c r="G91" i="2" s="1"/>
  <c r="G108" i="2" s="1"/>
  <c r="G76" i="2"/>
  <c r="G77" i="2"/>
  <c r="G74" i="2"/>
  <c r="G69" i="2"/>
  <c r="G63" i="2"/>
  <c r="C59" i="2"/>
  <c r="C58" i="2"/>
  <c r="C40" i="2"/>
  <c r="C35" i="2"/>
  <c r="C32" i="2"/>
  <c r="S111" i="2"/>
  <c r="W112" i="2" s="1"/>
  <c r="R111" i="2"/>
  <c r="Q111" i="2"/>
  <c r="P111" i="2"/>
  <c r="O111" i="2"/>
  <c r="N111" i="2"/>
  <c r="M111" i="2"/>
  <c r="L111" i="2"/>
  <c r="T111" i="2"/>
  <c r="H101" i="2"/>
  <c r="H104" i="2" s="1"/>
  <c r="H95" i="2"/>
  <c r="H97" i="2" s="1"/>
  <c r="H90" i="2"/>
  <c r="H91" i="2" s="1"/>
  <c r="H108" i="2" s="1"/>
  <c r="H77" i="2"/>
  <c r="H76" i="2"/>
  <c r="H74" i="2"/>
  <c r="H82" i="2" s="1"/>
  <c r="H63" i="2"/>
  <c r="H69" i="2"/>
  <c r="D59" i="2"/>
  <c r="D58" i="2"/>
  <c r="H54" i="2"/>
  <c r="H53" i="2"/>
  <c r="H52" i="2"/>
  <c r="D40" i="2"/>
  <c r="D35" i="2"/>
  <c r="D32" i="2"/>
  <c r="I54" i="2"/>
  <c r="I53" i="2"/>
  <c r="I52" i="2"/>
  <c r="E59" i="2"/>
  <c r="E58" i="2"/>
  <c r="E40" i="2"/>
  <c r="E35" i="2"/>
  <c r="E32" i="2"/>
  <c r="BI7" i="2"/>
  <c r="J7" i="2"/>
  <c r="J18" i="2"/>
  <c r="J16" i="2"/>
  <c r="J15" i="2"/>
  <c r="J14" i="2"/>
  <c r="J13" i="2"/>
  <c r="J12" i="2"/>
  <c r="J11" i="2"/>
  <c r="J10" i="2"/>
  <c r="J9" i="2"/>
  <c r="J8" i="2"/>
  <c r="N16" i="2"/>
  <c r="N18" i="2"/>
  <c r="N15" i="2"/>
  <c r="N14" i="2"/>
  <c r="N13" i="2"/>
  <c r="N12" i="2"/>
  <c r="N11" i="2"/>
  <c r="N10" i="2"/>
  <c r="N9" i="2"/>
  <c r="N8" i="2"/>
  <c r="R18" i="2"/>
  <c r="R16" i="2"/>
  <c r="R15" i="2"/>
  <c r="R14" i="2"/>
  <c r="R13" i="2"/>
  <c r="R12" i="2"/>
  <c r="R11" i="2"/>
  <c r="R10" i="2"/>
  <c r="R9" i="2"/>
  <c r="R8" i="2"/>
  <c r="T53" i="2"/>
  <c r="S100" i="2"/>
  <c r="S101" i="2"/>
  <c r="S95" i="2"/>
  <c r="S97" i="2" s="1"/>
  <c r="S90" i="2"/>
  <c r="S91" i="2" s="1"/>
  <c r="S108" i="2" s="1"/>
  <c r="S74" i="2"/>
  <c r="S77" i="2"/>
  <c r="W51" i="2" s="1"/>
  <c r="S76" i="2"/>
  <c r="S63" i="2"/>
  <c r="S69" i="2"/>
  <c r="T54" i="2"/>
  <c r="S54" i="2"/>
  <c r="T52" i="2"/>
  <c r="S52" i="2"/>
  <c r="S53" i="2"/>
  <c r="S35" i="2"/>
  <c r="T32" i="2"/>
  <c r="T101" i="2"/>
  <c r="T100" i="2"/>
  <c r="T104" i="2" s="1"/>
  <c r="T95" i="2"/>
  <c r="T97" i="2" s="1"/>
  <c r="T90" i="2"/>
  <c r="T91" i="2" s="1"/>
  <c r="T108" i="2" s="1"/>
  <c r="T76" i="2"/>
  <c r="T77" i="2"/>
  <c r="T74" i="2"/>
  <c r="T63" i="2"/>
  <c r="T69" i="2"/>
  <c r="U62" i="2"/>
  <c r="T35" i="2"/>
  <c r="S59" i="2"/>
  <c r="BJ7" i="2"/>
  <c r="L54" i="2"/>
  <c r="K54" i="2"/>
  <c r="J54" i="2"/>
  <c r="L53" i="2"/>
  <c r="K53" i="2"/>
  <c r="J53" i="2"/>
  <c r="L52" i="2"/>
  <c r="K52" i="2"/>
  <c r="J52" i="2"/>
  <c r="M54" i="2"/>
  <c r="M53" i="2"/>
  <c r="M52" i="2"/>
  <c r="R52" i="2"/>
  <c r="P52" i="2"/>
  <c r="O52" i="2"/>
  <c r="N52" i="2"/>
  <c r="P54" i="2"/>
  <c r="O54" i="2"/>
  <c r="N54" i="2"/>
  <c r="R54" i="2"/>
  <c r="R53" i="2"/>
  <c r="P53" i="2"/>
  <c r="O53" i="2"/>
  <c r="N53" i="2"/>
  <c r="R5" i="2"/>
  <c r="Q5" i="2"/>
  <c r="P5" i="2"/>
  <c r="I101" i="2"/>
  <c r="I104" i="2" s="1"/>
  <c r="I95" i="2"/>
  <c r="I97" i="2" s="1"/>
  <c r="I90" i="2"/>
  <c r="I91" i="2" s="1"/>
  <c r="I108" i="2" s="1"/>
  <c r="I76" i="2"/>
  <c r="I77" i="2"/>
  <c r="I74" i="2"/>
  <c r="I69" i="2"/>
  <c r="I63" i="2"/>
  <c r="J101" i="2"/>
  <c r="J104" i="2" s="1"/>
  <c r="J95" i="2"/>
  <c r="J97" i="2" s="1"/>
  <c r="J90" i="2"/>
  <c r="J91" i="2" s="1"/>
  <c r="J108" i="2" s="1"/>
  <c r="J76" i="2"/>
  <c r="J77" i="2"/>
  <c r="J74" i="2"/>
  <c r="J63" i="2"/>
  <c r="J69" i="2"/>
  <c r="Q101" i="2"/>
  <c r="Q104" i="2" s="1"/>
  <c r="Q95" i="2"/>
  <c r="Q97" i="2" s="1"/>
  <c r="Q90" i="2"/>
  <c r="Q91" i="2" s="1"/>
  <c r="Q108" i="2" s="1"/>
  <c r="R100" i="2"/>
  <c r="R104" i="2" s="1"/>
  <c r="R95" i="2"/>
  <c r="R97" i="2" s="1"/>
  <c r="R90" i="2"/>
  <c r="R91" i="2" s="1"/>
  <c r="R108" i="2" s="1"/>
  <c r="R76" i="2"/>
  <c r="R77" i="2"/>
  <c r="R74" i="2"/>
  <c r="R69" i="2"/>
  <c r="R63" i="2"/>
  <c r="R35" i="2"/>
  <c r="BC59" i="2"/>
  <c r="BC58" i="2"/>
  <c r="BC40" i="2"/>
  <c r="BC35" i="2"/>
  <c r="BC32" i="2"/>
  <c r="BC49" i="2" s="1"/>
  <c r="BC117" i="2"/>
  <c r="BC118" i="2" s="1"/>
  <c r="BB49" i="2"/>
  <c r="BB40" i="2"/>
  <c r="BB36" i="2"/>
  <c r="BB117" i="2"/>
  <c r="BB118" i="2" s="1"/>
  <c r="BA80" i="2"/>
  <c r="BA77" i="2"/>
  <c r="BA76" i="2"/>
  <c r="BA74" i="2"/>
  <c r="BA69" i="2"/>
  <c r="BA66" i="2"/>
  <c r="BA63" i="2"/>
  <c r="BA49" i="2"/>
  <c r="BA40" i="2"/>
  <c r="BA36" i="2"/>
  <c r="BA117" i="2"/>
  <c r="BA118" i="2" s="1"/>
  <c r="AZ80" i="2"/>
  <c r="AZ77" i="2"/>
  <c r="AZ74" i="2"/>
  <c r="AZ69" i="2"/>
  <c r="AZ66" i="2"/>
  <c r="AZ63" i="2"/>
  <c r="AZ49" i="2"/>
  <c r="AZ40" i="2"/>
  <c r="AZ36" i="2"/>
  <c r="AZ55" i="2" s="1"/>
  <c r="AZ117" i="2"/>
  <c r="AZ118" i="2" s="1"/>
  <c r="AZ124" i="2" s="1"/>
  <c r="AY80" i="2"/>
  <c r="AY77" i="2"/>
  <c r="AY74" i="2"/>
  <c r="AY69" i="2"/>
  <c r="AY66" i="2"/>
  <c r="AY63" i="2"/>
  <c r="AY49" i="2"/>
  <c r="AY40" i="2"/>
  <c r="AY36" i="2"/>
  <c r="AY55" i="2" s="1"/>
  <c r="AY117" i="2"/>
  <c r="AY118" i="2" s="1"/>
  <c r="AY124" i="2" s="1"/>
  <c r="AX80" i="2"/>
  <c r="AX78" i="2"/>
  <c r="AX77" i="2"/>
  <c r="AX69" i="2"/>
  <c r="AX70" i="2"/>
  <c r="AX66" i="2"/>
  <c r="AX63" i="2"/>
  <c r="AX62" i="2" s="1"/>
  <c r="AX49" i="2"/>
  <c r="AX40" i="2"/>
  <c r="AX36" i="2"/>
  <c r="AX55" i="2" s="1"/>
  <c r="AX117" i="2"/>
  <c r="AX118" i="2" s="1"/>
  <c r="AW80" i="2"/>
  <c r="AW77" i="2"/>
  <c r="AW74" i="2"/>
  <c r="AW69" i="2"/>
  <c r="AW66" i="2"/>
  <c r="AW63" i="2"/>
  <c r="AW49" i="2"/>
  <c r="AW40" i="2"/>
  <c r="AW36" i="2"/>
  <c r="AW55" i="2" s="1"/>
  <c r="AW117" i="2"/>
  <c r="AW118" i="2" s="1"/>
  <c r="AV80" i="2"/>
  <c r="AV74" i="2"/>
  <c r="AV77" i="2"/>
  <c r="AV76" i="2"/>
  <c r="AV73" i="2"/>
  <c r="AV70" i="2"/>
  <c r="AV69" i="2"/>
  <c r="AV66" i="2"/>
  <c r="AV63" i="2"/>
  <c r="AV49" i="2"/>
  <c r="AV40" i="2"/>
  <c r="AV36" i="2"/>
  <c r="AV117" i="2"/>
  <c r="AV118" i="2" s="1"/>
  <c r="AU80" i="2"/>
  <c r="AU77" i="2"/>
  <c r="AU63" i="2"/>
  <c r="AU62" i="2" s="1"/>
  <c r="AU70" i="2"/>
  <c r="AU69" i="2"/>
  <c r="AU66" i="2"/>
  <c r="AU40" i="2"/>
  <c r="AU36" i="2"/>
  <c r="AU55" i="2" s="1"/>
  <c r="AU49" i="2"/>
  <c r="AU117" i="2"/>
  <c r="AU118" i="2" s="1"/>
  <c r="AT80" i="2"/>
  <c r="AT77" i="2"/>
  <c r="AT70" i="2"/>
  <c r="AT69" i="2"/>
  <c r="AT66" i="2"/>
  <c r="AT63" i="2"/>
  <c r="AT62" i="2" s="1"/>
  <c r="AT40" i="2"/>
  <c r="AT36" i="2"/>
  <c r="AT55" i="2" s="1"/>
  <c r="AT49" i="2"/>
  <c r="AT117" i="2"/>
  <c r="AT118" i="2" s="1"/>
  <c r="AT124" i="2" s="1"/>
  <c r="AS80" i="2"/>
  <c r="AS77" i="2"/>
  <c r="AS70" i="2"/>
  <c r="AS69" i="2"/>
  <c r="AS66" i="2"/>
  <c r="AS63" i="2"/>
  <c r="AS62" i="2" s="1"/>
  <c r="AS40" i="2"/>
  <c r="AS36" i="2"/>
  <c r="AS49" i="2"/>
  <c r="AS117" i="2"/>
  <c r="AS118" i="2" s="1"/>
  <c r="AS124" i="2" s="1"/>
  <c r="AR77" i="2"/>
  <c r="AR76" i="2"/>
  <c r="AR70" i="2"/>
  <c r="AR69" i="2"/>
  <c r="AR66" i="2"/>
  <c r="AR63" i="2"/>
  <c r="AR62" i="2" s="1"/>
  <c r="AR40" i="2"/>
  <c r="AR36" i="2"/>
  <c r="AR49" i="2"/>
  <c r="AR117" i="2"/>
  <c r="AR118" i="2" s="1"/>
  <c r="AR124" i="2" s="1"/>
  <c r="AQ77" i="2"/>
  <c r="AQ82" i="2" s="1"/>
  <c r="AQ70" i="2"/>
  <c r="AQ69" i="2"/>
  <c r="AQ66" i="2"/>
  <c r="AQ63" i="2"/>
  <c r="AQ62" i="2" s="1"/>
  <c r="AQ40" i="2"/>
  <c r="AQ36" i="2"/>
  <c r="AQ55" i="2" s="1"/>
  <c r="AQ49" i="2"/>
  <c r="AQ117" i="2"/>
  <c r="AQ118" i="2" s="1"/>
  <c r="AP80" i="2"/>
  <c r="AP77" i="2"/>
  <c r="AP69" i="2"/>
  <c r="AP63" i="2"/>
  <c r="AP62" i="2" s="1"/>
  <c r="AP66" i="2"/>
  <c r="AP40" i="2"/>
  <c r="AP36" i="2"/>
  <c r="AP49" i="2"/>
  <c r="AP117" i="2"/>
  <c r="AP118" i="2" s="1"/>
  <c r="AO80" i="2"/>
  <c r="AO77" i="2"/>
  <c r="AO69" i="2"/>
  <c r="AO63" i="2"/>
  <c r="AO62" i="2" s="1"/>
  <c r="AO66" i="2"/>
  <c r="AO49" i="2"/>
  <c r="AO40" i="2"/>
  <c r="AO36" i="2"/>
  <c r="AO117" i="2"/>
  <c r="AO118" i="2" s="1"/>
  <c r="AO124" i="2" s="1"/>
  <c r="AN80" i="2"/>
  <c r="AN82" i="2" s="1"/>
  <c r="AN66" i="2"/>
  <c r="AN63" i="2"/>
  <c r="AN62" i="2" s="1"/>
  <c r="AN40" i="2"/>
  <c r="AN36" i="2"/>
  <c r="AN55" i="2" s="1"/>
  <c r="AN49" i="2"/>
  <c r="AN117" i="2"/>
  <c r="AN118" i="2" s="1"/>
  <c r="AN124" i="2" s="1"/>
  <c r="AM82" i="2"/>
  <c r="AM66" i="2"/>
  <c r="AM63" i="2"/>
  <c r="AM42" i="2"/>
  <c r="AM40" i="2"/>
  <c r="AM36" i="2"/>
  <c r="AM49" i="2"/>
  <c r="AM117" i="2"/>
  <c r="AM118" i="2" s="1"/>
  <c r="AK123" i="2"/>
  <c r="AG123" i="2"/>
  <c r="AL82" i="2"/>
  <c r="AL63" i="2"/>
  <c r="AL71" i="2" s="1"/>
  <c r="AL42" i="2"/>
  <c r="AL40" i="2"/>
  <c r="AL36" i="2"/>
  <c r="AL55" i="2" s="1"/>
  <c r="AL49" i="2"/>
  <c r="AL117" i="2"/>
  <c r="AL118" i="2" s="1"/>
  <c r="AL124" i="2" s="1"/>
  <c r="AK82" i="2"/>
  <c r="AK63" i="2"/>
  <c r="AK71" i="2" s="1"/>
  <c r="AK49" i="2"/>
  <c r="AK36" i="2"/>
  <c r="AK55" i="2" s="1"/>
  <c r="AK44" i="2"/>
  <c r="AK42" i="2"/>
  <c r="AK40" i="2"/>
  <c r="AK117" i="2"/>
  <c r="AK118" i="2" s="1"/>
  <c r="AK124" i="2" s="1"/>
  <c r="AJ117" i="2"/>
  <c r="AJ118" i="2" s="1"/>
  <c r="AJ81" i="2"/>
  <c r="AJ82" i="2" s="1"/>
  <c r="AJ63" i="2"/>
  <c r="AJ71" i="2" s="1"/>
  <c r="AJ42" i="2"/>
  <c r="AJ49" i="2"/>
  <c r="AJ40" i="2"/>
  <c r="AJ36" i="2"/>
  <c r="AJ55" i="2" s="1"/>
  <c r="AI80" i="2"/>
  <c r="AI82" i="2" s="1"/>
  <c r="AI71" i="2"/>
  <c r="AI62" i="2"/>
  <c r="AI42" i="2"/>
  <c r="AI40" i="2"/>
  <c r="AI36" i="2"/>
  <c r="AI55" i="2" s="1"/>
  <c r="AG49" i="2"/>
  <c r="AI49" i="2"/>
  <c r="AI117" i="2"/>
  <c r="AI118" i="2" s="1"/>
  <c r="AI124" i="2" s="1"/>
  <c r="AH80" i="2"/>
  <c r="AH82" i="2" s="1"/>
  <c r="AH71" i="2"/>
  <c r="AH62" i="2"/>
  <c r="AH42" i="2"/>
  <c r="AH40" i="2"/>
  <c r="AH36" i="2"/>
  <c r="AH49" i="2"/>
  <c r="AH117" i="2"/>
  <c r="AH118" i="2" s="1"/>
  <c r="AG117" i="2"/>
  <c r="AG118" i="2" s="1"/>
  <c r="AD42" i="2"/>
  <c r="AC42" i="2"/>
  <c r="AD40" i="2"/>
  <c r="AC40" i="2"/>
  <c r="AD36" i="2"/>
  <c r="AD55" i="2" s="1"/>
  <c r="AC36" i="2"/>
  <c r="AC55" i="2" s="1"/>
  <c r="AG82" i="2"/>
  <c r="AG63" i="2"/>
  <c r="AG71" i="2" s="1"/>
  <c r="AE42" i="2"/>
  <c r="AE40" i="2"/>
  <c r="AE36" i="2"/>
  <c r="AE55" i="2" s="1"/>
  <c r="AF42" i="2"/>
  <c r="AF40" i="2"/>
  <c r="AF36" i="2"/>
  <c r="AF55" i="2" s="1"/>
  <c r="AG42" i="2"/>
  <c r="AG40" i="2"/>
  <c r="AG36" i="2"/>
  <c r="AF49" i="2"/>
  <c r="AE49" i="2"/>
  <c r="AD49" i="2"/>
  <c r="Q76" i="2"/>
  <c r="Q77" i="2"/>
  <c r="Q74" i="2"/>
  <c r="Q69" i="2"/>
  <c r="Q63" i="2"/>
  <c r="Q35" i="2"/>
  <c r="Q32" i="2"/>
  <c r="Q59" i="2"/>
  <c r="BG59" i="2"/>
  <c r="BF59" i="2"/>
  <c r="BE59" i="2"/>
  <c r="BG58" i="2"/>
  <c r="BF58" i="2"/>
  <c r="BE58" i="2"/>
  <c r="BD59" i="2"/>
  <c r="BD58" i="2"/>
  <c r="R59" i="2"/>
  <c r="G59" i="2"/>
  <c r="F59" i="2"/>
  <c r="I58" i="2"/>
  <c r="H58" i="2"/>
  <c r="G58" i="2"/>
  <c r="F58" i="2"/>
  <c r="K59" i="2"/>
  <c r="J59" i="2"/>
  <c r="I59" i="2"/>
  <c r="H59" i="2"/>
  <c r="L58" i="2"/>
  <c r="K58" i="2"/>
  <c r="J58" i="2"/>
  <c r="O59" i="2"/>
  <c r="N59" i="2"/>
  <c r="M59" i="2"/>
  <c r="L59" i="2"/>
  <c r="P59" i="2"/>
  <c r="O58" i="2"/>
  <c r="N58" i="2"/>
  <c r="M58" i="2"/>
  <c r="P58" i="2"/>
  <c r="V59" i="2"/>
  <c r="Q54" i="2"/>
  <c r="Q53" i="2"/>
  <c r="BJ26" i="2"/>
  <c r="P32" i="2"/>
  <c r="P101" i="2"/>
  <c r="P104" i="2" s="1"/>
  <c r="P95" i="2"/>
  <c r="P97" i="2" s="1"/>
  <c r="P90" i="2"/>
  <c r="P91" i="2" s="1"/>
  <c r="P108" i="2" s="1"/>
  <c r="P77" i="2"/>
  <c r="P76" i="2"/>
  <c r="P74" i="2"/>
  <c r="P69" i="2"/>
  <c r="P63" i="2"/>
  <c r="P40" i="2"/>
  <c r="P35" i="2"/>
  <c r="O35" i="2"/>
  <c r="BJ39" i="2"/>
  <c r="BK39" i="2" s="1"/>
  <c r="BL39" i="2" s="1"/>
  <c r="BM39" i="2" s="1"/>
  <c r="BN39" i="2" s="1"/>
  <c r="BO39" i="2" s="1"/>
  <c r="BP39" i="2" s="1"/>
  <c r="BQ39" i="2" s="1"/>
  <c r="O101" i="2"/>
  <c r="O104" i="2" s="1"/>
  <c r="O95" i="2"/>
  <c r="O97" i="2" s="1"/>
  <c r="O90" i="2"/>
  <c r="O91" i="2" s="1"/>
  <c r="O108" i="2" s="1"/>
  <c r="V106" i="2" l="1"/>
  <c r="V82" i="2"/>
  <c r="W36" i="2"/>
  <c r="G62" i="2"/>
  <c r="U106" i="2"/>
  <c r="U108" i="2"/>
  <c r="W109" i="2" s="1"/>
  <c r="W110" i="2" s="1"/>
  <c r="V62" i="2"/>
  <c r="AO82" i="2"/>
  <c r="AP119" i="2"/>
  <c r="T112" i="2"/>
  <c r="Q112" i="2"/>
  <c r="R112" i="2"/>
  <c r="S112" i="2"/>
  <c r="G71" i="2"/>
  <c r="G82" i="2"/>
  <c r="P112" i="2"/>
  <c r="G106" i="2"/>
  <c r="S104" i="2"/>
  <c r="S106" i="2" s="1"/>
  <c r="O112" i="2"/>
  <c r="H71" i="2"/>
  <c r="E36" i="2"/>
  <c r="E55" i="2" s="1"/>
  <c r="C36" i="2"/>
  <c r="S71" i="2"/>
  <c r="T51" i="2"/>
  <c r="H62" i="2"/>
  <c r="T36" i="2"/>
  <c r="H106" i="2"/>
  <c r="D36" i="2"/>
  <c r="J62" i="2"/>
  <c r="AO41" i="2"/>
  <c r="AO43" i="2" s="1"/>
  <c r="AO57" i="2" s="1"/>
  <c r="S62" i="2"/>
  <c r="AM71" i="2"/>
  <c r="AM41" i="2"/>
  <c r="AM43" i="2" s="1"/>
  <c r="AT82" i="2"/>
  <c r="AP82" i="2"/>
  <c r="T71" i="2"/>
  <c r="AM62" i="2"/>
  <c r="AM119" i="2" s="1"/>
  <c r="AR82" i="2"/>
  <c r="S82" i="2"/>
  <c r="S109" i="2"/>
  <c r="AN71" i="2"/>
  <c r="T106" i="2"/>
  <c r="AH41" i="2"/>
  <c r="AH43" i="2" s="1"/>
  <c r="AH45" i="2" s="1"/>
  <c r="AH46" i="2" s="1"/>
  <c r="AS41" i="2"/>
  <c r="AS43" i="2" s="1"/>
  <c r="AS45" i="2" s="1"/>
  <c r="AS46" i="2" s="1"/>
  <c r="AL62" i="2"/>
  <c r="AL119" i="2" s="1"/>
  <c r="AR41" i="2"/>
  <c r="AR43" i="2" s="1"/>
  <c r="AR45" i="2" s="1"/>
  <c r="AR46" i="2" s="1"/>
  <c r="AT71" i="2"/>
  <c r="AX82" i="2"/>
  <c r="BA41" i="2"/>
  <c r="T109" i="2"/>
  <c r="T82" i="2"/>
  <c r="T62" i="2"/>
  <c r="AX71" i="2"/>
  <c r="I82" i="2"/>
  <c r="Q52" i="2"/>
  <c r="R82" i="2"/>
  <c r="BJ27" i="2"/>
  <c r="BJ28" i="2"/>
  <c r="AG41" i="2"/>
  <c r="AG43" i="2" s="1"/>
  <c r="AG45" i="2" s="1"/>
  <c r="AG46" i="2" s="1"/>
  <c r="AK62" i="2"/>
  <c r="AK119" i="2" s="1"/>
  <c r="J71" i="2"/>
  <c r="AU41" i="2"/>
  <c r="AU43" i="2" s="1"/>
  <c r="AU45" i="2" s="1"/>
  <c r="AU46" i="2" s="1"/>
  <c r="AY62" i="2"/>
  <c r="AY119" i="2" s="1"/>
  <c r="AV41" i="2"/>
  <c r="AZ71" i="2"/>
  <c r="AH55" i="2"/>
  <c r="Q62" i="2"/>
  <c r="AR71" i="2"/>
  <c r="R62" i="2"/>
  <c r="AY82" i="2"/>
  <c r="AS82" i="2"/>
  <c r="AU82" i="2"/>
  <c r="AP71" i="2"/>
  <c r="AN41" i="2"/>
  <c r="AN43" i="2" s="1"/>
  <c r="AN57" i="2" s="1"/>
  <c r="AU71" i="2"/>
  <c r="AO55" i="2"/>
  <c r="AV82" i="2"/>
  <c r="AQ119" i="2"/>
  <c r="AW82" i="2"/>
  <c r="AU119" i="2"/>
  <c r="AU124" i="2"/>
  <c r="J82" i="2"/>
  <c r="AM55" i="2"/>
  <c r="BA71" i="2"/>
  <c r="BA82" i="2"/>
  <c r="AW62" i="2"/>
  <c r="AW119" i="2" s="1"/>
  <c r="I62" i="2"/>
  <c r="AD41" i="2"/>
  <c r="AD43" i="2" s="1"/>
  <c r="AG55" i="2"/>
  <c r="I71" i="2"/>
  <c r="AI41" i="2"/>
  <c r="AI43" i="2" s="1"/>
  <c r="AI45" i="2" s="1"/>
  <c r="AI46" i="2" s="1"/>
  <c r="R106" i="2"/>
  <c r="BA55" i="2"/>
  <c r="AV62" i="2"/>
  <c r="AV119" i="2" s="1"/>
  <c r="AZ82" i="2"/>
  <c r="AR55" i="2"/>
  <c r="AT41" i="2"/>
  <c r="AT43" i="2" s="1"/>
  <c r="AT45" i="2" s="1"/>
  <c r="AT46" i="2" s="1"/>
  <c r="AI119" i="2"/>
  <c r="AS55" i="2"/>
  <c r="BB124" i="2"/>
  <c r="BB119" i="2"/>
  <c r="AG124" i="2"/>
  <c r="AV124" i="2"/>
  <c r="I106" i="2"/>
  <c r="R71" i="2"/>
  <c r="J106" i="2"/>
  <c r="AL41" i="2"/>
  <c r="AL43" i="2" s="1"/>
  <c r="AG62" i="2"/>
  <c r="AG119" i="2" s="1"/>
  <c r="AQ41" i="2"/>
  <c r="AQ43" i="2" s="1"/>
  <c r="AP124" i="2"/>
  <c r="AW124" i="2"/>
  <c r="AH119" i="2"/>
  <c r="AQ124" i="2"/>
  <c r="AO71" i="2"/>
  <c r="AJ62" i="2"/>
  <c r="AJ119" i="2" s="1"/>
  <c r="AZ62" i="2"/>
  <c r="AZ119" i="2" s="1"/>
  <c r="BB55" i="2"/>
  <c r="BB41" i="2"/>
  <c r="AY41" i="2"/>
  <c r="BC124" i="2"/>
  <c r="BC119" i="2"/>
  <c r="AO119" i="2"/>
  <c r="AW71" i="2"/>
  <c r="AJ124" i="2"/>
  <c r="AS119" i="2"/>
  <c r="AT119" i="2"/>
  <c r="BC36" i="2"/>
  <c r="BC55" i="2" s="1"/>
  <c r="AN119" i="2"/>
  <c r="AX124" i="2"/>
  <c r="AX119" i="2"/>
  <c r="AP41" i="2"/>
  <c r="AP43" i="2" s="1"/>
  <c r="AP55" i="2"/>
  <c r="AR119" i="2"/>
  <c r="AS71" i="2"/>
  <c r="BA124" i="2"/>
  <c r="AV71" i="2"/>
  <c r="AM124" i="2"/>
  <c r="AX41" i="2"/>
  <c r="AC41" i="2"/>
  <c r="AC43" i="2" s="1"/>
  <c r="AH124" i="2"/>
  <c r="AV55" i="2"/>
  <c r="AZ41" i="2"/>
  <c r="BA62" i="2"/>
  <c r="BA119" i="2" s="1"/>
  <c r="AW41" i="2"/>
  <c r="AY71" i="2"/>
  <c r="AQ71" i="2"/>
  <c r="R109" i="2"/>
  <c r="Q106" i="2"/>
  <c r="AK41" i="2"/>
  <c r="AK43" i="2" s="1"/>
  <c r="AK57" i="2" s="1"/>
  <c r="AJ41" i="2"/>
  <c r="AJ43" i="2" s="1"/>
  <c r="AE41" i="2"/>
  <c r="AE43" i="2" s="1"/>
  <c r="AF41" i="2"/>
  <c r="AF43" i="2" s="1"/>
  <c r="BJ37" i="2"/>
  <c r="BK37" i="2" s="1"/>
  <c r="BL37" i="2" s="1"/>
  <c r="BM37" i="2" s="1"/>
  <c r="BN37" i="2" s="1"/>
  <c r="BO37" i="2" s="1"/>
  <c r="BP37" i="2" s="1"/>
  <c r="BQ37" i="2" s="1"/>
  <c r="Q36" i="2"/>
  <c r="Q55" i="2" s="1"/>
  <c r="BJ38" i="2"/>
  <c r="BK38" i="2" s="1"/>
  <c r="BL38" i="2" s="1"/>
  <c r="BM38" i="2" s="1"/>
  <c r="BN38" i="2" s="1"/>
  <c r="BO38" i="2" s="1"/>
  <c r="BP38" i="2" s="1"/>
  <c r="BQ38" i="2" s="1"/>
  <c r="V32" i="2"/>
  <c r="Q71" i="2"/>
  <c r="BJ33" i="2"/>
  <c r="Q82" i="2"/>
  <c r="T59" i="2"/>
  <c r="T58" i="2"/>
  <c r="S58" i="2"/>
  <c r="BJ47" i="2"/>
  <c r="BK47" i="2"/>
  <c r="BL47" i="2" s="1"/>
  <c r="BM47" i="2" s="1"/>
  <c r="BN47" i="2" s="1"/>
  <c r="BO47" i="2" s="1"/>
  <c r="BP47" i="2" s="1"/>
  <c r="BQ47" i="2" s="1"/>
  <c r="U58" i="2"/>
  <c r="U32" i="2"/>
  <c r="BJ34" i="2"/>
  <c r="V58" i="2"/>
  <c r="T40" i="2"/>
  <c r="Q58" i="2"/>
  <c r="BJ30" i="2"/>
  <c r="S32" i="2"/>
  <c r="S36" i="2" s="1"/>
  <c r="BJ31" i="2"/>
  <c r="S40" i="2"/>
  <c r="T49" i="2"/>
  <c r="R32" i="2"/>
  <c r="P62" i="2"/>
  <c r="R40" i="2"/>
  <c r="Q40" i="2"/>
  <c r="P71" i="2"/>
  <c r="P82" i="2"/>
  <c r="P36" i="2"/>
  <c r="P106" i="2"/>
  <c r="O106" i="2"/>
  <c r="O77" i="2"/>
  <c r="S51" i="2" s="1"/>
  <c r="O76" i="2"/>
  <c r="O74" i="2"/>
  <c r="O69" i="2"/>
  <c r="O63" i="2"/>
  <c r="O40" i="2"/>
  <c r="O32" i="2"/>
  <c r="F40" i="2"/>
  <c r="F35" i="2"/>
  <c r="F32" i="2"/>
  <c r="BD40" i="2"/>
  <c r="BD35" i="2"/>
  <c r="BD32" i="2"/>
  <c r="BD49" i="2" s="1"/>
  <c r="BE40" i="2"/>
  <c r="BE35" i="2"/>
  <c r="BE32" i="2"/>
  <c r="BK2" i="2"/>
  <c r="BL2" i="2" s="1"/>
  <c r="BM2" i="2" s="1"/>
  <c r="BN2" i="2" s="1"/>
  <c r="BO2" i="2" s="1"/>
  <c r="BP2" i="2" s="1"/>
  <c r="BQ2" i="2" s="1"/>
  <c r="BI44" i="2"/>
  <c r="BI42" i="2"/>
  <c r="BI47" i="2"/>
  <c r="BH47" i="2"/>
  <c r="BH44" i="2"/>
  <c r="BH42" i="2"/>
  <c r="BG40" i="2"/>
  <c r="BF40" i="2"/>
  <c r="BG35" i="2"/>
  <c r="BF35" i="2"/>
  <c r="BF32" i="2"/>
  <c r="BG32" i="2"/>
  <c r="BH2" i="2"/>
  <c r="BI2" i="2"/>
  <c r="R2" i="2"/>
  <c r="Q2" i="2"/>
  <c r="P2" i="2"/>
  <c r="T2" i="2" s="1"/>
  <c r="O2" i="2"/>
  <c r="S2" i="2" s="1"/>
  <c r="BH39" i="2"/>
  <c r="BH38" i="2"/>
  <c r="BH37" i="2"/>
  <c r="BI39" i="2"/>
  <c r="BI38" i="2"/>
  <c r="BI37" i="2"/>
  <c r="BI34" i="2"/>
  <c r="BI33" i="2"/>
  <c r="BH34" i="2"/>
  <c r="BH33" i="2"/>
  <c r="BH26" i="2"/>
  <c r="BH27" i="2"/>
  <c r="BH28" i="2"/>
  <c r="BH31" i="2"/>
  <c r="BH30" i="2"/>
  <c r="BI31" i="2"/>
  <c r="BI30" i="2"/>
  <c r="BI28" i="2"/>
  <c r="BI27" i="2"/>
  <c r="BI26" i="2"/>
  <c r="N21" i="2"/>
  <c r="N101" i="2"/>
  <c r="N104" i="2" s="1"/>
  <c r="N95" i="2"/>
  <c r="N97" i="2" s="1"/>
  <c r="N90" i="2"/>
  <c r="N91" i="2" s="1"/>
  <c r="N108" i="2" s="1"/>
  <c r="Q109" i="2" s="1"/>
  <c r="N76" i="2"/>
  <c r="N77" i="2"/>
  <c r="N74" i="2"/>
  <c r="N63" i="2"/>
  <c r="N69" i="2"/>
  <c r="N40" i="2"/>
  <c r="K101" i="2"/>
  <c r="K104" i="2" s="1"/>
  <c r="K95" i="2"/>
  <c r="K97" i="2" s="1"/>
  <c r="K90" i="2"/>
  <c r="K91" i="2" s="1"/>
  <c r="K108" i="2" s="1"/>
  <c r="K77" i="2"/>
  <c r="K76" i="2"/>
  <c r="K74" i="2"/>
  <c r="K69" i="2"/>
  <c r="K63" i="2"/>
  <c r="L101" i="2"/>
  <c r="L104" i="2" s="1"/>
  <c r="L95" i="2"/>
  <c r="L97" i="2" s="1"/>
  <c r="L90" i="2"/>
  <c r="L91" i="2" s="1"/>
  <c r="L108" i="2" s="1"/>
  <c r="L77" i="2"/>
  <c r="P51" i="2" s="1"/>
  <c r="L76" i="2"/>
  <c r="L74" i="2"/>
  <c r="L69" i="2"/>
  <c r="L63" i="2"/>
  <c r="M101" i="2"/>
  <c r="M104" i="2" s="1"/>
  <c r="M95" i="2"/>
  <c r="M97" i="2" s="1"/>
  <c r="M90" i="2"/>
  <c r="M91" i="2" s="1"/>
  <c r="M108" i="2" s="1"/>
  <c r="M76" i="2"/>
  <c r="M77" i="2"/>
  <c r="M74" i="2"/>
  <c r="M69" i="2"/>
  <c r="M63" i="2"/>
  <c r="M62" i="2" s="1"/>
  <c r="L4" i="1"/>
  <c r="L7" i="1" s="1"/>
  <c r="L40" i="2"/>
  <c r="K40" i="2"/>
  <c r="J40" i="2"/>
  <c r="I40" i="2"/>
  <c r="H40" i="2"/>
  <c r="G40" i="2"/>
  <c r="M40" i="2"/>
  <c r="N35" i="2"/>
  <c r="N32" i="2"/>
  <c r="G32" i="2"/>
  <c r="G49" i="2" s="1"/>
  <c r="H35" i="2"/>
  <c r="G35" i="2"/>
  <c r="M35" i="2"/>
  <c r="L35" i="2"/>
  <c r="K35" i="2"/>
  <c r="J35" i="2"/>
  <c r="I35" i="2"/>
  <c r="L32" i="2"/>
  <c r="P49" i="2" s="1"/>
  <c r="K32" i="2"/>
  <c r="J32" i="2"/>
  <c r="I32" i="2"/>
  <c r="I49" i="2" s="1"/>
  <c r="H32" i="2"/>
  <c r="H49" i="2" s="1"/>
  <c r="M32" i="2"/>
  <c r="Q49" i="2" s="1"/>
  <c r="W55" i="2" l="1"/>
  <c r="W41" i="2"/>
  <c r="E41" i="2"/>
  <c r="W49" i="2"/>
  <c r="U36" i="2"/>
  <c r="U55" i="2" s="1"/>
  <c r="V109" i="2"/>
  <c r="V110" i="2" s="1"/>
  <c r="U109" i="2"/>
  <c r="U110" i="2" s="1"/>
  <c r="V36" i="2"/>
  <c r="V41" i="2" s="1"/>
  <c r="AO45" i="2"/>
  <c r="AO46" i="2" s="1"/>
  <c r="C41" i="2"/>
  <c r="C55" i="2"/>
  <c r="L109" i="2"/>
  <c r="K109" i="2"/>
  <c r="D41" i="2"/>
  <c r="D55" i="2"/>
  <c r="E56" i="2"/>
  <c r="E43" i="2"/>
  <c r="N62" i="2"/>
  <c r="BJ42" i="2" s="1"/>
  <c r="AR57" i="2"/>
  <c r="AS57" i="2"/>
  <c r="AS120" i="2"/>
  <c r="AR120" i="2"/>
  <c r="AW43" i="2"/>
  <c r="AW57" i="2" s="1"/>
  <c r="AW56" i="2"/>
  <c r="AV43" i="2"/>
  <c r="AV56" i="2"/>
  <c r="AY43" i="2"/>
  <c r="AY57" i="2" s="1"/>
  <c r="AY56" i="2"/>
  <c r="AZ43" i="2"/>
  <c r="AZ57" i="2" s="1"/>
  <c r="AZ56" i="2"/>
  <c r="BA43" i="2"/>
  <c r="BA56" i="2"/>
  <c r="BB43" i="2"/>
  <c r="BB57" i="2" s="1"/>
  <c r="BB56" i="2"/>
  <c r="AX43" i="2"/>
  <c r="AX57" i="2" s="1"/>
  <c r="AX56" i="2"/>
  <c r="AU57" i="2"/>
  <c r="AU120" i="2"/>
  <c r="M109" i="2"/>
  <c r="Q110" i="2" s="1"/>
  <c r="Q51" i="2"/>
  <c r="M51" i="2"/>
  <c r="R51" i="2"/>
  <c r="N51" i="2"/>
  <c r="AG57" i="2"/>
  <c r="AN45" i="2"/>
  <c r="AN46" i="2" s="1"/>
  <c r="AH57" i="2"/>
  <c r="AT57" i="2"/>
  <c r="AI57" i="2"/>
  <c r="BC41" i="2"/>
  <c r="AG120" i="2"/>
  <c r="AT120" i="2"/>
  <c r="AC57" i="2"/>
  <c r="AC45" i="2"/>
  <c r="AC46" i="2" s="1"/>
  <c r="AL57" i="2"/>
  <c r="AL45" i="2"/>
  <c r="AL46" i="2" s="1"/>
  <c r="AF45" i="2"/>
  <c r="AF46" i="2" s="1"/>
  <c r="AF57" i="2"/>
  <c r="AE45" i="2"/>
  <c r="AE46" i="2" s="1"/>
  <c r="AE57" i="2"/>
  <c r="AI120" i="2"/>
  <c r="BF49" i="2"/>
  <c r="BI59" i="2"/>
  <c r="AP45" i="2"/>
  <c r="AP57" i="2"/>
  <c r="AH120" i="2"/>
  <c r="BH59" i="2"/>
  <c r="BJ35" i="2"/>
  <c r="AJ45" i="2"/>
  <c r="AJ46" i="2" s="1"/>
  <c r="AJ57" i="2"/>
  <c r="BI58" i="2"/>
  <c r="AK45" i="2"/>
  <c r="AK46" i="2" s="1"/>
  <c r="BH58" i="2"/>
  <c r="O51" i="2"/>
  <c r="R49" i="2"/>
  <c r="R36" i="2"/>
  <c r="R55" i="2" s="1"/>
  <c r="AM45" i="2"/>
  <c r="AM46" i="2" s="1"/>
  <c r="AM57" i="2"/>
  <c r="AD57" i="2"/>
  <c r="AD45" i="2"/>
  <c r="AD46" i="2" s="1"/>
  <c r="AQ57" i="2"/>
  <c r="AQ45" i="2"/>
  <c r="BJ58" i="2"/>
  <c r="R58" i="2"/>
  <c r="U49" i="2"/>
  <c r="T41" i="2"/>
  <c r="S49" i="2"/>
  <c r="U40" i="2"/>
  <c r="U41" i="2" s="1"/>
  <c r="U59" i="2"/>
  <c r="BK30" i="2"/>
  <c r="BJ59" i="2"/>
  <c r="V49" i="2"/>
  <c r="S55" i="2"/>
  <c r="T55" i="2"/>
  <c r="S41" i="2"/>
  <c r="Q41" i="2"/>
  <c r="J49" i="2"/>
  <c r="BH35" i="2"/>
  <c r="L62" i="2"/>
  <c r="O49" i="2"/>
  <c r="O36" i="2"/>
  <c r="O55" i="2" s="1"/>
  <c r="O71" i="2"/>
  <c r="O62" i="2"/>
  <c r="K62" i="2"/>
  <c r="P55" i="2"/>
  <c r="P41" i="2"/>
  <c r="P109" i="2"/>
  <c r="O109" i="2"/>
  <c r="N109" i="2"/>
  <c r="R110" i="2" s="1"/>
  <c r="O82" i="2"/>
  <c r="BE36" i="2"/>
  <c r="BE41" i="2" s="1"/>
  <c r="F36" i="2"/>
  <c r="F41" i="2" s="1"/>
  <c r="BD36" i="2"/>
  <c r="BD41" i="2" s="1"/>
  <c r="BE49" i="2"/>
  <c r="BI40" i="2"/>
  <c r="BG49" i="2"/>
  <c r="BI32" i="2"/>
  <c r="BH40" i="2"/>
  <c r="BG36" i="2"/>
  <c r="BG55" i="2" s="1"/>
  <c r="BF36" i="2"/>
  <c r="BF55" i="2" s="1"/>
  <c r="BI35" i="2"/>
  <c r="BH32" i="2"/>
  <c r="N82" i="2"/>
  <c r="K82" i="2"/>
  <c r="N106" i="2"/>
  <c r="K71" i="2"/>
  <c r="N71" i="2"/>
  <c r="L49" i="2"/>
  <c r="K49" i="2"/>
  <c r="M82" i="2"/>
  <c r="K106" i="2"/>
  <c r="N49" i="2"/>
  <c r="L71" i="2"/>
  <c r="L106" i="2"/>
  <c r="G36" i="2"/>
  <c r="G55" i="2" s="1"/>
  <c r="L82" i="2"/>
  <c r="M36" i="2"/>
  <c r="M41" i="2" s="1"/>
  <c r="I36" i="2"/>
  <c r="I55" i="2" s="1"/>
  <c r="M71" i="2"/>
  <c r="M106" i="2"/>
  <c r="M49" i="2"/>
  <c r="J36" i="2"/>
  <c r="J55" i="2" s="1"/>
  <c r="K36" i="2"/>
  <c r="K55" i="2" s="1"/>
  <c r="L36" i="2"/>
  <c r="L55" i="2" s="1"/>
  <c r="H36" i="2"/>
  <c r="N36" i="2"/>
  <c r="N55" i="2" s="1"/>
  <c r="W43" i="2" l="1"/>
  <c r="W56" i="2"/>
  <c r="AO120" i="2"/>
  <c r="V55" i="2"/>
  <c r="AW45" i="2"/>
  <c r="AW46" i="2" s="1"/>
  <c r="S110" i="2"/>
  <c r="O110" i="2"/>
  <c r="AY45" i="2"/>
  <c r="AY46" i="2" s="1"/>
  <c r="C43" i="2"/>
  <c r="C56" i="2"/>
  <c r="AJ120" i="2"/>
  <c r="E57" i="2"/>
  <c r="E45" i="2"/>
  <c r="E46" i="2" s="1"/>
  <c r="T110" i="2"/>
  <c r="P110" i="2"/>
  <c r="D43" i="2"/>
  <c r="D56" i="2"/>
  <c r="AX45" i="2"/>
  <c r="AW120" i="2"/>
  <c r="AZ45" i="2"/>
  <c r="AZ46" i="2" s="1"/>
  <c r="BD43" i="2"/>
  <c r="BD45" i="2" s="1"/>
  <c r="BD46" i="2" s="1"/>
  <c r="BD56" i="2"/>
  <c r="BE43" i="2"/>
  <c r="BE45" i="2" s="1"/>
  <c r="BE46" i="2" s="1"/>
  <c r="BE56" i="2"/>
  <c r="T43" i="2"/>
  <c r="T57" i="2" s="1"/>
  <c r="T56" i="2"/>
  <c r="M43" i="2"/>
  <c r="M57" i="2" s="1"/>
  <c r="M56" i="2"/>
  <c r="V43" i="2"/>
  <c r="V57" i="2" s="1"/>
  <c r="V56" i="2"/>
  <c r="BC43" i="2"/>
  <c r="BC57" i="2" s="1"/>
  <c r="BC56" i="2"/>
  <c r="Q43" i="2"/>
  <c r="Q45" i="2" s="1"/>
  <c r="Q46" i="2" s="1"/>
  <c r="Q56" i="2"/>
  <c r="F43" i="2"/>
  <c r="F45" i="2" s="1"/>
  <c r="F46" i="2" s="1"/>
  <c r="F56" i="2"/>
  <c r="BA57" i="2"/>
  <c r="BA45" i="2"/>
  <c r="P43" i="2"/>
  <c r="P57" i="2" s="1"/>
  <c r="P56" i="2"/>
  <c r="AV45" i="2"/>
  <c r="AV57" i="2"/>
  <c r="U43" i="2"/>
  <c r="U57" i="2" s="1"/>
  <c r="U56" i="2"/>
  <c r="BB45" i="2"/>
  <c r="S43" i="2"/>
  <c r="S57" i="2" s="1"/>
  <c r="S56" i="2"/>
  <c r="AN120" i="2"/>
  <c r="R41" i="2"/>
  <c r="AK120" i="2"/>
  <c r="AL120" i="2"/>
  <c r="AP46" i="2"/>
  <c r="AP120" i="2"/>
  <c r="AM120" i="2"/>
  <c r="AQ46" i="2"/>
  <c r="AQ120" i="2"/>
  <c r="BD55" i="2"/>
  <c r="BF41" i="2"/>
  <c r="BH36" i="2"/>
  <c r="BH55" i="2" s="1"/>
  <c r="BL30" i="2"/>
  <c r="BK33" i="2"/>
  <c r="BK58" i="2" s="1"/>
  <c r="O41" i="2"/>
  <c r="BE55" i="2"/>
  <c r="BL40" i="2"/>
  <c r="BJ40" i="2"/>
  <c r="BI36" i="2"/>
  <c r="BI41" i="2" s="1"/>
  <c r="BK40" i="2"/>
  <c r="BI55" i="2"/>
  <c r="BG41" i="2"/>
  <c r="M55" i="2"/>
  <c r="F55" i="2"/>
  <c r="BD57" i="2"/>
  <c r="BJ32" i="2"/>
  <c r="BK31" i="2"/>
  <c r="BM40" i="2"/>
  <c r="BH49" i="2"/>
  <c r="BI49" i="2"/>
  <c r="N41" i="2"/>
  <c r="I41" i="2"/>
  <c r="G41" i="2"/>
  <c r="H41" i="2"/>
  <c r="H55" i="2"/>
  <c r="L41" i="2"/>
  <c r="K41" i="2"/>
  <c r="J41" i="2"/>
  <c r="AX46" i="2" l="1"/>
  <c r="AX120" i="2"/>
  <c r="W57" i="2"/>
  <c r="W45" i="2"/>
  <c r="C45" i="2"/>
  <c r="C46" i="2" s="1"/>
  <c r="C57" i="2"/>
  <c r="AZ120" i="2"/>
  <c r="T45" i="2"/>
  <c r="BE57" i="2"/>
  <c r="AY120" i="2"/>
  <c r="Q57" i="2"/>
  <c r="D45" i="2"/>
  <c r="D46" i="2" s="1"/>
  <c r="D57" i="2"/>
  <c r="BH41" i="2"/>
  <c r="BH56" i="2" s="1"/>
  <c r="F57" i="2"/>
  <c r="BF43" i="2"/>
  <c r="BF56" i="2"/>
  <c r="BI43" i="2"/>
  <c r="BI57" i="2" s="1"/>
  <c r="BI56" i="2"/>
  <c r="J43" i="2"/>
  <c r="J57" i="2" s="1"/>
  <c r="J56" i="2"/>
  <c r="P45" i="2"/>
  <c r="P46" i="2" s="1"/>
  <c r="N43" i="2"/>
  <c r="N45" i="2" s="1"/>
  <c r="N84" i="2" s="1"/>
  <c r="N56" i="2"/>
  <c r="R43" i="2"/>
  <c r="R56" i="2"/>
  <c r="M45" i="2"/>
  <c r="M46" i="2" s="1"/>
  <c r="K43" i="2"/>
  <c r="K45" i="2" s="1"/>
  <c r="K46" i="2" s="1"/>
  <c r="K56" i="2"/>
  <c r="BG43" i="2"/>
  <c r="BG45" i="2" s="1"/>
  <c r="BG46" i="2" s="1"/>
  <c r="BG56" i="2"/>
  <c r="H43" i="2"/>
  <c r="H57" i="2" s="1"/>
  <c r="H56" i="2"/>
  <c r="I43" i="2"/>
  <c r="I57" i="2" s="1"/>
  <c r="I56" i="2"/>
  <c r="BC45" i="2"/>
  <c r="BC46" i="2" s="1"/>
  <c r="AV46" i="2"/>
  <c r="AV120" i="2"/>
  <c r="BA46" i="2"/>
  <c r="BA120" i="2"/>
  <c r="T46" i="2"/>
  <c r="T84" i="2"/>
  <c r="G43" i="2"/>
  <c r="G45" i="2" s="1"/>
  <c r="G56" i="2"/>
  <c r="V45" i="2"/>
  <c r="O43" i="2"/>
  <c r="O57" i="2" s="1"/>
  <c r="O56" i="2"/>
  <c r="BB46" i="2"/>
  <c r="BB120" i="2"/>
  <c r="L43" i="2"/>
  <c r="L57" i="2" s="1"/>
  <c r="L56" i="2"/>
  <c r="S45" i="2"/>
  <c r="S46" i="2" s="1"/>
  <c r="U45" i="2"/>
  <c r="S84" i="2"/>
  <c r="BJ36" i="2"/>
  <c r="BJ49" i="2"/>
  <c r="BM30" i="2"/>
  <c r="BL33" i="2"/>
  <c r="BL58" i="2" s="1"/>
  <c r="BK34" i="2"/>
  <c r="BK59" i="2" s="1"/>
  <c r="Q84" i="2"/>
  <c r="BK32" i="2"/>
  <c r="BL31" i="2"/>
  <c r="BN40" i="2"/>
  <c r="W46" i="2" l="1"/>
  <c r="W84" i="2"/>
  <c r="BH43" i="2"/>
  <c r="BH57" i="2" s="1"/>
  <c r="U46" i="2"/>
  <c r="U84" i="2"/>
  <c r="V46" i="2"/>
  <c r="V84" i="2"/>
  <c r="G46" i="2"/>
  <c r="G84" i="2"/>
  <c r="O45" i="2"/>
  <c r="O46" i="2" s="1"/>
  <c r="J45" i="2"/>
  <c r="J46" i="2" s="1"/>
  <c r="G57" i="2"/>
  <c r="I45" i="2"/>
  <c r="I46" i="2" s="1"/>
  <c r="BH45" i="2"/>
  <c r="BH46" i="2" s="1"/>
  <c r="K57" i="2"/>
  <c r="N57" i="2"/>
  <c r="BI45" i="2"/>
  <c r="BI46" i="2" s="1"/>
  <c r="H45" i="2"/>
  <c r="O84" i="2"/>
  <c r="BC120" i="2"/>
  <c r="R57" i="2"/>
  <c r="R45" i="2"/>
  <c r="P84" i="2"/>
  <c r="L45" i="2"/>
  <c r="L46" i="2" s="1"/>
  <c r="M84" i="2"/>
  <c r="BG57" i="2"/>
  <c r="BF57" i="2"/>
  <c r="BF45" i="2"/>
  <c r="BF46" i="2" s="1"/>
  <c r="BN30" i="2"/>
  <c r="BM33" i="2"/>
  <c r="BM58" i="2" s="1"/>
  <c r="BL34" i="2"/>
  <c r="BL59" i="2" s="1"/>
  <c r="BK36" i="2"/>
  <c r="BK35" i="2" s="1"/>
  <c r="K84" i="2"/>
  <c r="BK49" i="2"/>
  <c r="BJ55" i="2"/>
  <c r="BJ41" i="2"/>
  <c r="BM31" i="2"/>
  <c r="BL32" i="2"/>
  <c r="N46" i="2"/>
  <c r="BO40" i="2"/>
  <c r="I84" i="2" l="1"/>
  <c r="J84" i="2"/>
  <c r="H46" i="2"/>
  <c r="H84" i="2"/>
  <c r="BJ43" i="2"/>
  <c r="BJ44" i="2" s="1"/>
  <c r="BJ57" i="2" s="1"/>
  <c r="BJ56" i="2"/>
  <c r="R84" i="2"/>
  <c r="R46" i="2"/>
  <c r="L84" i="2"/>
  <c r="BO30" i="2"/>
  <c r="BN33" i="2"/>
  <c r="BN58" i="2" s="1"/>
  <c r="BL36" i="2"/>
  <c r="BL35" i="2" s="1"/>
  <c r="BM34" i="2"/>
  <c r="BM59" i="2" s="1"/>
  <c r="BL49" i="2"/>
  <c r="BK41" i="2"/>
  <c r="BK56" i="2" s="1"/>
  <c r="BK55" i="2"/>
  <c r="BN31" i="2"/>
  <c r="BM32" i="2"/>
  <c r="BM36" i="2" s="1"/>
  <c r="BQ40" i="2"/>
  <c r="BP40" i="2"/>
  <c r="BP30" i="2" l="1"/>
  <c r="BO33" i="2"/>
  <c r="BO58" i="2" s="1"/>
  <c r="BN34" i="2"/>
  <c r="BN59" i="2" s="1"/>
  <c r="BJ45" i="2"/>
  <c r="BM49" i="2"/>
  <c r="BO31" i="2"/>
  <c r="BN32" i="2"/>
  <c r="BN36" i="2" s="1"/>
  <c r="BL55" i="2"/>
  <c r="BL41" i="2"/>
  <c r="BL56" i="2" s="1"/>
  <c r="BQ30" i="2" l="1"/>
  <c r="BP33" i="2"/>
  <c r="BP58" i="2" s="1"/>
  <c r="BO34" i="2"/>
  <c r="BO59" i="2" s="1"/>
  <c r="BJ46" i="2"/>
  <c r="BN49" i="2"/>
  <c r="BP31" i="2"/>
  <c r="BO32" i="2"/>
  <c r="BO36" i="2" s="1"/>
  <c r="BM35" i="2"/>
  <c r="BM55" i="2"/>
  <c r="BM41" i="2"/>
  <c r="BM56" i="2" s="1"/>
  <c r="BK42" i="2" l="1"/>
  <c r="BK43" i="2" s="1"/>
  <c r="BQ33" i="2"/>
  <c r="BQ58" i="2" s="1"/>
  <c r="BP34" i="2"/>
  <c r="BP59" i="2" s="1"/>
  <c r="BO49" i="2"/>
  <c r="BN55" i="2"/>
  <c r="BN41" i="2"/>
  <c r="BN56" i="2" s="1"/>
  <c r="BN35" i="2"/>
  <c r="BQ31" i="2"/>
  <c r="BP32" i="2"/>
  <c r="BP36" i="2" s="1"/>
  <c r="BK44" i="2" l="1"/>
  <c r="BK57" i="2" s="1"/>
  <c r="BQ32" i="2"/>
  <c r="BQ36" i="2" s="1"/>
  <c r="BQ34" i="2"/>
  <c r="BQ59" i="2" s="1"/>
  <c r="BP49" i="2"/>
  <c r="BO41" i="2"/>
  <c r="BO56" i="2" s="1"/>
  <c r="BO35" i="2"/>
  <c r="BO55" i="2"/>
  <c r="BK45" i="2" l="1"/>
  <c r="BQ49" i="2"/>
  <c r="BQ55" i="2"/>
  <c r="BQ35" i="2"/>
  <c r="BQ41" i="2"/>
  <c r="BQ56" i="2" s="1"/>
  <c r="BP35" i="2"/>
  <c r="BP55" i="2"/>
  <c r="BP41" i="2"/>
  <c r="BP56" i="2" s="1"/>
  <c r="BK46" i="2" l="1"/>
  <c r="BL42" i="2"/>
  <c r="BL43" i="2" s="1"/>
  <c r="BL44" i="2" l="1"/>
  <c r="BL57" i="2" s="1"/>
  <c r="BL45" i="2" l="1"/>
  <c r="BM42" i="2" s="1"/>
  <c r="BM43" i="2" s="1"/>
  <c r="BM44" i="2" s="1"/>
  <c r="BM57" i="2" s="1"/>
  <c r="BL46" i="2" l="1"/>
  <c r="BM45" i="2"/>
  <c r="BN42" i="2" s="1"/>
  <c r="BN43" i="2" s="1"/>
  <c r="BM46" i="2" l="1"/>
  <c r="BN44" i="2"/>
  <c r="BN57" i="2" s="1"/>
  <c r="BN45" i="2" l="1"/>
  <c r="BN46" i="2" l="1"/>
  <c r="BO42" i="2"/>
  <c r="BO43" i="2" s="1"/>
  <c r="BO44" i="2" l="1"/>
  <c r="BO57" i="2" s="1"/>
  <c r="BO45" i="2" l="1"/>
  <c r="BO46" i="2" l="1"/>
  <c r="BP42" i="2"/>
  <c r="BP43" i="2" s="1"/>
  <c r="BP44" i="2" l="1"/>
  <c r="BP57" i="2" s="1"/>
  <c r="BP45" i="2" l="1"/>
  <c r="BP46" i="2" l="1"/>
  <c r="BQ42" i="2"/>
  <c r="BQ43" i="2" s="1"/>
  <c r="BQ44" i="2" l="1"/>
  <c r="BQ57" i="2" s="1"/>
  <c r="BQ45" i="2" l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CV45" i="2" s="1"/>
  <c r="CW45" i="2" s="1"/>
  <c r="CX45" i="2" s="1"/>
  <c r="CY45" i="2" s="1"/>
  <c r="CZ45" i="2" s="1"/>
  <c r="DA45" i="2" s="1"/>
  <c r="DB45" i="2" s="1"/>
  <c r="DC45" i="2" s="1"/>
  <c r="DD45" i="2" s="1"/>
  <c r="DE45" i="2" s="1"/>
  <c r="DF45" i="2" s="1"/>
  <c r="DG45" i="2" s="1"/>
  <c r="DH45" i="2" s="1"/>
  <c r="DI45" i="2" s="1"/>
  <c r="DJ45" i="2" s="1"/>
  <c r="DK45" i="2" s="1"/>
  <c r="DL45" i="2" s="1"/>
  <c r="DM45" i="2" s="1"/>
  <c r="DN45" i="2" s="1"/>
  <c r="DO45" i="2" s="1"/>
  <c r="DP45" i="2" s="1"/>
  <c r="DQ45" i="2" s="1"/>
  <c r="DR45" i="2" s="1"/>
  <c r="DS45" i="2" s="1"/>
  <c r="DT45" i="2" s="1"/>
  <c r="DU45" i="2" s="1"/>
  <c r="DV45" i="2" s="1"/>
  <c r="DW45" i="2" s="1"/>
  <c r="BT51" i="2" s="1"/>
  <c r="BT52" i="2" s="1"/>
  <c r="BQ4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tc={E5A1E10B-F775-4661-B444-BF1B8C3EB80B}</author>
    <author>tc={B55371F0-CB77-4C6A-9D8C-E3315473E191}</author>
    <author>tc={5E475410-39BC-42A4-9301-A932004E0408}</author>
    <author>tc={AA2A695B-C64A-4308-88C9-24B29E7194A1}</author>
    <author>tc={28831A9A-A8DE-41D2-94CB-5B0B9A35780D}</author>
    <author>tc={57F75795-AA65-41F8-B52D-D18320A11BA5}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tc={A0430351-424E-4888-96FD-79404C358012}</author>
    <author>tc={7E9BCCA4-1A9A-4F06-8F56-AD948C1F9AEB}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tc={06B3106E-8D95-4ED7-A96C-DF96D1DF1BC4}</author>
    <author>tc={575D0825-4C80-4173-A064-BC46798AA03A}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tc={76D53B89-C9A8-4A1F-A500-58B63D0047E4}</author>
    <author>tc={48B23987-2CE7-423E-ACAE-6D661625B256}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tc={E1D462E3-FE87-45D3-BF08-737DAD82C45D}</author>
    <author>tc={7492A336-ABB9-4529-8350-AF762E5855FF}</author>
    <author>tc={9D309CA1-66AA-4222-B1F7-ACD53E16B28F}</author>
    <author>tc={48518769-DF2C-4CE7-8344-8EDB6814ABC3}</author>
    <author>Martin Shkreli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S8" authorId="2" shapeId="0" xr:uid="{E5A1E10B-F775-4661-B444-BF1B8C3EB80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22,308</t>
      </text>
    </comment>
    <comment ref="S9" authorId="3" shapeId="0" xr:uid="{B55371F0-CB77-4C6A-9D8C-E3315473E1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13,140</t>
      </text>
    </comment>
    <comment ref="V9" authorId="4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S10" authorId="5" shapeId="0" xr:uid="{AA2A695B-C64A-4308-88C9-24B29E71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5,567, and devices 1,125</t>
      </text>
    </comment>
    <comment ref="S13" authorId="6" shapeId="0" xr:uid="{28831A9A-A8DE-41D2-94CB-5B0B9A3578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3053</t>
      </text>
    </comment>
    <comment ref="S15" authorId="7" shapeId="0" xr:uid="{57F75795-AA65-41F8-B52D-D18320A1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1,540</t>
      </text>
    </comment>
    <comment ref="R20" authorId="8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1" authorId="9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1" authorId="10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J21" authorId="11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4" authorId="12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4" authorId="13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6" authorId="14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6" authorId="15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6" authorId="16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6" authorId="17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
Recast from 18,592</t>
      </text>
    </comment>
    <comment ref="W26" authorId="18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X26" authorId="19" shapeId="0" xr:uid="{7E9BCCA4-1A9A-4F06-8F56-AD948C1F9AE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28.7-29.0B</t>
      </text>
    </comment>
    <comment ref="BJ26" authorId="20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7" authorId="21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7" authorId="22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7" authorId="23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7" authorId="24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7" authorId="25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
Recast from 24,259</t>
      </text>
    </comment>
    <comment ref="W27" authorId="26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X27" authorId="27" shapeId="0" xr:uid="{575D0825-4C80-4173-A064-BC46798AA03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25.50-25.85B</t>
      </text>
    </comment>
    <comment ref="B28" authorId="28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8" authorId="2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8" authorId="3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8" authorId="3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8" authorId="3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8" authorId="33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
Was 13666, recast to 11278</t>
      </text>
    </comment>
    <comment ref="W28" authorId="34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X28" authorId="35" shapeId="0" xr:uid="{48B23987-2CE7-423E-ACAE-6D661625B256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13.85B-14.25B</t>
      </text>
    </comment>
    <comment ref="AE28" authorId="36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F28" authorId="37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G28" authorId="38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2" authorId="39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2" authorId="40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2" authorId="41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H32" authorId="42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S35" authorId="43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X40" authorId="44" shapeId="0" xr:uid="{E1D462E3-FE87-45D3-BF08-737DAD82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16.4-16.5B</t>
      </text>
    </comment>
    <comment ref="BK41" authorId="45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K44" authorId="46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6" authorId="47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V49" authorId="48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P50" authorId="49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2" authorId="50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<sst xmlns="http://schemas.openxmlformats.org/spreadsheetml/2006/main" count="595" uniqueCount="474">
  <si>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</si>
  <si>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</si>
  <si>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</si>
  <si>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</si>
  <si>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</si>
  <si>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</si>
  <si>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</si>
  <si>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</si>
  <si>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</si>
  <si>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</si>
  <si>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</si>
  <si>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</si>
  <si>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</si>
  <si>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</si>
  <si>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</si>
  <si>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</si>
  <si>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</si>
  <si>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</si>
  <si>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</si>
  <si>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</si>
  <si>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</si>
  <si>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</si>
  <si>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</si>
  <si>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</si>
  <si>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</si>
  <si>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</si>
  <si>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</si>
  <si>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</si>
  <si>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</si>
  <si>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</si>
  <si>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</si>
  <si>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</si>
  <si>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</si>
  <si>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</si>
  <si>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</si>
  <si>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</si>
  <si>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</si>
  <si>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</si>
  <si>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</si>
  <si>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</si>
  <si>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</si>
  <si>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</si>
  <si>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</si>
  <si>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</si>
  <si>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</si>
  <si>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</si>
  <si>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</si>
  <si>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</si>
  <si>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</si>
  <si>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</si>
  <si>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</si>
  <si>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</si>
  <si>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</si>
  <si>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</si>
  <si>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</si>
  <si>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</si>
  <si>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</si>
  <si>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</si>
  <si>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</si>
  <si>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</si>
  <si>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</si>
  <si>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</si>
  <si>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</si>
  <si>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</si>
  <si>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</si>
  <si>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</si>
  <si>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</si>
  <si>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</si>
  <si>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</si>
  <si>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</si>
  <si>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</si>
  <si>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</si>
  <si>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</si>
  <si>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</si>
  <si>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</si>
  <si>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</si>
  <si>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</si>
  <si>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</si>
  <si>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</si>
  <si>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</si>
  <si>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</si>
  <si>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</si>
  <si>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</si>
  <si>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</si>
  <si>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</si>
  <si>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</si>
  <si>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</si>
  <si>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</si>
  <si>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</si>
  <si>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</si>
  <si>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</si>
  <si>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</si>
  <si>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</si>
  <si>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</si>
  <si>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</si>
  <si>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</si>
  <si>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</si>
  <si>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</si>
  <si>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</si>
  <si>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</si>
  <si>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</si>
  <si>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</si>
  <si>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</si>
  <si>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</si>
  <si>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</si>
  <si>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</si>
  <si>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</si>
  <si>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</si>
  <si>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</si>
  <si>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</si>
  <si>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</si>
  <si>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</si>
  <si>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</si>
  <si>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</si>
  <si>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</si>
  <si>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</si>
  <si>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</si>
  <si>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</si>
  <si>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</si>
  <si>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</si>
  <si>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</si>
  <si>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</si>
  <si>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</si>
  <si>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</si>
  <si>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</si>
  <si>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</si>
  <si>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</si>
  <si>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</si>
  <si>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</si>
  <si>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</si>
  <si>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</si>
  <si>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</si>
  <si>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</si>
  <si>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</si>
  <si>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</si>
  <si>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</si>
  <si>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</si>
  <si>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</si>
  <si>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</si>
  <si>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</si>
  <si>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</si>
  <si>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</si>
  <si>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</si>
  <si>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</si>
  <si>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</si>
  <si>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</si>
  <si>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</si>
  <si>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</si>
  <si>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</si>
  <si>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</si>
  <si>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</si>
  <si>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</si>
  <si>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</si>
  <si>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</si>
  <si>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</si>
  <si>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</si>
  <si>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</si>
  <si>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</si>
  <si>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</si>
  <si>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</si>
  <si>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</si>
  <si>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</si>
  <si>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</si>
  <si>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</si>
  <si>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</si>
  <si>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</si>
  <si>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</si>
  <si>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</si>
  <si>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</si>
  <si>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</si>
  <si>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</si>
  <si>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</si>
  <si>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</si>
  <si>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</si>
  <si>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</si>
  <si>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</si>
  <si>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</si>
  <si>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</si>
  <si>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</si>
  <si>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</si>
  <si>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</si>
  <si>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</si>
  <si>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</si>
  <si>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</si>
  <si>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</si>
  <si>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</si>
  <si>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</si>
  <si>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</si>
  <si>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</si>
  <si>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</si>
  <si>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</si>
  <si>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</si>
  <si>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</si>
  <si>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</si>
  <si>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</si>
  <si>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</si>
  <si>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</si>
  <si>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</si>
  <si>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</si>
  <si>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</si>
  <si>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</si>
  <si>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</si>
  <si>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</si>
  <si>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</si>
  <si>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</si>
  <si>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</si>
  <si>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</si>
  <si>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</si>
  <si>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</si>
  <si>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</si>
  <si>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</si>
  <si>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</si>
  <si>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</si>
  <si>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</si>
  <si>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</si>
  <si>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</si>
  <si>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</si>
  <si>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</si>
  <si>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</si>
  <si>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</si>
  <si>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</si>
  <si>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</si>
  <si>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</si>
  <si>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</si>
  <si>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</si>
  <si>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</si>
  <si>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</si>
  <si>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</si>
  <si>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</si>
  <si>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</si>
  <si>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</si>
  <si>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</si>
  <si>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</si>
  <si>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</si>
  <si>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</si>
  <si>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</si>
  <si>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</si>
  <si>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</si>
  <si>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</si>
  <si>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</si>
  <si>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</si>
  <si>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</si>
  <si>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</si>
  <si>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</si>
  <si>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</si>
  <si>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</si>
  <si>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</si>
  <si>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</si>
  <si>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</si>
  <si>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</si>
  <si>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</si>
  <si>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</si>
  <si>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</si>
  <si>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</si>
  <si>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</si>
  <si>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</si>
  <si>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</si>
  <si>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</si>
  <si>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</si>
  <si>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</si>
  <si>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</si>
  <si>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</si>
  <si>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</si>
  <si>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</si>
  <si>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</si>
  <si>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</si>
  <si>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</si>
  <si>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</si>
  <si>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</si>
  <si>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</si>
  <si>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</si>
  <si>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</si>
  <si>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</si>
  <si>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</si>
  <si>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</si>
  <si>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</si>
  <si>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</si>
  <si>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</si>
  <si>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</si>
  <si>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</si>
  <si>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</si>
  <si>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</si>
  <si>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</si>
  <si>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</si>
  <si>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</si>
  <si>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</si>
  <si>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</si>
  <si>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</si>
  <si>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</si>
  <si>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</si>
  <si>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</si>
  <si>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</si>
  <si>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</si>
  <si>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</si>
  <si>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</si>
  <si>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</si>
  <si>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</si>
  <si>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</si>
  <si>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</si>
  <si>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</si>
  <si>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</si>
  <si>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</si>
  <si>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</si>
  <si>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</si>
  <si>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</si>
  <si>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</si>
  <si>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</si>
  <si>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</si>
  <si>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</si>
  <si>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</si>
  <si>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</si>
  <si>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</si>
  <si>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</si>
  <si>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</si>
  <si>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</si>
  <si>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</si>
  <si>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</si>
  <si>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</si>
  <si>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</si>
  <si>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</si>
  <si>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</si>
  <si>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</si>
  <si>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</si>
  <si>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</si>
  <si>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</si>
  <si>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</si>
  <si>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</si>
  <si>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</si>
  <si>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</si>
  <si>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</si>
  <si>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</si>
  <si>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</si>
  <si>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</si>
  <si>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</si>
  <si>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</si>
  <si>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</si>
  <si>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</si>
  <si>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</si>
  <si>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</si>
  <si>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</si>
  <si>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</si>
  <si>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</si>
  <si>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</si>
  <si>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</si>
  <si>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</si>
  <si>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</si>
  <si>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</si>
  <si>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</si>
  <si>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</si>
  <si>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</si>
  <si>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</si>
  <si>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</si>
  <si>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</si>
  <si>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</si>
  <si>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</si>
  <si>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</si>
  <si>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</si>
  <si>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</si>
  <si>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</si>
  <si>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</si>
  <si>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</si>
  <si>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</si>
  <si>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</si>
  <si>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</si>
  <si>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</si>
  <si>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</si>
  <si>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</si>
  <si>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</si>
  <si>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</si>
  <si>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</si>
  <si>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</si>
  <si>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</si>
  <si>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</si>
  <si>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</si>
  <si>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</si>
  <si>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</si>
  <si>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</si>
  <si>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</si>
  <si>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</si>
  <si>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</si>
  <si>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</si>
  <si>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</si>
  <si>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</si>
  <si>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</si>
  <si>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</si>
  <si>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</si>
  <si>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</si>
  <si>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</si>
  <si>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</si>
  <si>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</si>
  <si>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</si>
  <si>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</si>
  <si>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</si>
  <si>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</si>
  <si>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</si>
  <si>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</si>
  <si>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</si>
  <si>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</si>
  <si>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</si>
  <si>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</si>
  <si>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</si>
  <si>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</si>
  <si>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</si>
  <si>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</si>
  <si>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</si>
  <si>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</si>
  <si>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</si>
  <si>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</si>
  <si>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</si>
  <si>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</si>
  <si>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</si>
  <si>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</si>
  <si>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</si>
  <si>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</si>
  <si>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</si>
  <si>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</si>
  <si>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</si>
  <si>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</si>
  <si>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</si>
  <si>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</si>
  <si>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</si>
  <si>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</si>
  <si>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</si>
  <si>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</si>
  <si>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</si>
  <si>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</si>
  <si>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</si>
  <si>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</si>
  <si>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</si>
  <si>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</si>
  <si>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</si>
  <si>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</si>
  <si>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</si>
  <si>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</si>
  <si>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</si>
  <si>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</si>
  <si>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</si>
  <si>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</si>
  <si>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</si>
  <si>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</si>
  <si>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</si>
  <si>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</si>
  <si>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</si>
  <si>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</si>
  <si>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</si>
  <si>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</si>
  <si>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</si>
  <si>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</si>
  <si>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</si>
  <si>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</si>
  <si>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</si>
  <si>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</si>
  <si>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</si>
  <si>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</si>
  <si>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</si>
  <si>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</si>
  <si>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</si>
  <si>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</si>
  <si>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</si>
  <si>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</si>
  <si>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</si>
  <si>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</si>
  <si>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</si>
  <si>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</si>
  <si>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</si>
  <si>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</si>
  <si>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</si>
  <si>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</si>
  <si>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</si>
  <si>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</si>
  <si>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-</t>
  </si>
  <si>
    <t>365 Products &amp; Cloud</t>
  </si>
  <si>
    <t>365 Consumer &amp; Cloud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</si>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</sst>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58118</xdr:colOff>
      <xdr:row>0</xdr:row>
      <xdr:rowOff>21896</xdr:rowOff>
    </xdr:from>
    <xdr:to>
      <xdr:col>24</xdr:col>
      <xdr:colOff>58118</xdr:colOff>
      <xdr:row>120</xdr:row>
      <xdr:rowOff>50471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6966635" y="21896"/>
          <a:ext cx="0" cy="1921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46038</xdr:colOff>
      <xdr:row>0</xdr:row>
      <xdr:rowOff>0</xdr:rowOff>
    </xdr:from>
    <xdr:to>
      <xdr:col>63</xdr:col>
      <xdr:colOff>46038</xdr:colOff>
      <xdr:row>120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40143004" y="0"/>
          <a:ext cx="0" cy="19735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S8" dT="2024-12-24T04:04:49.84" personId="{2ADAC7E3-86EF-4E60-96A3-ED0BEE011F1E}" id="{E5A1E10B-F775-4661-B444-BF1B8C3EB80B}">
    <text>Was 22,308</text>
  </threadedComment>
  <threadedComment ref="S9" dT="2024-12-24T04:04:12.60" personId="{2ADAC7E3-86EF-4E60-96A3-ED0BEE011F1E}" id="{B55371F0-CB77-4C6A-9D8C-E3315473E191}">
    <text>Was 13,140</text>
  </threadedComment>
  <threadedComment ref="V9" dT="2024-09-22T15:45:33.04" personId="{2ADAC7E3-86EF-4E60-96A3-ED0BEE011F1E}" id="{5E475410-39BC-42A4-9301-A932004E0408}">
    <text>GitHub ARR 2B</text>
  </threadedComment>
  <threadedComment ref="S10" dT="2024-12-24T04:03:40.02" personId="{2ADAC7E3-86EF-4E60-96A3-ED0BEE011F1E}" id="{AA2A695B-C64A-4308-88C9-24B29E7194A1}">
    <text>Was 5,567, and devices 1,125</text>
  </threadedComment>
  <threadedComment ref="S13" dT="2024-12-24T04:05:25.67" personId="{2ADAC7E3-86EF-4E60-96A3-ED0BEE011F1E}" id="{28831A9A-A8DE-41D2-94CB-5B0B9A35780D}">
    <text>Was 3053</text>
  </threadedComment>
  <threadedComment ref="S15" dT="2024-12-24T04:05:46.17" personId="{2ADAC7E3-86EF-4E60-96A3-ED0BEE011F1E}" id="{57F75795-AA65-41F8-B52D-D18320A11BA5}">
    <text>Was 1,540</text>
  </threadedComment>
  <threadedComment ref="R20" dT="2023-09-28T17:43:21.59" personId="{2ADAC7E3-86EF-4E60-96A3-ED0BEE011F1E}" id="{8AC866B7-A6C9-4AFE-88B5-A371DED6226E}">
    <text>+23% CC</text>
  </threadedComment>
  <threadedComment ref="P21" dT="2023-04-25T17:43:15.37" personId="{2ADAC7E3-86EF-4E60-96A3-ED0BEE011F1E}" id="{ECADAB22-36B1-41A2-AD23-FFF1F2EAB8AC}">
    <text>+14% CC</text>
  </threadedComment>
  <threadedComment ref="R21" dT="2023-09-28T17:37:24.54" personId="{2ADAC7E3-86EF-4E60-96A3-ED0BEE011F1E}" id="{1CA79B8E-9FD8-4E2D-9412-7A77DDB83F01}">
    <text>+7% LinkedIn revenue CC</text>
  </threadedComment>
  <threadedComment ref="BJ21" dT="2023-09-28T17:49:57.89" personId="{2ADAC7E3-86EF-4E60-96A3-ED0BEE011F1E}" id="{96AC5426-8FEE-464D-8105-8764B3629F77}">
    <text>+27% CC</text>
  </threadedComment>
  <threadedComment ref="R24" dT="2023-09-28T17:33:29.03" personId="{2ADAC7E3-86EF-4E60-96A3-ED0BEE011F1E}" id="{3A6A4C0B-9CA9-4EA2-8610-4020B0DDB40E}">
    <text>XBOX hardware -13%
Content &amp; Services +6%</text>
  </threadedComment>
  <threadedComment ref="S24" dT="2023-09-28T18:52:34.02" personId="{2ADAC7E3-86EF-4E60-96A3-ED0BEE011F1E}" id="{6B1B9C92-FEE7-475D-B41A-E884CF55D05D}">
    <text>Expect +MSD</text>
  </threadedComment>
  <threadedComment ref="P26" dT="2023-04-25T17:42:46.88" personId="{2ADAC7E3-86EF-4E60-96A3-ED0BEE011F1E}" id="{2883B5CB-9CE6-4897-A415-6E91690048D2}">
    <text>Dynamics +20%</text>
  </threadedComment>
  <threadedComment ref="Q26" dT="2023-04-25T17:51:08.94" personId="{2ADAC7E3-86EF-4E60-96A3-ED0BEE011F1E}" id="{6A5307CC-CCBA-4CAC-BF0C-55B40FBD45DC}">
    <text>+11-13%
16.9-17.2B</text>
  </threadedComment>
  <threadedComment ref="R26" dT="2023-04-25T22:13:26.39" personId="{2ADAC7E3-86EF-4E60-96A3-ED0BEE011F1E}" id="{8F896F81-6E53-40A7-B585-0CF468064875}">
    <text>Guidance: 17.9-18.2B</text>
  </threadedComment>
  <threadedComment ref="S26" dT="2023-09-28T18:50:05.48" personId="{2ADAC7E3-86EF-4E60-96A3-ED0BEE011F1E}" id="{1708469E-E4B0-42B4-A74A-7F2EA54BA260}">
    <text>18000-18300 guidance Q423
Recast from 18,592</text>
  </threadedComment>
  <threadedComment ref="W26" dT="2024-09-22T15:24:08.93" personId="{2ADAC7E3-86EF-4E60-96A3-ED0BEE011F1E}" id="{A0430351-424E-4888-96FD-79404C358012}">
    <text>Q4 guidance: 20.3-20.6</text>
  </threadedComment>
  <threadedComment ref="X26" dT="2024-12-24T04:09:42.41" personId="{2ADAC7E3-86EF-4E60-96A3-ED0BEE011F1E}" id="{7E9BCCA4-1A9A-4F06-8F56-AD948C1F9AEB}">
    <text>Q1 guidance: 28.7-29.0B</text>
  </threadedComment>
  <threadedComment ref="BJ26" dT="2023-09-28T18:19:04.32" personId="{2ADAC7E3-86EF-4E60-96A3-ED0BEE011F1E}" id="{6C2A9AED-575A-4447-8CAD-2E4A869395ED}">
    <text>Dynamics $5B
LinkedIn $15B</text>
  </threadedComment>
  <threadedComment ref="K27" dT="2023-01-12T14:11:54.08" personId="{2ADAC7E3-86EF-4E60-96A3-ED0BEE011F1E}" id="{1194B53B-11DF-4936-8FD7-77F49319A1C9}">
    <text>16964 old</text>
  </threadedComment>
  <threadedComment ref="P27" dT="2023-04-25T17:30:58.20" personId="{2ADAC7E3-86EF-4E60-96A3-ED0BEE011F1E}" id="{B7D8227E-9C6A-4B9D-BCEB-E38F55E93FBB}">
    <text>Azure growth moderated
Grew from Nuance</text>
  </threadedComment>
  <threadedComment ref="Q27" dT="2023-04-25T17:52:22.56" personId="{2ADAC7E3-86EF-4E60-96A3-ED0BEE011F1E}" id="{C7BC1CA5-759B-43A0-833B-88C4CD54B000}">
    <text>Q223 guidance: 21.7-22.0B</text>
  </threadedComment>
  <threadedComment ref="R27" dT="2023-04-25T22:13:34.93" personId="{2ADAC7E3-86EF-4E60-96A3-ED0BEE011F1E}" id="{21797C47-1950-4375-853A-A1712EF01174}">
    <text>Guidance: 23.6-23.9B</text>
  </threadedComment>
  <threadedComment ref="S27" dT="2023-09-28T18:50:34.89" personId="{2ADAC7E3-86EF-4E60-96A3-ED0BEE011F1E}" id="{AA439B2E-FC6E-4E0D-A042-CA20F999D88F}">
    <text>23.3-23.6B Q423
Recast from 24,259</text>
  </threadedComment>
  <threadedComment ref="W27" dT="2024-09-22T15:24:17.65" personId="{2ADAC7E3-86EF-4E60-96A3-ED0BEE011F1E}" id="{06B3106E-8D95-4ED7-A96C-DF96D1DF1BC4}">
    <text>Q4 guidance: 28.6-28.9</text>
  </threadedComment>
  <threadedComment ref="X27" dT="2024-12-24T04:09:54.59" personId="{2ADAC7E3-86EF-4E60-96A3-ED0BEE011F1E}" id="{575D0825-4C80-4173-A064-BC46798AA03A}">
    <text>Q1 guidance: 25.50-25.85B</text>
  </threadedComment>
  <threadedComment ref="B28" dT="2023-09-28T17:34:02.74" personId="{2ADAC7E3-86EF-4E60-96A3-ED0BEE011F1E}" id="{EC9B7190-CE1A-4E78-A2EF-A3F3AADAB339}">
    <text>Windows, Gaming, Devices, Search and News Advertising</text>
  </threadedComment>
  <threadedComment ref="K28" dT="2023-01-12T14:11:37.67" personId="{2ADAC7E3-86EF-4E60-96A3-ED0BEE011F1E}" id="{F728FAC2-51F0-4023-AB40-41F83CEF5C89}">
    <text>13314 prior</text>
  </threadedComment>
  <threadedComment ref="P28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8" dT="2023-04-25T17:53:27.39" personId="{2ADAC7E3-86EF-4E60-96A3-ED0BEE011F1E}" id="{246E0C01-DF1D-4F91-A337-4DE00EFEDDC8}">
    <text>FQ223 guidance: 11.9-12.3B</text>
  </threadedComment>
  <threadedComment ref="R28" dT="2023-04-25T22:13:46.70" personId="{2ADAC7E3-86EF-4E60-96A3-ED0BEE011F1E}" id="{730404D6-8355-478B-BCFF-9D938DC1FD29}">
    <text>Guidance: 13.35-13.75B
Xandr acquisition benefit</text>
  </threadedComment>
  <threadedComment ref="S28" dT="2023-09-28T18:51:01.20" personId="{2ADAC7E3-86EF-4E60-96A3-ED0BEE011F1E}" id="{DCFC0E54-F0B5-4901-BBC6-12237E7E3B9E}">
    <text>12.5-12.9B Q423
Was 13666, recast to 11278</text>
  </threadedComment>
  <threadedComment ref="W28" dT="2024-09-22T15:24:28.39" personId="{2ADAC7E3-86EF-4E60-96A3-ED0BEE011F1E}" id="{76D53B89-C9A8-4A1F-A500-58B63D0047E4}">
    <text>Q4 guidance: 14.9-15.3</text>
  </threadedComment>
  <threadedComment ref="X28" dT="2024-12-24T04:10:05.35" personId="{2ADAC7E3-86EF-4E60-96A3-ED0BEE011F1E}" id="{48B23987-2CE7-423E-ACAE-6D661625B256}">
    <text>Q1 guidance: 13.85B-14.25B</text>
  </threadedComment>
  <threadedComment ref="AE28" dT="2023-04-30T03:57:38.72" personId="{2ADAC7E3-86EF-4E60-96A3-ED0BEE011F1E}" id="{1C31850E-87A1-42A5-A544-D7C66ECB0D78}">
    <text>Hardware 254m</text>
  </threadedComment>
  <threadedComment ref="AF28" dT="2023-04-30T03:57:32.74" personId="{2ADAC7E3-86EF-4E60-96A3-ED0BEE011F1E}" id="{6CD6DA57-15E4-4617-9E8A-DE627D4291F4}">
    <text>Hardware 233m</text>
  </threadedComment>
  <threadedComment ref="AG28" dT="2023-04-30T03:57:25.69" personId="{2ADAC7E3-86EF-4E60-96A3-ED0BEE011F1E}" id="{530E3A34-4790-4FEE-B8A2-EEE361836B57}">
    <text>Hardware 203m</text>
  </threadedComment>
  <threadedComment ref="P32" dT="2023-04-25T17:28:33.19" personId="{2ADAC7E3-86EF-4E60-96A3-ED0BEE011F1E}" id="{6550F107-B2DD-468B-9840-A88B103B8C6E}">
    <text>Saw weakening in December
US weaker than expected</text>
  </threadedComment>
  <threadedComment ref="Q32" dT="2023-04-25T17:53:49.93" personId="{2ADAC7E3-86EF-4E60-96A3-ED0BEE011F1E}" id="{B0B4B47A-77DB-4469-A3F3-BA8FF53995B8}">
    <text>4/25/23 Consensus: 51.02B
Q223 guidance: 50.5-51.5B</text>
  </threadedComment>
  <threadedComment ref="R32" dT="2023-04-25T17:54:04.57" personId="{2ADAC7E3-86EF-4E60-96A3-ED0BEE011F1E}" id="{672EF133-CF99-4F62-BC53-D74F59EFAF45}">
    <text>4/24/23: 54.84B consensus
FQ323 Guidance: 54.850-55.80B</text>
  </threadedComment>
  <threadedComment ref="BH32" dT="2024-09-28T03:46:02.83" personId="{2ADAC7E3-86EF-4E60-96A3-ED0BEE011F1E}" id="{5ABABD65-6006-454E-8377-B6AC9472B498}">
    <text>March 2022 - Nuance deal closes</text>
  </threadedComment>
  <threadedComment ref="S35" dT="2023-09-28T18:52:48.38" personId="{2ADAC7E3-86EF-4E60-96A3-ED0BEE011F1E}" id="{667BC7EE-5E86-47FC-B964-2C031A25E303}">
    <text>16.6-16.8B - Q423</text>
  </threadedComment>
  <threadedComment ref="X40" dT="2024-12-24T04:09:21.92" personId="{2ADAC7E3-86EF-4E60-96A3-ED0BEE011F1E}" id="{E1D462E3-FE87-45D3-BF08-737DAD82C45D}">
    <text>Q1 guidance: 16.4-16.5B</text>
  </threadedComment>
  <threadedComment ref="BK41" dT="2023-09-28T18:49:03.40" personId="{2ADAC7E3-86EF-4E60-96A3-ED0BEE011F1E}" id="{7492A336-ABB9-4529-8350-AF762E5855FF}">
    <text>Expect flat OM% y/y</text>
  </threadedComment>
  <threadedComment ref="BK44" dT="2023-09-28T18:49:17.54" personId="{2ADAC7E3-86EF-4E60-96A3-ED0BEE011F1E}" id="{9D309CA1-66AA-4222-B1F7-ACD53E16B28F}">
    <text>19% guidance - Q423</text>
  </threadedComment>
  <threadedComment ref="R46" dT="2023-09-28T18:39:40.83" personId="{2ADAC7E3-86EF-4E60-96A3-ED0BEE011F1E}" id="{48518769-DF2C-4CE7-8344-8EDB6814ABC3}">
    <text>2.69 +23% cc</text>
  </threadedComment>
  <threadedComment ref="P50" dT="2023-04-25T17:32:36.53" personId="{2ADAC7E3-86EF-4E60-96A3-ED0BEE011F1E}" id="{207240C6-AA0E-47C1-A8DC-C70F3CF7F6CF}">
    <text>Bookings +4% y/y</text>
  </threadedComment>
  <threadedComment ref="R52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70" zoomScaleNormal="170" workbookViewId="0">
      <selection activeCell="L8" sqref="L8"/>
    </sheetView>
  </sheetViews>
  <sheetFormatPr defaultRowHeight="12.5"/>
  <cols>
    <col min="1" max="1" width="3.7265625" customWidth="1"/>
    <col min="11" max="11" width="11.54296875" customWidth="1"/>
    <col min="12" max="12" width="13.54296875" customWidth="1"/>
  </cols>
  <sheetData>
    <row r="2" spans="2:13" ht="13">
      <c r="B2" s="17" t="s">
        <v>130</v>
      </c>
      <c r="K2" t="s">
        <v>0</v>
      </c>
      <c r="L2" s="1">
        <v>454</v>
      </c>
    </row>
    <row r="3" spans="2:13">
      <c r="B3" t="s">
        <v>110</v>
      </c>
      <c r="C3" t="s">
        <v>113</v>
      </c>
      <c r="K3" t="s">
        <v>1</v>
      </c>
      <c r="L3" s="4">
        <v>7470</v>
      </c>
      <c r="M3" s="2" t="s">
        <v>473</v>
      </c>
    </row>
    <row r="4" spans="2:13">
      <c r="B4" t="s">
        <v>109</v>
      </c>
      <c r="C4" t="s">
        <v>114</v>
      </c>
      <c r="K4" t="s">
        <v>2</v>
      </c>
      <c r="L4" s="4">
        <f>L2*L3</f>
        <v>3391380</v>
      </c>
    </row>
    <row r="5" spans="2:13">
      <c r="B5" t="s">
        <v>116</v>
      </c>
      <c r="K5" t="s">
        <v>3</v>
      </c>
      <c r="L5" s="4">
        <v>94206</v>
      </c>
      <c r="M5" s="2" t="s">
        <v>473</v>
      </c>
    </row>
    <row r="6" spans="2:13">
      <c r="B6" t="s">
        <v>131</v>
      </c>
      <c r="K6" t="s">
        <v>4</v>
      </c>
      <c r="L6" s="4">
        <v>45117</v>
      </c>
      <c r="M6" s="2" t="s">
        <v>473</v>
      </c>
    </row>
    <row r="7" spans="2:13">
      <c r="K7" t="s">
        <v>5</v>
      </c>
      <c r="L7" s="4">
        <f>L4-L5+L6</f>
        <v>3342291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 ht="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W125"/>
  <sheetViews>
    <sheetView tabSelected="1" zoomScale="145" zoomScaleNormal="145" workbookViewId="0">
      <pane xSplit="2" ySplit="3" topLeftCell="Q86" activePane="bottomRight" state="frozen"/>
      <selection pane="topRight" activeCell="C1" sqref="C1"/>
      <selection pane="bottomLeft" activeCell="A4" sqref="A4"/>
      <selection pane="bottomRight" activeCell="T93" sqref="Q93:T93"/>
    </sheetView>
  </sheetViews>
  <sheetFormatPr defaultRowHeight="12.5"/>
  <cols>
    <col min="1" max="1" width="5" bestFit="1" customWidth="1"/>
    <col min="2" max="2" width="19.7265625" customWidth="1"/>
    <col min="3" max="6" width="10" style="2" customWidth="1"/>
    <col min="7" max="14" width="9.81640625" style="2" customWidth="1"/>
    <col min="15" max="26" width="9.81640625" customWidth="1"/>
    <col min="33" max="33" width="9.54296875" customWidth="1"/>
    <col min="59" max="62" width="9.1796875" style="2"/>
    <col min="72" max="72" width="10.7265625" customWidth="1"/>
  </cols>
  <sheetData>
    <row r="1" spans="1:69">
      <c r="A1" s="14" t="s">
        <v>6</v>
      </c>
    </row>
    <row r="2" spans="1:69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45382</v>
      </c>
      <c r="V2" s="15">
        <v>45473</v>
      </c>
      <c r="W2" s="15">
        <v>45565</v>
      </c>
      <c r="X2" s="15">
        <v>45657</v>
      </c>
      <c r="Y2" s="15">
        <v>45747</v>
      </c>
      <c r="Z2" s="15">
        <v>45838</v>
      </c>
      <c r="AC2" s="15">
        <v>33054</v>
      </c>
      <c r="AD2" s="15">
        <v>33419</v>
      </c>
      <c r="AE2" s="15">
        <v>33785</v>
      </c>
      <c r="AF2" s="15">
        <v>34150</v>
      </c>
      <c r="AG2" s="15">
        <v>34515</v>
      </c>
      <c r="AH2" s="15">
        <v>34880</v>
      </c>
      <c r="AI2" s="15">
        <v>35246</v>
      </c>
      <c r="AJ2" s="15">
        <v>35611</v>
      </c>
      <c r="AK2" s="15">
        <v>35976</v>
      </c>
      <c r="AL2" s="15">
        <v>36341</v>
      </c>
      <c r="AM2" s="15">
        <v>36707</v>
      </c>
      <c r="AN2" s="15">
        <v>37072</v>
      </c>
      <c r="AO2" s="15">
        <v>37437</v>
      </c>
      <c r="AP2" s="15">
        <v>37802</v>
      </c>
      <c r="AQ2" s="15">
        <v>38168</v>
      </c>
      <c r="AR2" s="15">
        <v>38533</v>
      </c>
      <c r="AS2" s="15">
        <v>38898</v>
      </c>
      <c r="AT2" s="15">
        <v>39263</v>
      </c>
      <c r="AU2" s="15">
        <v>39629</v>
      </c>
      <c r="AV2" s="15">
        <v>39994</v>
      </c>
      <c r="AW2" s="15">
        <v>40359</v>
      </c>
      <c r="AX2" s="15">
        <v>40724</v>
      </c>
      <c r="AY2" s="15">
        <v>41090</v>
      </c>
      <c r="AZ2" s="15">
        <v>41455</v>
      </c>
      <c r="BA2" s="15">
        <v>41820</v>
      </c>
      <c r="BB2" s="15">
        <v>42185</v>
      </c>
      <c r="BC2" s="15">
        <v>42551</v>
      </c>
      <c r="BD2" s="15">
        <v>42916</v>
      </c>
      <c r="BE2" s="15">
        <v>43281</v>
      </c>
      <c r="BF2" s="15">
        <v>43646</v>
      </c>
      <c r="BG2" s="16">
        <v>44012</v>
      </c>
      <c r="BH2" s="16">
        <f>+J2</f>
        <v>44377</v>
      </c>
      <c r="BI2" s="16">
        <f>+N2</f>
        <v>44742</v>
      </c>
      <c r="BJ2" s="16">
        <v>45107</v>
      </c>
      <c r="BK2" s="15">
        <f>+BJ2+366</f>
        <v>45473</v>
      </c>
      <c r="BL2" s="15">
        <f>+BK2+365</f>
        <v>45838</v>
      </c>
      <c r="BM2" s="15">
        <f>+BL2+365</f>
        <v>46203</v>
      </c>
      <c r="BN2" s="15">
        <f>+BM2+365</f>
        <v>46568</v>
      </c>
      <c r="BO2" s="15">
        <f>+BN2+366</f>
        <v>46934</v>
      </c>
      <c r="BP2" s="15">
        <f>+BO2+365</f>
        <v>47299</v>
      </c>
      <c r="BQ2" s="15">
        <f>+BP2+365</f>
        <v>47664</v>
      </c>
    </row>
    <row r="3" spans="1:69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W3" s="2" t="s">
        <v>465</v>
      </c>
      <c r="X3" s="2" t="s">
        <v>466</v>
      </c>
      <c r="Y3" s="2" t="s">
        <v>467</v>
      </c>
      <c r="Z3" s="2" t="s">
        <v>468</v>
      </c>
      <c r="AB3" s="2"/>
      <c r="AC3" s="2" t="s">
        <v>219</v>
      </c>
      <c r="AD3" s="2" t="s">
        <v>220</v>
      </c>
      <c r="AE3" s="2" t="s">
        <v>221</v>
      </c>
      <c r="AF3" s="2" t="s">
        <v>222</v>
      </c>
      <c r="AG3" s="2" t="s">
        <v>183</v>
      </c>
      <c r="AH3" s="2" t="s">
        <v>184</v>
      </c>
      <c r="AI3" s="2" t="s">
        <v>180</v>
      </c>
      <c r="AJ3" s="2" t="s">
        <v>181</v>
      </c>
      <c r="AK3" s="2" t="s">
        <v>182</v>
      </c>
      <c r="AL3" s="2" t="s">
        <v>173</v>
      </c>
      <c r="AM3" s="2" t="s">
        <v>174</v>
      </c>
      <c r="AN3" s="2" t="s">
        <v>175</v>
      </c>
      <c r="AO3" s="2" t="s">
        <v>176</v>
      </c>
      <c r="AP3" s="2" t="s">
        <v>177</v>
      </c>
      <c r="AQ3" s="2" t="s">
        <v>178</v>
      </c>
      <c r="AR3" s="2" t="s">
        <v>179</v>
      </c>
      <c r="AS3" s="2" t="s">
        <v>169</v>
      </c>
      <c r="AT3" s="2" t="s">
        <v>170</v>
      </c>
      <c r="AU3" s="2" t="s">
        <v>171</v>
      </c>
      <c r="AV3" s="2" t="s">
        <v>172</v>
      </c>
      <c r="AW3" s="2" t="s">
        <v>163</v>
      </c>
      <c r="AX3" s="2" t="s">
        <v>164</v>
      </c>
      <c r="AY3" s="2" t="s">
        <v>165</v>
      </c>
      <c r="AZ3" s="2" t="s">
        <v>166</v>
      </c>
      <c r="BA3" s="2" t="s">
        <v>167</v>
      </c>
      <c r="BB3" s="2" t="s">
        <v>168</v>
      </c>
      <c r="BC3" s="2" t="s">
        <v>162</v>
      </c>
      <c r="BD3" s="2" t="s">
        <v>102</v>
      </c>
      <c r="BE3" s="2" t="s">
        <v>101</v>
      </c>
      <c r="BF3" s="2" t="s">
        <v>88</v>
      </c>
      <c r="BG3" s="2" t="s">
        <v>77</v>
      </c>
      <c r="BH3" s="2" t="s">
        <v>74</v>
      </c>
      <c r="BI3" s="2" t="s">
        <v>75</v>
      </c>
      <c r="BJ3" s="2" t="s">
        <v>76</v>
      </c>
      <c r="BK3" s="2" t="s">
        <v>90</v>
      </c>
      <c r="BL3" s="2" t="s">
        <v>91</v>
      </c>
      <c r="BM3" s="2" t="s">
        <v>92</v>
      </c>
      <c r="BN3" s="2" t="s">
        <v>93</v>
      </c>
      <c r="BO3" s="2" t="s">
        <v>94</v>
      </c>
      <c r="BP3" s="2" t="s">
        <v>95</v>
      </c>
      <c r="BQ3" s="2" t="s">
        <v>96</v>
      </c>
    </row>
    <row r="4" spans="1:69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>
        <v>212</v>
      </c>
      <c r="T4" s="2">
        <v>222</v>
      </c>
      <c r="U4" s="2">
        <v>235</v>
      </c>
      <c r="V4" s="2">
        <v>269</v>
      </c>
      <c r="W4" s="2">
        <v>259</v>
      </c>
      <c r="X4" s="2"/>
      <c r="Y4" s="2"/>
      <c r="Z4" s="2"/>
      <c r="AW4" s="2"/>
      <c r="AX4" s="2"/>
      <c r="AY4" s="2"/>
      <c r="AZ4" s="2"/>
      <c r="BA4" s="2"/>
      <c r="BB4" s="2"/>
      <c r="BC4" s="2"/>
      <c r="BD4" s="2"/>
      <c r="BE4" s="2"/>
      <c r="BF4" s="2"/>
      <c r="BK4" s="2"/>
      <c r="BL4" s="2"/>
      <c r="BM4" s="2"/>
      <c r="BN4" s="2"/>
      <c r="BO4" s="2"/>
      <c r="BP4" s="2"/>
      <c r="BQ4" s="2"/>
    </row>
    <row r="5" spans="1:69" s="19" customFormat="1" ht="13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 t="shared" ref="P5:W5" si="1">+P4/L4-1</f>
        <v>0.28571428571428581</v>
      </c>
      <c r="Q5" s="21">
        <f t="shared" si="1"/>
        <v>0.26451612903225796</v>
      </c>
      <c r="R5" s="21">
        <f t="shared" si="1"/>
        <v>0.18518518518518512</v>
      </c>
      <c r="S5" s="21">
        <f t="shared" si="1"/>
        <v>0.17777777777777781</v>
      </c>
      <c r="T5" s="21">
        <f t="shared" si="1"/>
        <v>0.17460317460317465</v>
      </c>
      <c r="U5" s="21">
        <f t="shared" si="1"/>
        <v>0.19897959183673475</v>
      </c>
      <c r="V5" s="21">
        <f t="shared" si="1"/>
        <v>0.20089285714285721</v>
      </c>
      <c r="W5" s="21">
        <f t="shared" si="1"/>
        <v>0.22169811320754707</v>
      </c>
      <c r="X5" s="20"/>
      <c r="Y5" s="20"/>
      <c r="Z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1:69" s="19" customFormat="1" ht="13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W6" s="20"/>
      <c r="X6" s="20"/>
      <c r="Y6" s="20"/>
      <c r="Z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s="19" customFormat="1" ht="13">
      <c r="B7" t="s">
        <v>152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7">
        <v>35100</v>
      </c>
      <c r="V7" s="7">
        <v>36800</v>
      </c>
      <c r="W7" s="7">
        <v>38900</v>
      </c>
      <c r="X7" s="20"/>
      <c r="Y7" s="20"/>
      <c r="Z7" s="20"/>
      <c r="AW7" s="20"/>
      <c r="AX7" s="20"/>
      <c r="AY7" s="20"/>
      <c r="AZ7" s="38"/>
      <c r="BA7" s="38"/>
      <c r="BB7" s="38"/>
      <c r="BC7" s="5">
        <v>9500</v>
      </c>
      <c r="BD7" s="5">
        <v>16200</v>
      </c>
      <c r="BE7" s="5">
        <v>26600</v>
      </c>
      <c r="BF7" s="5">
        <v>38100</v>
      </c>
      <c r="BG7" s="5">
        <v>51700</v>
      </c>
      <c r="BH7" s="5">
        <v>69100</v>
      </c>
      <c r="BI7" s="5">
        <f>SUM(K7:N7)</f>
        <v>91300</v>
      </c>
      <c r="BJ7" s="5">
        <f>SUM(O7:R7)</f>
        <v>111600</v>
      </c>
      <c r="BK7" s="5">
        <f>SUM(S7:V7)</f>
        <v>137400</v>
      </c>
      <c r="BL7" s="20"/>
      <c r="BM7" s="20"/>
      <c r="BN7" s="20"/>
      <c r="BO7" s="20"/>
      <c r="BP7" s="20"/>
      <c r="BQ7" s="20"/>
    </row>
    <row r="8" spans="1:69" s="19" customFormat="1" ht="13">
      <c r="B8" t="s">
        <v>462</v>
      </c>
      <c r="C8" s="5">
        <v>9192</v>
      </c>
      <c r="D8" s="5">
        <v>10119</v>
      </c>
      <c r="E8" s="5">
        <v>10490</v>
      </c>
      <c r="F8" s="5">
        <f>+BG8-E8-D8-C8</f>
        <v>11578</v>
      </c>
      <c r="G8" s="5">
        <v>11195</v>
      </c>
      <c r="H8" s="5">
        <v>12729</v>
      </c>
      <c r="I8" s="5">
        <v>13204</v>
      </c>
      <c r="J8" s="5">
        <f>+BH8-I8-H8-G8</f>
        <v>15461</v>
      </c>
      <c r="K8" s="5">
        <v>15070</v>
      </c>
      <c r="L8" s="5">
        <v>16375</v>
      </c>
      <c r="M8" s="5">
        <v>17046</v>
      </c>
      <c r="N8" s="5">
        <f>+BI8-M8-L8-K8</f>
        <v>18859</v>
      </c>
      <c r="O8" s="5">
        <v>18388</v>
      </c>
      <c r="P8" s="5">
        <v>19594</v>
      </c>
      <c r="Q8" s="5">
        <v>20025</v>
      </c>
      <c r="R8" s="5">
        <f>+BJ8-Q8-P8-O8</f>
        <v>21963</v>
      </c>
      <c r="S8" s="5">
        <v>18062</v>
      </c>
      <c r="T8" s="5">
        <v>23953</v>
      </c>
      <c r="U8" s="5">
        <v>24832</v>
      </c>
      <c r="V8" s="5">
        <f>97726-U8-T8-S8</f>
        <v>30879</v>
      </c>
      <c r="W8" s="5">
        <v>22155</v>
      </c>
      <c r="X8" s="20"/>
      <c r="Y8" s="20"/>
      <c r="Z8" s="20"/>
      <c r="AW8" s="20"/>
      <c r="AX8" s="20"/>
      <c r="AY8" s="20"/>
      <c r="AZ8" s="5">
        <v>15408</v>
      </c>
      <c r="BA8" s="5">
        <v>17055</v>
      </c>
      <c r="BB8" s="5">
        <v>18612</v>
      </c>
      <c r="BC8" s="5">
        <v>19062</v>
      </c>
      <c r="BD8" s="5">
        <v>21649</v>
      </c>
      <c r="BE8" s="5">
        <v>26129</v>
      </c>
      <c r="BF8" s="5">
        <v>32622</v>
      </c>
      <c r="BG8" s="5">
        <v>41379</v>
      </c>
      <c r="BH8" s="5">
        <v>52589</v>
      </c>
      <c r="BI8" s="5">
        <v>67350</v>
      </c>
      <c r="BJ8" s="5">
        <v>79970</v>
      </c>
      <c r="BK8" s="5">
        <v>97726</v>
      </c>
      <c r="BL8" s="20"/>
      <c r="BM8" s="20"/>
      <c r="BN8" s="20"/>
      <c r="BO8" s="20"/>
      <c r="BP8" s="20"/>
      <c r="BQ8" s="20"/>
    </row>
    <row r="9" spans="1:69" s="19" customFormat="1" ht="13">
      <c r="B9" t="s">
        <v>471</v>
      </c>
      <c r="C9" s="5">
        <v>8466</v>
      </c>
      <c r="D9" s="5">
        <v>8983</v>
      </c>
      <c r="E9" s="5">
        <v>8920</v>
      </c>
      <c r="F9" s="5">
        <f t="shared" ref="F9:F18" si="2">+BG9-E9-D9-C9</f>
        <v>8947</v>
      </c>
      <c r="G9" s="5">
        <v>9278</v>
      </c>
      <c r="H9" s="5">
        <v>9881</v>
      </c>
      <c r="I9" s="5">
        <v>10016</v>
      </c>
      <c r="J9" s="5">
        <f t="shared" ref="J9:J18" si="3">+BH9-I9-H9-G9</f>
        <v>10697</v>
      </c>
      <c r="K9" s="5">
        <v>10808</v>
      </c>
      <c r="L9" s="5">
        <v>11251</v>
      </c>
      <c r="M9" s="5">
        <v>11164</v>
      </c>
      <c r="N9" s="5">
        <f t="shared" ref="N9:N18" si="4">+BI9-M9-L9-K9</f>
        <v>11639</v>
      </c>
      <c r="O9" s="5">
        <v>11577</v>
      </c>
      <c r="P9" s="5">
        <v>11867</v>
      </c>
      <c r="Q9" s="5">
        <v>12468</v>
      </c>
      <c r="R9" s="5">
        <f t="shared" ref="R9:R18" si="5">+BJ9-Q9-P9-O9</f>
        <v>12816</v>
      </c>
      <c r="S9" s="5">
        <v>18044</v>
      </c>
      <c r="T9" s="5">
        <v>13477</v>
      </c>
      <c r="U9" s="5">
        <v>13911</v>
      </c>
      <c r="V9" s="5">
        <f>54875-U9-T9-S9</f>
        <v>9443</v>
      </c>
      <c r="W9" s="5">
        <v>20449</v>
      </c>
      <c r="X9" s="20"/>
      <c r="Y9" s="20"/>
      <c r="Z9" s="20"/>
      <c r="AW9" s="20"/>
      <c r="AX9" s="20"/>
      <c r="AY9" s="20"/>
      <c r="AZ9" s="5">
        <v>22995</v>
      </c>
      <c r="BA9" s="5">
        <v>24323</v>
      </c>
      <c r="BB9" s="5">
        <v>23538</v>
      </c>
      <c r="BC9" s="5">
        <v>23868</v>
      </c>
      <c r="BD9" s="5">
        <v>25573</v>
      </c>
      <c r="BE9" s="5">
        <v>28316</v>
      </c>
      <c r="BF9" s="5">
        <v>31769</v>
      </c>
      <c r="BG9" s="5">
        <v>35316</v>
      </c>
      <c r="BH9" s="5">
        <v>39872</v>
      </c>
      <c r="BI9" s="5">
        <v>44862</v>
      </c>
      <c r="BJ9" s="5">
        <v>48728</v>
      </c>
      <c r="BK9" s="5">
        <v>54875</v>
      </c>
      <c r="BL9" s="20"/>
      <c r="BM9" s="20"/>
      <c r="BN9" s="20"/>
      <c r="BO9" s="20"/>
      <c r="BP9" s="20"/>
      <c r="BQ9" s="20"/>
    </row>
    <row r="10" spans="1:69" s="19" customFormat="1" ht="13">
      <c r="B10" t="s">
        <v>110</v>
      </c>
      <c r="C10" s="5">
        <v>5353</v>
      </c>
      <c r="D10" s="5">
        <v>5593</v>
      </c>
      <c r="E10" s="5">
        <v>5220</v>
      </c>
      <c r="F10" s="5">
        <f t="shared" si="2"/>
        <v>6128</v>
      </c>
      <c r="G10" s="5">
        <v>5151</v>
      </c>
      <c r="H10" s="5">
        <v>5514</v>
      </c>
      <c r="I10" s="5">
        <v>5463</v>
      </c>
      <c r="J10" s="5">
        <f t="shared" si="3"/>
        <v>6360</v>
      </c>
      <c r="K10" s="5">
        <v>5674</v>
      </c>
      <c r="L10" s="5">
        <v>6600</v>
      </c>
      <c r="M10" s="5">
        <v>6069</v>
      </c>
      <c r="N10" s="5">
        <f t="shared" si="4"/>
        <v>6389</v>
      </c>
      <c r="O10" s="5">
        <v>5313</v>
      </c>
      <c r="P10" s="5">
        <v>4808</v>
      </c>
      <c r="Q10" s="5">
        <v>5328</v>
      </c>
      <c r="R10" s="5">
        <f t="shared" si="5"/>
        <v>6058</v>
      </c>
      <c r="S10" s="5">
        <v>4340</v>
      </c>
      <c r="T10" s="5">
        <v>5262</v>
      </c>
      <c r="U10" s="5">
        <v>5929</v>
      </c>
      <c r="V10" s="5">
        <f>23244-U10-T10-S10</f>
        <v>7713</v>
      </c>
      <c r="W10" s="5">
        <v>4329</v>
      </c>
      <c r="X10" s="20"/>
      <c r="Y10" s="20"/>
      <c r="Z10" s="20"/>
      <c r="AW10" s="20"/>
      <c r="AX10" s="20"/>
      <c r="AY10" s="20"/>
      <c r="AZ10" s="5">
        <v>17259</v>
      </c>
      <c r="BA10" s="5">
        <v>16856</v>
      </c>
      <c r="BB10" s="5">
        <v>14826</v>
      </c>
      <c r="BC10" s="5">
        <v>17548</v>
      </c>
      <c r="BD10" s="5">
        <v>18593</v>
      </c>
      <c r="BE10" s="5">
        <v>19518</v>
      </c>
      <c r="BF10" s="5">
        <v>20395</v>
      </c>
      <c r="BG10" s="5">
        <v>22294</v>
      </c>
      <c r="BH10" s="5">
        <v>22488</v>
      </c>
      <c r="BI10" s="5">
        <v>24732</v>
      </c>
      <c r="BJ10" s="5">
        <v>21507</v>
      </c>
      <c r="BK10" s="5">
        <v>23244</v>
      </c>
      <c r="BL10" s="20"/>
      <c r="BM10" s="20"/>
      <c r="BN10" s="20"/>
      <c r="BO10" s="20"/>
      <c r="BP10" s="20"/>
      <c r="BQ10" s="20"/>
    </row>
    <row r="11" spans="1:69" s="19" customFormat="1" ht="13">
      <c r="B11" t="s">
        <v>412</v>
      </c>
      <c r="C11" s="5">
        <v>2542</v>
      </c>
      <c r="D11" s="5">
        <v>3327</v>
      </c>
      <c r="E11" s="5">
        <v>2349</v>
      </c>
      <c r="F11" s="5">
        <f t="shared" si="2"/>
        <v>3357</v>
      </c>
      <c r="G11" s="5">
        <v>3092</v>
      </c>
      <c r="H11" s="5">
        <v>5031</v>
      </c>
      <c r="I11" s="5">
        <v>3533</v>
      </c>
      <c r="J11" s="5">
        <f t="shared" si="3"/>
        <v>3714</v>
      </c>
      <c r="K11" s="5">
        <v>3593</v>
      </c>
      <c r="L11" s="5">
        <v>5442</v>
      </c>
      <c r="M11" s="5">
        <v>3740</v>
      </c>
      <c r="N11" s="5">
        <f t="shared" si="4"/>
        <v>3455</v>
      </c>
      <c r="O11" s="5">
        <v>3610</v>
      </c>
      <c r="P11" s="5">
        <v>4758</v>
      </c>
      <c r="Q11" s="5">
        <v>3607</v>
      </c>
      <c r="R11" s="5">
        <f t="shared" si="5"/>
        <v>3491</v>
      </c>
      <c r="S11" s="5">
        <v>3919</v>
      </c>
      <c r="T11" s="5">
        <v>7111</v>
      </c>
      <c r="U11" s="5">
        <v>5451</v>
      </c>
      <c r="V11" s="5">
        <f>21503-U11-T11-S11</f>
        <v>5022</v>
      </c>
      <c r="W11" s="5">
        <v>5621</v>
      </c>
      <c r="X11" s="20"/>
      <c r="Y11" s="20"/>
      <c r="Z11" s="20"/>
      <c r="AW11" s="20"/>
      <c r="AX11" s="20"/>
      <c r="AY11" s="20"/>
      <c r="AZ11" s="5">
        <v>6149</v>
      </c>
      <c r="BA11" s="5">
        <v>9093</v>
      </c>
      <c r="BB11" s="5">
        <v>10183</v>
      </c>
      <c r="BC11" s="5">
        <v>9202</v>
      </c>
      <c r="BD11" s="5">
        <v>9051</v>
      </c>
      <c r="BE11" s="5">
        <v>10353</v>
      </c>
      <c r="BF11" s="5">
        <v>11386</v>
      </c>
      <c r="BG11" s="5">
        <v>11575</v>
      </c>
      <c r="BH11" s="5">
        <v>15370</v>
      </c>
      <c r="BI11" s="5">
        <v>16230</v>
      </c>
      <c r="BJ11" s="5">
        <v>15466</v>
      </c>
      <c r="BK11" s="5">
        <v>21503</v>
      </c>
      <c r="BL11" s="20"/>
      <c r="BM11" s="20"/>
      <c r="BN11" s="20"/>
      <c r="BO11" s="20"/>
      <c r="BP11" s="20"/>
      <c r="BQ11" s="20"/>
    </row>
    <row r="12" spans="1:69" s="19" customFormat="1" ht="13">
      <c r="B12" t="s">
        <v>87</v>
      </c>
      <c r="C12" s="5">
        <v>1909</v>
      </c>
      <c r="D12" s="5">
        <v>2102</v>
      </c>
      <c r="E12" s="5">
        <v>2050</v>
      </c>
      <c r="F12" s="5">
        <f t="shared" si="2"/>
        <v>2016</v>
      </c>
      <c r="G12" s="5">
        <v>2206</v>
      </c>
      <c r="H12" s="5">
        <v>2577</v>
      </c>
      <c r="I12" s="5">
        <v>2562</v>
      </c>
      <c r="J12" s="5">
        <f t="shared" si="3"/>
        <v>2944</v>
      </c>
      <c r="K12" s="5">
        <v>3136</v>
      </c>
      <c r="L12" s="5">
        <v>3531</v>
      </c>
      <c r="M12" s="5">
        <v>3437</v>
      </c>
      <c r="N12" s="5">
        <f t="shared" si="4"/>
        <v>3712</v>
      </c>
      <c r="O12" s="5">
        <v>3628</v>
      </c>
      <c r="P12" s="5">
        <v>3833</v>
      </c>
      <c r="Q12" s="5">
        <v>3659</v>
      </c>
      <c r="R12" s="5">
        <f t="shared" si="5"/>
        <v>4025</v>
      </c>
      <c r="S12" s="5">
        <v>3913</v>
      </c>
      <c r="T12" s="5">
        <v>4195</v>
      </c>
      <c r="U12" s="5">
        <v>4013</v>
      </c>
      <c r="V12" s="5">
        <f>16372-U12-T12-S12</f>
        <v>4251</v>
      </c>
      <c r="W12" s="5">
        <v>4292</v>
      </c>
      <c r="X12" s="20"/>
      <c r="Y12" s="20"/>
      <c r="Z12" s="20"/>
      <c r="AW12" s="20"/>
      <c r="AX12" s="20"/>
      <c r="AY12" s="20"/>
      <c r="AZ12" s="5">
        <v>0</v>
      </c>
      <c r="BA12" s="5">
        <v>0</v>
      </c>
      <c r="BB12" s="5">
        <v>0</v>
      </c>
      <c r="BC12" s="5">
        <v>0</v>
      </c>
      <c r="BD12" s="5">
        <v>2271</v>
      </c>
      <c r="BE12" s="5">
        <v>5259</v>
      </c>
      <c r="BF12" s="5">
        <v>6754</v>
      </c>
      <c r="BG12" s="5">
        <v>8077</v>
      </c>
      <c r="BH12" s="5">
        <v>10289</v>
      </c>
      <c r="BI12" s="5">
        <v>13816</v>
      </c>
      <c r="BJ12" s="5">
        <v>15145</v>
      </c>
      <c r="BK12" s="5">
        <v>16372</v>
      </c>
      <c r="BL12" s="20"/>
      <c r="BM12" s="20"/>
      <c r="BN12" s="20"/>
      <c r="BO12" s="20"/>
      <c r="BP12" s="20"/>
      <c r="BQ12" s="20"/>
    </row>
    <row r="13" spans="1:69" s="19" customFormat="1" ht="13">
      <c r="B13" t="s">
        <v>457</v>
      </c>
      <c r="C13" s="5">
        <v>1991</v>
      </c>
      <c r="D13" s="5">
        <v>2163</v>
      </c>
      <c r="E13" s="5">
        <v>1986</v>
      </c>
      <c r="F13" s="5">
        <f t="shared" si="2"/>
        <v>1600</v>
      </c>
      <c r="G13" s="5">
        <v>1943</v>
      </c>
      <c r="H13" s="5">
        <v>2386</v>
      </c>
      <c r="I13" s="5">
        <v>2401</v>
      </c>
      <c r="J13" s="5">
        <f t="shared" si="3"/>
        <v>2537</v>
      </c>
      <c r="K13" s="5">
        <v>2656</v>
      </c>
      <c r="L13" s="5">
        <v>3064</v>
      </c>
      <c r="M13" s="5">
        <v>2945</v>
      </c>
      <c r="N13" s="5">
        <f t="shared" si="4"/>
        <v>2926</v>
      </c>
      <c r="O13" s="5">
        <v>2913</v>
      </c>
      <c r="P13" s="5">
        <v>3209</v>
      </c>
      <c r="Q13" s="5">
        <v>3036</v>
      </c>
      <c r="R13" s="5">
        <f t="shared" si="5"/>
        <v>3050</v>
      </c>
      <c r="S13" s="5">
        <v>3018</v>
      </c>
      <c r="T13" s="5">
        <v>3220</v>
      </c>
      <c r="U13" s="5">
        <v>3134</v>
      </c>
      <c r="V13" s="5">
        <f>12576-U13-T13-S13</f>
        <v>3204</v>
      </c>
      <c r="W13" s="5">
        <v>3225</v>
      </c>
      <c r="X13" s="20"/>
      <c r="Y13" s="20"/>
      <c r="Z13" s="20"/>
      <c r="AW13" s="20"/>
      <c r="AX13" s="20"/>
      <c r="AY13" s="20"/>
      <c r="AZ13" s="5">
        <v>3387</v>
      </c>
      <c r="BA13" s="38"/>
      <c r="BB13" s="38"/>
      <c r="BC13" s="5">
        <v>5428</v>
      </c>
      <c r="BD13" s="5">
        <v>6219</v>
      </c>
      <c r="BE13" s="5">
        <v>7012</v>
      </c>
      <c r="BF13" s="5">
        <v>7628</v>
      </c>
      <c r="BG13" s="5">
        <v>7740</v>
      </c>
      <c r="BH13" s="5">
        <v>9267</v>
      </c>
      <c r="BI13" s="5">
        <v>11591</v>
      </c>
      <c r="BJ13" s="5">
        <v>12208</v>
      </c>
      <c r="BK13" s="5">
        <v>12576</v>
      </c>
      <c r="BL13" s="20"/>
      <c r="BM13" s="20"/>
      <c r="BN13" s="20"/>
      <c r="BO13" s="20"/>
      <c r="BP13" s="20"/>
      <c r="BQ13" s="20"/>
    </row>
    <row r="14" spans="1:69" s="19" customFormat="1" ht="13">
      <c r="B14" t="s">
        <v>458</v>
      </c>
      <c r="C14" s="5">
        <v>1545</v>
      </c>
      <c r="D14" s="5">
        <v>1612</v>
      </c>
      <c r="E14" s="5">
        <v>1633</v>
      </c>
      <c r="F14" s="5">
        <f t="shared" si="2"/>
        <v>1619</v>
      </c>
      <c r="G14" s="5">
        <v>1637</v>
      </c>
      <c r="H14" s="5">
        <v>1695</v>
      </c>
      <c r="I14" s="5">
        <v>1803</v>
      </c>
      <c r="J14" s="5">
        <f t="shared" si="3"/>
        <v>1808</v>
      </c>
      <c r="K14" s="5">
        <v>1791</v>
      </c>
      <c r="L14" s="5">
        <v>1823</v>
      </c>
      <c r="M14" s="5">
        <v>1891</v>
      </c>
      <c r="N14" s="5">
        <f t="shared" si="4"/>
        <v>1902</v>
      </c>
      <c r="O14" s="5">
        <v>1929</v>
      </c>
      <c r="P14" s="5">
        <v>1907</v>
      </c>
      <c r="Q14" s="5">
        <v>2047</v>
      </c>
      <c r="R14" s="5">
        <f t="shared" si="5"/>
        <v>1839</v>
      </c>
      <c r="S14" s="5">
        <v>1944</v>
      </c>
      <c r="T14" s="5">
        <v>1917</v>
      </c>
      <c r="U14" s="5">
        <v>1861</v>
      </c>
      <c r="V14" s="5">
        <f>7594-U14-T14-S14</f>
        <v>1872</v>
      </c>
      <c r="W14" s="5">
        <v>1928</v>
      </c>
      <c r="X14" s="20"/>
      <c r="Y14" s="20"/>
      <c r="Z14" s="20"/>
      <c r="AW14" s="20"/>
      <c r="AX14" s="20"/>
      <c r="AY14" s="20"/>
      <c r="AZ14" s="38"/>
      <c r="BA14" s="38"/>
      <c r="BB14" s="38"/>
      <c r="BC14" s="5">
        <v>5659</v>
      </c>
      <c r="BD14" s="5">
        <v>5542</v>
      </c>
      <c r="BE14" s="5">
        <v>5846</v>
      </c>
      <c r="BF14" s="5">
        <v>6124</v>
      </c>
      <c r="BG14" s="5">
        <v>6409</v>
      </c>
      <c r="BH14" s="5">
        <v>6943</v>
      </c>
      <c r="BI14" s="5">
        <v>7407</v>
      </c>
      <c r="BJ14" s="5">
        <v>7722</v>
      </c>
      <c r="BK14" s="5">
        <v>7594</v>
      </c>
      <c r="BL14" s="20"/>
      <c r="BM14" s="20"/>
      <c r="BN14" s="20"/>
      <c r="BO14" s="20"/>
      <c r="BP14" s="20"/>
      <c r="BQ14" s="20"/>
    </row>
    <row r="15" spans="1:69" s="19" customFormat="1" ht="13">
      <c r="B15" t="s">
        <v>111</v>
      </c>
      <c r="C15" s="5">
        <v>855</v>
      </c>
      <c r="D15" s="5">
        <v>959</v>
      </c>
      <c r="E15" s="5">
        <v>961</v>
      </c>
      <c r="F15" s="5">
        <f t="shared" si="2"/>
        <v>993</v>
      </c>
      <c r="G15" s="5">
        <v>1032</v>
      </c>
      <c r="H15" s="5">
        <v>1143</v>
      </c>
      <c r="I15" s="5">
        <v>1125</v>
      </c>
      <c r="J15" s="5">
        <f t="shared" si="3"/>
        <v>3843</v>
      </c>
      <c r="K15" s="5">
        <v>1175</v>
      </c>
      <c r="L15" s="5">
        <v>1357</v>
      </c>
      <c r="M15" s="5">
        <v>1233</v>
      </c>
      <c r="N15" s="5">
        <f t="shared" si="4"/>
        <v>3541</v>
      </c>
      <c r="O15" s="5">
        <v>1260</v>
      </c>
      <c r="P15" s="5">
        <v>1302</v>
      </c>
      <c r="Q15" s="5">
        <v>1389</v>
      </c>
      <c r="R15" s="5">
        <f t="shared" si="5"/>
        <v>1570</v>
      </c>
      <c r="S15" s="5">
        <v>1626</v>
      </c>
      <c r="T15" s="5">
        <v>1576</v>
      </c>
      <c r="U15" s="5">
        <v>1646</v>
      </c>
      <c r="V15" s="5">
        <f>6481-U15-T15-S15</f>
        <v>1633</v>
      </c>
      <c r="W15" s="5">
        <v>1849</v>
      </c>
      <c r="X15" s="20"/>
      <c r="Y15" s="20"/>
      <c r="Z15" s="20"/>
      <c r="AW15" s="20"/>
      <c r="AX15" s="20"/>
      <c r="AY15" s="20"/>
      <c r="AZ15" s="38"/>
      <c r="BA15" s="38"/>
      <c r="BB15" s="38"/>
      <c r="BC15" s="38"/>
      <c r="BD15" s="38"/>
      <c r="BE15" s="38"/>
      <c r="BF15" s="5">
        <v>3070</v>
      </c>
      <c r="BG15" s="5">
        <v>3768</v>
      </c>
      <c r="BH15" s="5">
        <v>7143</v>
      </c>
      <c r="BI15" s="5">
        <v>7306</v>
      </c>
      <c r="BJ15" s="5">
        <v>5521</v>
      </c>
      <c r="BK15" s="5">
        <v>6481</v>
      </c>
      <c r="BL15" s="20"/>
      <c r="BM15" s="20"/>
      <c r="BN15" s="20"/>
      <c r="BO15" s="20"/>
      <c r="BP15" s="20"/>
      <c r="BQ15" s="20"/>
    </row>
    <row r="16" spans="1:69" s="19" customFormat="1" ht="13">
      <c r="B16" t="s">
        <v>459</v>
      </c>
      <c r="C16" s="5">
        <v>1202</v>
      </c>
      <c r="D16" s="5">
        <v>2048</v>
      </c>
      <c r="E16" s="5">
        <v>1412</v>
      </c>
      <c r="F16" s="5">
        <f t="shared" si="2"/>
        <v>1795</v>
      </c>
      <c r="G16" s="5">
        <v>1620</v>
      </c>
      <c r="H16" s="5">
        <v>2120</v>
      </c>
      <c r="I16" s="5">
        <v>1599</v>
      </c>
      <c r="J16" s="5">
        <f t="shared" si="3"/>
        <v>-1585</v>
      </c>
      <c r="K16" s="5">
        <v>1414</v>
      </c>
      <c r="L16" s="5">
        <v>2285</v>
      </c>
      <c r="M16" s="5">
        <v>1835</v>
      </c>
      <c r="N16" s="5">
        <f>+BI16-M16-L16-K16</f>
        <v>-847</v>
      </c>
      <c r="O16" s="5">
        <v>1448</v>
      </c>
      <c r="P16" s="5">
        <v>1430</v>
      </c>
      <c r="Q16" s="5">
        <v>1282</v>
      </c>
      <c r="R16" s="5">
        <f t="shared" si="5"/>
        <v>1277</v>
      </c>
      <c r="S16" s="5" t="s">
        <v>470</v>
      </c>
      <c r="T16" s="5">
        <v>1298</v>
      </c>
      <c r="U16" s="5">
        <v>1067</v>
      </c>
      <c r="V16" s="5">
        <f>4706-U16-T16</f>
        <v>2341</v>
      </c>
      <c r="W16" s="20" t="s">
        <v>470</v>
      </c>
      <c r="X16" s="20"/>
      <c r="Y16" s="20"/>
      <c r="Z16" s="20"/>
      <c r="AW16" s="20"/>
      <c r="AX16" s="20"/>
      <c r="AY16" s="20"/>
      <c r="AZ16" s="5">
        <v>0</v>
      </c>
      <c r="BA16" s="5">
        <v>1982</v>
      </c>
      <c r="BB16" s="5">
        <v>7524</v>
      </c>
      <c r="BC16" s="5">
        <v>7888</v>
      </c>
      <c r="BD16" s="5">
        <v>5062</v>
      </c>
      <c r="BE16" s="5">
        <v>5134</v>
      </c>
      <c r="BF16" s="5">
        <v>6095</v>
      </c>
      <c r="BG16" s="5">
        <v>6457</v>
      </c>
      <c r="BH16" s="5">
        <v>3754</v>
      </c>
      <c r="BI16" s="5">
        <v>4687</v>
      </c>
      <c r="BJ16" s="5">
        <v>5437</v>
      </c>
      <c r="BK16" s="5">
        <v>4706</v>
      </c>
      <c r="BL16" s="20"/>
      <c r="BM16" s="20"/>
      <c r="BN16" s="20"/>
      <c r="BO16" s="20"/>
      <c r="BP16" s="20"/>
      <c r="BQ16" s="20"/>
    </row>
    <row r="17" spans="2:69" s="19" customFormat="1" ht="13">
      <c r="B17" t="s">
        <v>472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1643</v>
      </c>
      <c r="T17" s="5"/>
      <c r="U17" s="20"/>
      <c r="V17" s="20"/>
      <c r="W17" s="5">
        <v>1727</v>
      </c>
      <c r="X17" s="20"/>
      <c r="Y17" s="20"/>
      <c r="Z17" s="20"/>
      <c r="AW17" s="20"/>
      <c r="AX17" s="20"/>
      <c r="AY17" s="20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20"/>
      <c r="BL17" s="20"/>
      <c r="BM17" s="20"/>
      <c r="BN17" s="20"/>
      <c r="BO17" s="20"/>
      <c r="BP17" s="20"/>
      <c r="BQ17" s="20"/>
    </row>
    <row r="18" spans="2:69" s="19" customFormat="1" ht="13">
      <c r="B18" t="s">
        <v>28</v>
      </c>
      <c r="C18" s="5">
        <v>0</v>
      </c>
      <c r="D18" s="5">
        <v>0</v>
      </c>
      <c r="E18" s="5">
        <v>0</v>
      </c>
      <c r="F18" s="5">
        <f t="shared" si="2"/>
        <v>0</v>
      </c>
      <c r="G18" s="5">
        <v>0</v>
      </c>
      <c r="H18" s="5">
        <v>0</v>
      </c>
      <c r="I18" s="5">
        <v>0</v>
      </c>
      <c r="J18" s="5">
        <f t="shared" si="3"/>
        <v>373</v>
      </c>
      <c r="K18" s="5">
        <v>0</v>
      </c>
      <c r="L18" s="5">
        <v>0</v>
      </c>
      <c r="M18" s="5">
        <v>0</v>
      </c>
      <c r="N18" s="5">
        <f t="shared" si="4"/>
        <v>289</v>
      </c>
      <c r="O18" s="5">
        <v>56</v>
      </c>
      <c r="P18" s="5">
        <v>39</v>
      </c>
      <c r="Q18" s="5">
        <v>16</v>
      </c>
      <c r="R18" s="5">
        <f t="shared" si="5"/>
        <v>100</v>
      </c>
      <c r="S18" s="5">
        <v>8</v>
      </c>
      <c r="T18" s="5">
        <v>11</v>
      </c>
      <c r="U18" s="5">
        <v>14</v>
      </c>
      <c r="V18" s="5">
        <f>45-U18-T18-S18</f>
        <v>12</v>
      </c>
      <c r="W18" s="5">
        <v>10</v>
      </c>
      <c r="X18" s="20"/>
      <c r="Y18" s="20"/>
      <c r="Z18" s="20"/>
      <c r="AW18" s="20"/>
      <c r="AX18" s="20"/>
      <c r="AY18" s="20"/>
      <c r="AZ18" s="38"/>
      <c r="BA18" s="38"/>
      <c r="BB18" s="38"/>
      <c r="BC18" s="38"/>
      <c r="BD18" s="38"/>
      <c r="BE18" s="38"/>
      <c r="BF18" s="5">
        <v>0</v>
      </c>
      <c r="BG18" s="5">
        <v>0</v>
      </c>
      <c r="BH18" s="5">
        <v>373</v>
      </c>
      <c r="BI18" s="5">
        <v>289</v>
      </c>
      <c r="BJ18" s="5">
        <v>211</v>
      </c>
      <c r="BK18" s="5">
        <v>45</v>
      </c>
      <c r="BL18" s="20"/>
      <c r="BM18" s="20"/>
      <c r="BN18" s="20"/>
      <c r="BO18" s="20"/>
      <c r="BP18" s="20"/>
      <c r="BQ18" s="20"/>
    </row>
    <row r="19" spans="2:69" s="19" customFormat="1" ht="13">
      <c r="B19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5"/>
      <c r="P19" s="5"/>
      <c r="Q19" s="5"/>
      <c r="R19" s="21"/>
      <c r="S19" s="5"/>
      <c r="T19" s="5"/>
      <c r="U19" s="20"/>
      <c r="V19" s="20"/>
      <c r="W19" s="20"/>
      <c r="X19" s="20"/>
      <c r="Y19" s="20"/>
      <c r="Z19" s="20"/>
      <c r="AW19" s="20"/>
      <c r="AX19" s="20"/>
      <c r="AY19" s="20"/>
      <c r="AZ19" s="38"/>
      <c r="BA19" s="38"/>
      <c r="BB19" s="38"/>
      <c r="BC19" s="38"/>
      <c r="BD19" s="38"/>
      <c r="BE19" s="38"/>
      <c r="BF19" s="38"/>
      <c r="BG19" s="38"/>
      <c r="BH19" s="5"/>
      <c r="BI19" s="5"/>
      <c r="BJ19" s="5"/>
      <c r="BK19" s="20"/>
      <c r="BL19" s="20"/>
      <c r="BM19" s="20"/>
      <c r="BN19" s="20"/>
      <c r="BO19" s="20"/>
      <c r="BP19" s="20"/>
      <c r="BQ19" s="20"/>
    </row>
    <row r="20" spans="2:69" s="19" customFormat="1" ht="13">
      <c r="B20" t="s">
        <v>469</v>
      </c>
      <c r="C20" s="20"/>
      <c r="D20" s="20"/>
      <c r="E20" s="20"/>
      <c r="F20" s="20"/>
      <c r="G20" s="20"/>
      <c r="H20" s="20"/>
      <c r="I20" s="20"/>
      <c r="J20" s="20"/>
      <c r="K20" s="20"/>
      <c r="L20" s="21"/>
      <c r="M20" s="21"/>
      <c r="N20" s="21"/>
      <c r="O20" s="21"/>
      <c r="P20" s="21">
        <f t="shared" ref="P20:W20" si="6">P7/L7-1</f>
        <v>0.2262443438914028</v>
      </c>
      <c r="Q20" s="21">
        <f t="shared" si="6"/>
        <v>0.21794871794871784</v>
      </c>
      <c r="R20" s="21">
        <f t="shared" si="6"/>
        <v>0.20717131474103589</v>
      </c>
      <c r="S20" s="21">
        <f t="shared" si="6"/>
        <v>0.23735408560311289</v>
      </c>
      <c r="T20" s="21">
        <f t="shared" si="6"/>
        <v>0.24354243542435428</v>
      </c>
      <c r="U20" s="21">
        <f t="shared" si="6"/>
        <v>0.23157894736842111</v>
      </c>
      <c r="V20" s="21">
        <f t="shared" si="6"/>
        <v>0.21452145214521456</v>
      </c>
      <c r="W20" s="21">
        <f t="shared" si="6"/>
        <v>0.22327044025157239</v>
      </c>
      <c r="X20" s="20"/>
      <c r="Y20" s="20"/>
      <c r="Z20" s="20"/>
      <c r="AW20" s="20"/>
      <c r="AX20" s="20"/>
      <c r="AY20" s="20"/>
      <c r="AZ20" s="38"/>
      <c r="BA20" s="38"/>
      <c r="BB20" s="38"/>
      <c r="BC20" s="38"/>
      <c r="BD20" s="21">
        <f t="shared" ref="BD20:BJ20" si="7">BD7/BC7-1</f>
        <v>0.70526315789473681</v>
      </c>
      <c r="BE20" s="21">
        <f t="shared" si="7"/>
        <v>0.64197530864197527</v>
      </c>
      <c r="BF20" s="21">
        <f t="shared" si="7"/>
        <v>0.43233082706766912</v>
      </c>
      <c r="BG20" s="21">
        <f t="shared" si="7"/>
        <v>0.35695538057742793</v>
      </c>
      <c r="BH20" s="21">
        <f t="shared" si="7"/>
        <v>0.33655705996131524</v>
      </c>
      <c r="BI20" s="21">
        <f t="shared" si="7"/>
        <v>0.32127351664254711</v>
      </c>
      <c r="BJ20" s="21">
        <f t="shared" si="7"/>
        <v>0.22234392113910184</v>
      </c>
      <c r="BK20" s="21">
        <f>BK7/BJ7-1</f>
        <v>0.23118279569892475</v>
      </c>
      <c r="BL20" s="20"/>
      <c r="BM20" s="20"/>
      <c r="BN20" s="20"/>
      <c r="BO20" s="20"/>
      <c r="BP20" s="20"/>
      <c r="BQ20" s="20"/>
    </row>
    <row r="21" spans="2:69" ht="13">
      <c r="B21" t="s">
        <v>87</v>
      </c>
      <c r="N21" s="2">
        <f>+J21+768</f>
        <v>768</v>
      </c>
      <c r="O21" s="2"/>
      <c r="P21" s="2"/>
      <c r="Q21" s="2"/>
      <c r="R21" s="2">
        <v>950</v>
      </c>
      <c r="S21" s="2"/>
      <c r="T21" s="2"/>
      <c r="U21" s="2"/>
      <c r="V21" s="2"/>
      <c r="W21" s="2"/>
      <c r="X21" s="2"/>
      <c r="Y21" s="2"/>
      <c r="Z21" s="2"/>
      <c r="BJ21" s="21">
        <v>0.27</v>
      </c>
    </row>
    <row r="22" spans="2:69" ht="13">
      <c r="B22" s="19" t="s">
        <v>153</v>
      </c>
      <c r="G22" s="2">
        <v>45.3</v>
      </c>
      <c r="H22" s="2">
        <v>47.5</v>
      </c>
      <c r="I22" s="2">
        <v>50.2</v>
      </c>
      <c r="J22" s="2">
        <v>51.9</v>
      </c>
      <c r="K22" s="37">
        <v>54.1</v>
      </c>
      <c r="L22" s="37">
        <v>56.4</v>
      </c>
      <c r="M22" s="37">
        <v>58.4</v>
      </c>
      <c r="N22" s="37">
        <v>59.7</v>
      </c>
      <c r="O22" s="37">
        <v>61.3</v>
      </c>
      <c r="P22" s="37">
        <v>63.2</v>
      </c>
      <c r="Q22" s="37">
        <v>65.400000000000006</v>
      </c>
      <c r="R22" s="37">
        <v>67</v>
      </c>
      <c r="S22" s="37">
        <v>76.7</v>
      </c>
      <c r="T22" s="37">
        <v>78.400000000000006</v>
      </c>
      <c r="U22" s="2">
        <v>80.8</v>
      </c>
      <c r="V22" s="2">
        <v>82.5</v>
      </c>
      <c r="W22" s="2">
        <v>84.4</v>
      </c>
      <c r="X22" s="2"/>
      <c r="Y22" s="2"/>
      <c r="Z22" s="2"/>
    </row>
    <row r="23" spans="2:69"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69" ht="13">
      <c r="B24" s="19" t="s">
        <v>412</v>
      </c>
      <c r="O24" s="2"/>
      <c r="P24" s="2"/>
      <c r="Q24" s="2"/>
      <c r="R24" s="9">
        <v>0.02</v>
      </c>
      <c r="S24" s="2"/>
      <c r="T24" s="2"/>
      <c r="U24" s="2"/>
      <c r="V24" s="2"/>
      <c r="W24" s="2"/>
      <c r="X24" s="2"/>
      <c r="Y24" s="2"/>
      <c r="Z24" s="2"/>
    </row>
    <row r="25" spans="2:69"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69" s="4" customFormat="1">
      <c r="B26" s="4" t="s">
        <v>69</v>
      </c>
      <c r="C26" s="5">
        <v>11077</v>
      </c>
      <c r="D26" s="5">
        <v>11826</v>
      </c>
      <c r="E26" s="5">
        <v>11743</v>
      </c>
      <c r="F26" s="5">
        <v>11752</v>
      </c>
      <c r="G26" s="5">
        <v>12319</v>
      </c>
      <c r="H26" s="5">
        <v>13353</v>
      </c>
      <c r="I26" s="5">
        <v>13552</v>
      </c>
      <c r="J26" s="5">
        <v>14691</v>
      </c>
      <c r="K26" s="5">
        <v>15039</v>
      </c>
      <c r="L26" s="5">
        <v>15936</v>
      </c>
      <c r="M26" s="5">
        <v>15789</v>
      </c>
      <c r="N26" s="5">
        <v>16600</v>
      </c>
      <c r="O26" s="4">
        <v>16465</v>
      </c>
      <c r="P26" s="4">
        <v>17002</v>
      </c>
      <c r="Q26" s="4">
        <v>17516</v>
      </c>
      <c r="R26" s="4">
        <v>18291</v>
      </c>
      <c r="S26" s="4">
        <v>25226</v>
      </c>
      <c r="T26" s="4">
        <v>19249</v>
      </c>
      <c r="U26" s="4">
        <v>19570</v>
      </c>
      <c r="V26" s="4">
        <v>20317</v>
      </c>
      <c r="W26" s="4">
        <v>28317</v>
      </c>
      <c r="X26" s="4">
        <v>28850</v>
      </c>
      <c r="Y26" s="4">
        <f t="shared" ref="Y26:Z28" si="8">+U26*1.1</f>
        <v>21527</v>
      </c>
      <c r="Z26" s="4">
        <f t="shared" si="8"/>
        <v>22348.7</v>
      </c>
      <c r="AE26" s="4">
        <v>1401</v>
      </c>
      <c r="AF26" s="4">
        <v>2253</v>
      </c>
      <c r="AG26" s="4">
        <v>2927</v>
      </c>
      <c r="BG26" s="5"/>
      <c r="BH26" s="5">
        <f>SUM(G26:J26)</f>
        <v>53915</v>
      </c>
      <c r="BI26" s="5">
        <f>SUM(K26:N26)</f>
        <v>63364</v>
      </c>
      <c r="BJ26" s="5">
        <f>SUM(O26:R26)</f>
        <v>69274</v>
      </c>
      <c r="BK26" s="4">
        <v>77728</v>
      </c>
    </row>
    <row r="27" spans="2:69" s="4" customFormat="1">
      <c r="B27" s="4" t="s">
        <v>68</v>
      </c>
      <c r="C27" s="5">
        <v>10845</v>
      </c>
      <c r="D27" s="5">
        <v>11869</v>
      </c>
      <c r="E27" s="5">
        <v>12281</v>
      </c>
      <c r="F27" s="5">
        <v>13371</v>
      </c>
      <c r="G27" s="5">
        <v>12986</v>
      </c>
      <c r="H27" s="5">
        <v>14601</v>
      </c>
      <c r="I27" s="5">
        <v>15118</v>
      </c>
      <c r="J27" s="5">
        <v>17375</v>
      </c>
      <c r="K27" s="5">
        <v>16912</v>
      </c>
      <c r="L27" s="5">
        <v>18327</v>
      </c>
      <c r="M27" s="5">
        <v>18987</v>
      </c>
      <c r="N27" s="5">
        <v>20804</v>
      </c>
      <c r="O27" s="4">
        <v>20325</v>
      </c>
      <c r="P27" s="4">
        <v>21508</v>
      </c>
      <c r="Q27" s="4">
        <v>22081</v>
      </c>
      <c r="R27" s="4">
        <v>23993</v>
      </c>
      <c r="S27" s="4">
        <v>20013</v>
      </c>
      <c r="T27" s="4">
        <v>25880</v>
      </c>
      <c r="U27" s="4">
        <v>26708</v>
      </c>
      <c r="V27" s="4">
        <v>28515</v>
      </c>
      <c r="W27" s="4">
        <v>24092</v>
      </c>
      <c r="X27" s="4">
        <v>25700</v>
      </c>
      <c r="Y27" s="4">
        <f t="shared" si="8"/>
        <v>29378.800000000003</v>
      </c>
      <c r="Z27" s="4">
        <f t="shared" si="8"/>
        <v>31366.500000000004</v>
      </c>
      <c r="BG27" s="5"/>
      <c r="BH27" s="5">
        <f>SUM(G27:J27)</f>
        <v>60080</v>
      </c>
      <c r="BI27" s="5">
        <f t="shared" ref="BI27:BI34" si="9">SUM(K27:N27)</f>
        <v>75030</v>
      </c>
      <c r="BJ27" s="5">
        <f>SUM(O27:R27)</f>
        <v>87907</v>
      </c>
      <c r="BK27" s="4">
        <v>105362</v>
      </c>
    </row>
    <row r="28" spans="2:69" s="4" customFormat="1">
      <c r="B28" s="4" t="s">
        <v>70</v>
      </c>
      <c r="C28" s="5">
        <v>11133</v>
      </c>
      <c r="D28" s="5">
        <v>13211</v>
      </c>
      <c r="E28" s="5">
        <v>10997</v>
      </c>
      <c r="F28" s="5">
        <v>12910</v>
      </c>
      <c r="G28" s="5">
        <v>11849</v>
      </c>
      <c r="H28" s="5">
        <v>15122</v>
      </c>
      <c r="I28" s="5">
        <v>13036</v>
      </c>
      <c r="J28" s="5">
        <v>14086</v>
      </c>
      <c r="K28" s="5">
        <v>13366</v>
      </c>
      <c r="L28" s="5">
        <v>17465</v>
      </c>
      <c r="M28" s="5">
        <v>14584</v>
      </c>
      <c r="N28" s="5">
        <v>14461</v>
      </c>
      <c r="O28" s="4">
        <v>13332</v>
      </c>
      <c r="P28" s="4">
        <v>14237</v>
      </c>
      <c r="Q28" s="4">
        <v>13260</v>
      </c>
      <c r="R28" s="4">
        <v>13905</v>
      </c>
      <c r="S28" s="4">
        <v>11278</v>
      </c>
      <c r="T28" s="4">
        <v>16891</v>
      </c>
      <c r="U28" s="4">
        <v>15580</v>
      </c>
      <c r="V28" s="4">
        <v>15895</v>
      </c>
      <c r="W28" s="4">
        <v>13176</v>
      </c>
      <c r="X28" s="4">
        <v>14050</v>
      </c>
      <c r="Y28" s="4">
        <f t="shared" si="8"/>
        <v>17138</v>
      </c>
      <c r="Z28" s="4">
        <f t="shared" si="8"/>
        <v>17484.5</v>
      </c>
      <c r="AE28" s="4">
        <v>1104</v>
      </c>
      <c r="AF28" s="4">
        <v>1267</v>
      </c>
      <c r="AG28" s="4">
        <v>1519</v>
      </c>
      <c r="BG28" s="5"/>
      <c r="BH28" s="5">
        <f>SUM(G28:J28)</f>
        <v>54093</v>
      </c>
      <c r="BI28" s="5">
        <f t="shared" si="9"/>
        <v>59876</v>
      </c>
      <c r="BJ28" s="5">
        <f>SUM(O28:R28)</f>
        <v>54734</v>
      </c>
      <c r="BK28" s="4">
        <v>62032</v>
      </c>
    </row>
    <row r="30" spans="2:69" s="4" customFormat="1">
      <c r="B30" s="4" t="s">
        <v>17</v>
      </c>
      <c r="C30" s="5">
        <v>15768</v>
      </c>
      <c r="D30" s="5">
        <v>18255</v>
      </c>
      <c r="E30" s="5">
        <v>15871</v>
      </c>
      <c r="F30" s="5">
        <v>18147</v>
      </c>
      <c r="G30" s="5">
        <v>15803</v>
      </c>
      <c r="H30" s="5">
        <v>19460</v>
      </c>
      <c r="I30" s="5">
        <v>16873</v>
      </c>
      <c r="J30" s="5">
        <v>18938</v>
      </c>
      <c r="K30" s="5">
        <v>16631</v>
      </c>
      <c r="L30" s="5">
        <v>20779</v>
      </c>
      <c r="M30" s="5">
        <v>17366</v>
      </c>
      <c r="N30" s="5">
        <v>17956</v>
      </c>
      <c r="O30" s="4">
        <v>15741</v>
      </c>
      <c r="P30" s="4">
        <v>16517</v>
      </c>
      <c r="Q30" s="4">
        <v>15588</v>
      </c>
      <c r="R30" s="4">
        <v>16853</v>
      </c>
      <c r="S30" s="4">
        <v>15535</v>
      </c>
      <c r="T30" s="4">
        <v>18941</v>
      </c>
      <c r="U30" s="4">
        <v>17080</v>
      </c>
      <c r="V30" s="4">
        <v>13217</v>
      </c>
      <c r="W30" s="4">
        <v>15272</v>
      </c>
      <c r="X30" s="4">
        <f t="shared" ref="X30:Z31" si="10">+T30*1.11</f>
        <v>21024.510000000002</v>
      </c>
      <c r="Y30" s="4">
        <f t="shared" si="10"/>
        <v>18958.800000000003</v>
      </c>
      <c r="Z30" s="4">
        <f t="shared" si="10"/>
        <v>14670.87</v>
      </c>
      <c r="BC30" s="4">
        <v>61502</v>
      </c>
      <c r="BD30" s="4">
        <v>63811</v>
      </c>
      <c r="BE30" s="4">
        <v>64497</v>
      </c>
      <c r="BF30" s="4">
        <v>66069</v>
      </c>
      <c r="BG30" s="5">
        <v>68041</v>
      </c>
      <c r="BH30" s="5">
        <f>SUM(G30:J30)</f>
        <v>71074</v>
      </c>
      <c r="BI30" s="5">
        <f t="shared" si="9"/>
        <v>72732</v>
      </c>
      <c r="BJ30" s="5">
        <f>SUM(O30:R30)</f>
        <v>64699</v>
      </c>
      <c r="BK30" s="5">
        <f>+BJ30*1.03</f>
        <v>66639.97</v>
      </c>
      <c r="BL30" s="5">
        <f t="shared" ref="BL30:BQ30" si="11">+BK30*1.03</f>
        <v>68639.169099999999</v>
      </c>
      <c r="BM30" s="5">
        <f t="shared" si="11"/>
        <v>70698.344173000005</v>
      </c>
      <c r="BN30" s="5">
        <f t="shared" si="11"/>
        <v>72819.294498190007</v>
      </c>
      <c r="BO30" s="5">
        <f t="shared" si="11"/>
        <v>75003.873333135707</v>
      </c>
      <c r="BP30" s="5">
        <f t="shared" si="11"/>
        <v>77253.989533129774</v>
      </c>
      <c r="BQ30" s="5">
        <f t="shared" si="11"/>
        <v>79571.609219123668</v>
      </c>
    </row>
    <row r="31" spans="2:69" s="4" customFormat="1">
      <c r="B31" s="4" t="s">
        <v>18</v>
      </c>
      <c r="C31" s="5">
        <v>17287</v>
      </c>
      <c r="D31" s="5">
        <v>18651</v>
      </c>
      <c r="E31" s="5">
        <v>19150</v>
      </c>
      <c r="F31" s="5">
        <v>19886</v>
      </c>
      <c r="G31" s="5">
        <v>21351</v>
      </c>
      <c r="H31" s="5">
        <v>23616</v>
      </c>
      <c r="I31" s="5">
        <v>24833</v>
      </c>
      <c r="J31" s="5">
        <v>27214</v>
      </c>
      <c r="K31" s="5">
        <v>28686</v>
      </c>
      <c r="L31" s="5">
        <v>30949</v>
      </c>
      <c r="M31" s="5">
        <v>31994</v>
      </c>
      <c r="N31" s="5">
        <v>33909</v>
      </c>
      <c r="O31" s="4">
        <v>34381</v>
      </c>
      <c r="P31" s="4">
        <v>36230</v>
      </c>
      <c r="Q31" s="4">
        <v>37269</v>
      </c>
      <c r="R31" s="4">
        <v>39336</v>
      </c>
      <c r="S31" s="4">
        <v>40982</v>
      </c>
      <c r="T31" s="4">
        <v>43079</v>
      </c>
      <c r="U31" s="4">
        <v>44778</v>
      </c>
      <c r="V31" s="4">
        <v>51510</v>
      </c>
      <c r="W31" s="4">
        <v>50313</v>
      </c>
      <c r="X31" s="4">
        <f t="shared" si="10"/>
        <v>47817.69</v>
      </c>
      <c r="Y31" s="4">
        <f t="shared" si="10"/>
        <v>49703.58</v>
      </c>
      <c r="Z31" s="4">
        <f t="shared" si="10"/>
        <v>57176.100000000006</v>
      </c>
      <c r="BC31" s="4">
        <v>23818</v>
      </c>
      <c r="BD31" s="4">
        <v>32760</v>
      </c>
      <c r="BE31" s="4">
        <v>45863</v>
      </c>
      <c r="BF31" s="4">
        <v>59774</v>
      </c>
      <c r="BG31" s="5">
        <v>74974</v>
      </c>
      <c r="BH31" s="5">
        <f>SUM(G31:J31)</f>
        <v>97014</v>
      </c>
      <c r="BI31" s="5">
        <f t="shared" si="9"/>
        <v>125538</v>
      </c>
      <c r="BJ31" s="5">
        <f>SUM(O31:R31)</f>
        <v>147216</v>
      </c>
      <c r="BK31" s="5">
        <f>+BJ31*1.15</f>
        <v>169298.4</v>
      </c>
      <c r="BL31" s="5">
        <f>+BK31*1.1</f>
        <v>186228.24000000002</v>
      </c>
      <c r="BM31" s="5">
        <f t="shared" ref="BM31:BQ31" si="12">+BL31*1.1</f>
        <v>204851.06400000004</v>
      </c>
      <c r="BN31" s="5">
        <f t="shared" si="12"/>
        <v>225336.17040000006</v>
      </c>
      <c r="BO31" s="5">
        <f t="shared" si="12"/>
        <v>247869.78744000007</v>
      </c>
      <c r="BP31" s="5">
        <f t="shared" si="12"/>
        <v>272656.76618400012</v>
      </c>
      <c r="BQ31" s="5">
        <f t="shared" si="12"/>
        <v>299922.44280240015</v>
      </c>
    </row>
    <row r="32" spans="2:69" s="6" customFormat="1" ht="13">
      <c r="B32" s="6" t="s">
        <v>8</v>
      </c>
      <c r="C32" s="7">
        <f t="shared" ref="C32:D32" si="13">C30+C31</f>
        <v>33055</v>
      </c>
      <c r="D32" s="7">
        <f t="shared" si="13"/>
        <v>36906</v>
      </c>
      <c r="E32" s="7">
        <f t="shared" ref="E32" si="14">E30+E31</f>
        <v>35021</v>
      </c>
      <c r="F32" s="7">
        <f t="shared" ref="F32:G32" si="15">F30+F31</f>
        <v>38033</v>
      </c>
      <c r="G32" s="7">
        <f t="shared" si="15"/>
        <v>37154</v>
      </c>
      <c r="H32" s="7">
        <f t="shared" ref="H32:L32" si="16">H30+H31</f>
        <v>43076</v>
      </c>
      <c r="I32" s="7">
        <f t="shared" si="16"/>
        <v>41706</v>
      </c>
      <c r="J32" s="7">
        <f t="shared" si="16"/>
        <v>46152</v>
      </c>
      <c r="K32" s="7">
        <f t="shared" si="16"/>
        <v>45317</v>
      </c>
      <c r="L32" s="7">
        <f t="shared" si="16"/>
        <v>51728</v>
      </c>
      <c r="M32" s="7">
        <f>M30+M31</f>
        <v>49360</v>
      </c>
      <c r="N32" s="7">
        <f t="shared" ref="N32:Z32" si="17">N30+N31</f>
        <v>51865</v>
      </c>
      <c r="O32" s="7">
        <f t="shared" si="17"/>
        <v>50122</v>
      </c>
      <c r="P32" s="7">
        <f>P30+P31</f>
        <v>52747</v>
      </c>
      <c r="Q32" s="7">
        <f>Q30+Q31</f>
        <v>52857</v>
      </c>
      <c r="R32" s="7">
        <f t="shared" si="17"/>
        <v>56189</v>
      </c>
      <c r="S32" s="7">
        <f t="shared" si="17"/>
        <v>56517</v>
      </c>
      <c r="T32" s="7">
        <f>T30+T31</f>
        <v>62020</v>
      </c>
      <c r="U32" s="7">
        <f t="shared" si="17"/>
        <v>61858</v>
      </c>
      <c r="V32" s="7">
        <f t="shared" si="17"/>
        <v>64727</v>
      </c>
      <c r="W32" s="7">
        <f t="shared" si="17"/>
        <v>65585</v>
      </c>
      <c r="X32" s="7">
        <f t="shared" si="17"/>
        <v>68842.200000000012</v>
      </c>
      <c r="Y32" s="7">
        <f t="shared" si="17"/>
        <v>68662.38</v>
      </c>
      <c r="Z32" s="7">
        <f t="shared" si="17"/>
        <v>71846.97</v>
      </c>
      <c r="AC32" s="6">
        <v>1183</v>
      </c>
      <c r="AD32" s="6">
        <v>1843</v>
      </c>
      <c r="AE32" s="6">
        <v>2759</v>
      </c>
      <c r="AF32" s="6">
        <v>3753</v>
      </c>
      <c r="AG32" s="6">
        <v>4649</v>
      </c>
      <c r="AH32" s="6">
        <v>5937</v>
      </c>
      <c r="AI32" s="6">
        <v>8671</v>
      </c>
      <c r="AJ32" s="6">
        <v>11358</v>
      </c>
      <c r="AK32" s="6">
        <v>14484</v>
      </c>
      <c r="AL32" s="6">
        <v>19747</v>
      </c>
      <c r="AM32" s="6">
        <v>22956</v>
      </c>
      <c r="AN32" s="6">
        <v>25296</v>
      </c>
      <c r="AO32" s="6">
        <v>28365</v>
      </c>
      <c r="AP32" s="6">
        <v>32187</v>
      </c>
      <c r="AQ32" s="6">
        <v>36835</v>
      </c>
      <c r="AR32" s="6">
        <v>39788</v>
      </c>
      <c r="AS32" s="6">
        <v>44282</v>
      </c>
      <c r="AT32" s="6">
        <v>51122</v>
      </c>
      <c r="AU32" s="6">
        <v>60420</v>
      </c>
      <c r="AV32" s="6">
        <v>58437</v>
      </c>
      <c r="AW32" s="7">
        <v>62484</v>
      </c>
      <c r="AX32" s="7">
        <v>69943</v>
      </c>
      <c r="AY32" s="7">
        <v>73723</v>
      </c>
      <c r="AZ32" s="7">
        <v>77849</v>
      </c>
      <c r="BA32" s="7">
        <v>86833</v>
      </c>
      <c r="BB32" s="7">
        <v>93580</v>
      </c>
      <c r="BC32" s="7">
        <f>BC30+BC31</f>
        <v>85320</v>
      </c>
      <c r="BD32" s="7">
        <f t="shared" ref="BD32:BJ32" si="18">+BD31+BD30</f>
        <v>96571</v>
      </c>
      <c r="BE32" s="7">
        <f t="shared" si="18"/>
        <v>110360</v>
      </c>
      <c r="BF32" s="7">
        <f t="shared" si="18"/>
        <v>125843</v>
      </c>
      <c r="BG32" s="7">
        <f t="shared" si="18"/>
        <v>143015</v>
      </c>
      <c r="BH32" s="7">
        <f t="shared" si="18"/>
        <v>168088</v>
      </c>
      <c r="BI32" s="7">
        <f t="shared" si="18"/>
        <v>198270</v>
      </c>
      <c r="BJ32" s="7">
        <f t="shared" si="18"/>
        <v>211915</v>
      </c>
      <c r="BK32" s="7">
        <f t="shared" ref="BK32:BQ32" si="19">+BK31+BK30</f>
        <v>235938.37</v>
      </c>
      <c r="BL32" s="7">
        <f t="shared" si="19"/>
        <v>254867.40910000002</v>
      </c>
      <c r="BM32" s="7">
        <f t="shared" si="19"/>
        <v>275549.40817300003</v>
      </c>
      <c r="BN32" s="7">
        <f t="shared" si="19"/>
        <v>298155.46489819005</v>
      </c>
      <c r="BO32" s="7">
        <f t="shared" si="19"/>
        <v>322873.66077313578</v>
      </c>
      <c r="BP32" s="7">
        <f t="shared" si="19"/>
        <v>349910.75571712991</v>
      </c>
      <c r="BQ32" s="7">
        <f t="shared" si="19"/>
        <v>379494.05202152382</v>
      </c>
    </row>
    <row r="33" spans="2:127" s="4" customFormat="1">
      <c r="B33" s="4" t="s">
        <v>19</v>
      </c>
      <c r="C33" s="5">
        <v>3305</v>
      </c>
      <c r="D33" s="5">
        <v>4966</v>
      </c>
      <c r="E33" s="5">
        <v>3376</v>
      </c>
      <c r="F33" s="5">
        <v>4370</v>
      </c>
      <c r="G33" s="5">
        <v>3597</v>
      </c>
      <c r="H33" s="5">
        <v>6058</v>
      </c>
      <c r="I33" s="5">
        <v>4277</v>
      </c>
      <c r="J33" s="5">
        <v>4287</v>
      </c>
      <c r="K33" s="5">
        <v>3792</v>
      </c>
      <c r="L33" s="5">
        <v>6331</v>
      </c>
      <c r="M33" s="5">
        <v>4584</v>
      </c>
      <c r="N33" s="5">
        <v>4357</v>
      </c>
      <c r="O33" s="4">
        <v>4302</v>
      </c>
      <c r="P33" s="4">
        <v>5690</v>
      </c>
      <c r="Q33" s="4">
        <v>3941</v>
      </c>
      <c r="R33" s="4">
        <v>3871</v>
      </c>
      <c r="S33" s="4">
        <v>3531</v>
      </c>
      <c r="T33" s="4">
        <v>5964</v>
      </c>
      <c r="U33" s="4">
        <v>4339</v>
      </c>
      <c r="V33" s="4">
        <v>1438</v>
      </c>
      <c r="W33" s="4">
        <v>3294</v>
      </c>
      <c r="BC33" s="4">
        <v>17880</v>
      </c>
      <c r="BD33" s="4">
        <v>15175</v>
      </c>
      <c r="BE33" s="4">
        <v>15420</v>
      </c>
      <c r="BF33" s="4">
        <v>16273</v>
      </c>
      <c r="BG33" s="5">
        <v>16017</v>
      </c>
      <c r="BH33" s="5">
        <f>SUM(G33:J33)</f>
        <v>18219</v>
      </c>
      <c r="BI33" s="5">
        <f t="shared" si="9"/>
        <v>19064</v>
      </c>
      <c r="BJ33" s="5">
        <f>SUM(O33:R33)</f>
        <v>17804</v>
      </c>
      <c r="BK33" s="5">
        <f>BK30*0.25</f>
        <v>16659.9925</v>
      </c>
      <c r="BL33" s="5">
        <f t="shared" ref="BL33:BQ33" si="20">BL30*0.25</f>
        <v>17159.792275</v>
      </c>
      <c r="BM33" s="5">
        <f t="shared" si="20"/>
        <v>17674.586043250001</v>
      </c>
      <c r="BN33" s="5">
        <f t="shared" si="20"/>
        <v>18204.823624547502</v>
      </c>
      <c r="BO33" s="5">
        <f t="shared" si="20"/>
        <v>18750.968333283927</v>
      </c>
      <c r="BP33" s="5">
        <f t="shared" si="20"/>
        <v>19313.497383282443</v>
      </c>
      <c r="BQ33" s="5">
        <f t="shared" si="20"/>
        <v>19892.902304780917</v>
      </c>
    </row>
    <row r="34" spans="2:127" s="4" customFormat="1">
      <c r="B34" s="4" t="s">
        <v>20</v>
      </c>
      <c r="C34" s="5">
        <v>7101</v>
      </c>
      <c r="D34" s="5">
        <v>7392</v>
      </c>
      <c r="E34" s="5">
        <v>7599</v>
      </c>
      <c r="F34" s="5">
        <v>7969</v>
      </c>
      <c r="G34" s="5">
        <v>7405</v>
      </c>
      <c r="H34" s="5">
        <v>8136</v>
      </c>
      <c r="I34" s="5">
        <v>8768</v>
      </c>
      <c r="J34" s="5">
        <v>9704</v>
      </c>
      <c r="K34" s="5">
        <v>9854</v>
      </c>
      <c r="L34" s="5">
        <v>10629</v>
      </c>
      <c r="M34" s="5">
        <v>11031</v>
      </c>
      <c r="N34" s="5">
        <v>12072</v>
      </c>
      <c r="O34" s="4">
        <v>11150</v>
      </c>
      <c r="P34" s="4">
        <v>11798</v>
      </c>
      <c r="Q34" s="4">
        <v>12187</v>
      </c>
      <c r="R34" s="4">
        <v>12924</v>
      </c>
      <c r="S34" s="4">
        <v>12771</v>
      </c>
      <c r="T34" s="4">
        <v>13659</v>
      </c>
      <c r="U34" s="4">
        <v>14166</v>
      </c>
      <c r="V34" s="4">
        <v>18246</v>
      </c>
      <c r="W34" s="4">
        <v>16805</v>
      </c>
      <c r="BC34" s="4">
        <v>14900</v>
      </c>
      <c r="BD34" s="4">
        <v>19086</v>
      </c>
      <c r="BE34" s="4">
        <v>22933</v>
      </c>
      <c r="BF34" s="4">
        <v>26637</v>
      </c>
      <c r="BG34" s="5">
        <v>30061</v>
      </c>
      <c r="BH34" s="5">
        <f>SUM(G34:J34)</f>
        <v>34013</v>
      </c>
      <c r="BI34" s="5">
        <f t="shared" si="9"/>
        <v>43586</v>
      </c>
      <c r="BJ34" s="5">
        <f>SUM(O34:R34)</f>
        <v>48059</v>
      </c>
      <c r="BK34" s="5">
        <f>BK31*0.35</f>
        <v>59254.439999999995</v>
      </c>
      <c r="BL34" s="5">
        <f t="shared" ref="BL34:BQ34" si="21">BL31*0.35</f>
        <v>65179.884000000005</v>
      </c>
      <c r="BM34" s="5">
        <f t="shared" si="21"/>
        <v>71697.872400000007</v>
      </c>
      <c r="BN34" s="5">
        <f t="shared" si="21"/>
        <v>78867.659640000013</v>
      </c>
      <c r="BO34" s="5">
        <f t="shared" si="21"/>
        <v>86754.425604000018</v>
      </c>
      <c r="BP34" s="5">
        <f t="shared" si="21"/>
        <v>95429.868164400032</v>
      </c>
      <c r="BQ34" s="5">
        <f t="shared" si="21"/>
        <v>104972.85498084004</v>
      </c>
    </row>
    <row r="35" spans="2:127" s="4" customFormat="1">
      <c r="B35" s="4" t="s">
        <v>21</v>
      </c>
      <c r="C35" s="5">
        <f>+C33+C34</f>
        <v>10406</v>
      </c>
      <c r="D35" s="5">
        <f>+D33+D34</f>
        <v>12358</v>
      </c>
      <c r="E35" s="5">
        <f>+E33+E34</f>
        <v>10975</v>
      </c>
      <c r="F35" s="5">
        <f t="shared" ref="F35" si="22">F33+F34</f>
        <v>12339</v>
      </c>
      <c r="G35" s="5">
        <f t="shared" ref="G35:H35" si="23">G33+G34</f>
        <v>11002</v>
      </c>
      <c r="H35" s="5">
        <f t="shared" si="23"/>
        <v>14194</v>
      </c>
      <c r="I35" s="5">
        <f>I33+I34</f>
        <v>13045</v>
      </c>
      <c r="J35" s="5">
        <f t="shared" ref="J35:M35" si="24">J33+J34</f>
        <v>13991</v>
      </c>
      <c r="K35" s="5">
        <f t="shared" si="24"/>
        <v>13646</v>
      </c>
      <c r="L35" s="5">
        <f t="shared" si="24"/>
        <v>16960</v>
      </c>
      <c r="M35" s="5">
        <f t="shared" si="24"/>
        <v>15615</v>
      </c>
      <c r="N35" s="5">
        <f t="shared" ref="N35" si="25">N33+N34</f>
        <v>16429</v>
      </c>
      <c r="O35" s="5">
        <f>O33+O34</f>
        <v>15452</v>
      </c>
      <c r="P35" s="5">
        <f>P33+P34</f>
        <v>17488</v>
      </c>
      <c r="Q35" s="5">
        <f>Q33+Q34</f>
        <v>16128</v>
      </c>
      <c r="R35" s="5">
        <f>R33+R34</f>
        <v>16795</v>
      </c>
      <c r="S35" s="4">
        <f>+S34+S33</f>
        <v>16302</v>
      </c>
      <c r="T35" s="4">
        <f>+T33+T34</f>
        <v>19623</v>
      </c>
      <c r="U35" s="4">
        <f>+U33+U34</f>
        <v>18505</v>
      </c>
      <c r="V35" s="4">
        <f>+V33+V34</f>
        <v>19684</v>
      </c>
      <c r="W35" s="4">
        <f>+W33+W34</f>
        <v>20099</v>
      </c>
      <c r="X35" s="4">
        <v>22000</v>
      </c>
      <c r="AC35" s="4">
        <v>253</v>
      </c>
      <c r="AD35" s="4">
        <v>362</v>
      </c>
      <c r="AE35" s="4">
        <v>467</v>
      </c>
      <c r="AF35" s="4">
        <v>633</v>
      </c>
      <c r="AG35" s="4">
        <v>763</v>
      </c>
      <c r="AH35" s="4">
        <v>877</v>
      </c>
      <c r="AI35" s="4">
        <v>1188</v>
      </c>
      <c r="AJ35" s="4">
        <v>1085</v>
      </c>
      <c r="AK35" s="4">
        <v>1197</v>
      </c>
      <c r="AL35" s="4">
        <v>2814</v>
      </c>
      <c r="AM35" s="4">
        <v>3002</v>
      </c>
      <c r="AN35" s="4">
        <v>3455</v>
      </c>
      <c r="AO35" s="4">
        <v>5191</v>
      </c>
      <c r="AP35" s="4">
        <v>5686</v>
      </c>
      <c r="AQ35" s="4">
        <v>6716</v>
      </c>
      <c r="AR35" s="4">
        <v>6200</v>
      </c>
      <c r="AS35" s="4">
        <v>7650</v>
      </c>
      <c r="AT35" s="4">
        <v>10693</v>
      </c>
      <c r="AU35" s="4">
        <v>11598</v>
      </c>
      <c r="AV35" s="4">
        <v>12155</v>
      </c>
      <c r="AW35" s="5">
        <v>12395</v>
      </c>
      <c r="AX35" s="5">
        <v>15577</v>
      </c>
      <c r="AY35" s="5">
        <v>17530</v>
      </c>
      <c r="AZ35" s="5">
        <v>20249</v>
      </c>
      <c r="BA35" s="5">
        <v>26934</v>
      </c>
      <c r="BB35" s="5">
        <v>33038</v>
      </c>
      <c r="BC35" s="5">
        <f t="shared" ref="BC35" si="26">BC33+BC34</f>
        <v>32780</v>
      </c>
      <c r="BD35" s="5">
        <f t="shared" ref="BD35:BE35" si="27">BD33+BD34</f>
        <v>34261</v>
      </c>
      <c r="BE35" s="5">
        <f t="shared" si="27"/>
        <v>38353</v>
      </c>
      <c r="BF35" s="5">
        <f t="shared" ref="BF35:BG35" si="28">BF33+BF34</f>
        <v>42910</v>
      </c>
      <c r="BG35" s="5">
        <f t="shared" si="28"/>
        <v>46078</v>
      </c>
      <c r="BH35" s="5">
        <f t="shared" ref="BH35:BI35" si="29">BH33+BH34</f>
        <v>52232</v>
      </c>
      <c r="BI35" s="5">
        <f t="shared" si="29"/>
        <v>62650</v>
      </c>
      <c r="BJ35" s="5">
        <f>BJ33+BJ34</f>
        <v>65863</v>
      </c>
      <c r="BK35" s="5">
        <f>+BK32-BK36</f>
        <v>77859.662099999987</v>
      </c>
      <c r="BL35" s="5">
        <f>+BL32-BL36</f>
        <v>84106.245002999989</v>
      </c>
      <c r="BM35" s="5">
        <f t="shared" ref="BM35:BQ35" si="30">+BM32-BM36</f>
        <v>90931.304697090003</v>
      </c>
      <c r="BN35" s="5">
        <f t="shared" si="30"/>
        <v>98391.303416402719</v>
      </c>
      <c r="BO35" s="5">
        <f t="shared" si="30"/>
        <v>106548.30805513478</v>
      </c>
      <c r="BP35" s="5">
        <f t="shared" si="30"/>
        <v>115470.54938665286</v>
      </c>
      <c r="BQ35" s="5">
        <f t="shared" si="30"/>
        <v>125233.03716710286</v>
      </c>
    </row>
    <row r="36" spans="2:127" s="4" customFormat="1">
      <c r="B36" s="4" t="s">
        <v>22</v>
      </c>
      <c r="C36" s="5">
        <f>+C32-C35</f>
        <v>22649</v>
      </c>
      <c r="D36" s="5">
        <f>+D32-D35</f>
        <v>24548</v>
      </c>
      <c r="E36" s="5">
        <f>+E32-E35</f>
        <v>24046</v>
      </c>
      <c r="F36" s="5">
        <f t="shared" ref="F36" si="31">F32-F35</f>
        <v>25694</v>
      </c>
      <c r="G36" s="5">
        <f t="shared" ref="G36:H36" si="32">G32-G35</f>
        <v>26152</v>
      </c>
      <c r="H36" s="5">
        <f t="shared" si="32"/>
        <v>28882</v>
      </c>
      <c r="I36" s="5">
        <f>I32-I35</f>
        <v>28661</v>
      </c>
      <c r="J36" s="5">
        <f t="shared" ref="J36:M36" si="33">J32-J35</f>
        <v>32161</v>
      </c>
      <c r="K36" s="5">
        <f t="shared" si="33"/>
        <v>31671</v>
      </c>
      <c r="L36" s="5">
        <f t="shared" si="33"/>
        <v>34768</v>
      </c>
      <c r="M36" s="5">
        <f t="shared" si="33"/>
        <v>33745</v>
      </c>
      <c r="N36" s="5">
        <f t="shared" ref="N36" si="34">N32-N35</f>
        <v>35436</v>
      </c>
      <c r="O36" s="5">
        <f>O32-O35</f>
        <v>34670</v>
      </c>
      <c r="P36" s="5">
        <f>P32-P35</f>
        <v>35259</v>
      </c>
      <c r="Q36" s="5">
        <f>Q32-Q35</f>
        <v>36729</v>
      </c>
      <c r="R36" s="5">
        <f>R32-R35</f>
        <v>39394</v>
      </c>
      <c r="S36" s="4">
        <f t="shared" ref="S36:X36" si="35">+S32-S35</f>
        <v>40215</v>
      </c>
      <c r="T36" s="4">
        <f t="shared" si="35"/>
        <v>42397</v>
      </c>
      <c r="U36" s="4">
        <f t="shared" si="35"/>
        <v>43353</v>
      </c>
      <c r="V36" s="4">
        <f t="shared" si="35"/>
        <v>45043</v>
      </c>
      <c r="W36" s="4">
        <f t="shared" si="35"/>
        <v>45486</v>
      </c>
      <c r="X36" s="4">
        <f t="shared" si="35"/>
        <v>46842.200000000012</v>
      </c>
      <c r="Y36" s="4">
        <f>+Y32*0.69</f>
        <v>47377.042199999996</v>
      </c>
      <c r="Z36" s="4">
        <f>+Z32*0.69</f>
        <v>49574.409299999999</v>
      </c>
      <c r="AC36" s="4">
        <f t="shared" ref="AC36:AI36" si="36">AC32-AC35</f>
        <v>930</v>
      </c>
      <c r="AD36" s="4">
        <f t="shared" si="36"/>
        <v>1481</v>
      </c>
      <c r="AE36" s="4">
        <f t="shared" si="36"/>
        <v>2292</v>
      </c>
      <c r="AF36" s="4">
        <f t="shared" si="36"/>
        <v>3120</v>
      </c>
      <c r="AG36" s="4">
        <f t="shared" si="36"/>
        <v>3886</v>
      </c>
      <c r="AH36" s="4">
        <f t="shared" si="36"/>
        <v>5060</v>
      </c>
      <c r="AI36" s="4">
        <f t="shared" si="36"/>
        <v>7483</v>
      </c>
      <c r="AJ36" s="4">
        <f t="shared" ref="AJ36" si="37">AJ32-AJ35</f>
        <v>10273</v>
      </c>
      <c r="AK36" s="4">
        <f t="shared" ref="AK36:BB36" si="38">AK32-AK35</f>
        <v>13287</v>
      </c>
      <c r="AL36" s="4">
        <f t="shared" si="38"/>
        <v>16933</v>
      </c>
      <c r="AM36" s="4">
        <f t="shared" si="38"/>
        <v>19954</v>
      </c>
      <c r="AN36" s="4">
        <f t="shared" si="38"/>
        <v>21841</v>
      </c>
      <c r="AO36" s="4">
        <f t="shared" si="38"/>
        <v>23174</v>
      </c>
      <c r="AP36" s="4">
        <f t="shared" si="38"/>
        <v>26501</v>
      </c>
      <c r="AQ36" s="4">
        <f t="shared" si="38"/>
        <v>30119</v>
      </c>
      <c r="AR36" s="4">
        <f t="shared" si="38"/>
        <v>33588</v>
      </c>
      <c r="AS36" s="4">
        <f t="shared" si="38"/>
        <v>36632</v>
      </c>
      <c r="AT36" s="4">
        <f t="shared" si="38"/>
        <v>40429</v>
      </c>
      <c r="AU36" s="4">
        <f t="shared" si="38"/>
        <v>48822</v>
      </c>
      <c r="AV36" s="4">
        <f t="shared" si="38"/>
        <v>46282</v>
      </c>
      <c r="AW36" s="4">
        <f t="shared" si="38"/>
        <v>50089</v>
      </c>
      <c r="AX36" s="4">
        <f t="shared" si="38"/>
        <v>54366</v>
      </c>
      <c r="AY36" s="4">
        <f t="shared" si="38"/>
        <v>56193</v>
      </c>
      <c r="AZ36" s="4">
        <f t="shared" si="38"/>
        <v>57600</v>
      </c>
      <c r="BA36" s="4">
        <f t="shared" si="38"/>
        <v>59899</v>
      </c>
      <c r="BB36" s="4">
        <f t="shared" si="38"/>
        <v>60542</v>
      </c>
      <c r="BC36" s="5">
        <f t="shared" ref="BC36" si="39">BC32-BC35</f>
        <v>52540</v>
      </c>
      <c r="BD36" s="5">
        <f t="shared" ref="BD36:BE36" si="40">BD32-BD35</f>
        <v>62310</v>
      </c>
      <c r="BE36" s="5">
        <f t="shared" si="40"/>
        <v>72007</v>
      </c>
      <c r="BF36" s="5">
        <f t="shared" ref="BF36:BG36" si="41">BF32-BF35</f>
        <v>82933</v>
      </c>
      <c r="BG36" s="5">
        <f t="shared" si="41"/>
        <v>96937</v>
      </c>
      <c r="BH36" s="5">
        <f t="shared" ref="BH36:BI36" si="42">BH32-BH35</f>
        <v>115856</v>
      </c>
      <c r="BI36" s="5">
        <f t="shared" si="42"/>
        <v>135620</v>
      </c>
      <c r="BJ36" s="5">
        <f>BJ32-BJ35</f>
        <v>146052</v>
      </c>
      <c r="BK36" s="5">
        <f t="shared" ref="BK36:BQ36" si="43">+BK32*0.67</f>
        <v>158078.70790000001</v>
      </c>
      <c r="BL36" s="5">
        <f t="shared" si="43"/>
        <v>170761.16409700003</v>
      </c>
      <c r="BM36" s="5">
        <f t="shared" si="43"/>
        <v>184618.10347591003</v>
      </c>
      <c r="BN36" s="5">
        <f t="shared" si="43"/>
        <v>199764.16148178733</v>
      </c>
      <c r="BO36" s="5">
        <f t="shared" si="43"/>
        <v>216325.352718001</v>
      </c>
      <c r="BP36" s="5">
        <f t="shared" si="43"/>
        <v>234440.20633047706</v>
      </c>
      <c r="BQ36" s="5">
        <f t="shared" si="43"/>
        <v>254261.01485442097</v>
      </c>
    </row>
    <row r="37" spans="2:127" s="4" customFormat="1">
      <c r="B37" s="4" t="s">
        <v>25</v>
      </c>
      <c r="C37" s="5">
        <v>4565</v>
      </c>
      <c r="D37" s="5">
        <v>4603</v>
      </c>
      <c r="E37" s="5">
        <v>4887</v>
      </c>
      <c r="F37" s="5">
        <v>5214</v>
      </c>
      <c r="G37" s="5">
        <v>4926</v>
      </c>
      <c r="H37" s="5">
        <v>4899</v>
      </c>
      <c r="I37" s="5">
        <v>5204</v>
      </c>
      <c r="J37" s="5">
        <v>5687</v>
      </c>
      <c r="K37" s="5">
        <v>5599</v>
      </c>
      <c r="L37" s="5">
        <v>5758</v>
      </c>
      <c r="M37" s="5">
        <v>6306</v>
      </c>
      <c r="N37" s="5">
        <v>6849</v>
      </c>
      <c r="O37" s="4">
        <v>6628</v>
      </c>
      <c r="P37" s="4">
        <v>6844</v>
      </c>
      <c r="Q37" s="4">
        <v>6984</v>
      </c>
      <c r="R37" s="4">
        <v>6739</v>
      </c>
      <c r="S37" s="4">
        <v>6659</v>
      </c>
      <c r="T37" s="4">
        <v>7142</v>
      </c>
      <c r="U37" s="4">
        <v>7653</v>
      </c>
      <c r="V37" s="4">
        <v>8056</v>
      </c>
      <c r="W37" s="4">
        <v>7544</v>
      </c>
      <c r="X37" s="4">
        <f t="shared" ref="X37:Z39" si="44">+T37*1.07</f>
        <v>7641.9400000000005</v>
      </c>
      <c r="Y37" s="4">
        <f t="shared" si="44"/>
        <v>8188.71</v>
      </c>
      <c r="Z37" s="4">
        <f t="shared" si="44"/>
        <v>8619.92</v>
      </c>
      <c r="AC37" s="4">
        <v>181</v>
      </c>
      <c r="AD37" s="4">
        <v>235</v>
      </c>
      <c r="AE37" s="4">
        <v>352</v>
      </c>
      <c r="AF37" s="4">
        <v>470</v>
      </c>
      <c r="AG37" s="4">
        <v>610</v>
      </c>
      <c r="AH37" s="4">
        <v>860</v>
      </c>
      <c r="AI37" s="4">
        <v>1432</v>
      </c>
      <c r="AJ37" s="4">
        <v>1925</v>
      </c>
      <c r="AK37" s="4">
        <v>2502</v>
      </c>
      <c r="AL37" s="4">
        <v>2970</v>
      </c>
      <c r="AM37" s="4">
        <v>3775</v>
      </c>
      <c r="AN37" s="4">
        <v>4379</v>
      </c>
      <c r="AO37" s="4">
        <v>4307</v>
      </c>
      <c r="AP37" s="4">
        <v>4659</v>
      </c>
      <c r="AQ37" s="4">
        <v>7779</v>
      </c>
      <c r="AR37" s="4">
        <v>6184</v>
      </c>
      <c r="AS37" s="4">
        <v>6584</v>
      </c>
      <c r="AT37" s="4">
        <v>7121</v>
      </c>
      <c r="AU37" s="4">
        <v>8164</v>
      </c>
      <c r="AV37" s="4">
        <v>9010</v>
      </c>
      <c r="AW37" s="4">
        <v>8714</v>
      </c>
      <c r="AX37" s="4">
        <v>9043</v>
      </c>
      <c r="AY37" s="4">
        <v>9811</v>
      </c>
      <c r="AZ37" s="4">
        <v>10411</v>
      </c>
      <c r="BA37" s="4">
        <v>11381</v>
      </c>
      <c r="BB37" s="4">
        <v>12046</v>
      </c>
      <c r="BC37" s="4">
        <v>11988</v>
      </c>
      <c r="BD37" s="4">
        <v>13037</v>
      </c>
      <c r="BE37" s="4">
        <v>14726</v>
      </c>
      <c r="BF37" s="4">
        <v>16876</v>
      </c>
      <c r="BG37" s="5">
        <v>19269</v>
      </c>
      <c r="BH37" s="5">
        <f>SUM(G37:J37)</f>
        <v>20716</v>
      </c>
      <c r="BI37" s="5">
        <f t="shared" ref="BI37:BI39" si="45">SUM(K37:N37)</f>
        <v>24512</v>
      </c>
      <c r="BJ37" s="5">
        <f t="shared" ref="BJ37:BJ39" si="46">SUM(O37:R37)</f>
        <v>27195</v>
      </c>
      <c r="BK37" s="5">
        <f>+BJ37*1.03</f>
        <v>28010.850000000002</v>
      </c>
      <c r="BL37" s="5">
        <f t="shared" ref="BL37:BQ37" si="47">+BK37*1.03</f>
        <v>28851.175500000001</v>
      </c>
      <c r="BM37" s="5">
        <f t="shared" si="47"/>
        <v>29716.710765000003</v>
      </c>
      <c r="BN37" s="5">
        <f t="shared" si="47"/>
        <v>30608.212087950003</v>
      </c>
      <c r="BO37" s="5">
        <f t="shared" si="47"/>
        <v>31526.458450588503</v>
      </c>
      <c r="BP37" s="5">
        <f t="shared" si="47"/>
        <v>32472.25220410616</v>
      </c>
      <c r="BQ37" s="5">
        <f t="shared" si="47"/>
        <v>33446.419770229346</v>
      </c>
    </row>
    <row r="38" spans="2:127" s="4" customFormat="1">
      <c r="B38" s="4" t="s">
        <v>26</v>
      </c>
      <c r="C38" s="5">
        <v>4337</v>
      </c>
      <c r="D38" s="5">
        <v>4933</v>
      </c>
      <c r="E38" s="5">
        <v>4911</v>
      </c>
      <c r="F38" s="5">
        <v>5417</v>
      </c>
      <c r="G38" s="5">
        <v>4231</v>
      </c>
      <c r="H38" s="5">
        <v>4947</v>
      </c>
      <c r="I38" s="5">
        <v>5082</v>
      </c>
      <c r="J38" s="5">
        <v>5857</v>
      </c>
      <c r="K38" s="5">
        <v>4547</v>
      </c>
      <c r="L38" s="5">
        <v>5379</v>
      </c>
      <c r="M38" s="5">
        <v>5595</v>
      </c>
      <c r="N38" s="5">
        <v>6304</v>
      </c>
      <c r="O38" s="4">
        <v>5126</v>
      </c>
      <c r="P38" s="4">
        <v>5679</v>
      </c>
      <c r="Q38" s="4">
        <v>5750</v>
      </c>
      <c r="R38" s="4">
        <v>6204</v>
      </c>
      <c r="S38" s="4">
        <v>5187</v>
      </c>
      <c r="T38" s="4">
        <v>6246</v>
      </c>
      <c r="U38" s="4">
        <v>6207</v>
      </c>
      <c r="V38" s="4">
        <v>6816</v>
      </c>
      <c r="W38" s="4">
        <v>5717</v>
      </c>
      <c r="X38" s="4">
        <f t="shared" si="44"/>
        <v>6683.22</v>
      </c>
      <c r="Y38" s="4">
        <f t="shared" si="44"/>
        <v>6641.4900000000007</v>
      </c>
      <c r="Z38" s="4">
        <f t="shared" si="44"/>
        <v>7293.1200000000008</v>
      </c>
      <c r="AC38" s="4">
        <v>317</v>
      </c>
      <c r="AD38" s="4">
        <v>534</v>
      </c>
      <c r="AE38" s="4">
        <v>854</v>
      </c>
      <c r="AF38" s="4">
        <v>1205</v>
      </c>
      <c r="AG38" s="4">
        <v>1384</v>
      </c>
      <c r="AH38" s="4">
        <v>1895</v>
      </c>
      <c r="AI38" s="4">
        <v>2657</v>
      </c>
      <c r="AJ38" s="4">
        <v>2856</v>
      </c>
      <c r="AK38" s="4">
        <v>3412</v>
      </c>
      <c r="AL38" s="4">
        <v>3231</v>
      </c>
      <c r="AM38" s="4">
        <v>4141</v>
      </c>
      <c r="AN38" s="4">
        <v>4885</v>
      </c>
      <c r="AO38" s="4">
        <v>5407</v>
      </c>
      <c r="AP38" s="4">
        <v>6521</v>
      </c>
      <c r="AQ38" s="4">
        <v>8309</v>
      </c>
      <c r="AR38" s="4">
        <v>8677</v>
      </c>
      <c r="AS38" s="4">
        <v>9818</v>
      </c>
      <c r="AT38" s="4">
        <v>11455</v>
      </c>
      <c r="AU38" s="4">
        <v>13039</v>
      </c>
      <c r="AV38" s="4">
        <v>12879</v>
      </c>
      <c r="AW38" s="4">
        <v>13214</v>
      </c>
      <c r="AX38" s="4">
        <v>13940</v>
      </c>
      <c r="AY38" s="4">
        <v>13857</v>
      </c>
      <c r="AZ38" s="4">
        <v>15276</v>
      </c>
      <c r="BA38" s="4">
        <v>15811</v>
      </c>
      <c r="BB38" s="4">
        <v>15713</v>
      </c>
      <c r="BC38" s="4">
        <v>14697</v>
      </c>
      <c r="BD38" s="4">
        <v>15461</v>
      </c>
      <c r="BE38" s="4">
        <v>17469</v>
      </c>
      <c r="BF38" s="4">
        <v>18213</v>
      </c>
      <c r="BG38" s="5">
        <v>19598</v>
      </c>
      <c r="BH38" s="5">
        <f>SUM(G38:J38)</f>
        <v>20117</v>
      </c>
      <c r="BI38" s="5">
        <f t="shared" si="45"/>
        <v>21825</v>
      </c>
      <c r="BJ38" s="5">
        <f t="shared" si="46"/>
        <v>22759</v>
      </c>
      <c r="BK38" s="5">
        <f>+BJ38*1.03</f>
        <v>23441.77</v>
      </c>
      <c r="BL38" s="5">
        <f t="shared" ref="BL38:BQ38" si="48">+BK38*1.03</f>
        <v>24145.023100000002</v>
      </c>
      <c r="BM38" s="5">
        <f t="shared" si="48"/>
        <v>24869.373793000002</v>
      </c>
      <c r="BN38" s="5">
        <f t="shared" si="48"/>
        <v>25615.455006790002</v>
      </c>
      <c r="BO38" s="5">
        <f t="shared" si="48"/>
        <v>26383.918656993701</v>
      </c>
      <c r="BP38" s="5">
        <f t="shared" si="48"/>
        <v>27175.436216703514</v>
      </c>
      <c r="BQ38" s="5">
        <f t="shared" si="48"/>
        <v>27990.699303204619</v>
      </c>
    </row>
    <row r="39" spans="2:127" s="4" customFormat="1">
      <c r="B39" s="4" t="s">
        <v>27</v>
      </c>
      <c r="C39" s="5">
        <v>1061</v>
      </c>
      <c r="D39" s="5">
        <v>1121</v>
      </c>
      <c r="E39" s="5">
        <v>1273</v>
      </c>
      <c r="F39" s="5">
        <v>1656</v>
      </c>
      <c r="G39" s="5">
        <v>1119</v>
      </c>
      <c r="H39" s="5">
        <v>1139</v>
      </c>
      <c r="I39" s="5">
        <v>1327</v>
      </c>
      <c r="J39" s="5">
        <v>1522</v>
      </c>
      <c r="K39" s="5">
        <v>1287</v>
      </c>
      <c r="L39" s="5">
        <v>1384</v>
      </c>
      <c r="M39" s="5">
        <v>1480</v>
      </c>
      <c r="N39" s="5">
        <v>1749</v>
      </c>
      <c r="O39" s="4">
        <v>1398</v>
      </c>
      <c r="P39" s="4">
        <v>2337</v>
      </c>
      <c r="Q39" s="4">
        <v>1643</v>
      </c>
      <c r="R39" s="4">
        <v>2197</v>
      </c>
      <c r="S39" s="4">
        <v>1474</v>
      </c>
      <c r="T39" s="4">
        <v>1977</v>
      </c>
      <c r="U39" s="4">
        <v>1912</v>
      </c>
      <c r="V39" s="4">
        <v>2246</v>
      </c>
      <c r="W39" s="4">
        <v>1673</v>
      </c>
      <c r="X39" s="4">
        <f t="shared" si="44"/>
        <v>2115.3900000000003</v>
      </c>
      <c r="Y39" s="4">
        <f t="shared" si="44"/>
        <v>2045.8400000000001</v>
      </c>
      <c r="Z39" s="4">
        <f t="shared" si="44"/>
        <v>2403.2200000000003</v>
      </c>
      <c r="AC39" s="4">
        <v>39</v>
      </c>
      <c r="AD39" s="4">
        <v>62</v>
      </c>
      <c r="AE39" s="4">
        <v>90</v>
      </c>
      <c r="AF39" s="4">
        <v>119</v>
      </c>
      <c r="AG39" s="4">
        <v>166</v>
      </c>
      <c r="AH39" s="4">
        <v>267</v>
      </c>
      <c r="AI39" s="4">
        <v>316</v>
      </c>
      <c r="AJ39" s="4">
        <v>362</v>
      </c>
      <c r="AK39" s="4">
        <v>433</v>
      </c>
      <c r="AL39" s="4">
        <v>689</v>
      </c>
      <c r="AM39" s="4">
        <v>1009</v>
      </c>
      <c r="AN39" s="4">
        <v>857</v>
      </c>
      <c r="AO39" s="4">
        <v>1550</v>
      </c>
      <c r="AP39" s="4">
        <v>2104</v>
      </c>
      <c r="AQ39" s="4">
        <v>4997</v>
      </c>
      <c r="AR39" s="4">
        <v>4166</v>
      </c>
      <c r="AS39" s="4">
        <v>3758</v>
      </c>
      <c r="AT39" s="4">
        <v>3329</v>
      </c>
      <c r="AU39" s="4">
        <v>5127</v>
      </c>
      <c r="AV39" s="4">
        <v>3700</v>
      </c>
      <c r="AW39" s="4">
        <v>4004</v>
      </c>
      <c r="AX39" s="4">
        <v>4222</v>
      </c>
      <c r="AY39" s="4">
        <v>4569</v>
      </c>
      <c r="AZ39" s="4">
        <v>5149</v>
      </c>
      <c r="BA39" s="4">
        <v>4821</v>
      </c>
      <c r="BB39" s="4">
        <v>4611</v>
      </c>
      <c r="BC39" s="4">
        <v>4563</v>
      </c>
      <c r="BD39" s="4">
        <v>4481</v>
      </c>
      <c r="BE39" s="4">
        <v>4754</v>
      </c>
      <c r="BF39" s="4">
        <v>4885</v>
      </c>
      <c r="BG39" s="5">
        <v>5111</v>
      </c>
      <c r="BH39" s="5">
        <f>SUM(G39:J39)</f>
        <v>5107</v>
      </c>
      <c r="BI39" s="5">
        <f t="shared" si="45"/>
        <v>5900</v>
      </c>
      <c r="BJ39" s="5">
        <f t="shared" si="46"/>
        <v>7575</v>
      </c>
      <c r="BK39" s="5">
        <f>+BJ39*1.03</f>
        <v>7802.25</v>
      </c>
      <c r="BL39" s="5">
        <f t="shared" ref="BL39:BQ39" si="49">+BK39*1.03</f>
        <v>8036.3175000000001</v>
      </c>
      <c r="BM39" s="5">
        <f t="shared" si="49"/>
        <v>8277.4070250000004</v>
      </c>
      <c r="BN39" s="5">
        <f t="shared" si="49"/>
        <v>8525.729235750001</v>
      </c>
      <c r="BO39" s="5">
        <f t="shared" si="49"/>
        <v>8781.5011128225015</v>
      </c>
      <c r="BP39" s="5">
        <f t="shared" si="49"/>
        <v>9044.9461462071758</v>
      </c>
      <c r="BQ39" s="5">
        <f t="shared" si="49"/>
        <v>9316.2945305933918</v>
      </c>
    </row>
    <row r="40" spans="2:127" s="4" customFormat="1">
      <c r="B40" s="4" t="s">
        <v>23</v>
      </c>
      <c r="C40" s="5">
        <f t="shared" ref="C40:D40" si="50">SUM(C37:C39)</f>
        <v>9963</v>
      </c>
      <c r="D40" s="5">
        <f t="shared" si="50"/>
        <v>10657</v>
      </c>
      <c r="E40" s="5">
        <f t="shared" ref="E40:F40" si="51">SUM(E37:E39)</f>
        <v>11071</v>
      </c>
      <c r="F40" s="5">
        <f t="shared" si="51"/>
        <v>12287</v>
      </c>
      <c r="G40" s="5">
        <f t="shared" ref="G40:L40" si="52">SUM(G37:G39)</f>
        <v>10276</v>
      </c>
      <c r="H40" s="5">
        <f t="shared" si="52"/>
        <v>10985</v>
      </c>
      <c r="I40" s="5">
        <f t="shared" si="52"/>
        <v>11613</v>
      </c>
      <c r="J40" s="5">
        <f t="shared" si="52"/>
        <v>13066</v>
      </c>
      <c r="K40" s="5">
        <f t="shared" si="52"/>
        <v>11433</v>
      </c>
      <c r="L40" s="5">
        <f t="shared" si="52"/>
        <v>12521</v>
      </c>
      <c r="M40" s="5">
        <f>SUM(M37:M39)</f>
        <v>13381</v>
      </c>
      <c r="N40" s="5">
        <f t="shared" ref="N40:O40" si="53">SUM(N37:N39)</f>
        <v>14902</v>
      </c>
      <c r="O40" s="5">
        <f t="shared" si="53"/>
        <v>13152</v>
      </c>
      <c r="P40" s="5">
        <f>SUM(P37:P39)</f>
        <v>14860</v>
      </c>
      <c r="Q40" s="5">
        <f t="shared" ref="Q40:R40" si="54">SUM(Q37:Q39)</f>
        <v>14377</v>
      </c>
      <c r="R40" s="5">
        <f t="shared" si="54"/>
        <v>15140</v>
      </c>
      <c r="S40" s="5">
        <f t="shared" ref="S40:U40" si="55">SUM(S37:S39)</f>
        <v>13320</v>
      </c>
      <c r="T40" s="5">
        <f t="shared" si="55"/>
        <v>15365</v>
      </c>
      <c r="U40" s="5">
        <f t="shared" si="55"/>
        <v>15772</v>
      </c>
      <c r="V40" s="5">
        <f>SUM(V37:V39)</f>
        <v>17118</v>
      </c>
      <c r="W40" s="5">
        <f>SUM(W37:W39)</f>
        <v>14934</v>
      </c>
      <c r="X40" s="5">
        <f>SUM(X37:X39)</f>
        <v>16440.55</v>
      </c>
      <c r="Y40" s="5">
        <f>SUM(Y37:Y39)</f>
        <v>16876.04</v>
      </c>
      <c r="Z40" s="5">
        <f>SUM(Z37:Z39)</f>
        <v>18316.260000000002</v>
      </c>
      <c r="AA40" s="5"/>
      <c r="AB40" s="5"/>
      <c r="AC40" s="5">
        <f t="shared" ref="AC40:AD40" si="56">AC37+AC38+AC39</f>
        <v>537</v>
      </c>
      <c r="AD40" s="5">
        <f t="shared" si="56"/>
        <v>831</v>
      </c>
      <c r="AE40" s="5">
        <f>AE37+AE38+AE39</f>
        <v>1296</v>
      </c>
      <c r="AF40" s="5">
        <f>AF37+AF38+AF39</f>
        <v>1794</v>
      </c>
      <c r="AG40" s="5">
        <f>AG37+AG38+AG39</f>
        <v>2160</v>
      </c>
      <c r="AH40" s="5">
        <f>AH37+AH38+AH39</f>
        <v>3022</v>
      </c>
      <c r="AI40" s="5">
        <f>AI37+AI38+AI39</f>
        <v>4405</v>
      </c>
      <c r="AJ40" s="5">
        <f t="shared" ref="AJ40" si="57">AJ37+AJ38+AJ39</f>
        <v>5143</v>
      </c>
      <c r="AK40" s="5">
        <f t="shared" ref="AK40:BB40" si="58">AK37+AK38+AK39</f>
        <v>6347</v>
      </c>
      <c r="AL40" s="5">
        <f t="shared" si="58"/>
        <v>6890</v>
      </c>
      <c r="AM40" s="5">
        <f t="shared" si="58"/>
        <v>8925</v>
      </c>
      <c r="AN40" s="5">
        <f t="shared" si="58"/>
        <v>10121</v>
      </c>
      <c r="AO40" s="5">
        <f t="shared" si="58"/>
        <v>11264</v>
      </c>
      <c r="AP40" s="5">
        <f t="shared" si="58"/>
        <v>13284</v>
      </c>
      <c r="AQ40" s="5">
        <f t="shared" si="58"/>
        <v>21085</v>
      </c>
      <c r="AR40" s="5">
        <f t="shared" si="58"/>
        <v>19027</v>
      </c>
      <c r="AS40" s="5">
        <f t="shared" si="58"/>
        <v>20160</v>
      </c>
      <c r="AT40" s="5">
        <f t="shared" si="58"/>
        <v>21905</v>
      </c>
      <c r="AU40" s="5">
        <f t="shared" si="58"/>
        <v>26330</v>
      </c>
      <c r="AV40" s="5">
        <f t="shared" si="58"/>
        <v>25589</v>
      </c>
      <c r="AW40" s="5">
        <f t="shared" si="58"/>
        <v>25932</v>
      </c>
      <c r="AX40" s="5">
        <f t="shared" si="58"/>
        <v>27205</v>
      </c>
      <c r="AY40" s="5">
        <f t="shared" si="58"/>
        <v>28237</v>
      </c>
      <c r="AZ40" s="5">
        <f t="shared" si="58"/>
        <v>30836</v>
      </c>
      <c r="BA40" s="5">
        <f t="shared" si="58"/>
        <v>32013</v>
      </c>
      <c r="BB40" s="5">
        <f t="shared" si="58"/>
        <v>32370</v>
      </c>
      <c r="BC40" s="5">
        <f t="shared" ref="BC40:BD40" si="59">SUM(BC37:BC39)</f>
        <v>31248</v>
      </c>
      <c r="BD40" s="5">
        <f t="shared" si="59"/>
        <v>32979</v>
      </c>
      <c r="BE40" s="5">
        <f t="shared" ref="BE40:BF40" si="60">SUM(BE37:BE39)</f>
        <v>36949</v>
      </c>
      <c r="BF40" s="5">
        <f t="shared" si="60"/>
        <v>39974</v>
      </c>
      <c r="BG40" s="5">
        <f t="shared" ref="BG40" si="61">SUM(BG37:BG39)</f>
        <v>43978</v>
      </c>
      <c r="BH40" s="5">
        <f t="shared" ref="BH40:BJ40" si="62">SUM(BH37:BH39)</f>
        <v>45940</v>
      </c>
      <c r="BI40" s="5">
        <f t="shared" si="62"/>
        <v>52237</v>
      </c>
      <c r="BJ40" s="5">
        <f t="shared" si="62"/>
        <v>57529</v>
      </c>
      <c r="BK40" s="5">
        <f t="shared" ref="BK40" si="63">SUM(BK37:BK39)</f>
        <v>59254.87</v>
      </c>
      <c r="BL40" s="5">
        <f t="shared" ref="BL40" si="64">SUM(BL37:BL39)</f>
        <v>61032.516100000001</v>
      </c>
      <c r="BM40" s="5">
        <f t="shared" ref="BM40" si="65">SUM(BM37:BM39)</f>
        <v>62863.491583000003</v>
      </c>
      <c r="BN40" s="5">
        <f t="shared" ref="BN40" si="66">SUM(BN37:BN39)</f>
        <v>64749.39633049001</v>
      </c>
      <c r="BO40" s="5">
        <f t="shared" ref="BO40" si="67">SUM(BO37:BO39)</f>
        <v>66691.878220404702</v>
      </c>
      <c r="BP40" s="5">
        <f t="shared" ref="BP40" si="68">SUM(BP37:BP39)</f>
        <v>68692.634567016852</v>
      </c>
      <c r="BQ40" s="5">
        <f t="shared" ref="BQ40" si="69">SUM(BQ37:BQ39)</f>
        <v>70753.413604027359</v>
      </c>
    </row>
    <row r="41" spans="2:127" s="4" customFormat="1">
      <c r="B41" s="4" t="s">
        <v>24</v>
      </c>
      <c r="C41" s="5">
        <f t="shared" ref="C41:D41" si="70">C36-C40</f>
        <v>12686</v>
      </c>
      <c r="D41" s="5">
        <f t="shared" si="70"/>
        <v>13891</v>
      </c>
      <c r="E41" s="5">
        <f t="shared" ref="E41:F41" si="71">E36-E40</f>
        <v>12975</v>
      </c>
      <c r="F41" s="5">
        <f t="shared" si="71"/>
        <v>13407</v>
      </c>
      <c r="G41" s="5">
        <f t="shared" ref="G41:L41" si="72">G36-G40</f>
        <v>15876</v>
      </c>
      <c r="H41" s="5">
        <f t="shared" si="72"/>
        <v>17897</v>
      </c>
      <c r="I41" s="5">
        <f t="shared" si="72"/>
        <v>17048</v>
      </c>
      <c r="J41" s="5">
        <f t="shared" si="72"/>
        <v>19095</v>
      </c>
      <c r="K41" s="5">
        <f t="shared" si="72"/>
        <v>20238</v>
      </c>
      <c r="L41" s="5">
        <f t="shared" si="72"/>
        <v>22247</v>
      </c>
      <c r="M41" s="5">
        <f>M36-M40</f>
        <v>20364</v>
      </c>
      <c r="N41" s="5">
        <f t="shared" ref="N41:O41" si="73">N36-N40</f>
        <v>20534</v>
      </c>
      <c r="O41" s="5">
        <f t="shared" si="73"/>
        <v>21518</v>
      </c>
      <c r="P41" s="5">
        <f>P36-P40</f>
        <v>20399</v>
      </c>
      <c r="Q41" s="5">
        <f>Q36-Q40</f>
        <v>22352</v>
      </c>
      <c r="R41" s="5">
        <f t="shared" ref="R41:U41" si="74">R36-R40</f>
        <v>24254</v>
      </c>
      <c r="S41" s="5">
        <f t="shared" si="74"/>
        <v>26895</v>
      </c>
      <c r="T41" s="5">
        <f t="shared" si="74"/>
        <v>27032</v>
      </c>
      <c r="U41" s="5">
        <f t="shared" si="74"/>
        <v>27581</v>
      </c>
      <c r="V41" s="5">
        <f>V36-V40</f>
        <v>27925</v>
      </c>
      <c r="W41" s="5">
        <f>W36-W40</f>
        <v>30552</v>
      </c>
      <c r="X41" s="5">
        <f>X36-X40</f>
        <v>30401.650000000012</v>
      </c>
      <c r="Y41" s="5">
        <f>Y36-Y40</f>
        <v>30501.002199999995</v>
      </c>
      <c r="Z41" s="5">
        <f>Z36-Z40</f>
        <v>31258.149299999997</v>
      </c>
      <c r="AA41" s="5"/>
      <c r="AB41" s="5"/>
      <c r="AC41" s="5">
        <f t="shared" ref="AC41:AD41" si="75">AC36-AC40</f>
        <v>393</v>
      </c>
      <c r="AD41" s="5">
        <f t="shared" si="75"/>
        <v>650</v>
      </c>
      <c r="AE41" s="5">
        <f>AE36-AE40</f>
        <v>996</v>
      </c>
      <c r="AF41" s="5">
        <f>AF36-AF40</f>
        <v>1326</v>
      </c>
      <c r="AG41" s="5">
        <f>AG36-AG40</f>
        <v>1726</v>
      </c>
      <c r="AH41" s="5">
        <f>AH36-AH40</f>
        <v>2038</v>
      </c>
      <c r="AI41" s="5">
        <f>AI36-AI40</f>
        <v>3078</v>
      </c>
      <c r="AJ41" s="5">
        <f t="shared" ref="AJ41" si="76">AJ36-AJ40</f>
        <v>5130</v>
      </c>
      <c r="AK41" s="5">
        <f t="shared" ref="AK41:BB41" si="77">AK36-AK40</f>
        <v>6940</v>
      </c>
      <c r="AL41" s="5">
        <f t="shared" si="77"/>
        <v>10043</v>
      </c>
      <c r="AM41" s="5">
        <f t="shared" si="77"/>
        <v>11029</v>
      </c>
      <c r="AN41" s="5">
        <f t="shared" si="77"/>
        <v>11720</v>
      </c>
      <c r="AO41" s="5">
        <f t="shared" si="77"/>
        <v>11910</v>
      </c>
      <c r="AP41" s="5">
        <f t="shared" si="77"/>
        <v>13217</v>
      </c>
      <c r="AQ41" s="5">
        <f t="shared" si="77"/>
        <v>9034</v>
      </c>
      <c r="AR41" s="5">
        <f t="shared" si="77"/>
        <v>14561</v>
      </c>
      <c r="AS41" s="5">
        <f t="shared" si="77"/>
        <v>16472</v>
      </c>
      <c r="AT41" s="5">
        <f t="shared" si="77"/>
        <v>18524</v>
      </c>
      <c r="AU41" s="5">
        <f t="shared" si="77"/>
        <v>22492</v>
      </c>
      <c r="AV41" s="5">
        <f t="shared" si="77"/>
        <v>20693</v>
      </c>
      <c r="AW41" s="5">
        <f t="shared" si="77"/>
        <v>24157</v>
      </c>
      <c r="AX41" s="5">
        <f t="shared" si="77"/>
        <v>27161</v>
      </c>
      <c r="AY41" s="5">
        <f t="shared" si="77"/>
        <v>27956</v>
      </c>
      <c r="AZ41" s="5">
        <f t="shared" si="77"/>
        <v>26764</v>
      </c>
      <c r="BA41" s="5">
        <f t="shared" si="77"/>
        <v>27886</v>
      </c>
      <c r="BB41" s="5">
        <f t="shared" si="77"/>
        <v>28172</v>
      </c>
      <c r="BC41" s="5">
        <f t="shared" ref="BC41:BD41" si="78">BC36-BC40</f>
        <v>21292</v>
      </c>
      <c r="BD41" s="5">
        <f t="shared" si="78"/>
        <v>29331</v>
      </c>
      <c r="BE41" s="5">
        <f t="shared" ref="BE41:BF41" si="79">BE36-BE40</f>
        <v>35058</v>
      </c>
      <c r="BF41" s="5">
        <f t="shared" si="79"/>
        <v>42959</v>
      </c>
      <c r="BG41" s="5">
        <f t="shared" ref="BG41" si="80">BG36-BG40</f>
        <v>52959</v>
      </c>
      <c r="BH41" s="5">
        <f t="shared" ref="BH41:BJ41" si="81">BH36-BH40</f>
        <v>69916</v>
      </c>
      <c r="BI41" s="5">
        <f t="shared" si="81"/>
        <v>83383</v>
      </c>
      <c r="BJ41" s="5">
        <f t="shared" si="81"/>
        <v>88523</v>
      </c>
      <c r="BK41" s="5">
        <f t="shared" ref="BK41" si="82">BK36-BK40</f>
        <v>98823.837900000013</v>
      </c>
      <c r="BL41" s="5">
        <f t="shared" ref="BL41" si="83">BL36-BL40</f>
        <v>109728.64799700002</v>
      </c>
      <c r="BM41" s="5">
        <f t="shared" ref="BM41" si="84">BM36-BM40</f>
        <v>121754.61189291003</v>
      </c>
      <c r="BN41" s="5">
        <f t="shared" ref="BN41" si="85">BN36-BN40</f>
        <v>135014.76515129732</v>
      </c>
      <c r="BO41" s="5">
        <f t="shared" ref="BO41" si="86">BO36-BO40</f>
        <v>149633.4744975963</v>
      </c>
      <c r="BP41" s="5">
        <f t="shared" ref="BP41" si="87">BP36-BP40</f>
        <v>165747.5717634602</v>
      </c>
      <c r="BQ41" s="5">
        <f t="shared" ref="BQ41" si="88">BQ36-BQ40</f>
        <v>183507.60125039361</v>
      </c>
    </row>
    <row r="42" spans="2:127">
      <c r="B42" s="4" t="s">
        <v>28</v>
      </c>
      <c r="C42" s="2">
        <v>0</v>
      </c>
      <c r="D42" s="2">
        <v>194</v>
      </c>
      <c r="E42" s="2">
        <v>-132</v>
      </c>
      <c r="F42" s="2">
        <v>15</v>
      </c>
      <c r="G42" s="2">
        <v>248</v>
      </c>
      <c r="H42" s="2">
        <v>440</v>
      </c>
      <c r="I42" s="2">
        <v>188</v>
      </c>
      <c r="J42" s="2">
        <v>310</v>
      </c>
      <c r="K42" s="2">
        <v>286</v>
      </c>
      <c r="L42" s="2">
        <v>268</v>
      </c>
      <c r="M42" s="2">
        <v>-174</v>
      </c>
      <c r="N42" s="2">
        <v>-47</v>
      </c>
      <c r="O42" s="4">
        <v>54</v>
      </c>
      <c r="P42" s="4">
        <v>-60</v>
      </c>
      <c r="Q42" s="4">
        <v>321</v>
      </c>
      <c r="R42" s="4">
        <v>473</v>
      </c>
      <c r="S42" s="4">
        <v>389</v>
      </c>
      <c r="T42" s="4">
        <v>-506</v>
      </c>
      <c r="U42" s="4">
        <v>-854</v>
      </c>
      <c r="V42" s="4">
        <v>-675</v>
      </c>
      <c r="W42" s="4">
        <v>-283</v>
      </c>
      <c r="X42" s="4">
        <f>+W42</f>
        <v>-283</v>
      </c>
      <c r="Y42" s="4">
        <f>+X42</f>
        <v>-283</v>
      </c>
      <c r="Z42" s="4">
        <f>+Y42</f>
        <v>-283</v>
      </c>
      <c r="AC42">
        <f>31-14</f>
        <v>17</v>
      </c>
      <c r="AD42">
        <f>37-16</f>
        <v>21</v>
      </c>
      <c r="AE42">
        <f>56-11</f>
        <v>45</v>
      </c>
      <c r="AF42">
        <f>82-7</f>
        <v>75</v>
      </c>
      <c r="AG42">
        <f>102-16</f>
        <v>86</v>
      </c>
      <c r="AH42">
        <f>191-16</f>
        <v>175</v>
      </c>
      <c r="AI42">
        <f>320-19</f>
        <v>301</v>
      </c>
      <c r="AJ42">
        <f>443-259</f>
        <v>184</v>
      </c>
      <c r="AK42">
        <f>703-230</f>
        <v>473</v>
      </c>
      <c r="AL42" s="4">
        <f>1803-115</f>
        <v>1688</v>
      </c>
      <c r="AM42" s="4">
        <f>3182-92</f>
        <v>3090</v>
      </c>
      <c r="AN42" s="4">
        <v>-36</v>
      </c>
      <c r="AO42" s="4">
        <v>-305</v>
      </c>
      <c r="AP42" s="4">
        <v>1577</v>
      </c>
      <c r="AQ42" s="4">
        <v>3187</v>
      </c>
      <c r="AR42" s="4">
        <v>2067</v>
      </c>
      <c r="AS42" s="4">
        <v>1790</v>
      </c>
      <c r="AT42" s="4">
        <v>1577</v>
      </c>
      <c r="AU42" s="4">
        <v>1322</v>
      </c>
      <c r="AV42" s="4">
        <v>-542</v>
      </c>
      <c r="AW42" s="4">
        <v>915</v>
      </c>
      <c r="AX42" s="4">
        <v>910</v>
      </c>
      <c r="AY42" s="4">
        <v>504</v>
      </c>
      <c r="AZ42" s="4">
        <v>288</v>
      </c>
      <c r="BA42" s="4">
        <v>61</v>
      </c>
      <c r="BB42" s="4">
        <v>346</v>
      </c>
      <c r="BC42" s="4">
        <v>-431</v>
      </c>
      <c r="BD42" s="4">
        <v>876</v>
      </c>
      <c r="BE42" s="4">
        <v>1416</v>
      </c>
      <c r="BF42" s="4">
        <v>729</v>
      </c>
      <c r="BG42" s="2">
        <v>77</v>
      </c>
      <c r="BH42" s="5">
        <f>SUM(G42:J42)</f>
        <v>1186</v>
      </c>
      <c r="BI42" s="5">
        <f t="shared" ref="BI42" si="89">SUM(K42:N42)</f>
        <v>333</v>
      </c>
      <c r="BJ42" s="5">
        <f t="shared" ref="BJ42:BQ42" si="90">+BI62*$BT$50</f>
        <v>0</v>
      </c>
      <c r="BK42" s="5">
        <f>+BJ62*$BT$50</f>
        <v>0</v>
      </c>
      <c r="BL42" s="5">
        <f t="shared" si="90"/>
        <v>0</v>
      </c>
      <c r="BM42" s="5">
        <f t="shared" si="90"/>
        <v>0</v>
      </c>
      <c r="BN42" s="5">
        <f t="shared" si="90"/>
        <v>0</v>
      </c>
      <c r="BO42" s="5">
        <f t="shared" si="90"/>
        <v>0</v>
      </c>
      <c r="BP42" s="5">
        <f t="shared" si="90"/>
        <v>0</v>
      </c>
      <c r="BQ42" s="5">
        <f t="shared" si="90"/>
        <v>0</v>
      </c>
    </row>
    <row r="43" spans="2:127">
      <c r="B43" s="4" t="s">
        <v>29</v>
      </c>
      <c r="C43" s="5">
        <f t="shared" ref="C43:D43" si="91">C41+C42</f>
        <v>12686</v>
      </c>
      <c r="D43" s="5">
        <f t="shared" si="91"/>
        <v>14085</v>
      </c>
      <c r="E43" s="5">
        <f t="shared" ref="E43:F43" si="92">E41+E42</f>
        <v>12843</v>
      </c>
      <c r="F43" s="5">
        <f t="shared" si="92"/>
        <v>13422</v>
      </c>
      <c r="G43" s="5">
        <f>G41+G42</f>
        <v>16124</v>
      </c>
      <c r="H43" s="5">
        <f t="shared" ref="H43:Z43" si="93">H41+H42</f>
        <v>18337</v>
      </c>
      <c r="I43" s="5">
        <f t="shared" si="93"/>
        <v>17236</v>
      </c>
      <c r="J43" s="5">
        <f t="shared" si="93"/>
        <v>19405</v>
      </c>
      <c r="K43" s="5">
        <f t="shared" si="93"/>
        <v>20524</v>
      </c>
      <c r="L43" s="5">
        <f t="shared" si="93"/>
        <v>22515</v>
      </c>
      <c r="M43" s="5">
        <f t="shared" si="93"/>
        <v>20190</v>
      </c>
      <c r="N43" s="5">
        <f t="shared" si="93"/>
        <v>20487</v>
      </c>
      <c r="O43" s="5">
        <f t="shared" si="93"/>
        <v>21572</v>
      </c>
      <c r="P43" s="5">
        <f t="shared" si="93"/>
        <v>20339</v>
      </c>
      <c r="Q43" s="5">
        <f t="shared" si="93"/>
        <v>22673</v>
      </c>
      <c r="R43" s="5">
        <f t="shared" si="93"/>
        <v>24727</v>
      </c>
      <c r="S43" s="5">
        <f t="shared" si="93"/>
        <v>27284</v>
      </c>
      <c r="T43" s="5">
        <f t="shared" si="93"/>
        <v>26526</v>
      </c>
      <c r="U43" s="5">
        <f t="shared" si="93"/>
        <v>26727</v>
      </c>
      <c r="V43" s="5">
        <f t="shared" si="93"/>
        <v>27250</v>
      </c>
      <c r="W43" s="5">
        <f t="shared" si="93"/>
        <v>30269</v>
      </c>
      <c r="X43" s="5">
        <f t="shared" si="93"/>
        <v>30118.650000000012</v>
      </c>
      <c r="Y43" s="5">
        <f t="shared" si="93"/>
        <v>30218.002199999995</v>
      </c>
      <c r="Z43" s="5">
        <f t="shared" si="93"/>
        <v>30975.149299999997</v>
      </c>
      <c r="AC43" s="4">
        <f t="shared" ref="AC43:AD43" si="94">AC42+AC41</f>
        <v>410</v>
      </c>
      <c r="AD43" s="4">
        <f t="shared" si="94"/>
        <v>671</v>
      </c>
      <c r="AE43" s="4">
        <f>AE42+AE41</f>
        <v>1041</v>
      </c>
      <c r="AF43" s="4">
        <f>AF42+AF41</f>
        <v>1401</v>
      </c>
      <c r="AG43" s="4">
        <f>AG42+AG41</f>
        <v>1812</v>
      </c>
      <c r="AH43" s="4">
        <f>AH42+AH41</f>
        <v>2213</v>
      </c>
      <c r="AI43" s="4">
        <f>AI42+AI41</f>
        <v>3379</v>
      </c>
      <c r="AJ43" s="4">
        <f t="shared" ref="AJ43" si="95">AJ42+AJ41</f>
        <v>5314</v>
      </c>
      <c r="AK43" s="4">
        <f t="shared" ref="AK43:BB43" si="96">AK42+AK41</f>
        <v>7413</v>
      </c>
      <c r="AL43" s="4">
        <f t="shared" si="96"/>
        <v>11731</v>
      </c>
      <c r="AM43" s="4">
        <f t="shared" si="96"/>
        <v>14119</v>
      </c>
      <c r="AN43" s="4">
        <f t="shared" si="96"/>
        <v>11684</v>
      </c>
      <c r="AO43" s="4">
        <f t="shared" si="96"/>
        <v>11605</v>
      </c>
      <c r="AP43" s="4">
        <f t="shared" si="96"/>
        <v>14794</v>
      </c>
      <c r="AQ43" s="4">
        <f t="shared" si="96"/>
        <v>12221</v>
      </c>
      <c r="AR43" s="4">
        <f t="shared" si="96"/>
        <v>16628</v>
      </c>
      <c r="AS43" s="4">
        <f t="shared" si="96"/>
        <v>18262</v>
      </c>
      <c r="AT43" s="4">
        <f t="shared" si="96"/>
        <v>20101</v>
      </c>
      <c r="AU43" s="4">
        <f t="shared" si="96"/>
        <v>23814</v>
      </c>
      <c r="AV43" s="4">
        <f t="shared" si="96"/>
        <v>20151</v>
      </c>
      <c r="AW43" s="4">
        <f t="shared" si="96"/>
        <v>25072</v>
      </c>
      <c r="AX43" s="4">
        <f t="shared" si="96"/>
        <v>28071</v>
      </c>
      <c r="AY43" s="4">
        <f t="shared" si="96"/>
        <v>28460</v>
      </c>
      <c r="AZ43" s="4">
        <f t="shared" si="96"/>
        <v>27052</v>
      </c>
      <c r="BA43" s="4">
        <f t="shared" si="96"/>
        <v>27947</v>
      </c>
      <c r="BB43" s="4">
        <f t="shared" si="96"/>
        <v>28518</v>
      </c>
      <c r="BC43" s="4">
        <f>+BC41+BC42</f>
        <v>20861</v>
      </c>
      <c r="BD43" s="4">
        <f>+BD41+BD42</f>
        <v>30207</v>
      </c>
      <c r="BE43" s="4">
        <f>+BE41+BE42</f>
        <v>36474</v>
      </c>
      <c r="BF43" s="4">
        <f>+BF41+BF42</f>
        <v>43688</v>
      </c>
      <c r="BG43" s="5">
        <f>+BG41+BG42</f>
        <v>53036</v>
      </c>
      <c r="BH43" s="5">
        <f t="shared" ref="BH43:BJ43" si="97">+BH41+BH42</f>
        <v>71102</v>
      </c>
      <c r="BI43" s="5">
        <f t="shared" si="97"/>
        <v>83716</v>
      </c>
      <c r="BJ43" s="5">
        <f t="shared" si="97"/>
        <v>88523</v>
      </c>
      <c r="BK43" s="5">
        <f t="shared" ref="BK43" si="98">+BK41+BK42</f>
        <v>98823.837900000013</v>
      </c>
      <c r="BL43" s="5">
        <f t="shared" ref="BL43" si="99">+BL41+BL42</f>
        <v>109728.64799700002</v>
      </c>
      <c r="BM43" s="5">
        <f t="shared" ref="BM43" si="100">+BM41+BM42</f>
        <v>121754.61189291003</v>
      </c>
      <c r="BN43" s="5">
        <f t="shared" ref="BN43" si="101">+BN41+BN42</f>
        <v>135014.76515129732</v>
      </c>
      <c r="BO43" s="5">
        <f t="shared" ref="BO43" si="102">+BO41+BO42</f>
        <v>149633.4744975963</v>
      </c>
      <c r="BP43" s="5">
        <f t="shared" ref="BP43" si="103">+BP41+BP42</f>
        <v>165747.5717634602</v>
      </c>
      <c r="BQ43" s="5">
        <f t="shared" ref="BQ43" si="104">+BQ41+BQ42</f>
        <v>183507.60125039361</v>
      </c>
    </row>
    <row r="44" spans="2:127" s="4" customFormat="1">
      <c r="B44" s="4" t="s">
        <v>30</v>
      </c>
      <c r="C44" s="5">
        <v>2008</v>
      </c>
      <c r="D44" s="5">
        <v>2436</v>
      </c>
      <c r="E44" s="5">
        <v>2091</v>
      </c>
      <c r="F44" s="5">
        <v>2220</v>
      </c>
      <c r="G44" s="5">
        <v>2231</v>
      </c>
      <c r="H44" s="5">
        <v>2874</v>
      </c>
      <c r="I44" s="5">
        <v>1779</v>
      </c>
      <c r="J44" s="5">
        <v>2947</v>
      </c>
      <c r="K44" s="5">
        <v>19</v>
      </c>
      <c r="L44" s="5">
        <v>3750</v>
      </c>
      <c r="M44" s="5">
        <v>3462</v>
      </c>
      <c r="N44" s="5">
        <v>3747</v>
      </c>
      <c r="O44" s="4">
        <v>4016</v>
      </c>
      <c r="P44" s="4">
        <v>3914</v>
      </c>
      <c r="Q44" s="4">
        <v>4374</v>
      </c>
      <c r="R44" s="4">
        <v>4646</v>
      </c>
      <c r="S44" s="4">
        <v>4993</v>
      </c>
      <c r="T44" s="4">
        <v>4656</v>
      </c>
      <c r="U44" s="4">
        <v>4788</v>
      </c>
      <c r="V44" s="4">
        <v>5214</v>
      </c>
      <c r="W44" s="4">
        <v>5602</v>
      </c>
      <c r="X44" s="4">
        <f>+X43*0.15</f>
        <v>4517.7975000000015</v>
      </c>
      <c r="Y44" s="4">
        <f>+Y43*0.15</f>
        <v>4532.7003299999988</v>
      </c>
      <c r="Z44" s="4">
        <f>+Z43*0.15</f>
        <v>4646.2723949999991</v>
      </c>
      <c r="AC44" s="4">
        <v>131</v>
      </c>
      <c r="AD44" s="4">
        <v>208</v>
      </c>
      <c r="AE44" s="4">
        <v>333</v>
      </c>
      <c r="AF44" s="4">
        <v>448</v>
      </c>
      <c r="AG44" s="4">
        <v>576</v>
      </c>
      <c r="AH44" s="4">
        <v>714</v>
      </c>
      <c r="AI44" s="4">
        <v>1184</v>
      </c>
      <c r="AJ44" s="4">
        <v>1860</v>
      </c>
      <c r="AK44" s="4">
        <f>2627+28</f>
        <v>2655</v>
      </c>
      <c r="AL44" s="4">
        <v>4106</v>
      </c>
      <c r="AM44" s="4">
        <v>4854</v>
      </c>
      <c r="AN44" s="4">
        <v>3804</v>
      </c>
      <c r="AO44" s="4">
        <v>3684</v>
      </c>
      <c r="AP44" s="4">
        <v>4733</v>
      </c>
      <c r="AQ44" s="4">
        <v>4028</v>
      </c>
      <c r="AR44" s="4">
        <v>4374</v>
      </c>
      <c r="AS44" s="4">
        <v>5663</v>
      </c>
      <c r="AT44" s="4">
        <v>6036</v>
      </c>
      <c r="AU44" s="4">
        <v>6133</v>
      </c>
      <c r="AV44" s="4">
        <v>5252</v>
      </c>
      <c r="AW44" s="4">
        <v>6253</v>
      </c>
      <c r="AX44" s="4">
        <v>4921</v>
      </c>
      <c r="AY44" s="4">
        <v>5289</v>
      </c>
      <c r="AZ44" s="4">
        <v>5189</v>
      </c>
      <c r="BA44" s="4">
        <v>5746</v>
      </c>
      <c r="BB44" s="4">
        <v>6314</v>
      </c>
      <c r="BC44" s="4">
        <v>2953</v>
      </c>
      <c r="BD44" s="4">
        <v>4412</v>
      </c>
      <c r="BE44" s="4">
        <v>19903</v>
      </c>
      <c r="BF44" s="4">
        <v>4448</v>
      </c>
      <c r="BG44" s="5">
        <v>8755</v>
      </c>
      <c r="BH44" s="5">
        <f>SUM(G44:J44)</f>
        <v>9831</v>
      </c>
      <c r="BI44" s="5">
        <f t="shared" ref="BI44" si="105">SUM(K44:N44)</f>
        <v>10978</v>
      </c>
      <c r="BJ44" s="5">
        <f>+BJ43*0.15</f>
        <v>13278.449999999999</v>
      </c>
      <c r="BK44" s="5">
        <f>+BK43*0.19</f>
        <v>18776.529201000001</v>
      </c>
      <c r="BL44" s="5">
        <f t="shared" ref="BL44:BQ44" si="106">+BL43*0.15</f>
        <v>16459.297199550001</v>
      </c>
      <c r="BM44" s="5">
        <f t="shared" si="106"/>
        <v>18263.191783936505</v>
      </c>
      <c r="BN44" s="5">
        <f t="shared" si="106"/>
        <v>20252.214772694599</v>
      </c>
      <c r="BO44" s="5">
        <f t="shared" si="106"/>
        <v>22445.021174639445</v>
      </c>
      <c r="BP44" s="5">
        <f t="shared" si="106"/>
        <v>24862.135764519029</v>
      </c>
      <c r="BQ44" s="5">
        <f t="shared" si="106"/>
        <v>27526.140187559042</v>
      </c>
    </row>
    <row r="45" spans="2:127" s="4" customFormat="1">
      <c r="B45" s="4" t="s">
        <v>31</v>
      </c>
      <c r="C45" s="5">
        <f t="shared" ref="C45:D45" si="107">C43-C44</f>
        <v>10678</v>
      </c>
      <c r="D45" s="5">
        <f t="shared" si="107"/>
        <v>11649</v>
      </c>
      <c r="E45" s="5">
        <f t="shared" ref="E45:F45" si="108">E43-E44</f>
        <v>10752</v>
      </c>
      <c r="F45" s="5">
        <f t="shared" si="108"/>
        <v>11202</v>
      </c>
      <c r="G45" s="5">
        <f>G43-G44</f>
        <v>13893</v>
      </c>
      <c r="H45" s="5">
        <f t="shared" ref="H45:Z45" si="109">H43-H44</f>
        <v>15463</v>
      </c>
      <c r="I45" s="5">
        <f t="shared" si="109"/>
        <v>15457</v>
      </c>
      <c r="J45" s="5">
        <f t="shared" si="109"/>
        <v>16458</v>
      </c>
      <c r="K45" s="5">
        <f t="shared" si="109"/>
        <v>20505</v>
      </c>
      <c r="L45" s="5">
        <f t="shared" si="109"/>
        <v>18765</v>
      </c>
      <c r="M45" s="5">
        <f t="shared" si="109"/>
        <v>16728</v>
      </c>
      <c r="N45" s="5">
        <f t="shared" si="109"/>
        <v>16740</v>
      </c>
      <c r="O45" s="5">
        <f t="shared" si="109"/>
        <v>17556</v>
      </c>
      <c r="P45" s="5">
        <f t="shared" si="109"/>
        <v>16425</v>
      </c>
      <c r="Q45" s="5">
        <f>Q43-Q44</f>
        <v>18299</v>
      </c>
      <c r="R45" s="5">
        <f t="shared" si="109"/>
        <v>20081</v>
      </c>
      <c r="S45" s="5">
        <f t="shared" si="109"/>
        <v>22291</v>
      </c>
      <c r="T45" s="5">
        <f t="shared" si="109"/>
        <v>21870</v>
      </c>
      <c r="U45" s="5">
        <f t="shared" si="109"/>
        <v>21939</v>
      </c>
      <c r="V45" s="5">
        <f t="shared" si="109"/>
        <v>22036</v>
      </c>
      <c r="W45" s="5">
        <f t="shared" si="109"/>
        <v>24667</v>
      </c>
      <c r="X45" s="5">
        <f t="shared" si="109"/>
        <v>25600.852500000012</v>
      </c>
      <c r="Y45" s="5">
        <f t="shared" si="109"/>
        <v>25685.301869999996</v>
      </c>
      <c r="Z45" s="5">
        <f t="shared" si="109"/>
        <v>26328.876904999997</v>
      </c>
      <c r="AC45" s="4">
        <f t="shared" ref="AC45:AD45" si="110">AC43-AC44</f>
        <v>279</v>
      </c>
      <c r="AD45" s="4">
        <f t="shared" si="110"/>
        <v>463</v>
      </c>
      <c r="AE45" s="4">
        <f>AE43-AE44</f>
        <v>708</v>
      </c>
      <c r="AF45" s="4">
        <f>AF43-AF44</f>
        <v>953</v>
      </c>
      <c r="AG45" s="4">
        <f>AG43-AG44</f>
        <v>1236</v>
      </c>
      <c r="AH45" s="4">
        <f>AH43-AH44</f>
        <v>1499</v>
      </c>
      <c r="AI45" s="4">
        <f>AI43-AI44</f>
        <v>2195</v>
      </c>
      <c r="AJ45" s="4">
        <f t="shared" ref="AJ45" si="111">AJ43-AJ44</f>
        <v>3454</v>
      </c>
      <c r="AK45" s="4">
        <f t="shared" ref="AK45:BB45" si="112">AK43-AK44</f>
        <v>4758</v>
      </c>
      <c r="AL45" s="4">
        <f t="shared" si="112"/>
        <v>7625</v>
      </c>
      <c r="AM45" s="4">
        <f t="shared" si="112"/>
        <v>9265</v>
      </c>
      <c r="AN45" s="4">
        <f t="shared" si="112"/>
        <v>7880</v>
      </c>
      <c r="AO45" s="4">
        <f t="shared" si="112"/>
        <v>7921</v>
      </c>
      <c r="AP45" s="4">
        <f t="shared" si="112"/>
        <v>10061</v>
      </c>
      <c r="AQ45" s="4">
        <f t="shared" si="112"/>
        <v>8193</v>
      </c>
      <c r="AR45" s="4">
        <f t="shared" si="112"/>
        <v>12254</v>
      </c>
      <c r="AS45" s="4">
        <f t="shared" si="112"/>
        <v>12599</v>
      </c>
      <c r="AT45" s="4">
        <f t="shared" si="112"/>
        <v>14065</v>
      </c>
      <c r="AU45" s="4">
        <f t="shared" si="112"/>
        <v>17681</v>
      </c>
      <c r="AV45" s="4">
        <f t="shared" si="112"/>
        <v>14899</v>
      </c>
      <c r="AW45" s="4">
        <f t="shared" si="112"/>
        <v>18819</v>
      </c>
      <c r="AX45" s="4">
        <f t="shared" si="112"/>
        <v>23150</v>
      </c>
      <c r="AY45" s="4">
        <f t="shared" si="112"/>
        <v>23171</v>
      </c>
      <c r="AZ45" s="4">
        <f t="shared" si="112"/>
        <v>21863</v>
      </c>
      <c r="BA45" s="4">
        <f t="shared" si="112"/>
        <v>22201</v>
      </c>
      <c r="BB45" s="4">
        <f t="shared" si="112"/>
        <v>22204</v>
      </c>
      <c r="BC45" s="4">
        <f>+BC43-BC44</f>
        <v>17908</v>
      </c>
      <c r="BD45" s="4">
        <f>+BD43-BD44</f>
        <v>25795</v>
      </c>
      <c r="BE45" s="4">
        <f>+BE43-BE44</f>
        <v>16571</v>
      </c>
      <c r="BF45" s="4">
        <f>+BF43-BF44</f>
        <v>39240</v>
      </c>
      <c r="BG45" s="4">
        <f>+BG43-BG44</f>
        <v>44281</v>
      </c>
      <c r="BH45" s="4">
        <f t="shared" ref="BH45:BJ45" si="113">+BH43-BH44</f>
        <v>61271</v>
      </c>
      <c r="BI45" s="4">
        <f t="shared" si="113"/>
        <v>72738</v>
      </c>
      <c r="BJ45" s="4">
        <f t="shared" si="113"/>
        <v>75244.55</v>
      </c>
      <c r="BK45" s="4">
        <f t="shared" ref="BK45" si="114">+BK43-BK44</f>
        <v>80047.308699000016</v>
      </c>
      <c r="BL45" s="4">
        <f t="shared" ref="BL45" si="115">+BL43-BL44</f>
        <v>93269.350797450024</v>
      </c>
      <c r="BM45" s="4">
        <f t="shared" ref="BM45" si="116">+BM43-BM44</f>
        <v>103491.42010897353</v>
      </c>
      <c r="BN45" s="4">
        <f t="shared" ref="BN45" si="117">+BN43-BN44</f>
        <v>114762.55037860273</v>
      </c>
      <c r="BO45" s="4">
        <f t="shared" ref="BO45" si="118">+BO43-BO44</f>
        <v>127188.45332295685</v>
      </c>
      <c r="BP45" s="4">
        <f t="shared" ref="BP45" si="119">+BP43-BP44</f>
        <v>140885.43599894119</v>
      </c>
      <c r="BQ45" s="4">
        <f t="shared" ref="BQ45" si="120">+BQ43-BQ44</f>
        <v>155981.46106283457</v>
      </c>
      <c r="BR45" s="4">
        <f>+BQ45*(1+$BT$48)</f>
        <v>155981.46106283457</v>
      </c>
      <c r="BS45" s="4">
        <f t="shared" ref="BS45:DW45" si="121">+BR45*(1+$BT$48)</f>
        <v>155981.46106283457</v>
      </c>
      <c r="BT45" s="4">
        <f t="shared" si="121"/>
        <v>155981.46106283457</v>
      </c>
      <c r="BU45" s="4">
        <f t="shared" si="121"/>
        <v>155981.46106283457</v>
      </c>
      <c r="BV45" s="4">
        <f t="shared" si="121"/>
        <v>155981.46106283457</v>
      </c>
      <c r="BW45" s="4">
        <f t="shared" si="121"/>
        <v>155981.46106283457</v>
      </c>
      <c r="BX45" s="4">
        <f t="shared" si="121"/>
        <v>155981.46106283457</v>
      </c>
      <c r="BY45" s="4">
        <f t="shared" si="121"/>
        <v>155981.46106283457</v>
      </c>
      <c r="BZ45" s="4">
        <f t="shared" si="121"/>
        <v>155981.46106283457</v>
      </c>
      <c r="CA45" s="4">
        <f t="shared" si="121"/>
        <v>155981.46106283457</v>
      </c>
      <c r="CB45" s="4">
        <f t="shared" si="121"/>
        <v>155981.46106283457</v>
      </c>
      <c r="CC45" s="4">
        <f t="shared" si="121"/>
        <v>155981.46106283457</v>
      </c>
      <c r="CD45" s="4">
        <f t="shared" si="121"/>
        <v>155981.46106283457</v>
      </c>
      <c r="CE45" s="4">
        <f t="shared" si="121"/>
        <v>155981.46106283457</v>
      </c>
      <c r="CF45" s="4">
        <f t="shared" si="121"/>
        <v>155981.46106283457</v>
      </c>
      <c r="CG45" s="4">
        <f t="shared" si="121"/>
        <v>155981.46106283457</v>
      </c>
      <c r="CH45" s="4">
        <f t="shared" si="121"/>
        <v>155981.46106283457</v>
      </c>
      <c r="CI45" s="4">
        <f t="shared" si="121"/>
        <v>155981.46106283457</v>
      </c>
      <c r="CJ45" s="4">
        <f t="shared" si="121"/>
        <v>155981.46106283457</v>
      </c>
      <c r="CK45" s="4">
        <f t="shared" si="121"/>
        <v>155981.46106283457</v>
      </c>
      <c r="CL45" s="4">
        <f t="shared" si="121"/>
        <v>155981.46106283457</v>
      </c>
      <c r="CM45" s="4">
        <f t="shared" si="121"/>
        <v>155981.46106283457</v>
      </c>
      <c r="CN45" s="4">
        <f t="shared" si="121"/>
        <v>155981.46106283457</v>
      </c>
      <c r="CO45" s="4">
        <f t="shared" si="121"/>
        <v>155981.46106283457</v>
      </c>
      <c r="CP45" s="4">
        <f t="shared" si="121"/>
        <v>155981.46106283457</v>
      </c>
      <c r="CQ45" s="4">
        <f t="shared" si="121"/>
        <v>155981.46106283457</v>
      </c>
      <c r="CR45" s="4">
        <f t="shared" si="121"/>
        <v>155981.46106283457</v>
      </c>
      <c r="CS45" s="4">
        <f t="shared" si="121"/>
        <v>155981.46106283457</v>
      </c>
      <c r="CT45" s="4">
        <f t="shared" si="121"/>
        <v>155981.46106283457</v>
      </c>
      <c r="CU45" s="4">
        <f t="shared" si="121"/>
        <v>155981.46106283457</v>
      </c>
      <c r="CV45" s="4">
        <f t="shared" si="121"/>
        <v>155981.46106283457</v>
      </c>
      <c r="CW45" s="4">
        <f t="shared" si="121"/>
        <v>155981.46106283457</v>
      </c>
      <c r="CX45" s="4">
        <f t="shared" si="121"/>
        <v>155981.46106283457</v>
      </c>
      <c r="CY45" s="4">
        <f t="shared" si="121"/>
        <v>155981.46106283457</v>
      </c>
      <c r="CZ45" s="4">
        <f t="shared" si="121"/>
        <v>155981.46106283457</v>
      </c>
      <c r="DA45" s="4">
        <f t="shared" si="121"/>
        <v>155981.46106283457</v>
      </c>
      <c r="DB45" s="4">
        <f t="shared" si="121"/>
        <v>155981.46106283457</v>
      </c>
      <c r="DC45" s="4">
        <f t="shared" si="121"/>
        <v>155981.46106283457</v>
      </c>
      <c r="DD45" s="4">
        <f t="shared" si="121"/>
        <v>155981.46106283457</v>
      </c>
      <c r="DE45" s="4">
        <f t="shared" si="121"/>
        <v>155981.46106283457</v>
      </c>
      <c r="DF45" s="4">
        <f t="shared" si="121"/>
        <v>155981.46106283457</v>
      </c>
      <c r="DG45" s="4">
        <f t="shared" si="121"/>
        <v>155981.46106283457</v>
      </c>
      <c r="DH45" s="4">
        <f t="shared" si="121"/>
        <v>155981.46106283457</v>
      </c>
      <c r="DI45" s="4">
        <f t="shared" si="121"/>
        <v>155981.46106283457</v>
      </c>
      <c r="DJ45" s="4">
        <f t="shared" si="121"/>
        <v>155981.46106283457</v>
      </c>
      <c r="DK45" s="4">
        <f t="shared" si="121"/>
        <v>155981.46106283457</v>
      </c>
      <c r="DL45" s="4">
        <f t="shared" si="121"/>
        <v>155981.46106283457</v>
      </c>
      <c r="DM45" s="4">
        <f t="shared" si="121"/>
        <v>155981.46106283457</v>
      </c>
      <c r="DN45" s="4">
        <f t="shared" si="121"/>
        <v>155981.46106283457</v>
      </c>
      <c r="DO45" s="4">
        <f t="shared" si="121"/>
        <v>155981.46106283457</v>
      </c>
      <c r="DP45" s="4">
        <f t="shared" si="121"/>
        <v>155981.46106283457</v>
      </c>
      <c r="DQ45" s="4">
        <f t="shared" si="121"/>
        <v>155981.46106283457</v>
      </c>
      <c r="DR45" s="4">
        <f t="shared" si="121"/>
        <v>155981.46106283457</v>
      </c>
      <c r="DS45" s="4">
        <f t="shared" si="121"/>
        <v>155981.46106283457</v>
      </c>
      <c r="DT45" s="4">
        <f t="shared" si="121"/>
        <v>155981.46106283457</v>
      </c>
      <c r="DU45" s="4">
        <f t="shared" si="121"/>
        <v>155981.46106283457</v>
      </c>
      <c r="DV45" s="4">
        <f t="shared" si="121"/>
        <v>155981.46106283457</v>
      </c>
      <c r="DW45" s="4">
        <f t="shared" si="121"/>
        <v>155981.46106283457</v>
      </c>
    </row>
    <row r="46" spans="2:127" s="3" customFormat="1" ht="13">
      <c r="B46" s="6" t="s">
        <v>33</v>
      </c>
      <c r="C46" s="8">
        <f t="shared" ref="C46:D46" si="122">C45/C47</f>
        <v>1.3849546044098573</v>
      </c>
      <c r="D46" s="8">
        <f t="shared" si="122"/>
        <v>1.5146274866727343</v>
      </c>
      <c r="E46" s="8">
        <f t="shared" ref="E46:F46" si="123">E45/E47</f>
        <v>1.4009120521172638</v>
      </c>
      <c r="F46" s="8">
        <f t="shared" si="123"/>
        <v>1.4643137254901961</v>
      </c>
      <c r="G46" s="8">
        <f t="shared" ref="G46:L46" si="124">G45/G47</f>
        <v>1.8191698310855047</v>
      </c>
      <c r="H46" s="8">
        <f t="shared" si="124"/>
        <v>2.0303308823529411</v>
      </c>
      <c r="I46" s="8">
        <f t="shared" si="124"/>
        <v>2.0346189285244174</v>
      </c>
      <c r="J46" s="8">
        <f t="shared" si="124"/>
        <v>2.1709537000395724</v>
      </c>
      <c r="K46" s="8">
        <f t="shared" si="124"/>
        <v>2.7097925201532971</v>
      </c>
      <c r="L46" s="8">
        <f t="shared" si="124"/>
        <v>2.4837855724685638</v>
      </c>
      <c r="M46" s="8">
        <f>M45/M47</f>
        <v>2.2203344836740113</v>
      </c>
      <c r="N46" s="8">
        <f>N45/N47</f>
        <v>2.2302158273381294</v>
      </c>
      <c r="O46" s="8">
        <f>O45/O47</f>
        <v>2.3454909819639278</v>
      </c>
      <c r="P46" s="8">
        <f t="shared" ref="P46:Z46" si="125">P45/P47</f>
        <v>2.1979124849458049</v>
      </c>
      <c r="Q46" s="8">
        <f>Q45/Q47</f>
        <v>2.4516345123258305</v>
      </c>
      <c r="R46" s="8">
        <f t="shared" si="125"/>
        <v>2.6892995848399623</v>
      </c>
      <c r="S46" s="8">
        <f t="shared" si="125"/>
        <v>2.9872688287322435</v>
      </c>
      <c r="T46" s="8">
        <f t="shared" si="125"/>
        <v>2.9284949116229244</v>
      </c>
      <c r="U46" s="8">
        <f t="shared" si="125"/>
        <v>2.936161670235546</v>
      </c>
      <c r="V46" s="8">
        <f t="shared" si="125"/>
        <v>2.9503280224929709</v>
      </c>
      <c r="W46" s="8">
        <f t="shared" si="125"/>
        <v>3.3021419009370816</v>
      </c>
      <c r="X46" s="8">
        <f t="shared" si="125"/>
        <v>3.4271556224899613</v>
      </c>
      <c r="Y46" s="8">
        <f t="shared" si="125"/>
        <v>3.4384607590361438</v>
      </c>
      <c r="Z46" s="8">
        <f t="shared" si="125"/>
        <v>3.524615382195448</v>
      </c>
      <c r="AC46" s="11">
        <f t="shared" ref="AC46:AD46" si="126">AC45/AC47</f>
        <v>0.51955307262569828</v>
      </c>
      <c r="AD46" s="11">
        <f t="shared" si="126"/>
        <v>0.82238010657193605</v>
      </c>
      <c r="AE46" s="11">
        <f>AE45/AE47</f>
        <v>1.2040816326530612</v>
      </c>
      <c r="AF46" s="11">
        <f>AF45/AF47</f>
        <v>1.5726072607260726</v>
      </c>
      <c r="AG46" s="11">
        <f>AG45/AG47</f>
        <v>2.0262295081967214</v>
      </c>
      <c r="AH46" s="11">
        <f>AH45/AH47</f>
        <v>2.3907496012759171</v>
      </c>
      <c r="AI46" s="11">
        <f>AI45/AI47</f>
        <v>3.4296875</v>
      </c>
      <c r="AJ46" s="11">
        <f t="shared" ref="AJ46" si="127">AJ45/AJ47</f>
        <v>2.6326219512195124</v>
      </c>
      <c r="AK46" s="11">
        <f t="shared" ref="AK46:BB46" si="128">AK45/AK47</f>
        <v>1.7747109287579261</v>
      </c>
      <c r="AL46" s="11">
        <f t="shared" si="128"/>
        <v>1.4924642787238207</v>
      </c>
      <c r="AM46" s="11">
        <f t="shared" si="128"/>
        <v>1.7537384062085937</v>
      </c>
      <c r="AN46" s="11">
        <f t="shared" si="128"/>
        <v>1.4137064944384643</v>
      </c>
      <c r="AO46" s="11">
        <f t="shared" si="128"/>
        <v>1.4264361606338916</v>
      </c>
      <c r="AP46" s="11">
        <f t="shared" si="128"/>
        <v>0.92455430986950926</v>
      </c>
      <c r="AQ46" s="11">
        <f t="shared" si="128"/>
        <v>0.75206535707729028</v>
      </c>
      <c r="AR46" s="11">
        <f t="shared" si="128"/>
        <v>1.123601687144691</v>
      </c>
      <c r="AS46" s="11">
        <f t="shared" si="128"/>
        <v>1.1963726141866868</v>
      </c>
      <c r="AT46" s="11">
        <f t="shared" si="128"/>
        <v>1.4227189965607931</v>
      </c>
      <c r="AU46" s="11">
        <f t="shared" si="128"/>
        <v>1.867053854276663</v>
      </c>
      <c r="AV46" s="11">
        <f t="shared" si="128"/>
        <v>1.6561805246776344</v>
      </c>
      <c r="AW46" s="11">
        <f t="shared" si="128"/>
        <v>2.1080990254284755</v>
      </c>
      <c r="AX46" s="11">
        <f t="shared" si="128"/>
        <v>2.6940532991970207</v>
      </c>
      <c r="AY46" s="11">
        <f t="shared" si="128"/>
        <v>2.724077122031507</v>
      </c>
      <c r="AZ46" s="11">
        <f t="shared" si="128"/>
        <v>2.581227863046045</v>
      </c>
      <c r="BA46" s="11">
        <f t="shared" si="128"/>
        <v>2.6432908679604714</v>
      </c>
      <c r="BB46" s="11">
        <f t="shared" si="128"/>
        <v>2.6900896535013326</v>
      </c>
      <c r="BC46" s="11">
        <f>+BC45/BC47</f>
        <v>2.2348683389492074</v>
      </c>
      <c r="BD46" s="11">
        <f>+BD45/BD47</f>
        <v>3.2935393258426968</v>
      </c>
      <c r="BE46" s="11">
        <f>+BE45/BE47</f>
        <v>2.126122658455222</v>
      </c>
      <c r="BF46" s="11">
        <f>+BF45/BF47</f>
        <v>5.0612666064749128</v>
      </c>
      <c r="BG46" s="11">
        <f>+BG45/BG47</f>
        <v>5.7635038396459715</v>
      </c>
      <c r="BH46" s="11">
        <f t="shared" ref="BH46:BJ46" si="129">+BH45/BH47</f>
        <v>8.0537609674345241</v>
      </c>
      <c r="BI46" s="11">
        <f t="shared" si="129"/>
        <v>9.6463099263974534</v>
      </c>
      <c r="BJ46" s="11">
        <f t="shared" si="129"/>
        <v>10.06986516778748</v>
      </c>
      <c r="BK46" s="11">
        <f t="shared" ref="BK46" si="130">+BK45/BK47</f>
        <v>10.719066479059959</v>
      </c>
      <c r="BL46" s="11">
        <f t="shared" ref="BL46" si="131">+BL45/BL47</f>
        <v>12.489618800502162</v>
      </c>
      <c r="BM46" s="11">
        <f t="shared" ref="BM46" si="132">+BM45/BM47</f>
        <v>13.858447338083563</v>
      </c>
      <c r="BN46" s="11">
        <f t="shared" ref="BN46" si="133">+BN45/BN47</f>
        <v>15.367754729149038</v>
      </c>
      <c r="BO46" s="11">
        <f t="shared" ref="BO46" si="134">+BO45/BO47</f>
        <v>17.031696739038779</v>
      </c>
      <c r="BP46" s="11">
        <f t="shared" ref="BP46" si="135">+BP45/BP47</f>
        <v>18.86584794602674</v>
      </c>
      <c r="BQ46" s="11">
        <f t="shared" ref="BQ46" si="136">+BQ45/BQ47</f>
        <v>20.887343719706013</v>
      </c>
    </row>
    <row r="47" spans="2:127" s="4" customFormat="1">
      <c r="B47" s="4" t="s">
        <v>32</v>
      </c>
      <c r="C47" s="5">
        <v>7710</v>
      </c>
      <c r="D47" s="5">
        <v>7691</v>
      </c>
      <c r="E47" s="5">
        <v>7675</v>
      </c>
      <c r="F47" s="5">
        <v>7650</v>
      </c>
      <c r="G47" s="5">
        <v>7637</v>
      </c>
      <c r="H47" s="5">
        <v>7616</v>
      </c>
      <c r="I47" s="5">
        <v>7597</v>
      </c>
      <c r="J47" s="5">
        <v>7581</v>
      </c>
      <c r="K47" s="5">
        <v>7567</v>
      </c>
      <c r="L47" s="5">
        <v>7555</v>
      </c>
      <c r="M47" s="5">
        <v>7534</v>
      </c>
      <c r="N47" s="5">
        <v>7506</v>
      </c>
      <c r="O47" s="4">
        <v>7485</v>
      </c>
      <c r="P47" s="4">
        <v>7473</v>
      </c>
      <c r="Q47" s="4">
        <v>7464</v>
      </c>
      <c r="R47" s="4">
        <v>7467</v>
      </c>
      <c r="S47" s="4">
        <v>7462</v>
      </c>
      <c r="T47" s="4">
        <v>7468</v>
      </c>
      <c r="U47" s="4">
        <v>7472</v>
      </c>
      <c r="V47" s="4">
        <v>7469</v>
      </c>
      <c r="W47" s="4">
        <v>7470</v>
      </c>
      <c r="X47" s="4">
        <f>+W47</f>
        <v>7470</v>
      </c>
      <c r="Y47" s="4">
        <f>+X47</f>
        <v>7470</v>
      </c>
      <c r="Z47" s="4">
        <f>+Y47</f>
        <v>7470</v>
      </c>
      <c r="AC47" s="4">
        <v>537</v>
      </c>
      <c r="AD47" s="4">
        <v>563</v>
      </c>
      <c r="AE47" s="4">
        <v>588</v>
      </c>
      <c r="AF47" s="4">
        <v>606</v>
      </c>
      <c r="AG47" s="4">
        <v>610</v>
      </c>
      <c r="AH47" s="4">
        <v>627</v>
      </c>
      <c r="AI47" s="4">
        <v>640</v>
      </c>
      <c r="AJ47" s="4">
        <v>1312</v>
      </c>
      <c r="AK47" s="4">
        <v>2681</v>
      </c>
      <c r="AL47" s="4">
        <v>5109</v>
      </c>
      <c r="AM47" s="4">
        <v>5283</v>
      </c>
      <c r="AN47" s="4">
        <v>5574</v>
      </c>
      <c r="AO47" s="4">
        <v>5553</v>
      </c>
      <c r="AP47" s="4">
        <v>10882</v>
      </c>
      <c r="AQ47" s="4">
        <v>10894</v>
      </c>
      <c r="AR47" s="4">
        <v>10906</v>
      </c>
      <c r="AS47" s="4">
        <v>10531</v>
      </c>
      <c r="AT47" s="4">
        <v>9886</v>
      </c>
      <c r="AU47" s="4">
        <v>9470</v>
      </c>
      <c r="AV47" s="4">
        <v>8996</v>
      </c>
      <c r="AW47" s="4">
        <v>8927</v>
      </c>
      <c r="AX47" s="4">
        <v>8593</v>
      </c>
      <c r="AY47" s="4">
        <v>8506</v>
      </c>
      <c r="AZ47" s="4">
        <v>8470</v>
      </c>
      <c r="BA47" s="4">
        <v>8399</v>
      </c>
      <c r="BB47" s="4">
        <v>8254</v>
      </c>
      <c r="BC47" s="4">
        <v>8013</v>
      </c>
      <c r="BD47" s="4">
        <v>7832</v>
      </c>
      <c r="BE47" s="4">
        <v>7794</v>
      </c>
      <c r="BF47" s="4">
        <v>7753</v>
      </c>
      <c r="BG47" s="5">
        <v>7683</v>
      </c>
      <c r="BH47" s="5">
        <f>AVERAGE(G47:J47)</f>
        <v>7607.75</v>
      </c>
      <c r="BI47" s="5">
        <f>AVERAGE(K47:N47)</f>
        <v>7540.5</v>
      </c>
      <c r="BJ47" s="5">
        <f>AVERAGE(O47:R47)</f>
        <v>7472.25</v>
      </c>
      <c r="BK47" s="5">
        <f>AVERAGE(S47:V47)</f>
        <v>7467.75</v>
      </c>
      <c r="BL47" s="5">
        <f t="shared" ref="BL47:BQ47" si="137">+BK47</f>
        <v>7467.75</v>
      </c>
      <c r="BM47" s="5">
        <f t="shared" si="137"/>
        <v>7467.75</v>
      </c>
      <c r="BN47" s="5">
        <f t="shared" si="137"/>
        <v>7467.75</v>
      </c>
      <c r="BO47" s="5">
        <f t="shared" si="137"/>
        <v>7467.75</v>
      </c>
      <c r="BP47" s="5">
        <f t="shared" si="137"/>
        <v>7467.75</v>
      </c>
      <c r="BQ47" s="5">
        <f t="shared" si="137"/>
        <v>7467.75</v>
      </c>
    </row>
    <row r="48" spans="2:127">
      <c r="O48" s="2"/>
      <c r="BK48" s="2"/>
      <c r="BL48" s="2"/>
      <c r="BM48" s="2"/>
      <c r="BN48" s="2"/>
      <c r="BO48" s="2"/>
      <c r="BP48" s="2"/>
      <c r="BQ48" s="2"/>
      <c r="BS48" t="s">
        <v>98</v>
      </c>
      <c r="BT48" s="12">
        <v>0</v>
      </c>
    </row>
    <row r="49" spans="2:72" s="3" customFormat="1" ht="13">
      <c r="B49" s="6" t="s">
        <v>34</v>
      </c>
      <c r="C49" s="10"/>
      <c r="D49" s="10"/>
      <c r="E49" s="10"/>
      <c r="F49" s="10"/>
      <c r="G49" s="10">
        <f t="shared" ref="G49:K49" si="138">G32/C32-1</f>
        <v>0.12400544546967174</v>
      </c>
      <c r="H49" s="10">
        <f t="shared" si="138"/>
        <v>0.16718148810491518</v>
      </c>
      <c r="I49" s="10">
        <f t="shared" si="138"/>
        <v>0.19088546871876866</v>
      </c>
      <c r="J49" s="10">
        <f t="shared" si="138"/>
        <v>0.21347251071437956</v>
      </c>
      <c r="K49" s="10">
        <f t="shared" si="138"/>
        <v>0.21970716477364483</v>
      </c>
      <c r="L49" s="10">
        <f t="shared" ref="L49" si="139">L32/H32-1</f>
        <v>0.2008543040208004</v>
      </c>
      <c r="M49" s="10">
        <f>M32/I32-1</f>
        <v>0.18352275451973332</v>
      </c>
      <c r="N49" s="10">
        <f t="shared" ref="N49:O49" si="140">N32/J32-1</f>
        <v>0.12378661813139202</v>
      </c>
      <c r="O49" s="10">
        <f t="shared" si="140"/>
        <v>0.1060308493501334</v>
      </c>
      <c r="P49" s="10">
        <f t="shared" ref="P49" si="141">P32/L32-1</f>
        <v>1.9699195793380753E-2</v>
      </c>
      <c r="Q49" s="10">
        <f>Q32/M32-1</f>
        <v>7.0846839546191198E-2</v>
      </c>
      <c r="R49" s="10">
        <f>R32/N32-1</f>
        <v>8.3370288248336921E-2</v>
      </c>
      <c r="S49" s="10">
        <f t="shared" ref="S49:X49" si="142">S32/O32-1</f>
        <v>0.12758868361198683</v>
      </c>
      <c r="T49" s="10">
        <f t="shared" si="142"/>
        <v>0.17580146738203117</v>
      </c>
      <c r="U49" s="10">
        <f t="shared" si="142"/>
        <v>0.17028964943148495</v>
      </c>
      <c r="V49" s="10">
        <f t="shared" si="142"/>
        <v>0.15195144957198026</v>
      </c>
      <c r="W49" s="10">
        <f t="shared" si="142"/>
        <v>0.16044729904276589</v>
      </c>
      <c r="X49" s="10">
        <f t="shared" si="142"/>
        <v>0.1100000000000001</v>
      </c>
      <c r="Y49" s="10">
        <f>Y32/U32-1</f>
        <v>0.1100000000000001</v>
      </c>
      <c r="Z49" s="10"/>
      <c r="AD49" s="18">
        <f t="shared" ref="AD49:BD49" si="143">AD32/AC32-1</f>
        <v>0.55790363482671168</v>
      </c>
      <c r="AE49" s="18">
        <f t="shared" si="143"/>
        <v>0.49701573521432452</v>
      </c>
      <c r="AF49" s="18">
        <f t="shared" si="143"/>
        <v>0.36027546212395789</v>
      </c>
      <c r="AG49" s="18">
        <f t="shared" si="143"/>
        <v>0.23874233946176382</v>
      </c>
      <c r="AH49" s="18">
        <f t="shared" si="143"/>
        <v>0.27704882770488282</v>
      </c>
      <c r="AI49" s="18">
        <f t="shared" si="143"/>
        <v>0.46050193700522146</v>
      </c>
      <c r="AJ49" s="18">
        <f t="shared" si="143"/>
        <v>0.30988351977857231</v>
      </c>
      <c r="AK49" s="18">
        <f t="shared" si="143"/>
        <v>0.27522451135763348</v>
      </c>
      <c r="AL49" s="18">
        <f t="shared" si="143"/>
        <v>0.36336647334990335</v>
      </c>
      <c r="AM49" s="18">
        <f t="shared" si="143"/>
        <v>0.16250569706790907</v>
      </c>
      <c r="AN49" s="18">
        <f t="shared" si="143"/>
        <v>0.10193413486670155</v>
      </c>
      <c r="AO49" s="18">
        <f t="shared" si="143"/>
        <v>0.12132352941176472</v>
      </c>
      <c r="AP49" s="18">
        <f t="shared" si="143"/>
        <v>0.13474352194606021</v>
      </c>
      <c r="AQ49" s="18">
        <f t="shared" si="143"/>
        <v>0.14440612669711372</v>
      </c>
      <c r="AR49" s="18">
        <f t="shared" si="143"/>
        <v>8.0168318175648068E-2</v>
      </c>
      <c r="AS49" s="18">
        <f t="shared" si="143"/>
        <v>0.11294862772695291</v>
      </c>
      <c r="AT49" s="18">
        <f t="shared" si="143"/>
        <v>0.15446456799602548</v>
      </c>
      <c r="AU49" s="18">
        <f t="shared" si="143"/>
        <v>0.18187864324556946</v>
      </c>
      <c r="AV49" s="18">
        <f t="shared" si="143"/>
        <v>-3.2820258192651441E-2</v>
      </c>
      <c r="AW49" s="18">
        <f t="shared" si="143"/>
        <v>6.9254068484008391E-2</v>
      </c>
      <c r="AX49" s="18">
        <f t="shared" si="143"/>
        <v>0.11937455988733126</v>
      </c>
      <c r="AY49" s="18">
        <f t="shared" si="143"/>
        <v>5.4044007263057026E-2</v>
      </c>
      <c r="AZ49" s="18">
        <f t="shared" si="143"/>
        <v>5.5966252051598442E-2</v>
      </c>
      <c r="BA49" s="18">
        <f t="shared" si="143"/>
        <v>0.11540289534868786</v>
      </c>
      <c r="BB49" s="18">
        <f t="shared" si="143"/>
        <v>7.7700874091647165E-2</v>
      </c>
      <c r="BC49" s="18">
        <f t="shared" si="143"/>
        <v>-8.8266723658901425E-2</v>
      </c>
      <c r="BD49" s="18">
        <f t="shared" si="143"/>
        <v>0.1318682606657291</v>
      </c>
      <c r="BE49" s="10">
        <f t="shared" ref="BE49:BI49" si="144">+BE32/BD32-1</f>
        <v>0.14278613662486661</v>
      </c>
      <c r="BF49" s="10">
        <f t="shared" si="144"/>
        <v>0.14029539688292858</v>
      </c>
      <c r="BG49" s="10">
        <f t="shared" si="144"/>
        <v>0.13645574247276371</v>
      </c>
      <c r="BH49" s="10">
        <f t="shared" si="144"/>
        <v>0.17531727441177503</v>
      </c>
      <c r="BI49" s="10">
        <f t="shared" si="144"/>
        <v>0.17956070629670173</v>
      </c>
      <c r="BJ49" s="10">
        <f>+BJ32/BI32-1</f>
        <v>6.8820295556564215E-2</v>
      </c>
      <c r="BK49" s="10">
        <f t="shared" ref="BK49:BQ49" si="145">+BK32/BJ32-1</f>
        <v>0.11336323525942005</v>
      </c>
      <c r="BL49" s="10">
        <f t="shared" si="145"/>
        <v>8.0228744057187606E-2</v>
      </c>
      <c r="BM49" s="10">
        <f t="shared" si="145"/>
        <v>8.1148072819640982E-2</v>
      </c>
      <c r="BN49" s="10">
        <f t="shared" si="145"/>
        <v>8.2039939316425947E-2</v>
      </c>
      <c r="BO49" s="10">
        <f t="shared" si="145"/>
        <v>8.2903715628308783E-2</v>
      </c>
      <c r="BP49" s="10">
        <f t="shared" si="145"/>
        <v>8.3738930203388406E-2</v>
      </c>
      <c r="BQ49" s="10">
        <f t="shared" si="145"/>
        <v>8.4545261387475756E-2</v>
      </c>
      <c r="BS49" s="3" t="s">
        <v>97</v>
      </c>
      <c r="BT49" s="13">
        <v>7.0000000000000007E-2</v>
      </c>
    </row>
    <row r="50" spans="2:72" s="3" customFormat="1" ht="13">
      <c r="B50" s="6" t="s">
        <v>104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>
        <v>0.16</v>
      </c>
      <c r="P50" s="18">
        <v>7.0000000000000007E-2</v>
      </c>
      <c r="Q50" s="18">
        <v>0.1</v>
      </c>
      <c r="R50" s="18">
        <v>0.1</v>
      </c>
      <c r="U50" s="10">
        <v>0.17</v>
      </c>
      <c r="V50" s="10">
        <v>0.16</v>
      </c>
      <c r="W50" s="10">
        <v>0.16</v>
      </c>
      <c r="BE50" s="10"/>
      <c r="BF50" s="10"/>
      <c r="BG50" s="10"/>
      <c r="BH50" s="10"/>
      <c r="BI50" s="10"/>
      <c r="BJ50" s="10">
        <v>0.11</v>
      </c>
      <c r="BK50" s="10"/>
      <c r="BL50" s="10"/>
      <c r="BM50" s="10"/>
      <c r="BN50" s="10"/>
      <c r="BO50" s="10"/>
      <c r="BP50" s="10"/>
      <c r="BQ50" s="10"/>
      <c r="BS50" t="s">
        <v>99</v>
      </c>
      <c r="BT50" s="12">
        <v>0.01</v>
      </c>
    </row>
    <row r="51" spans="2:72" s="3" customFormat="1" ht="13">
      <c r="B51" s="6" t="s">
        <v>158</v>
      </c>
      <c r="C51" s="10"/>
      <c r="D51" s="10"/>
      <c r="E51" s="10"/>
      <c r="F51" s="10"/>
      <c r="G51" s="10"/>
      <c r="H51" s="10"/>
      <c r="I51" s="10"/>
      <c r="J51" s="18"/>
      <c r="K51" s="18"/>
      <c r="L51" s="18"/>
      <c r="M51" s="18">
        <f t="shared" ref="M51" si="146">M77/I77-1</f>
        <v>0.12477838234395056</v>
      </c>
      <c r="N51" s="18">
        <f t="shared" ref="N51" si="147">N77/J77-1</f>
        <v>9.666749733807567E-2</v>
      </c>
      <c r="O51" s="18">
        <f t="shared" ref="O51:P51" si="148">O77/K77-1</f>
        <v>7.5508960136535519E-2</v>
      </c>
      <c r="P51" s="18">
        <f t="shared" si="148"/>
        <v>7.7701324485300205E-2</v>
      </c>
      <c r="Q51" s="18">
        <f t="shared" ref="Q51:W51" si="149">Q77/M77-1</f>
        <v>7.6231112077399743E-2</v>
      </c>
      <c r="R51" s="18">
        <f t="shared" si="149"/>
        <v>0.11165509833085441</v>
      </c>
      <c r="S51" s="18">
        <f t="shared" si="149"/>
        <v>0.11507072905331883</v>
      </c>
      <c r="T51" s="18">
        <f t="shared" si="149"/>
        <v>0.16171200726795543</v>
      </c>
      <c r="U51" s="18">
        <f t="shared" si="149"/>
        <v>0.13211787581121692</v>
      </c>
      <c r="V51" s="18">
        <f t="shared" si="149"/>
        <v>0.11839146674595358</v>
      </c>
      <c r="W51" s="18">
        <f t="shared" si="149"/>
        <v>0.13216638204440101</v>
      </c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S51" t="s">
        <v>100</v>
      </c>
      <c r="BT51" s="4">
        <f>NPV(BT49,BJ45:DW45)+Main!L5-Main!L6</f>
        <v>1960781.0577362834</v>
      </c>
    </row>
    <row r="52" spans="2:72" s="3" customFormat="1" ht="13">
      <c r="B52" s="6" t="s">
        <v>415</v>
      </c>
      <c r="C52" s="10"/>
      <c r="D52" s="10"/>
      <c r="E52" s="10"/>
      <c r="F52" s="10"/>
      <c r="G52" s="12">
        <f t="shared" ref="G52:J53" si="150">G26/C26-1</f>
        <v>0.11212422135957389</v>
      </c>
      <c r="H52" s="12">
        <f t="shared" si="150"/>
        <v>0.12912227295788936</v>
      </c>
      <c r="I52" s="12">
        <f t="shared" si="150"/>
        <v>0.15404922081239891</v>
      </c>
      <c r="J52" s="12">
        <f t="shared" si="150"/>
        <v>0.25008509189925121</v>
      </c>
      <c r="K52" s="12">
        <f t="shared" ref="K52:K53" si="151">K26/G26-1</f>
        <v>0.22079714262521311</v>
      </c>
      <c r="L52" s="12">
        <f t="shared" ref="L52:L53" si="152">L26/H26-1</f>
        <v>0.19343967647719618</v>
      </c>
      <c r="M52" s="12">
        <f t="shared" ref="M52:M53" si="153">M26/I26-1</f>
        <v>0.16506788665879579</v>
      </c>
      <c r="N52" s="12">
        <f t="shared" ref="N52" si="154">N26/J26-1</f>
        <v>0.12994350282485878</v>
      </c>
      <c r="O52" s="12">
        <f t="shared" ref="O52" si="155">O26/K26-1</f>
        <v>9.4820134317441296E-2</v>
      </c>
      <c r="P52" s="12">
        <f t="shared" ref="P52" si="156">P26/L26-1</f>
        <v>6.6892570281124497E-2</v>
      </c>
      <c r="Q52" s="12">
        <f t="shared" ref="Q52:V52" si="157">Q26/M26-1</f>
        <v>0.10937994806510853</v>
      </c>
      <c r="R52" s="12">
        <f t="shared" si="157"/>
        <v>0.10186746987951811</v>
      </c>
      <c r="S52" s="12">
        <f t="shared" si="157"/>
        <v>0.5320983905253569</v>
      </c>
      <c r="T52" s="12">
        <f t="shared" si="157"/>
        <v>0.13216092224444176</v>
      </c>
      <c r="U52" s="12">
        <f t="shared" si="157"/>
        <v>0.11726421557433198</v>
      </c>
      <c r="V52" s="12">
        <f t="shared" si="157"/>
        <v>0.1107648570335138</v>
      </c>
      <c r="W52" s="12">
        <f>W26/S26-1</f>
        <v>0.12253230793625614</v>
      </c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S52" t="s">
        <v>105</v>
      </c>
      <c r="BT52" s="1">
        <f>+BT51/Main!L3</f>
        <v>262.48742406108209</v>
      </c>
    </row>
    <row r="53" spans="2:72" s="3" customFormat="1" ht="13">
      <c r="B53" s="6" t="s">
        <v>413</v>
      </c>
      <c r="C53" s="10"/>
      <c r="D53" s="10"/>
      <c r="E53" s="10"/>
      <c r="F53" s="10"/>
      <c r="G53" s="12">
        <f t="shared" si="150"/>
        <v>0.19741816505301979</v>
      </c>
      <c r="H53" s="12">
        <f t="shared" si="150"/>
        <v>0.23017945909512183</v>
      </c>
      <c r="I53" s="12">
        <f t="shared" si="150"/>
        <v>0.23100724696685937</v>
      </c>
      <c r="J53" s="12">
        <f t="shared" si="150"/>
        <v>0.29945404233041661</v>
      </c>
      <c r="K53" s="12">
        <f t="shared" si="151"/>
        <v>0.30232558139534893</v>
      </c>
      <c r="L53" s="12">
        <f t="shared" si="152"/>
        <v>0.25518800082186144</v>
      </c>
      <c r="M53" s="12">
        <f t="shared" si="153"/>
        <v>0.25592009525069459</v>
      </c>
      <c r="N53" s="12">
        <f t="shared" ref="N53:Q53" si="158">N27/J27-1</f>
        <v>0.19735251798561149</v>
      </c>
      <c r="O53" s="12">
        <f t="shared" si="158"/>
        <v>0.20180936613055822</v>
      </c>
      <c r="P53" s="12">
        <f t="shared" si="158"/>
        <v>0.17356905112675292</v>
      </c>
      <c r="Q53" s="12">
        <f t="shared" si="158"/>
        <v>0.16295359983146374</v>
      </c>
      <c r="R53" s="12">
        <f t="shared" ref="R53:V53" si="159">R27/N27-1</f>
        <v>0.15328782926360307</v>
      </c>
      <c r="S53" s="12">
        <f t="shared" si="159"/>
        <v>-1.5350553505535047E-2</v>
      </c>
      <c r="T53" s="12">
        <f t="shared" si="159"/>
        <v>0.20327320066951837</v>
      </c>
      <c r="U53" s="12">
        <f t="shared" si="159"/>
        <v>0.20954666908201625</v>
      </c>
      <c r="V53" s="12">
        <f t="shared" si="159"/>
        <v>0.1884716375609552</v>
      </c>
      <c r="W53" s="12">
        <f>W27/S27-1</f>
        <v>0.20381751861290165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S53"/>
      <c r="BT53" s="12"/>
    </row>
    <row r="54" spans="2:72" s="3" customFormat="1" ht="13">
      <c r="B54" s="6" t="s">
        <v>414</v>
      </c>
      <c r="C54" s="10"/>
      <c r="D54" s="10"/>
      <c r="E54" s="10"/>
      <c r="F54" s="10"/>
      <c r="G54" s="12">
        <f t="shared" ref="G54:V54" si="160">G28/C28-1</f>
        <v>6.4313302793496785E-2</v>
      </c>
      <c r="H54" s="12">
        <f t="shared" si="160"/>
        <v>0.14465218378623868</v>
      </c>
      <c r="I54" s="12">
        <f t="shared" si="160"/>
        <v>0.18541420387378382</v>
      </c>
      <c r="J54" s="12">
        <f t="shared" si="160"/>
        <v>9.1092176607281194E-2</v>
      </c>
      <c r="K54" s="12">
        <f t="shared" si="160"/>
        <v>0.12802768166089962</v>
      </c>
      <c r="L54" s="12">
        <f t="shared" si="160"/>
        <v>0.15493982277476515</v>
      </c>
      <c r="M54" s="12">
        <f t="shared" si="160"/>
        <v>0.11874808223381406</v>
      </c>
      <c r="N54" s="12">
        <f t="shared" si="160"/>
        <v>2.6622178049126699E-2</v>
      </c>
      <c r="O54" s="12">
        <f t="shared" si="160"/>
        <v>-2.5437677689660321E-3</v>
      </c>
      <c r="P54" s="12">
        <f t="shared" si="160"/>
        <v>-0.18482679645004296</v>
      </c>
      <c r="Q54" s="12">
        <f t="shared" si="160"/>
        <v>-9.0784421283598427E-2</v>
      </c>
      <c r="R54" s="12">
        <f t="shared" si="160"/>
        <v>-3.8448240094046016E-2</v>
      </c>
      <c r="S54" s="12">
        <f t="shared" si="160"/>
        <v>-0.15406540654065404</v>
      </c>
      <c r="T54" s="12">
        <f t="shared" si="160"/>
        <v>0.1864156774601391</v>
      </c>
      <c r="U54" s="12">
        <f t="shared" si="160"/>
        <v>0.17496229260935148</v>
      </c>
      <c r="V54" s="12">
        <f t="shared" si="160"/>
        <v>0.14311398777418205</v>
      </c>
      <c r="W54" s="12">
        <f>W28/S28-1</f>
        <v>0.16829225039900697</v>
      </c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S54"/>
      <c r="BT54" s="12"/>
    </row>
    <row r="55" spans="2:72">
      <c r="B55" s="4" t="s">
        <v>22</v>
      </c>
      <c r="C55" s="9">
        <f t="shared" ref="C55:Z55" si="161">C36/C32</f>
        <v>0.6851913477537438</v>
      </c>
      <c r="D55" s="9">
        <f t="shared" si="161"/>
        <v>0.66514929821709212</v>
      </c>
      <c r="E55" s="9">
        <f t="shared" si="161"/>
        <v>0.68661660146769077</v>
      </c>
      <c r="F55" s="9">
        <f t="shared" si="161"/>
        <v>0.67557121447164303</v>
      </c>
      <c r="G55" s="9">
        <f t="shared" si="161"/>
        <v>0.70388114334930285</v>
      </c>
      <c r="H55" s="9">
        <f t="shared" si="161"/>
        <v>0.67048936762930633</v>
      </c>
      <c r="I55" s="9">
        <f t="shared" si="161"/>
        <v>0.68721526878626582</v>
      </c>
      <c r="J55" s="9">
        <f t="shared" si="161"/>
        <v>0.69684954064829263</v>
      </c>
      <c r="K55" s="9">
        <f t="shared" si="161"/>
        <v>0.6988768012004325</v>
      </c>
      <c r="L55" s="9">
        <f t="shared" si="161"/>
        <v>0.67213114754098358</v>
      </c>
      <c r="M55" s="9">
        <f t="shared" si="161"/>
        <v>0.68365072933549431</v>
      </c>
      <c r="N55" s="9">
        <f t="shared" si="161"/>
        <v>0.68323532247180174</v>
      </c>
      <c r="O55" s="9">
        <f t="shared" si="161"/>
        <v>0.69171222217788597</v>
      </c>
      <c r="P55" s="9">
        <f t="shared" si="161"/>
        <v>0.66845507801391546</v>
      </c>
      <c r="Q55" s="9">
        <f t="shared" si="161"/>
        <v>0.69487485101311086</v>
      </c>
      <c r="R55" s="9">
        <f t="shared" si="161"/>
        <v>0.70109807969531401</v>
      </c>
      <c r="S55" s="9">
        <f t="shared" si="161"/>
        <v>0.71155581506449384</v>
      </c>
      <c r="T55" s="9">
        <f t="shared" si="161"/>
        <v>0.68360206385037081</v>
      </c>
      <c r="U55" s="9">
        <f t="shared" si="161"/>
        <v>0.70084710142584628</v>
      </c>
      <c r="V55" s="9">
        <f t="shared" si="161"/>
        <v>0.69589197707293715</v>
      </c>
      <c r="W55" s="9">
        <f t="shared" si="161"/>
        <v>0.69354273080734929</v>
      </c>
      <c r="X55" s="9">
        <f t="shared" si="161"/>
        <v>0.68042857433376625</v>
      </c>
      <c r="Y55" s="9">
        <f t="shared" si="161"/>
        <v>0.69</v>
      </c>
      <c r="Z55" s="9">
        <f t="shared" si="161"/>
        <v>0.69</v>
      </c>
      <c r="AA55" s="9"/>
      <c r="AB55" s="9"/>
      <c r="AC55" s="9">
        <f t="shared" ref="AC55:BQ55" si="162">AC36/AC32</f>
        <v>0.78613693998309386</v>
      </c>
      <c r="AD55" s="9">
        <f t="shared" si="162"/>
        <v>0.8035811177428106</v>
      </c>
      <c r="AE55" s="9">
        <f t="shared" si="162"/>
        <v>0.8307357738310982</v>
      </c>
      <c r="AF55" s="9">
        <f t="shared" si="162"/>
        <v>0.83133493205435649</v>
      </c>
      <c r="AG55" s="9">
        <f t="shared" si="162"/>
        <v>0.83587868358786832</v>
      </c>
      <c r="AH55" s="9">
        <f t="shared" si="162"/>
        <v>0.85228229745662798</v>
      </c>
      <c r="AI55" s="9">
        <f t="shared" si="162"/>
        <v>0.86299158113251062</v>
      </c>
      <c r="AJ55" s="9">
        <f t="shared" si="162"/>
        <v>0.90447261841873572</v>
      </c>
      <c r="AK55" s="9">
        <f t="shared" si="162"/>
        <v>0.91735708367854185</v>
      </c>
      <c r="AL55" s="9">
        <f t="shared" si="162"/>
        <v>0.85749734136830913</v>
      </c>
      <c r="AM55" s="9">
        <f t="shared" si="162"/>
        <v>0.86922808851716327</v>
      </c>
      <c r="AN55" s="9">
        <f t="shared" si="162"/>
        <v>0.86341714104996836</v>
      </c>
      <c r="AO55" s="9">
        <f t="shared" si="162"/>
        <v>0.8169927727833598</v>
      </c>
      <c r="AP55" s="9">
        <f t="shared" si="162"/>
        <v>0.82334482865753256</v>
      </c>
      <c r="AQ55" s="9">
        <f t="shared" si="162"/>
        <v>0.81767340844305691</v>
      </c>
      <c r="AR55" s="9">
        <f t="shared" si="162"/>
        <v>0.84417412285111093</v>
      </c>
      <c r="AS55" s="9">
        <f t="shared" si="162"/>
        <v>0.82724357526760306</v>
      </c>
      <c r="AT55" s="9">
        <f t="shared" si="162"/>
        <v>0.79083369195258402</v>
      </c>
      <c r="AU55" s="9">
        <f t="shared" si="162"/>
        <v>0.80804369414101296</v>
      </c>
      <c r="AV55" s="9">
        <f t="shared" si="162"/>
        <v>0.79199822030562828</v>
      </c>
      <c r="AW55" s="9">
        <f t="shared" si="162"/>
        <v>0.80162921707957235</v>
      </c>
      <c r="AX55" s="9">
        <f t="shared" si="162"/>
        <v>0.77729007906438097</v>
      </c>
      <c r="AY55" s="9">
        <f t="shared" si="162"/>
        <v>0.76221803236439101</v>
      </c>
      <c r="AZ55" s="9">
        <f t="shared" si="162"/>
        <v>0.7398938971598864</v>
      </c>
      <c r="BA55" s="9">
        <f t="shared" si="162"/>
        <v>0.68981838701876019</v>
      </c>
      <c r="BB55" s="9">
        <f t="shared" si="162"/>
        <v>0.64695447745244705</v>
      </c>
      <c r="BC55" s="9">
        <f t="shared" si="162"/>
        <v>0.61579934364744493</v>
      </c>
      <c r="BD55" s="9">
        <f t="shared" si="162"/>
        <v>0.64522475691460168</v>
      </c>
      <c r="BE55" s="9">
        <f t="shared" si="162"/>
        <v>0.65247372236317502</v>
      </c>
      <c r="BF55" s="9">
        <f t="shared" si="162"/>
        <v>0.65901957200638894</v>
      </c>
      <c r="BG55" s="9">
        <f t="shared" si="162"/>
        <v>0.67781001992797962</v>
      </c>
      <c r="BH55" s="9">
        <f t="shared" si="162"/>
        <v>0.68925800771024703</v>
      </c>
      <c r="BI55" s="9">
        <f t="shared" si="162"/>
        <v>0.68401674484289099</v>
      </c>
      <c r="BJ55" s="9">
        <f t="shared" si="162"/>
        <v>0.68920085883491022</v>
      </c>
      <c r="BK55" s="9">
        <f t="shared" si="162"/>
        <v>0.67</v>
      </c>
      <c r="BL55" s="9">
        <f t="shared" si="162"/>
        <v>0.67</v>
      </c>
      <c r="BM55" s="9">
        <f t="shared" si="162"/>
        <v>0.67</v>
      </c>
      <c r="BN55" s="9">
        <f t="shared" si="162"/>
        <v>0.67</v>
      </c>
      <c r="BO55" s="9">
        <f t="shared" si="162"/>
        <v>0.67</v>
      </c>
      <c r="BP55" s="9">
        <f t="shared" si="162"/>
        <v>0.67</v>
      </c>
      <c r="BQ55" s="9">
        <f t="shared" si="162"/>
        <v>0.67</v>
      </c>
    </row>
    <row r="56" spans="2:72">
      <c r="B56" s="4" t="s">
        <v>455</v>
      </c>
      <c r="C56" s="9">
        <f t="shared" ref="C56:W56" si="163">+C41/C32</f>
        <v>0.38378460142187265</v>
      </c>
      <c r="D56" s="9">
        <f t="shared" si="163"/>
        <v>0.37638866309001245</v>
      </c>
      <c r="E56" s="9">
        <f t="shared" si="163"/>
        <v>0.37049199051997372</v>
      </c>
      <c r="F56" s="9">
        <f t="shared" si="163"/>
        <v>0.35250966266137301</v>
      </c>
      <c r="G56" s="9">
        <f t="shared" si="163"/>
        <v>0.42730257845723207</v>
      </c>
      <c r="H56" s="9">
        <f t="shared" si="163"/>
        <v>0.41547497446373849</v>
      </c>
      <c r="I56" s="9">
        <f t="shared" si="163"/>
        <v>0.40876612477820939</v>
      </c>
      <c r="J56" s="9">
        <f t="shared" si="163"/>
        <v>0.41374154966198645</v>
      </c>
      <c r="K56" s="9">
        <f t="shared" si="163"/>
        <v>0.44658737339188381</v>
      </c>
      <c r="L56" s="9">
        <f t="shared" si="163"/>
        <v>0.43007655428394681</v>
      </c>
      <c r="M56" s="9">
        <f t="shared" si="163"/>
        <v>0.41256077795786061</v>
      </c>
      <c r="N56" s="9">
        <f t="shared" si="163"/>
        <v>0.3959124650535043</v>
      </c>
      <c r="O56" s="9">
        <f t="shared" si="163"/>
        <v>0.42931247755476637</v>
      </c>
      <c r="P56" s="9">
        <f t="shared" si="163"/>
        <v>0.3867328947617874</v>
      </c>
      <c r="Q56" s="9">
        <f t="shared" si="163"/>
        <v>0.42287681858599618</v>
      </c>
      <c r="R56" s="9">
        <f t="shared" si="163"/>
        <v>0.4316503230169606</v>
      </c>
      <c r="S56" s="9">
        <f t="shared" si="163"/>
        <v>0.47587451563246458</v>
      </c>
      <c r="T56" s="9">
        <f t="shared" si="163"/>
        <v>0.43585940019348596</v>
      </c>
      <c r="U56" s="9">
        <f t="shared" si="163"/>
        <v>0.44587603866921011</v>
      </c>
      <c r="V56" s="9">
        <f t="shared" si="163"/>
        <v>0.43142737960974553</v>
      </c>
      <c r="W56" s="9">
        <f t="shared" si="163"/>
        <v>0.46583822520393381</v>
      </c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>
        <f t="shared" ref="AV56:BQ56" si="164">AV41/AV32</f>
        <v>0.35410784263394768</v>
      </c>
      <c r="AW56" s="9">
        <f t="shared" si="164"/>
        <v>0.38661097240893672</v>
      </c>
      <c r="AX56" s="9">
        <f t="shared" si="164"/>
        <v>0.38833049769097694</v>
      </c>
      <c r="AY56" s="9">
        <f t="shared" si="164"/>
        <v>0.37920323372624554</v>
      </c>
      <c r="AZ56" s="9">
        <f t="shared" si="164"/>
        <v>0.34379375457616668</v>
      </c>
      <c r="BA56" s="9">
        <f t="shared" si="164"/>
        <v>0.32114518673776099</v>
      </c>
      <c r="BB56" s="9">
        <f t="shared" si="164"/>
        <v>0.30104723231459712</v>
      </c>
      <c r="BC56" s="9">
        <f t="shared" si="164"/>
        <v>0.24955461790904829</v>
      </c>
      <c r="BD56" s="9">
        <f t="shared" si="164"/>
        <v>0.30372472067183731</v>
      </c>
      <c r="BE56" s="9">
        <f t="shared" si="164"/>
        <v>0.31766944545125048</v>
      </c>
      <c r="BF56" s="9">
        <f t="shared" si="164"/>
        <v>0.3413698020549415</v>
      </c>
      <c r="BG56" s="9">
        <f t="shared" si="164"/>
        <v>0.37030381428521486</v>
      </c>
      <c r="BH56" s="9">
        <f t="shared" si="164"/>
        <v>0.41594878872971303</v>
      </c>
      <c r="BI56" s="9">
        <f t="shared" si="164"/>
        <v>0.4205527815604983</v>
      </c>
      <c r="BJ56" s="9">
        <f t="shared" si="164"/>
        <v>0.41772880636104098</v>
      </c>
      <c r="BK56" s="9">
        <f t="shared" si="164"/>
        <v>0.41885445720422676</v>
      </c>
      <c r="BL56" s="9">
        <f t="shared" si="164"/>
        <v>0.43053228494172352</v>
      </c>
      <c r="BM56" s="9">
        <f t="shared" si="164"/>
        <v>0.44186127163251976</v>
      </c>
      <c r="BN56" s="9">
        <f t="shared" si="164"/>
        <v>0.45283344109557166</v>
      </c>
      <c r="BO56" s="9">
        <f t="shared" si="164"/>
        <v>0.46344280341509458</v>
      </c>
      <c r="BP56" s="9">
        <f t="shared" si="164"/>
        <v>0.47368527275981076</v>
      </c>
      <c r="BQ56" s="9">
        <f t="shared" si="164"/>
        <v>0.48355857034614491</v>
      </c>
    </row>
    <row r="57" spans="2:72">
      <c r="B57" s="4" t="s">
        <v>89</v>
      </c>
      <c r="C57" s="9">
        <f t="shared" ref="C57:W57" si="165">+C44/C43</f>
        <v>0.15828472331704241</v>
      </c>
      <c r="D57" s="9">
        <f t="shared" si="165"/>
        <v>0.17294994675186368</v>
      </c>
      <c r="E57" s="9">
        <f t="shared" si="165"/>
        <v>0.16281242700303666</v>
      </c>
      <c r="F57" s="9">
        <f t="shared" si="165"/>
        <v>0.16540008940545373</v>
      </c>
      <c r="G57" s="9">
        <f t="shared" si="165"/>
        <v>0.13836516993301909</v>
      </c>
      <c r="H57" s="9">
        <f t="shared" si="165"/>
        <v>0.15673228990565524</v>
      </c>
      <c r="I57" s="9">
        <f t="shared" si="165"/>
        <v>0.10321420283128337</v>
      </c>
      <c r="J57" s="9">
        <f t="shared" si="165"/>
        <v>0.15186807523834064</v>
      </c>
      <c r="K57" s="9">
        <f t="shared" si="165"/>
        <v>9.2574546871954783E-4</v>
      </c>
      <c r="L57" s="9">
        <f t="shared" si="165"/>
        <v>0.16655562958027981</v>
      </c>
      <c r="M57" s="9">
        <f t="shared" si="165"/>
        <v>0.17147102526002972</v>
      </c>
      <c r="N57" s="9">
        <f t="shared" si="165"/>
        <v>0.18289647093278666</v>
      </c>
      <c r="O57" s="9">
        <f t="shared" si="165"/>
        <v>0.18616725384758021</v>
      </c>
      <c r="P57" s="9">
        <f t="shared" si="165"/>
        <v>0.19243817296818919</v>
      </c>
      <c r="Q57" s="9">
        <f t="shared" si="165"/>
        <v>0.19291668504388479</v>
      </c>
      <c r="R57" s="9">
        <f t="shared" si="165"/>
        <v>0.18789177821814212</v>
      </c>
      <c r="S57" s="9">
        <f t="shared" si="165"/>
        <v>0.18300102624248643</v>
      </c>
      <c r="T57" s="9">
        <f t="shared" si="165"/>
        <v>0.17552589911784663</v>
      </c>
      <c r="U57" s="9">
        <f t="shared" si="165"/>
        <v>0.17914468514984846</v>
      </c>
      <c r="V57" s="9">
        <f t="shared" si="165"/>
        <v>0.1913394495412844</v>
      </c>
      <c r="W57" s="9">
        <f t="shared" si="165"/>
        <v>0.18507383791998414</v>
      </c>
      <c r="X57" s="9"/>
      <c r="Y57" s="9"/>
      <c r="Z57" s="9"/>
      <c r="AA57" s="9"/>
      <c r="AB57" s="9"/>
      <c r="AC57" s="9">
        <f t="shared" ref="AC57:BQ57" si="166">+AC44/AC43</f>
        <v>0.31951219512195123</v>
      </c>
      <c r="AD57" s="9">
        <f t="shared" si="166"/>
        <v>0.30998509687034276</v>
      </c>
      <c r="AE57" s="9">
        <f t="shared" si="166"/>
        <v>0.31988472622478387</v>
      </c>
      <c r="AF57" s="9">
        <f t="shared" si="166"/>
        <v>0.31977159172019987</v>
      </c>
      <c r="AG57" s="9">
        <f t="shared" si="166"/>
        <v>0.31788079470198677</v>
      </c>
      <c r="AH57" s="9">
        <f t="shared" si="166"/>
        <v>0.32263895164934481</v>
      </c>
      <c r="AI57" s="9">
        <f t="shared" si="166"/>
        <v>0.35039952648712636</v>
      </c>
      <c r="AJ57" s="9">
        <f t="shared" si="166"/>
        <v>0.35001881821603315</v>
      </c>
      <c r="AK57" s="9">
        <f t="shared" si="166"/>
        <v>0.35815459328207205</v>
      </c>
      <c r="AL57" s="9">
        <f t="shared" si="166"/>
        <v>0.35001278663370555</v>
      </c>
      <c r="AM57" s="9">
        <f t="shared" si="166"/>
        <v>0.34379205326156242</v>
      </c>
      <c r="AN57" s="9">
        <f t="shared" si="166"/>
        <v>0.32557343375556319</v>
      </c>
      <c r="AO57" s="9">
        <f t="shared" si="166"/>
        <v>0.31744937526928046</v>
      </c>
      <c r="AP57" s="9">
        <f t="shared" si="166"/>
        <v>0.31992699743139108</v>
      </c>
      <c r="AQ57" s="9">
        <f t="shared" si="166"/>
        <v>0.32959659602323871</v>
      </c>
      <c r="AR57" s="9">
        <f t="shared" si="166"/>
        <v>0.26305027664180902</v>
      </c>
      <c r="AS57" s="9">
        <f t="shared" si="166"/>
        <v>0.31009747015660938</v>
      </c>
      <c r="AT57" s="9">
        <f t="shared" si="166"/>
        <v>0.30028356798169248</v>
      </c>
      <c r="AU57" s="9">
        <f t="shared" si="166"/>
        <v>0.25753758293440832</v>
      </c>
      <c r="AV57" s="9">
        <f t="shared" si="166"/>
        <v>0.26063222668850183</v>
      </c>
      <c r="AW57" s="9">
        <f t="shared" si="166"/>
        <v>0.24940172303765157</v>
      </c>
      <c r="AX57" s="9">
        <f t="shared" si="166"/>
        <v>0.17530547540166008</v>
      </c>
      <c r="AY57" s="9">
        <f t="shared" si="166"/>
        <v>0.18583977512297961</v>
      </c>
      <c r="AZ57" s="9">
        <f t="shared" si="166"/>
        <v>0.19181576223569421</v>
      </c>
      <c r="BA57" s="9">
        <f t="shared" si="166"/>
        <v>0.20560346369914481</v>
      </c>
      <c r="BB57" s="9">
        <f t="shared" si="166"/>
        <v>0.22140402552773686</v>
      </c>
      <c r="BC57" s="9">
        <f t="shared" si="166"/>
        <v>0.1415560136139207</v>
      </c>
      <c r="BD57" s="9">
        <f t="shared" si="166"/>
        <v>0.14605886052901645</v>
      </c>
      <c r="BE57" s="9">
        <f t="shared" si="166"/>
        <v>0.5456763722103416</v>
      </c>
      <c r="BF57" s="9">
        <f t="shared" si="166"/>
        <v>0.10181285478850027</v>
      </c>
      <c r="BG57" s="9">
        <f t="shared" si="166"/>
        <v>0.16507655177615205</v>
      </c>
      <c r="BH57" s="9">
        <f t="shared" si="166"/>
        <v>0.13826615285083402</v>
      </c>
      <c r="BI57" s="9">
        <f t="shared" si="166"/>
        <v>0.13113383343685794</v>
      </c>
      <c r="BJ57" s="9">
        <f t="shared" si="166"/>
        <v>0.15</v>
      </c>
      <c r="BK57" s="9">
        <f t="shared" si="166"/>
        <v>0.18999999999999997</v>
      </c>
      <c r="BL57" s="9">
        <f t="shared" si="166"/>
        <v>0.14999999999999997</v>
      </c>
      <c r="BM57" s="9">
        <f t="shared" si="166"/>
        <v>0.15</v>
      </c>
      <c r="BN57" s="9">
        <f t="shared" si="166"/>
        <v>0.15</v>
      </c>
      <c r="BO57" s="9">
        <f t="shared" si="166"/>
        <v>0.15</v>
      </c>
      <c r="BP57" s="9">
        <f t="shared" si="166"/>
        <v>0.15</v>
      </c>
      <c r="BQ57" s="9">
        <f t="shared" si="166"/>
        <v>0.15</v>
      </c>
    </row>
    <row r="58" spans="2:72">
      <c r="B58" s="4" t="s">
        <v>156</v>
      </c>
      <c r="C58" s="9">
        <f t="shared" ref="C58:W58" si="167">(C30-C33)/C30</f>
        <v>0.79039827498731607</v>
      </c>
      <c r="D58" s="9">
        <f t="shared" si="167"/>
        <v>0.72796494111202414</v>
      </c>
      <c r="E58" s="9">
        <f t="shared" si="167"/>
        <v>0.78728498519311951</v>
      </c>
      <c r="F58" s="9">
        <f t="shared" si="167"/>
        <v>0.75918884664131814</v>
      </c>
      <c r="G58" s="9">
        <f t="shared" si="167"/>
        <v>0.77238499019173579</v>
      </c>
      <c r="H58" s="9">
        <f t="shared" si="167"/>
        <v>0.68869475847893113</v>
      </c>
      <c r="I58" s="9">
        <f t="shared" si="167"/>
        <v>0.74651810584958223</v>
      </c>
      <c r="J58" s="9">
        <f t="shared" si="167"/>
        <v>0.7736297391488014</v>
      </c>
      <c r="K58" s="9">
        <f t="shared" si="167"/>
        <v>0.77199206301485179</v>
      </c>
      <c r="L58" s="9">
        <f t="shared" si="167"/>
        <v>0.69531738774724483</v>
      </c>
      <c r="M58" s="9">
        <f t="shared" si="167"/>
        <v>0.73603593228146957</v>
      </c>
      <c r="N58" s="9">
        <f t="shared" si="167"/>
        <v>0.75735130318556476</v>
      </c>
      <c r="O58" s="9">
        <f t="shared" si="167"/>
        <v>0.72670097198399086</v>
      </c>
      <c r="P58" s="9">
        <f t="shared" si="167"/>
        <v>0.65550644790216139</v>
      </c>
      <c r="Q58" s="9">
        <f t="shared" si="167"/>
        <v>0.74717731588401337</v>
      </c>
      <c r="R58" s="9">
        <f t="shared" si="167"/>
        <v>0.77030795704028954</v>
      </c>
      <c r="S58" s="9">
        <f t="shared" si="167"/>
        <v>0.77270679111683294</v>
      </c>
      <c r="T58" s="9">
        <f t="shared" si="167"/>
        <v>0.68512750118789922</v>
      </c>
      <c r="U58" s="9">
        <f t="shared" si="167"/>
        <v>0.74596018735363001</v>
      </c>
      <c r="V58" s="9">
        <f t="shared" si="167"/>
        <v>0.89120072633729286</v>
      </c>
      <c r="W58" s="9">
        <f t="shared" si="167"/>
        <v>0.78431115767417492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>
        <f t="shared" ref="BC58:BQ58" si="168">(BC30-BC33)/BC30</f>
        <v>0.70927774706513613</v>
      </c>
      <c r="BD58" s="9">
        <f t="shared" si="168"/>
        <v>0.76218833743398473</v>
      </c>
      <c r="BE58" s="9">
        <f t="shared" si="168"/>
        <v>0.76091911251686128</v>
      </c>
      <c r="BF58" s="9">
        <f t="shared" si="168"/>
        <v>0.75369689264254036</v>
      </c>
      <c r="BG58" s="9">
        <f t="shared" si="168"/>
        <v>0.76459781602269217</v>
      </c>
      <c r="BH58" s="9">
        <f t="shared" si="168"/>
        <v>0.74366153586402906</v>
      </c>
      <c r="BI58" s="9">
        <f t="shared" si="168"/>
        <v>0.73788703734257277</v>
      </c>
      <c r="BJ58" s="9">
        <f t="shared" si="168"/>
        <v>0.72481800336944935</v>
      </c>
      <c r="BK58" s="9">
        <f t="shared" si="168"/>
        <v>0.75</v>
      </c>
      <c r="BL58" s="9">
        <f t="shared" si="168"/>
        <v>0.75</v>
      </c>
      <c r="BM58" s="9">
        <f t="shared" si="168"/>
        <v>0.75</v>
      </c>
      <c r="BN58" s="9">
        <f t="shared" si="168"/>
        <v>0.75</v>
      </c>
      <c r="BO58" s="9">
        <f t="shared" si="168"/>
        <v>0.75</v>
      </c>
      <c r="BP58" s="9">
        <f t="shared" si="168"/>
        <v>0.75</v>
      </c>
      <c r="BQ58" s="9">
        <f t="shared" si="168"/>
        <v>0.75</v>
      </c>
      <c r="BT58" s="1"/>
    </row>
    <row r="59" spans="2:72">
      <c r="B59" s="4" t="s">
        <v>157</v>
      </c>
      <c r="C59" s="9">
        <f t="shared" ref="C59:W59" si="169">(C31-C34)/C31</f>
        <v>0.58922890032972752</v>
      </c>
      <c r="D59" s="9">
        <f t="shared" si="169"/>
        <v>0.60366736368023166</v>
      </c>
      <c r="E59" s="9">
        <f t="shared" si="169"/>
        <v>0.60318537859007837</v>
      </c>
      <c r="F59" s="9">
        <f t="shared" si="169"/>
        <v>0.59926581514633415</v>
      </c>
      <c r="G59" s="9">
        <f t="shared" si="169"/>
        <v>0.65317783710364852</v>
      </c>
      <c r="H59" s="9">
        <f t="shared" si="169"/>
        <v>0.65548780487804881</v>
      </c>
      <c r="I59" s="9">
        <f t="shared" si="169"/>
        <v>0.64692143518704948</v>
      </c>
      <c r="J59" s="9">
        <f t="shared" si="169"/>
        <v>0.64341882854413168</v>
      </c>
      <c r="K59" s="9">
        <f t="shared" si="169"/>
        <v>0.65648748518441047</v>
      </c>
      <c r="L59" s="9">
        <f t="shared" si="169"/>
        <v>0.65656402468577335</v>
      </c>
      <c r="M59" s="9">
        <f t="shared" si="169"/>
        <v>0.65521660311308372</v>
      </c>
      <c r="N59" s="9">
        <f t="shared" si="169"/>
        <v>0.64398832168450859</v>
      </c>
      <c r="O59" s="9">
        <f t="shared" si="169"/>
        <v>0.67569296995433525</v>
      </c>
      <c r="P59" s="9">
        <f t="shared" si="169"/>
        <v>0.67435826662986476</v>
      </c>
      <c r="Q59" s="9">
        <f t="shared" si="169"/>
        <v>0.67299900721779493</v>
      </c>
      <c r="R59" s="9">
        <f t="shared" si="169"/>
        <v>0.67144600366076879</v>
      </c>
      <c r="S59" s="9">
        <f t="shared" si="169"/>
        <v>0.68837538431506518</v>
      </c>
      <c r="T59" s="9">
        <f t="shared" si="169"/>
        <v>0.68293135866663568</v>
      </c>
      <c r="U59" s="9">
        <f t="shared" si="169"/>
        <v>0.68363928714993971</v>
      </c>
      <c r="V59" s="9">
        <f t="shared" si="169"/>
        <v>0.64577751892836344</v>
      </c>
      <c r="W59" s="9">
        <f t="shared" si="169"/>
        <v>0.66599089698487468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>
        <f t="shared" ref="BC59:BQ59" si="170">(BC31-BC34)/BC31</f>
        <v>0.37442270551683599</v>
      </c>
      <c r="BD59" s="9">
        <f t="shared" si="170"/>
        <v>0.41739926739926742</v>
      </c>
      <c r="BE59" s="9">
        <f t="shared" si="170"/>
        <v>0.4999672938970412</v>
      </c>
      <c r="BF59" s="9">
        <f t="shared" si="170"/>
        <v>0.55437146585471941</v>
      </c>
      <c r="BG59" s="9">
        <f t="shared" si="170"/>
        <v>0.59904766985888447</v>
      </c>
      <c r="BH59" s="9">
        <f t="shared" si="170"/>
        <v>0.64940111736450412</v>
      </c>
      <c r="BI59" s="9">
        <f t="shared" si="170"/>
        <v>0.65280632159186858</v>
      </c>
      <c r="BJ59" s="9">
        <f t="shared" si="170"/>
        <v>0.67354771220519505</v>
      </c>
      <c r="BK59" s="9">
        <f t="shared" si="170"/>
        <v>0.65</v>
      </c>
      <c r="BL59" s="9">
        <f t="shared" si="170"/>
        <v>0.65</v>
      </c>
      <c r="BM59" s="9">
        <f t="shared" si="170"/>
        <v>0.64999999999999991</v>
      </c>
      <c r="BN59" s="9">
        <f t="shared" si="170"/>
        <v>0.65</v>
      </c>
      <c r="BO59" s="9">
        <f t="shared" si="170"/>
        <v>0.65</v>
      </c>
      <c r="BP59" s="9">
        <f t="shared" si="170"/>
        <v>0.65</v>
      </c>
      <c r="BQ59" s="9">
        <f t="shared" si="170"/>
        <v>0.65</v>
      </c>
      <c r="BT59" s="1"/>
    </row>
    <row r="60" spans="2:72">
      <c r="B60" s="4" t="s">
        <v>411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0.35</v>
      </c>
      <c r="O60" s="9">
        <v>0.16</v>
      </c>
      <c r="P60" s="9">
        <v>0.04</v>
      </c>
      <c r="Q60" s="9">
        <v>0.12</v>
      </c>
      <c r="R60" s="9">
        <v>-0.01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T60" s="1"/>
    </row>
    <row r="62" spans="2:72">
      <c r="B62" t="s">
        <v>82</v>
      </c>
      <c r="G62" s="5">
        <f t="shared" ref="G62:H62" si="171">+G63-G74</f>
        <v>77528</v>
      </c>
      <c r="H62" s="5">
        <f t="shared" si="171"/>
        <v>75239</v>
      </c>
      <c r="I62" s="5">
        <f t="shared" ref="I62:U62" si="172">+I63-I74</f>
        <v>72744</v>
      </c>
      <c r="J62" s="5">
        <f t="shared" si="172"/>
        <v>78172</v>
      </c>
      <c r="K62" s="5">
        <f t="shared" si="172"/>
        <v>83720</v>
      </c>
      <c r="L62" s="5">
        <f t="shared" si="172"/>
        <v>79105</v>
      </c>
      <c r="M62" s="5">
        <f t="shared" si="172"/>
        <v>61674</v>
      </c>
      <c r="N62" s="5">
        <f t="shared" si="172"/>
        <v>61867</v>
      </c>
      <c r="O62" s="5">
        <f t="shared" si="172"/>
        <v>65479</v>
      </c>
      <c r="P62" s="5">
        <f t="shared" si="172"/>
        <v>58489</v>
      </c>
      <c r="Q62" s="5">
        <f t="shared" si="172"/>
        <v>65632</v>
      </c>
      <c r="R62" s="5">
        <f t="shared" si="172"/>
        <v>73904</v>
      </c>
      <c r="S62" s="5">
        <f t="shared" si="172"/>
        <v>83872</v>
      </c>
      <c r="T62" s="5">
        <f t="shared" si="172"/>
        <v>20165</v>
      </c>
      <c r="U62" s="5">
        <f t="shared" si="172"/>
        <v>29386</v>
      </c>
      <c r="V62" s="5">
        <f>+V63-V74</f>
        <v>38513</v>
      </c>
      <c r="W62" s="5">
        <f>+W63-W74</f>
        <v>49089</v>
      </c>
      <c r="X62" s="5"/>
      <c r="Y62" s="5"/>
      <c r="Z62" s="5"/>
      <c r="AG62" s="4">
        <f t="shared" ref="AG62:AU62" si="173">AG63</f>
        <v>3614</v>
      </c>
      <c r="AH62" s="4">
        <f t="shared" si="173"/>
        <v>4750</v>
      </c>
      <c r="AI62" s="4">
        <f t="shared" si="173"/>
        <v>6940</v>
      </c>
      <c r="AJ62" s="4">
        <f t="shared" si="173"/>
        <v>11312</v>
      </c>
      <c r="AK62" s="4">
        <f t="shared" si="173"/>
        <v>18630</v>
      </c>
      <c r="AL62" s="4">
        <f t="shared" si="173"/>
        <v>31608</v>
      </c>
      <c r="AM62" s="4">
        <f t="shared" si="173"/>
        <v>41524</v>
      </c>
      <c r="AN62" s="4">
        <f t="shared" si="173"/>
        <v>45741</v>
      </c>
      <c r="AO62" s="4">
        <f t="shared" si="173"/>
        <v>52843</v>
      </c>
      <c r="AP62" s="4">
        <f t="shared" si="173"/>
        <v>62740</v>
      </c>
      <c r="AQ62" s="4">
        <f t="shared" si="173"/>
        <v>72802</v>
      </c>
      <c r="AR62" s="4">
        <f t="shared" si="173"/>
        <v>48755</v>
      </c>
      <c r="AS62" s="4">
        <f t="shared" si="173"/>
        <v>43393</v>
      </c>
      <c r="AT62" s="4">
        <f t="shared" si="173"/>
        <v>33528</v>
      </c>
      <c r="AU62" s="4">
        <f t="shared" si="173"/>
        <v>30250</v>
      </c>
      <c r="AV62" s="4">
        <f t="shared" ref="AV62:BA62" si="174">AV63-AV74</f>
        <v>30634</v>
      </c>
      <c r="AW62" s="4">
        <f t="shared" si="174"/>
        <v>38603</v>
      </c>
      <c r="AX62" s="4">
        <f t="shared" si="174"/>
        <v>51716</v>
      </c>
      <c r="AY62" s="4">
        <f t="shared" si="174"/>
        <v>60872</v>
      </c>
      <c r="AZ62" s="4">
        <f t="shared" si="174"/>
        <v>72266</v>
      </c>
      <c r="BA62" s="4">
        <f t="shared" si="174"/>
        <v>77661</v>
      </c>
      <c r="BI62" s="5"/>
      <c r="BJ62" s="5"/>
      <c r="BK62" s="5"/>
      <c r="BL62" s="5"/>
      <c r="BM62" s="5"/>
      <c r="BN62" s="5"/>
      <c r="BO62" s="5"/>
      <c r="BP62" s="5"/>
      <c r="BQ62" s="5"/>
    </row>
    <row r="63" spans="2:72" s="4" customFormat="1">
      <c r="B63" s="4" t="s">
        <v>3</v>
      </c>
      <c r="C63" s="5"/>
      <c r="D63" s="5"/>
      <c r="E63" s="5"/>
      <c r="F63" s="5"/>
      <c r="G63" s="5">
        <f>137977+3103</f>
        <v>141080</v>
      </c>
      <c r="H63" s="5">
        <f>131968+3794</f>
        <v>135762</v>
      </c>
      <c r="I63" s="5">
        <f>125407+5395</f>
        <v>130802</v>
      </c>
      <c r="J63" s="5">
        <f>130334+5984</f>
        <v>136318</v>
      </c>
      <c r="K63" s="5">
        <f>130615+6393</f>
        <v>137008</v>
      </c>
      <c r="L63" s="5">
        <f>125369+6994</f>
        <v>132363</v>
      </c>
      <c r="M63" s="5">
        <f>104693+6907</f>
        <v>111600</v>
      </c>
      <c r="N63" s="5">
        <f>104757+6891</f>
        <v>111648</v>
      </c>
      <c r="O63" s="4">
        <f>107262+6839</f>
        <v>114101</v>
      </c>
      <c r="P63" s="4">
        <f>99508+7097</f>
        <v>106605</v>
      </c>
      <c r="Q63" s="4">
        <f>104427+9415</f>
        <v>113842</v>
      </c>
      <c r="R63" s="4">
        <f>111262+9879</f>
        <v>121141</v>
      </c>
      <c r="S63" s="4">
        <f>143951+11423</f>
        <v>155374</v>
      </c>
      <c r="T63" s="4">
        <f>81017+13367</f>
        <v>94384</v>
      </c>
      <c r="U63" s="4">
        <f>80021+14807</f>
        <v>94828</v>
      </c>
      <c r="V63" s="4">
        <f>75543+14600</f>
        <v>90143</v>
      </c>
      <c r="W63" s="4">
        <f>78428+15778</f>
        <v>94206</v>
      </c>
      <c r="AG63" s="4">
        <f>3614</f>
        <v>3614</v>
      </c>
      <c r="AH63" s="4">
        <v>4750</v>
      </c>
      <c r="AI63" s="4">
        <v>6940</v>
      </c>
      <c r="AJ63" s="4">
        <f>8966+2346</f>
        <v>11312</v>
      </c>
      <c r="AK63" s="4">
        <f>13927+4703</f>
        <v>18630</v>
      </c>
      <c r="AL63" s="4">
        <f>17236+14372</f>
        <v>31608</v>
      </c>
      <c r="AM63" s="4">
        <f>4846+18952+17726</f>
        <v>41524</v>
      </c>
      <c r="AN63" s="4">
        <f>3922+27678+14141</f>
        <v>45741</v>
      </c>
      <c r="AO63" s="4">
        <f>3016+35636+14191</f>
        <v>52843</v>
      </c>
      <c r="AP63" s="4">
        <f>6438+42610+13692</f>
        <v>62740</v>
      </c>
      <c r="AQ63" s="4">
        <f>60592+12210</f>
        <v>72802</v>
      </c>
      <c r="AR63" s="4">
        <f>4851+32900+11004</f>
        <v>48755</v>
      </c>
      <c r="AS63" s="4">
        <f>34161+9232</f>
        <v>43393</v>
      </c>
      <c r="AT63" s="4">
        <f>23411+10117</f>
        <v>33528</v>
      </c>
      <c r="AU63" s="4">
        <f>23662+6588</f>
        <v>30250</v>
      </c>
      <c r="AV63" s="4">
        <f>31447+4933</f>
        <v>36380</v>
      </c>
      <c r="AW63" s="4">
        <f>36788+7754</f>
        <v>44542</v>
      </c>
      <c r="AX63" s="4">
        <f>52772+10865</f>
        <v>63637</v>
      </c>
      <c r="AY63" s="4">
        <f>63040+9776</f>
        <v>72816</v>
      </c>
      <c r="AZ63" s="4">
        <f>77022+10844</f>
        <v>87866</v>
      </c>
      <c r="BA63" s="4">
        <f>85709+14597</f>
        <v>100306</v>
      </c>
      <c r="BG63" s="5"/>
      <c r="BH63" s="5"/>
      <c r="BI63" s="5"/>
      <c r="BJ63" s="5"/>
    </row>
    <row r="64" spans="2:72" s="4" customFormat="1">
      <c r="B64" s="4" t="s">
        <v>35</v>
      </c>
      <c r="C64" s="5"/>
      <c r="D64" s="5"/>
      <c r="E64" s="5"/>
      <c r="F64" s="5"/>
      <c r="G64" s="5">
        <v>22851</v>
      </c>
      <c r="H64" s="5">
        <v>27312</v>
      </c>
      <c r="I64" s="5">
        <v>26322</v>
      </c>
      <c r="J64" s="5">
        <v>38043</v>
      </c>
      <c r="K64" s="5">
        <v>27349</v>
      </c>
      <c r="L64" s="5">
        <v>33520</v>
      </c>
      <c r="M64" s="5">
        <v>32613</v>
      </c>
      <c r="N64" s="5">
        <v>44261</v>
      </c>
      <c r="O64" s="4">
        <v>31279</v>
      </c>
      <c r="P64" s="4">
        <v>35833</v>
      </c>
      <c r="Q64" s="4">
        <v>37420</v>
      </c>
      <c r="R64" s="4">
        <v>48688</v>
      </c>
      <c r="S64" s="4">
        <v>36953</v>
      </c>
      <c r="T64" s="4">
        <v>42831</v>
      </c>
      <c r="U64" s="4">
        <v>44029</v>
      </c>
      <c r="V64" s="4">
        <v>56924</v>
      </c>
      <c r="W64" s="4">
        <v>44148</v>
      </c>
      <c r="AG64" s="4">
        <v>475</v>
      </c>
      <c r="AH64" s="4">
        <v>581</v>
      </c>
      <c r="AI64" s="4">
        <v>639</v>
      </c>
      <c r="AJ64" s="4">
        <v>980</v>
      </c>
      <c r="AK64" s="4">
        <v>1460</v>
      </c>
      <c r="AL64" s="4">
        <v>2245</v>
      </c>
      <c r="AM64" s="4">
        <v>3250</v>
      </c>
      <c r="AN64" s="4">
        <v>3671</v>
      </c>
      <c r="AO64" s="4">
        <v>5129</v>
      </c>
      <c r="AP64" s="4">
        <v>5196</v>
      </c>
      <c r="AQ64" s="4">
        <v>5890</v>
      </c>
      <c r="AR64" s="4">
        <v>7180</v>
      </c>
      <c r="AS64" s="4">
        <v>9316</v>
      </c>
      <c r="AT64" s="4">
        <v>11338</v>
      </c>
      <c r="AU64" s="4">
        <v>13589</v>
      </c>
      <c r="AV64" s="4">
        <v>11192</v>
      </c>
      <c r="AW64" s="4">
        <v>13014</v>
      </c>
      <c r="AX64" s="4">
        <v>14987</v>
      </c>
      <c r="AY64" s="4">
        <v>15780</v>
      </c>
      <c r="AZ64" s="4">
        <v>17486</v>
      </c>
      <c r="BA64" s="4">
        <v>19544</v>
      </c>
      <c r="BG64" s="5"/>
      <c r="BH64" s="5"/>
      <c r="BI64" s="5"/>
      <c r="BJ64" s="5"/>
    </row>
    <row r="65" spans="2:62" s="4" customFormat="1">
      <c r="B65" s="4" t="s">
        <v>36</v>
      </c>
      <c r="C65" s="5"/>
      <c r="D65" s="5"/>
      <c r="E65" s="5"/>
      <c r="F65" s="5"/>
      <c r="G65" s="5">
        <v>2705</v>
      </c>
      <c r="H65" s="5">
        <v>1924</v>
      </c>
      <c r="I65" s="5">
        <v>2245</v>
      </c>
      <c r="J65" s="5">
        <v>2636</v>
      </c>
      <c r="K65" s="5">
        <v>3411</v>
      </c>
      <c r="L65" s="5">
        <v>3019</v>
      </c>
      <c r="M65" s="5">
        <v>3296</v>
      </c>
      <c r="N65" s="5">
        <v>3742</v>
      </c>
      <c r="O65" s="4">
        <v>4268</v>
      </c>
      <c r="P65" s="4">
        <v>2980</v>
      </c>
      <c r="Q65" s="4">
        <v>2877</v>
      </c>
      <c r="R65" s="4">
        <v>2500</v>
      </c>
      <c r="S65" s="4">
        <v>3000</v>
      </c>
      <c r="T65" s="4">
        <v>1615</v>
      </c>
      <c r="U65" s="4">
        <v>1304</v>
      </c>
      <c r="V65" s="4">
        <v>1246</v>
      </c>
      <c r="W65" s="4">
        <v>1626</v>
      </c>
      <c r="AG65" s="4">
        <v>102</v>
      </c>
      <c r="AH65" s="4">
        <v>88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673</v>
      </c>
      <c r="AP65" s="4">
        <v>640</v>
      </c>
      <c r="AQ65" s="4">
        <v>421</v>
      </c>
      <c r="AR65" s="4">
        <v>491</v>
      </c>
      <c r="AS65" s="4">
        <v>1478</v>
      </c>
      <c r="AT65" s="4">
        <v>1127</v>
      </c>
      <c r="AU65" s="4">
        <v>985</v>
      </c>
      <c r="AV65" s="4">
        <v>717</v>
      </c>
      <c r="AW65" s="4">
        <v>740</v>
      </c>
      <c r="AX65" s="4">
        <v>1372</v>
      </c>
      <c r="AY65" s="4">
        <v>1137</v>
      </c>
      <c r="AZ65" s="4">
        <v>1938</v>
      </c>
      <c r="BA65" s="4">
        <v>2660</v>
      </c>
      <c r="BG65" s="5"/>
      <c r="BH65" s="5"/>
      <c r="BI65" s="5"/>
      <c r="BJ65" s="5"/>
    </row>
    <row r="66" spans="2:62" s="4" customFormat="1">
      <c r="B66" s="4" t="s">
        <v>37</v>
      </c>
      <c r="C66" s="5"/>
      <c r="D66" s="5"/>
      <c r="E66" s="5"/>
      <c r="F66" s="5"/>
      <c r="G66" s="5">
        <v>13544</v>
      </c>
      <c r="H66" s="5">
        <v>12769</v>
      </c>
      <c r="I66" s="5">
        <v>11640</v>
      </c>
      <c r="J66" s="5">
        <v>13393</v>
      </c>
      <c r="K66" s="5">
        <v>12951</v>
      </c>
      <c r="L66" s="5">
        <v>12280</v>
      </c>
      <c r="M66" s="5">
        <v>13320</v>
      </c>
      <c r="N66" s="5">
        <v>16924</v>
      </c>
      <c r="O66" s="4">
        <v>18003</v>
      </c>
      <c r="P66" s="4">
        <v>19502</v>
      </c>
      <c r="Q66" s="4">
        <v>19165</v>
      </c>
      <c r="R66" s="4">
        <v>21807</v>
      </c>
      <c r="S66" s="4">
        <v>23682</v>
      </c>
      <c r="T66" s="4">
        <v>21930</v>
      </c>
      <c r="U66" s="4">
        <v>21826</v>
      </c>
      <c r="V66" s="4">
        <v>26021</v>
      </c>
      <c r="W66" s="4">
        <v>25724</v>
      </c>
      <c r="AG66" s="4">
        <v>121</v>
      </c>
      <c r="AH66" s="4">
        <v>201</v>
      </c>
      <c r="AI66" s="4">
        <v>260</v>
      </c>
      <c r="AJ66" s="4">
        <v>427</v>
      </c>
      <c r="AK66" s="4">
        <v>502</v>
      </c>
      <c r="AL66" s="4">
        <v>752</v>
      </c>
      <c r="AM66" s="4">
        <f>1552+1708</f>
        <v>3260</v>
      </c>
      <c r="AN66" s="4">
        <f>1949+2417</f>
        <v>4366</v>
      </c>
      <c r="AO66" s="4">
        <f>2112+2010</f>
        <v>4122</v>
      </c>
      <c r="AP66" s="4">
        <f>2506+1583</f>
        <v>4089</v>
      </c>
      <c r="AQ66" s="4">
        <f>2097+1566</f>
        <v>3663</v>
      </c>
      <c r="AR66" s="4">
        <f>1701+1614</f>
        <v>3315</v>
      </c>
      <c r="AS66" s="4">
        <f>1940+2115</f>
        <v>4055</v>
      </c>
      <c r="AT66" s="4">
        <f>1899+2393</f>
        <v>4292</v>
      </c>
      <c r="AU66" s="4">
        <f>2017+2989</f>
        <v>5006</v>
      </c>
      <c r="AV66" s="4">
        <f>2213+3711</f>
        <v>5924</v>
      </c>
      <c r="AW66" s="4">
        <f>2184+2950</f>
        <v>5134</v>
      </c>
      <c r="AX66" s="4">
        <f>2467+3320</f>
        <v>5787</v>
      </c>
      <c r="AY66" s="4">
        <f>2035+3092</f>
        <v>5127</v>
      </c>
      <c r="AZ66" s="4">
        <f>1632+3388</f>
        <v>5020</v>
      </c>
      <c r="BA66" s="4">
        <f>1941+4392</f>
        <v>6333</v>
      </c>
      <c r="BG66" s="5"/>
      <c r="BH66" s="5"/>
      <c r="BI66" s="5"/>
      <c r="BJ66" s="5"/>
    </row>
    <row r="67" spans="2:62" s="4" customFormat="1">
      <c r="B67" s="4" t="s">
        <v>38</v>
      </c>
      <c r="C67" s="5"/>
      <c r="D67" s="5"/>
      <c r="E67" s="5"/>
      <c r="F67" s="5"/>
      <c r="G67" s="5">
        <v>47927</v>
      </c>
      <c r="H67" s="5">
        <v>51737</v>
      </c>
      <c r="I67" s="5">
        <v>54945</v>
      </c>
      <c r="J67" s="5">
        <v>59715</v>
      </c>
      <c r="K67" s="5">
        <v>63772</v>
      </c>
      <c r="L67" s="5">
        <v>67214</v>
      </c>
      <c r="M67" s="5">
        <v>70298</v>
      </c>
      <c r="N67" s="5">
        <v>74398</v>
      </c>
      <c r="O67" s="4">
        <v>77037</v>
      </c>
      <c r="P67" s="4">
        <v>82755</v>
      </c>
      <c r="Q67" s="4">
        <v>88132</v>
      </c>
      <c r="R67" s="4">
        <v>95641</v>
      </c>
      <c r="S67" s="4">
        <v>102502</v>
      </c>
      <c r="T67" s="4">
        <v>112308</v>
      </c>
      <c r="U67" s="4">
        <v>121375</v>
      </c>
      <c r="V67" s="4">
        <v>135591</v>
      </c>
      <c r="W67" s="4">
        <v>152863</v>
      </c>
      <c r="AG67" s="4">
        <v>930</v>
      </c>
      <c r="AH67" s="4">
        <v>1192</v>
      </c>
      <c r="AI67" s="4">
        <v>1326</v>
      </c>
      <c r="AJ67" s="4">
        <v>1465</v>
      </c>
      <c r="AK67" s="4">
        <v>1505</v>
      </c>
      <c r="AL67" s="4">
        <v>1611</v>
      </c>
      <c r="AM67" s="4">
        <v>1903</v>
      </c>
      <c r="AN67" s="4">
        <v>2309</v>
      </c>
      <c r="AO67" s="4">
        <v>2268</v>
      </c>
      <c r="AP67" s="4">
        <v>2223</v>
      </c>
      <c r="AQ67" s="4">
        <v>2326</v>
      </c>
      <c r="AR67" s="4">
        <v>2346</v>
      </c>
      <c r="AS67" s="4">
        <v>3044</v>
      </c>
      <c r="AT67" s="4">
        <v>4350</v>
      </c>
      <c r="AU67" s="4">
        <v>6242</v>
      </c>
      <c r="AV67" s="4">
        <v>7535</v>
      </c>
      <c r="AW67" s="4">
        <v>7630</v>
      </c>
      <c r="AX67" s="4">
        <v>8162</v>
      </c>
      <c r="AY67" s="4">
        <v>8269</v>
      </c>
      <c r="AZ67" s="4">
        <v>9991</v>
      </c>
      <c r="BA67" s="4">
        <v>13011</v>
      </c>
      <c r="BG67" s="5"/>
      <c r="BH67" s="5"/>
      <c r="BI67" s="5"/>
      <c r="BJ67" s="5"/>
    </row>
    <row r="68" spans="2:62" s="4" customFormat="1">
      <c r="B68" s="4" t="s">
        <v>39</v>
      </c>
      <c r="C68" s="5"/>
      <c r="D68" s="5"/>
      <c r="E68" s="5"/>
      <c r="F68" s="5"/>
      <c r="G68" s="5">
        <v>9047</v>
      </c>
      <c r="H68" s="5">
        <v>10298</v>
      </c>
      <c r="I68" s="5">
        <v>10673</v>
      </c>
      <c r="J68" s="5">
        <v>11088</v>
      </c>
      <c r="K68" s="5">
        <v>11575</v>
      </c>
      <c r="L68" s="5">
        <v>12354</v>
      </c>
      <c r="M68" s="5">
        <v>12916</v>
      </c>
      <c r="N68" s="5">
        <v>13148</v>
      </c>
      <c r="O68" s="4">
        <v>13347</v>
      </c>
      <c r="P68" s="4">
        <v>13624</v>
      </c>
      <c r="Q68" s="4">
        <v>13879</v>
      </c>
      <c r="R68" s="4">
        <v>14346</v>
      </c>
      <c r="S68" s="4">
        <v>15435</v>
      </c>
      <c r="T68" s="4">
        <v>16398</v>
      </c>
      <c r="U68" s="4">
        <v>17371</v>
      </c>
      <c r="V68" s="4">
        <v>18961</v>
      </c>
      <c r="W68" s="4">
        <v>20528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G68" s="5"/>
      <c r="BH68" s="5"/>
      <c r="BI68" s="5"/>
      <c r="BJ68" s="5"/>
    </row>
    <row r="69" spans="2:62" s="4" customFormat="1">
      <c r="B69" s="4" t="s">
        <v>40</v>
      </c>
      <c r="C69" s="5"/>
      <c r="D69" s="5"/>
      <c r="E69" s="5"/>
      <c r="F69" s="5"/>
      <c r="G69" s="5">
        <f>43890+6923</f>
        <v>50813</v>
      </c>
      <c r="H69" s="5">
        <f>44219+6555</f>
        <v>50774</v>
      </c>
      <c r="I69" s="5">
        <f>49698+8127</f>
        <v>57825</v>
      </c>
      <c r="J69" s="5">
        <f>49711+7800</f>
        <v>57511</v>
      </c>
      <c r="K69" s="5">
        <f>50455+7794</f>
        <v>58249</v>
      </c>
      <c r="L69" s="5">
        <f>50921+7462</f>
        <v>58383</v>
      </c>
      <c r="M69" s="5">
        <f>67371+11348</f>
        <v>78719</v>
      </c>
      <c r="N69" s="5">
        <f>67524+11298</f>
        <v>78822</v>
      </c>
      <c r="O69" s="4">
        <f>67459+10808</f>
        <v>78267</v>
      </c>
      <c r="P69" s="4">
        <f>67905+10354</f>
        <v>78259</v>
      </c>
      <c r="Q69" s="4">
        <f>67940+9879</f>
        <v>77819</v>
      </c>
      <c r="R69" s="4">
        <f>67886+9366</f>
        <v>77252</v>
      </c>
      <c r="S69" s="4">
        <f>67790+8895</f>
        <v>76685</v>
      </c>
      <c r="T69" s="4">
        <f>118931+29896</f>
        <v>148827</v>
      </c>
      <c r="U69" s="4">
        <f>119163+28828</f>
        <v>147991</v>
      </c>
      <c r="V69" s="4">
        <f>119220+27597</f>
        <v>146817</v>
      </c>
      <c r="W69" s="4">
        <f>119374+26751</f>
        <v>146125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f>1426+243</f>
        <v>1669</v>
      </c>
      <c r="AP69" s="4">
        <f>3128+384</f>
        <v>3512</v>
      </c>
      <c r="AQ69" s="4">
        <f>3115+569</f>
        <v>3684</v>
      </c>
      <c r="AR69" s="4">
        <f>3309+499</f>
        <v>3808</v>
      </c>
      <c r="AS69" s="4">
        <f>3866+539</f>
        <v>4405</v>
      </c>
      <c r="AT69" s="4">
        <f>4760+878</f>
        <v>5638</v>
      </c>
      <c r="AU69" s="4">
        <f>12108+1973</f>
        <v>14081</v>
      </c>
      <c r="AV69" s="4">
        <f>12503+1759</f>
        <v>14262</v>
      </c>
      <c r="AW69" s="4">
        <f>12394+1158</f>
        <v>13552</v>
      </c>
      <c r="AX69" s="4">
        <f>12581+744</f>
        <v>13325</v>
      </c>
      <c r="AY69" s="4">
        <f>13452+3170</f>
        <v>16622</v>
      </c>
      <c r="AZ69" s="4">
        <f>14655+3083</f>
        <v>17738</v>
      </c>
      <c r="BA69" s="4">
        <f>20127+6981</f>
        <v>27108</v>
      </c>
      <c r="BG69" s="5"/>
      <c r="BH69" s="5"/>
      <c r="BI69" s="5"/>
      <c r="BJ69" s="5"/>
    </row>
    <row r="70" spans="2:62" s="4" customFormat="1">
      <c r="B70" s="4" t="s">
        <v>42</v>
      </c>
      <c r="C70" s="5"/>
      <c r="D70" s="5"/>
      <c r="E70" s="5"/>
      <c r="F70" s="5"/>
      <c r="G70" s="5">
        <v>13034</v>
      </c>
      <c r="H70" s="5">
        <v>13561</v>
      </c>
      <c r="I70" s="5">
        <v>14427</v>
      </c>
      <c r="J70" s="5">
        <v>15075</v>
      </c>
      <c r="K70" s="5">
        <v>21103</v>
      </c>
      <c r="L70" s="5">
        <v>21256</v>
      </c>
      <c r="M70" s="5">
        <v>21845</v>
      </c>
      <c r="N70" s="5">
        <v>21897</v>
      </c>
      <c r="O70" s="4">
        <v>23482</v>
      </c>
      <c r="P70" s="4">
        <v>24994</v>
      </c>
      <c r="Q70" s="4">
        <v>26954</v>
      </c>
      <c r="R70" s="4">
        <v>30601</v>
      </c>
      <c r="S70" s="4">
        <v>32154</v>
      </c>
      <c r="T70" s="4">
        <v>32265</v>
      </c>
      <c r="U70" s="4">
        <v>35551</v>
      </c>
      <c r="V70" s="4">
        <v>36460</v>
      </c>
      <c r="W70" s="4">
        <v>37793</v>
      </c>
      <c r="AG70" s="4">
        <v>121</v>
      </c>
      <c r="AH70" s="4">
        <v>398</v>
      </c>
      <c r="AI70" s="4">
        <v>928</v>
      </c>
      <c r="AJ70" s="4">
        <v>203</v>
      </c>
      <c r="AK70" s="4">
        <v>260</v>
      </c>
      <c r="AL70" s="4">
        <v>940</v>
      </c>
      <c r="AM70" s="4">
        <v>2213</v>
      </c>
      <c r="AN70" s="4">
        <v>3170</v>
      </c>
      <c r="AO70" s="4">
        <v>942</v>
      </c>
      <c r="AP70" s="4">
        <v>1171</v>
      </c>
      <c r="AQ70" s="4">
        <f>1829+1774</f>
        <v>3603</v>
      </c>
      <c r="AR70" s="4">
        <f>3621+1299</f>
        <v>4920</v>
      </c>
      <c r="AS70" s="4">
        <f>2611+1295</f>
        <v>3906</v>
      </c>
      <c r="AT70" s="4">
        <f>1389+1509</f>
        <v>2898</v>
      </c>
      <c r="AU70" s="4">
        <f>949+1691</f>
        <v>2640</v>
      </c>
      <c r="AV70" s="4">
        <f>279+1599</f>
        <v>1878</v>
      </c>
      <c r="AW70" s="4">
        <v>1501</v>
      </c>
      <c r="AX70" s="4">
        <f>1434</f>
        <v>1434</v>
      </c>
      <c r="AY70" s="4">
        <v>1520</v>
      </c>
      <c r="AZ70" s="4">
        <v>2392</v>
      </c>
      <c r="BA70" s="4">
        <v>3422</v>
      </c>
      <c r="BG70" s="5"/>
      <c r="BH70" s="5"/>
      <c r="BI70" s="5"/>
      <c r="BJ70" s="5"/>
    </row>
    <row r="71" spans="2:62" s="6" customFormat="1" ht="13">
      <c r="B71" s="6" t="s">
        <v>41</v>
      </c>
      <c r="C71" s="7"/>
      <c r="D71" s="7"/>
      <c r="E71" s="7"/>
      <c r="F71" s="7"/>
      <c r="G71" s="7">
        <f t="shared" ref="G71:H71" si="175">SUM(G63:G70)</f>
        <v>301001</v>
      </c>
      <c r="H71" s="7">
        <f t="shared" si="175"/>
        <v>304137</v>
      </c>
      <c r="I71" s="7">
        <f t="shared" ref="I71:K71" si="176">SUM(I63:I70)</f>
        <v>308879</v>
      </c>
      <c r="J71" s="7">
        <f t="shared" si="176"/>
        <v>333779</v>
      </c>
      <c r="K71" s="7">
        <f t="shared" si="176"/>
        <v>335418</v>
      </c>
      <c r="L71" s="7">
        <f t="shared" ref="L71" si="177">SUM(L63:L70)</f>
        <v>340389</v>
      </c>
      <c r="M71" s="7">
        <f t="shared" ref="M71:W71" si="178">SUM(M63:M70)</f>
        <v>344607</v>
      </c>
      <c r="N71" s="7">
        <f t="shared" si="178"/>
        <v>364840</v>
      </c>
      <c r="O71" s="7">
        <f t="shared" si="178"/>
        <v>359784</v>
      </c>
      <c r="P71" s="7">
        <f t="shared" si="178"/>
        <v>364552</v>
      </c>
      <c r="Q71" s="7">
        <f t="shared" si="178"/>
        <v>380088</v>
      </c>
      <c r="R71" s="7">
        <f t="shared" si="178"/>
        <v>411976</v>
      </c>
      <c r="S71" s="7">
        <f t="shared" si="178"/>
        <v>445785</v>
      </c>
      <c r="T71" s="7">
        <f t="shared" si="178"/>
        <v>470558</v>
      </c>
      <c r="U71" s="7">
        <f t="shared" si="178"/>
        <v>484275</v>
      </c>
      <c r="V71" s="7">
        <f t="shared" si="178"/>
        <v>512163</v>
      </c>
      <c r="W71" s="7">
        <f t="shared" si="178"/>
        <v>523013</v>
      </c>
      <c r="X71" s="7"/>
      <c r="Y71" s="7"/>
      <c r="Z71" s="7"/>
      <c r="AG71" s="6">
        <f t="shared" ref="AG71:BA71" si="179">SUM(AG63:AG70)</f>
        <v>5363</v>
      </c>
      <c r="AH71" s="6">
        <f t="shared" si="179"/>
        <v>7210</v>
      </c>
      <c r="AI71" s="6">
        <f t="shared" si="179"/>
        <v>10093</v>
      </c>
      <c r="AJ71" s="6">
        <f t="shared" si="179"/>
        <v>14387</v>
      </c>
      <c r="AK71" s="6">
        <f t="shared" si="179"/>
        <v>22357</v>
      </c>
      <c r="AL71" s="6">
        <f t="shared" si="179"/>
        <v>37156</v>
      </c>
      <c r="AM71" s="6">
        <f t="shared" si="179"/>
        <v>52150</v>
      </c>
      <c r="AN71" s="6">
        <f t="shared" si="179"/>
        <v>59257</v>
      </c>
      <c r="AO71" s="6">
        <f t="shared" si="179"/>
        <v>67646</v>
      </c>
      <c r="AP71" s="6">
        <f t="shared" si="179"/>
        <v>79571</v>
      </c>
      <c r="AQ71" s="6">
        <f t="shared" si="179"/>
        <v>92389</v>
      </c>
      <c r="AR71" s="6">
        <f t="shared" si="179"/>
        <v>70815</v>
      </c>
      <c r="AS71" s="6">
        <f t="shared" si="179"/>
        <v>69597</v>
      </c>
      <c r="AT71" s="6">
        <f t="shared" si="179"/>
        <v>63171</v>
      </c>
      <c r="AU71" s="6">
        <f t="shared" si="179"/>
        <v>72793</v>
      </c>
      <c r="AV71" s="6">
        <f t="shared" si="179"/>
        <v>77888</v>
      </c>
      <c r="AW71" s="6">
        <f t="shared" si="179"/>
        <v>86113</v>
      </c>
      <c r="AX71" s="6">
        <f t="shared" si="179"/>
        <v>108704</v>
      </c>
      <c r="AY71" s="6">
        <f t="shared" si="179"/>
        <v>121271</v>
      </c>
      <c r="AZ71" s="6">
        <f t="shared" si="179"/>
        <v>142431</v>
      </c>
      <c r="BA71" s="6">
        <f t="shared" si="179"/>
        <v>172384</v>
      </c>
      <c r="BG71" s="7"/>
      <c r="BH71" s="7"/>
      <c r="BI71" s="7"/>
      <c r="BJ71" s="7"/>
    </row>
    <row r="72" spans="2:62">
      <c r="AK72" t="s">
        <v>269</v>
      </c>
    </row>
    <row r="73" spans="2:62" s="4" customFormat="1">
      <c r="B73" s="4" t="s">
        <v>43</v>
      </c>
      <c r="C73" s="5"/>
      <c r="D73" s="5"/>
      <c r="E73" s="5"/>
      <c r="F73" s="5"/>
      <c r="G73" s="5">
        <v>12509</v>
      </c>
      <c r="H73" s="5">
        <v>12770</v>
      </c>
      <c r="I73" s="5">
        <v>13412</v>
      </c>
      <c r="J73" s="5">
        <v>15163</v>
      </c>
      <c r="K73" s="5">
        <v>14832</v>
      </c>
      <c r="L73" s="5">
        <v>15314</v>
      </c>
      <c r="M73" s="5">
        <v>16085</v>
      </c>
      <c r="N73" s="5">
        <v>19000</v>
      </c>
      <c r="O73" s="4">
        <v>16609</v>
      </c>
      <c r="P73" s="4">
        <v>15354</v>
      </c>
      <c r="Q73" s="4">
        <v>15305</v>
      </c>
      <c r="R73" s="4">
        <v>18095</v>
      </c>
      <c r="S73" s="4">
        <v>19307</v>
      </c>
      <c r="T73" s="4">
        <v>17695</v>
      </c>
      <c r="U73" s="4">
        <v>18087</v>
      </c>
      <c r="V73" s="4">
        <v>21996</v>
      </c>
      <c r="W73" s="4">
        <v>22768</v>
      </c>
      <c r="AG73" s="4">
        <v>324</v>
      </c>
      <c r="AH73" s="4">
        <v>563</v>
      </c>
      <c r="AI73" s="4">
        <v>808</v>
      </c>
      <c r="AJ73" s="4">
        <v>721</v>
      </c>
      <c r="AK73" s="4">
        <v>759</v>
      </c>
      <c r="AL73" s="4">
        <v>874</v>
      </c>
      <c r="AM73" s="4">
        <v>1083</v>
      </c>
      <c r="AN73" s="4">
        <v>1188</v>
      </c>
      <c r="AO73" s="4">
        <v>1208</v>
      </c>
      <c r="AP73" s="4">
        <v>1573</v>
      </c>
      <c r="AQ73" s="4">
        <v>1717</v>
      </c>
      <c r="AR73" s="4">
        <v>2086</v>
      </c>
      <c r="AS73" s="4">
        <v>2909</v>
      </c>
      <c r="AT73" s="4">
        <v>3247</v>
      </c>
      <c r="AU73" s="4">
        <v>4034</v>
      </c>
      <c r="AV73" s="4">
        <f>3324</f>
        <v>3324</v>
      </c>
      <c r="AW73" s="4">
        <v>4025</v>
      </c>
      <c r="AX73" s="4">
        <v>4197</v>
      </c>
      <c r="AY73" s="4">
        <v>4175</v>
      </c>
      <c r="AZ73" s="4">
        <v>4828</v>
      </c>
      <c r="BA73" s="4">
        <v>7432</v>
      </c>
      <c r="BG73" s="5"/>
      <c r="BH73" s="5"/>
      <c r="BI73" s="5"/>
      <c r="BJ73" s="5"/>
    </row>
    <row r="74" spans="2:62" s="4" customFormat="1">
      <c r="B74" s="4" t="s">
        <v>4</v>
      </c>
      <c r="C74" s="5"/>
      <c r="D74" s="5"/>
      <c r="E74" s="5"/>
      <c r="F74" s="5"/>
      <c r="G74" s="5">
        <f>6497+57055</f>
        <v>63552</v>
      </c>
      <c r="H74" s="5">
        <f>5387+55136</f>
        <v>60523</v>
      </c>
      <c r="I74" s="5">
        <f>8051+50007</f>
        <v>58058</v>
      </c>
      <c r="J74" s="5">
        <f>8072+50074</f>
        <v>58146</v>
      </c>
      <c r="K74" s="5">
        <f>3249+50039</f>
        <v>53288</v>
      </c>
      <c r="L74" s="5">
        <f>4998+48260</f>
        <v>53258</v>
      </c>
      <c r="M74" s="5">
        <f>1749+48177</f>
        <v>49926</v>
      </c>
      <c r="N74" s="5">
        <f>2749+47032</f>
        <v>49781</v>
      </c>
      <c r="O74" s="4">
        <f>3248+45374</f>
        <v>48622</v>
      </c>
      <c r="P74" s="4">
        <f>3997+44119</f>
        <v>48116</v>
      </c>
      <c r="Q74" s="4">
        <f>6245+41965</f>
        <v>48210</v>
      </c>
      <c r="R74" s="4">
        <f>5247+41990</f>
        <v>47237</v>
      </c>
      <c r="S74" s="4">
        <f>25808+41946+3748</f>
        <v>71502</v>
      </c>
      <c r="T74" s="4">
        <f>27041+44928+2250</f>
        <v>74219</v>
      </c>
      <c r="U74" s="4">
        <f>20535+42658+2249</f>
        <v>65442</v>
      </c>
      <c r="V74" s="4">
        <f>6693+42688+2249</f>
        <v>51630</v>
      </c>
      <c r="W74" s="4">
        <f>2249+42868</f>
        <v>45117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f>2000+3746</f>
        <v>5746</v>
      </c>
      <c r="AW74" s="4">
        <f>1000+4939</f>
        <v>5939</v>
      </c>
      <c r="AX74" s="4">
        <v>11921</v>
      </c>
      <c r="AY74" s="4">
        <f>1231+10713</f>
        <v>11944</v>
      </c>
      <c r="AZ74" s="4">
        <f>2999+12601</f>
        <v>15600</v>
      </c>
      <c r="BA74" s="4">
        <f>2000+20645</f>
        <v>22645</v>
      </c>
      <c r="BG74" s="5"/>
      <c r="BH74" s="5"/>
      <c r="BI74" s="5"/>
      <c r="BJ74" s="5"/>
    </row>
    <row r="75" spans="2:62" s="4" customFormat="1">
      <c r="B75" s="4" t="s">
        <v>45</v>
      </c>
      <c r="C75" s="5"/>
      <c r="D75" s="5"/>
      <c r="E75" s="5"/>
      <c r="F75" s="5"/>
      <c r="G75" s="5">
        <v>5714</v>
      </c>
      <c r="H75" s="5">
        <v>6838</v>
      </c>
      <c r="I75" s="5">
        <v>8032</v>
      </c>
      <c r="J75" s="5">
        <v>10057</v>
      </c>
      <c r="K75" s="5">
        <v>6894</v>
      </c>
      <c r="L75" s="5">
        <v>7782</v>
      </c>
      <c r="M75" s="5">
        <v>9067</v>
      </c>
      <c r="N75" s="5">
        <v>10661</v>
      </c>
      <c r="O75" s="4">
        <v>7405</v>
      </c>
      <c r="P75" s="4">
        <v>9030</v>
      </c>
      <c r="Q75" s="4">
        <v>10411</v>
      </c>
      <c r="R75" s="4">
        <v>11009</v>
      </c>
      <c r="S75" s="4">
        <v>6990</v>
      </c>
      <c r="T75" s="4">
        <v>8813</v>
      </c>
      <c r="U75" s="4">
        <v>10432</v>
      </c>
      <c r="V75" s="4">
        <v>12564</v>
      </c>
      <c r="W75" s="4">
        <v>8326</v>
      </c>
      <c r="AG75" s="4">
        <v>96</v>
      </c>
      <c r="AH75" s="4">
        <v>130</v>
      </c>
      <c r="AI75" s="4">
        <v>202</v>
      </c>
      <c r="AJ75" s="4">
        <v>336</v>
      </c>
      <c r="AK75" s="4">
        <v>359</v>
      </c>
      <c r="AL75" s="4">
        <v>396</v>
      </c>
      <c r="AM75" s="4">
        <v>557</v>
      </c>
      <c r="AN75" s="4">
        <v>742</v>
      </c>
      <c r="AO75" s="4">
        <v>1145</v>
      </c>
      <c r="AP75" s="4">
        <v>1416</v>
      </c>
      <c r="AQ75" s="4">
        <v>1339</v>
      </c>
      <c r="AR75" s="4">
        <v>1662</v>
      </c>
      <c r="AS75" s="4">
        <v>1938</v>
      </c>
      <c r="AT75" s="4">
        <v>2325</v>
      </c>
      <c r="AU75" s="4">
        <v>2934</v>
      </c>
      <c r="AV75" s="4">
        <v>3156</v>
      </c>
      <c r="AW75" s="4">
        <v>3283</v>
      </c>
      <c r="AX75" s="4">
        <v>3575</v>
      </c>
      <c r="AY75" s="4">
        <v>3875</v>
      </c>
      <c r="AZ75" s="4">
        <v>4117</v>
      </c>
      <c r="BA75" s="4">
        <v>4797</v>
      </c>
      <c r="BG75" s="5"/>
      <c r="BH75" s="5"/>
      <c r="BI75" s="5"/>
      <c r="BJ75" s="5"/>
    </row>
    <row r="76" spans="2:62" s="4" customFormat="1">
      <c r="B76" s="4" t="s">
        <v>30</v>
      </c>
      <c r="C76" s="5"/>
      <c r="D76" s="5"/>
      <c r="E76" s="5"/>
      <c r="F76" s="5"/>
      <c r="G76" s="5">
        <f>2384+28204+187</f>
        <v>30775</v>
      </c>
      <c r="H76" s="5">
        <f>1562+174+26701</f>
        <v>28437</v>
      </c>
      <c r="I76" s="5">
        <f>2165+27157+173</f>
        <v>29495</v>
      </c>
      <c r="J76" s="5">
        <f>2174+27190+198</f>
        <v>29562</v>
      </c>
      <c r="K76" s="5">
        <f>6272+25715+212</f>
        <v>32199</v>
      </c>
      <c r="L76" s="5">
        <f>3731+26121+199</f>
        <v>30051</v>
      </c>
      <c r="M76" s="5">
        <f>4646+26483+304</f>
        <v>31433</v>
      </c>
      <c r="N76" s="5">
        <f>4067+26069+230</f>
        <v>30366</v>
      </c>
      <c r="O76" s="4">
        <f>6729+23712</f>
        <v>30441</v>
      </c>
      <c r="P76" s="4">
        <f>3553+289+24169</f>
        <v>28011</v>
      </c>
      <c r="Q76" s="4">
        <f>4163+25000+302</f>
        <v>29465</v>
      </c>
      <c r="R76" s="4">
        <f>4152+25560+433</f>
        <v>30145</v>
      </c>
      <c r="S76" s="4">
        <f>470+22983+8035</f>
        <v>31488</v>
      </c>
      <c r="T76" s="4">
        <f>5787+2548+25890</f>
        <v>34225</v>
      </c>
      <c r="U76" s="4">
        <f>7311+26786+2469</f>
        <v>36566</v>
      </c>
      <c r="V76" s="4">
        <f>5017+27931+2618</f>
        <v>35566</v>
      </c>
      <c r="W76" s="4">
        <f>9717+2581+24452</f>
        <v>36750</v>
      </c>
      <c r="AG76" s="4">
        <v>305</v>
      </c>
      <c r="AH76" s="4">
        <v>410</v>
      </c>
      <c r="AI76" s="4">
        <v>484</v>
      </c>
      <c r="AJ76" s="4">
        <v>466</v>
      </c>
      <c r="AK76" s="4">
        <v>915</v>
      </c>
      <c r="AL76" s="4">
        <v>1607</v>
      </c>
      <c r="AM76" s="4">
        <v>585</v>
      </c>
      <c r="AN76" s="4">
        <v>1468</v>
      </c>
      <c r="AO76" s="4">
        <v>2022</v>
      </c>
      <c r="AP76" s="4">
        <v>2044</v>
      </c>
      <c r="AQ76" s="4">
        <v>3478</v>
      </c>
      <c r="AR76" s="4">
        <f>2020</f>
        <v>2020</v>
      </c>
      <c r="AS76" s="4">
        <v>1557</v>
      </c>
      <c r="AT76" s="4">
        <v>1040</v>
      </c>
      <c r="AU76" s="4">
        <v>3248</v>
      </c>
      <c r="AV76" s="4">
        <f>725</f>
        <v>725</v>
      </c>
      <c r="AW76" s="4">
        <v>1074</v>
      </c>
      <c r="AX76" s="4">
        <v>580</v>
      </c>
      <c r="AY76" s="4">
        <v>789</v>
      </c>
      <c r="AZ76" s="4">
        <v>592</v>
      </c>
      <c r="BA76" s="4">
        <f>782+2728</f>
        <v>3510</v>
      </c>
      <c r="BG76" s="5"/>
      <c r="BH76" s="5"/>
      <c r="BI76" s="5"/>
      <c r="BJ76" s="5"/>
    </row>
    <row r="77" spans="2:62" s="4" customFormat="1">
      <c r="B77" s="4" t="s">
        <v>44</v>
      </c>
      <c r="C77" s="5"/>
      <c r="D77" s="5"/>
      <c r="E77" s="5"/>
      <c r="F77" s="5"/>
      <c r="G77" s="5">
        <f>33476+2829</f>
        <v>36305</v>
      </c>
      <c r="H77" s="5">
        <f>30402+2985</f>
        <v>33387</v>
      </c>
      <c r="I77" s="5">
        <f>30083+2631</f>
        <v>32714</v>
      </c>
      <c r="J77" s="5">
        <f>41525+2616</f>
        <v>44141</v>
      </c>
      <c r="K77" s="5">
        <f>2550+38465</f>
        <v>41015</v>
      </c>
      <c r="L77" s="5">
        <f>2768+34001</f>
        <v>36769</v>
      </c>
      <c r="M77" s="5">
        <f>34027+2769</f>
        <v>36796</v>
      </c>
      <c r="N77" s="5">
        <f>45538+2870</f>
        <v>48408</v>
      </c>
      <c r="O77" s="4">
        <f>41340+2549+223</f>
        <v>44112</v>
      </c>
      <c r="P77" s="4">
        <f>2644+36982</f>
        <v>39626</v>
      </c>
      <c r="Q77" s="4">
        <f>2698+36903</f>
        <v>39601</v>
      </c>
      <c r="R77" s="4">
        <f>2912+50901</f>
        <v>53813</v>
      </c>
      <c r="S77" s="4">
        <f>46429+2759</f>
        <v>49188</v>
      </c>
      <c r="T77" s="4">
        <f>2966+43068</f>
        <v>46034</v>
      </c>
      <c r="U77" s="4">
        <f>41888+2945</f>
        <v>44833</v>
      </c>
      <c r="V77" s="4">
        <f>2602+57582</f>
        <v>60184</v>
      </c>
      <c r="W77" s="4">
        <f>53026+2663</f>
        <v>55689</v>
      </c>
      <c r="AG77" s="4">
        <v>0</v>
      </c>
      <c r="AH77" s="4">
        <v>0</v>
      </c>
      <c r="AI77" s="4">
        <v>560</v>
      </c>
      <c r="AJ77" s="4">
        <v>1418</v>
      </c>
      <c r="AK77" s="4">
        <v>2888</v>
      </c>
      <c r="AL77" s="4">
        <v>4239</v>
      </c>
      <c r="AM77" s="4">
        <v>4816</v>
      </c>
      <c r="AN77" s="4">
        <v>5614</v>
      </c>
      <c r="AO77" s="4">
        <f>5920+1823</f>
        <v>7743</v>
      </c>
      <c r="AP77" s="4">
        <f>7225+1790</f>
        <v>9015</v>
      </c>
      <c r="AQ77" s="4">
        <f>6514+1663</f>
        <v>8177</v>
      </c>
      <c r="AR77" s="4">
        <f>7502+1665</f>
        <v>9167</v>
      </c>
      <c r="AS77" s="4">
        <f>9138+1764</f>
        <v>10902</v>
      </c>
      <c r="AT77" s="4">
        <f>10779+1867</f>
        <v>12646</v>
      </c>
      <c r="AU77" s="4">
        <f>13397+1900</f>
        <v>15297</v>
      </c>
      <c r="AV77" s="4">
        <f>13003+1281</f>
        <v>14284</v>
      </c>
      <c r="AW77" s="4">
        <f>13652+1178</f>
        <v>14830</v>
      </c>
      <c r="AX77" s="4">
        <f>15722+1398</f>
        <v>17120</v>
      </c>
      <c r="AY77" s="4">
        <f>18653+1406</f>
        <v>20059</v>
      </c>
      <c r="AZ77" s="4">
        <f>20639+1760</f>
        <v>22399</v>
      </c>
      <c r="BA77" s="4">
        <f>23150+2008</f>
        <v>25158</v>
      </c>
      <c r="BG77" s="5"/>
      <c r="BH77" s="5"/>
      <c r="BI77" s="5"/>
      <c r="BJ77" s="5"/>
    </row>
    <row r="78" spans="2:62" s="4" customFormat="1">
      <c r="B78" s="4" t="s">
        <v>46</v>
      </c>
      <c r="C78" s="5"/>
      <c r="D78" s="5"/>
      <c r="E78" s="5"/>
      <c r="F78" s="5"/>
      <c r="G78" s="5">
        <v>9476</v>
      </c>
      <c r="H78" s="5">
        <v>10527</v>
      </c>
      <c r="I78" s="5">
        <v>10450</v>
      </c>
      <c r="J78" s="5">
        <v>11666</v>
      </c>
      <c r="K78" s="5">
        <v>10816</v>
      </c>
      <c r="L78" s="5">
        <v>11684</v>
      </c>
      <c r="M78" s="5">
        <v>11865</v>
      </c>
      <c r="N78" s="5">
        <v>13067</v>
      </c>
      <c r="O78" s="4">
        <v>12058</v>
      </c>
      <c r="P78" s="4">
        <v>12802</v>
      </c>
      <c r="Q78" s="4">
        <v>12664</v>
      </c>
      <c r="R78" s="4">
        <v>14745</v>
      </c>
      <c r="S78" s="4">
        <v>14475</v>
      </c>
      <c r="T78" s="4">
        <v>16362</v>
      </c>
      <c r="U78" s="4">
        <v>18023</v>
      </c>
      <c r="V78" s="4">
        <v>19185</v>
      </c>
      <c r="W78" s="4">
        <v>19114</v>
      </c>
      <c r="AG78" s="4">
        <v>188</v>
      </c>
      <c r="AH78" s="4">
        <v>244</v>
      </c>
      <c r="AI78" s="4">
        <v>371</v>
      </c>
      <c r="AJ78" s="4">
        <v>669</v>
      </c>
      <c r="AK78" s="4">
        <v>809</v>
      </c>
      <c r="AL78" s="4">
        <v>1602</v>
      </c>
      <c r="AM78" s="4">
        <v>2714</v>
      </c>
      <c r="AN78" s="4">
        <v>2120</v>
      </c>
      <c r="AO78" s="4">
        <v>2449</v>
      </c>
      <c r="AP78" s="4">
        <v>1716</v>
      </c>
      <c r="AQ78" s="4">
        <v>1921</v>
      </c>
      <c r="AR78" s="4">
        <v>3607</v>
      </c>
      <c r="AS78" s="4">
        <v>3783</v>
      </c>
      <c r="AT78" s="4">
        <v>3622</v>
      </c>
      <c r="AU78" s="4">
        <v>3659</v>
      </c>
      <c r="AV78" s="4">
        <v>3142</v>
      </c>
      <c r="AW78" s="4">
        <v>2931</v>
      </c>
      <c r="AX78" s="4">
        <f>3492</f>
        <v>3492</v>
      </c>
      <c r="AY78" s="4">
        <v>3151</v>
      </c>
      <c r="AZ78" s="4">
        <v>3597</v>
      </c>
      <c r="BA78" s="4">
        <v>6906</v>
      </c>
      <c r="BG78" s="5"/>
      <c r="BH78" s="5"/>
      <c r="BI78" s="5"/>
      <c r="BJ78" s="5"/>
    </row>
    <row r="79" spans="2:62" s="4" customFormat="1">
      <c r="B79" s="4" t="s">
        <v>39</v>
      </c>
      <c r="C79" s="5"/>
      <c r="D79" s="5"/>
      <c r="E79" s="5"/>
      <c r="F79" s="5"/>
      <c r="G79" s="5">
        <v>7753</v>
      </c>
      <c r="H79" s="5">
        <v>8875</v>
      </c>
      <c r="I79" s="5">
        <v>9272</v>
      </c>
      <c r="J79" s="5">
        <v>9629</v>
      </c>
      <c r="K79" s="5">
        <v>10050</v>
      </c>
      <c r="L79" s="5">
        <v>10774</v>
      </c>
      <c r="M79" s="5">
        <v>11357</v>
      </c>
      <c r="N79" s="5">
        <v>11489</v>
      </c>
      <c r="O79" s="4">
        <v>11660</v>
      </c>
      <c r="P79" s="4">
        <v>11998</v>
      </c>
      <c r="Q79" s="4">
        <v>12312</v>
      </c>
      <c r="R79" s="4">
        <v>12728</v>
      </c>
      <c r="S79" s="4">
        <v>13487</v>
      </c>
      <c r="T79" s="4">
        <v>14155</v>
      </c>
      <c r="U79" s="4">
        <v>14469</v>
      </c>
      <c r="V79" s="4">
        <v>15497</v>
      </c>
      <c r="W79" s="4">
        <v>16361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G79" s="5"/>
      <c r="BH79" s="5"/>
      <c r="BI79" s="5"/>
      <c r="BJ79" s="5"/>
    </row>
    <row r="80" spans="2:62" s="4" customFormat="1">
      <c r="B80" s="4" t="s">
        <v>48</v>
      </c>
      <c r="C80" s="5"/>
      <c r="D80" s="5"/>
      <c r="E80" s="5"/>
      <c r="F80" s="5"/>
      <c r="G80" s="5">
        <v>11525</v>
      </c>
      <c r="H80" s="5">
        <v>12544</v>
      </c>
      <c r="I80" s="5">
        <v>12941</v>
      </c>
      <c r="J80" s="5">
        <v>13427</v>
      </c>
      <c r="K80" s="5">
        <v>14346</v>
      </c>
      <c r="L80" s="5">
        <v>14747</v>
      </c>
      <c r="M80" s="5">
        <v>15154</v>
      </c>
      <c r="N80" s="5">
        <v>15526</v>
      </c>
      <c r="O80" s="4">
        <v>15311</v>
      </c>
      <c r="P80" s="4">
        <v>16479</v>
      </c>
      <c r="Q80" s="4">
        <v>17437</v>
      </c>
      <c r="R80" s="4">
        <v>17981</v>
      </c>
      <c r="S80" s="4">
        <v>18634</v>
      </c>
      <c r="T80" s="4">
        <v>20787</v>
      </c>
      <c r="U80" s="4">
        <v>23271</v>
      </c>
      <c r="V80" s="4">
        <v>27064</v>
      </c>
      <c r="W80" s="4">
        <v>31165</v>
      </c>
      <c r="AG80" s="4">
        <v>0</v>
      </c>
      <c r="AH80" s="4">
        <f>125+405</f>
        <v>530</v>
      </c>
      <c r="AI80" s="4">
        <f>125+635</f>
        <v>760</v>
      </c>
      <c r="AJ80" s="4">
        <v>0</v>
      </c>
      <c r="AK80" s="4">
        <v>0</v>
      </c>
      <c r="AL80" s="4">
        <v>0</v>
      </c>
      <c r="AM80" s="4">
        <v>1027</v>
      </c>
      <c r="AN80" s="4">
        <f>836</f>
        <v>836</v>
      </c>
      <c r="AO80" s="4">
        <f>398+501</f>
        <v>899</v>
      </c>
      <c r="AP80" s="4">
        <f>1731+1056</f>
        <v>2787</v>
      </c>
      <c r="AQ80" s="4">
        <v>932</v>
      </c>
      <c r="AR80" s="4">
        <v>4158</v>
      </c>
      <c r="AS80" s="4">
        <f>5287+3117</f>
        <v>8404</v>
      </c>
      <c r="AT80" s="4">
        <f>6453+2741</f>
        <v>9194</v>
      </c>
      <c r="AU80" s="4">
        <f>4721+2614</f>
        <v>7335</v>
      </c>
      <c r="AV80" s="4">
        <f>1684+6269</f>
        <v>7953</v>
      </c>
      <c r="AW80" s="4">
        <f>7445+229+182</f>
        <v>7856</v>
      </c>
      <c r="AX80" s="4">
        <f>8072+1456+1208</f>
        <v>10736</v>
      </c>
      <c r="AY80" s="4">
        <f>8208+1893+814</f>
        <v>10915</v>
      </c>
      <c r="AZ80" s="4">
        <f>10000+1709+645</f>
        <v>12354</v>
      </c>
      <c r="BA80" s="4">
        <f>11594+558</f>
        <v>12152</v>
      </c>
      <c r="BG80" s="5"/>
      <c r="BH80" s="5"/>
      <c r="BI80" s="5"/>
      <c r="BJ80" s="5"/>
    </row>
    <row r="81" spans="2:62" s="4" customFormat="1">
      <c r="B81" s="4" t="s">
        <v>47</v>
      </c>
      <c r="C81" s="5"/>
      <c r="D81" s="5"/>
      <c r="E81" s="5"/>
      <c r="F81" s="5"/>
      <c r="G81" s="5">
        <v>123392</v>
      </c>
      <c r="H81" s="5">
        <v>130236</v>
      </c>
      <c r="I81" s="5">
        <v>134505</v>
      </c>
      <c r="J81" s="5">
        <v>141988</v>
      </c>
      <c r="K81" s="5">
        <v>151978</v>
      </c>
      <c r="L81" s="5">
        <v>160010</v>
      </c>
      <c r="M81" s="5">
        <v>162924</v>
      </c>
      <c r="N81" s="5">
        <v>166542</v>
      </c>
      <c r="O81" s="4">
        <v>173566</v>
      </c>
      <c r="P81" s="4">
        <v>183136</v>
      </c>
      <c r="Q81" s="4">
        <v>194683</v>
      </c>
      <c r="R81" s="4">
        <v>206223</v>
      </c>
      <c r="S81" s="4">
        <v>220714</v>
      </c>
      <c r="T81" s="4">
        <v>238268</v>
      </c>
      <c r="U81" s="4">
        <v>253152</v>
      </c>
      <c r="V81" s="4">
        <v>268477</v>
      </c>
      <c r="W81" s="4">
        <v>287723</v>
      </c>
      <c r="AG81" s="4">
        <v>4450</v>
      </c>
      <c r="AH81" s="4">
        <v>5333</v>
      </c>
      <c r="AI81" s="4">
        <v>6908</v>
      </c>
      <c r="AJ81" s="4">
        <f>10777</f>
        <v>10777</v>
      </c>
      <c r="AK81" s="4">
        <v>16627</v>
      </c>
      <c r="AL81" s="4">
        <v>28438</v>
      </c>
      <c r="AM81" s="4">
        <v>41368</v>
      </c>
      <c r="AN81" s="4">
        <v>47289</v>
      </c>
      <c r="AO81" s="4">
        <v>52180</v>
      </c>
      <c r="AP81" s="4">
        <v>61020</v>
      </c>
      <c r="AQ81" s="4">
        <v>74825</v>
      </c>
      <c r="AR81" s="4">
        <v>48115</v>
      </c>
      <c r="AS81" s="4">
        <v>40104</v>
      </c>
      <c r="AT81" s="4">
        <v>31097</v>
      </c>
      <c r="AU81" s="4">
        <v>36286</v>
      </c>
      <c r="AV81" s="4">
        <v>39558</v>
      </c>
      <c r="AW81" s="4">
        <v>46175</v>
      </c>
      <c r="AX81" s="4">
        <v>57083</v>
      </c>
      <c r="AY81" s="4">
        <v>66363</v>
      </c>
      <c r="AZ81" s="4">
        <v>78944</v>
      </c>
      <c r="BA81" s="4">
        <v>89784</v>
      </c>
      <c r="BG81" s="5"/>
      <c r="BH81" s="5"/>
      <c r="BI81" s="5"/>
      <c r="BJ81" s="5"/>
    </row>
    <row r="82" spans="2:62" s="6" customFormat="1" ht="13">
      <c r="B82" s="6" t="s">
        <v>71</v>
      </c>
      <c r="C82" s="7"/>
      <c r="D82" s="7"/>
      <c r="E82" s="7"/>
      <c r="F82" s="7"/>
      <c r="G82" s="7">
        <f>SUM(G73:G81)</f>
        <v>301001</v>
      </c>
      <c r="H82" s="7">
        <f t="shared" ref="H82" si="180">SUM(H73:H81)</f>
        <v>304137</v>
      </c>
      <c r="I82" s="7">
        <f t="shared" ref="I82:L82" si="181">SUM(I73:I81)</f>
        <v>308879</v>
      </c>
      <c r="J82" s="7">
        <f t="shared" si="181"/>
        <v>333779</v>
      </c>
      <c r="K82" s="7">
        <f t="shared" si="181"/>
        <v>335418</v>
      </c>
      <c r="L82" s="7">
        <f t="shared" si="181"/>
        <v>340389</v>
      </c>
      <c r="M82" s="7">
        <f t="shared" ref="M82:S82" si="182">SUM(M73:M81)</f>
        <v>344607</v>
      </c>
      <c r="N82" s="7">
        <f t="shared" si="182"/>
        <v>364840</v>
      </c>
      <c r="O82" s="7">
        <f t="shared" si="182"/>
        <v>359784</v>
      </c>
      <c r="P82" s="7">
        <f t="shared" si="182"/>
        <v>364552</v>
      </c>
      <c r="Q82" s="7">
        <f t="shared" si="182"/>
        <v>380088</v>
      </c>
      <c r="R82" s="7">
        <f t="shared" si="182"/>
        <v>411976</v>
      </c>
      <c r="S82" s="7">
        <f t="shared" si="182"/>
        <v>445785</v>
      </c>
      <c r="T82" s="7">
        <f t="shared" ref="T82:W82" si="183">SUM(T73:T81)</f>
        <v>470558</v>
      </c>
      <c r="U82" s="7">
        <f t="shared" si="183"/>
        <v>484275</v>
      </c>
      <c r="V82" s="7">
        <f t="shared" si="183"/>
        <v>512163</v>
      </c>
      <c r="W82" s="7">
        <f t="shared" si="183"/>
        <v>523013</v>
      </c>
      <c r="X82" s="7"/>
      <c r="Y82" s="7"/>
      <c r="Z82" s="7"/>
      <c r="AG82" s="6">
        <f t="shared" ref="AG82:BA82" si="184">SUM(AG73:AG81)</f>
        <v>5363</v>
      </c>
      <c r="AH82" s="6">
        <f t="shared" si="184"/>
        <v>7210</v>
      </c>
      <c r="AI82" s="6">
        <f t="shared" si="184"/>
        <v>10093</v>
      </c>
      <c r="AJ82" s="6">
        <f t="shared" si="184"/>
        <v>14387</v>
      </c>
      <c r="AK82" s="6">
        <f t="shared" si="184"/>
        <v>22357</v>
      </c>
      <c r="AL82" s="6">
        <f t="shared" si="184"/>
        <v>37156</v>
      </c>
      <c r="AM82" s="6">
        <f t="shared" si="184"/>
        <v>52150</v>
      </c>
      <c r="AN82" s="6">
        <f t="shared" si="184"/>
        <v>59257</v>
      </c>
      <c r="AO82" s="6">
        <f t="shared" si="184"/>
        <v>67646</v>
      </c>
      <c r="AP82" s="6">
        <f t="shared" si="184"/>
        <v>79571</v>
      </c>
      <c r="AQ82" s="6">
        <f t="shared" si="184"/>
        <v>92389</v>
      </c>
      <c r="AR82" s="6">
        <f t="shared" si="184"/>
        <v>70815</v>
      </c>
      <c r="AS82" s="6">
        <f t="shared" si="184"/>
        <v>69597</v>
      </c>
      <c r="AT82" s="6">
        <f t="shared" si="184"/>
        <v>63171</v>
      </c>
      <c r="AU82" s="6">
        <f t="shared" si="184"/>
        <v>72793</v>
      </c>
      <c r="AV82" s="6">
        <f t="shared" si="184"/>
        <v>77888</v>
      </c>
      <c r="AW82" s="6">
        <f t="shared" si="184"/>
        <v>86113</v>
      </c>
      <c r="AX82" s="6">
        <f t="shared" si="184"/>
        <v>108704</v>
      </c>
      <c r="AY82" s="6">
        <f t="shared" si="184"/>
        <v>121271</v>
      </c>
      <c r="AZ82" s="6">
        <f t="shared" si="184"/>
        <v>142431</v>
      </c>
      <c r="BA82" s="6">
        <f t="shared" si="184"/>
        <v>172384</v>
      </c>
      <c r="BG82" s="7"/>
      <c r="BH82" s="7"/>
      <c r="BI82" s="7"/>
      <c r="BJ82" s="7"/>
    </row>
    <row r="84" spans="2:62" s="4" customFormat="1">
      <c r="B84" s="4" t="s">
        <v>49</v>
      </c>
      <c r="C84" s="5"/>
      <c r="D84" s="5"/>
      <c r="E84" s="5"/>
      <c r="F84" s="5"/>
      <c r="G84" s="5">
        <f t="shared" ref="G84:W84" si="185">G45</f>
        <v>13893</v>
      </c>
      <c r="H84" s="5">
        <f t="shared" si="185"/>
        <v>15463</v>
      </c>
      <c r="I84" s="5">
        <f t="shared" si="185"/>
        <v>15457</v>
      </c>
      <c r="J84" s="5">
        <f t="shared" si="185"/>
        <v>16458</v>
      </c>
      <c r="K84" s="5">
        <f t="shared" si="185"/>
        <v>20505</v>
      </c>
      <c r="L84" s="5">
        <f t="shared" si="185"/>
        <v>18765</v>
      </c>
      <c r="M84" s="5">
        <f t="shared" si="185"/>
        <v>16728</v>
      </c>
      <c r="N84" s="5">
        <f t="shared" si="185"/>
        <v>16740</v>
      </c>
      <c r="O84" s="5">
        <f t="shared" si="185"/>
        <v>17556</v>
      </c>
      <c r="P84" s="5">
        <f t="shared" si="185"/>
        <v>16425</v>
      </c>
      <c r="Q84" s="5">
        <f t="shared" si="185"/>
        <v>18299</v>
      </c>
      <c r="R84" s="5">
        <f t="shared" si="185"/>
        <v>20081</v>
      </c>
      <c r="S84" s="5">
        <f t="shared" si="185"/>
        <v>22291</v>
      </c>
      <c r="T84" s="5">
        <f t="shared" si="185"/>
        <v>21870</v>
      </c>
      <c r="U84" s="5">
        <f t="shared" si="185"/>
        <v>21939</v>
      </c>
      <c r="V84" s="5">
        <f t="shared" si="185"/>
        <v>22036</v>
      </c>
      <c r="W84" s="5">
        <f t="shared" si="185"/>
        <v>24667</v>
      </c>
      <c r="X84" s="5"/>
      <c r="Y84" s="5"/>
      <c r="Z84" s="5"/>
      <c r="BG84" s="5"/>
      <c r="BH84" s="5"/>
      <c r="BI84" s="5"/>
      <c r="BJ84" s="5"/>
    </row>
    <row r="85" spans="2:62" s="4" customFormat="1">
      <c r="B85" s="4" t="s">
        <v>50</v>
      </c>
      <c r="C85" s="5"/>
      <c r="D85" s="5"/>
      <c r="E85" s="5"/>
      <c r="F85" s="5"/>
      <c r="G85" s="5">
        <v>13893</v>
      </c>
      <c r="H85" s="5">
        <v>15463</v>
      </c>
      <c r="I85" s="5">
        <v>15457</v>
      </c>
      <c r="J85" s="5">
        <v>16458</v>
      </c>
      <c r="K85" s="5">
        <v>20505</v>
      </c>
      <c r="L85" s="5">
        <v>18765</v>
      </c>
      <c r="M85" s="5">
        <v>16728</v>
      </c>
      <c r="N85" s="5">
        <v>16740</v>
      </c>
      <c r="O85" s="4">
        <v>17556</v>
      </c>
      <c r="P85" s="4">
        <v>16425</v>
      </c>
      <c r="Q85" s="4">
        <v>18299</v>
      </c>
      <c r="R85" s="4">
        <v>20081</v>
      </c>
      <c r="S85" s="4">
        <v>22291</v>
      </c>
      <c r="T85" s="4">
        <v>21870</v>
      </c>
      <c r="U85" s="4">
        <v>21939</v>
      </c>
      <c r="V85" s="4">
        <v>22036</v>
      </c>
      <c r="W85" s="4">
        <v>24667</v>
      </c>
      <c r="BG85" s="5"/>
      <c r="BH85" s="5"/>
      <c r="BI85" s="5"/>
      <c r="BJ85" s="5"/>
    </row>
    <row r="86" spans="2:62" s="4" customFormat="1">
      <c r="B86" s="4" t="s">
        <v>52</v>
      </c>
      <c r="C86" s="5"/>
      <c r="D86" s="5"/>
      <c r="E86" s="5"/>
      <c r="F86" s="5"/>
      <c r="G86" s="5">
        <v>2645</v>
      </c>
      <c r="H86" s="5">
        <v>2761</v>
      </c>
      <c r="I86" s="5">
        <v>2936</v>
      </c>
      <c r="J86" s="5">
        <v>3344</v>
      </c>
      <c r="K86" s="5">
        <v>3212</v>
      </c>
      <c r="L86" s="5">
        <v>3496</v>
      </c>
      <c r="M86" s="5">
        <v>3773</v>
      </c>
      <c r="N86" s="5">
        <v>3979</v>
      </c>
      <c r="O86" s="4">
        <v>2790</v>
      </c>
      <c r="P86" s="4">
        <v>3648</v>
      </c>
      <c r="Q86" s="4">
        <v>3549</v>
      </c>
      <c r="R86" s="4">
        <v>3874</v>
      </c>
      <c r="S86" s="4">
        <v>3921</v>
      </c>
      <c r="T86" s="4">
        <v>5959</v>
      </c>
      <c r="U86" s="4">
        <v>6027</v>
      </c>
      <c r="V86" s="4">
        <v>6380</v>
      </c>
      <c r="W86" s="4">
        <v>7383</v>
      </c>
      <c r="BG86" s="5"/>
      <c r="BH86" s="5"/>
      <c r="BI86" s="5"/>
      <c r="BJ86" s="5"/>
    </row>
    <row r="87" spans="2:62" s="4" customFormat="1">
      <c r="B87" s="4" t="s">
        <v>53</v>
      </c>
      <c r="C87" s="5"/>
      <c r="D87" s="5"/>
      <c r="E87" s="5"/>
      <c r="F87" s="5"/>
      <c r="G87" s="5">
        <v>1456</v>
      </c>
      <c r="H87" s="5">
        <v>1566</v>
      </c>
      <c r="I87" s="5">
        <v>1525</v>
      </c>
      <c r="J87" s="5">
        <v>1571</v>
      </c>
      <c r="K87" s="5">
        <v>1702</v>
      </c>
      <c r="L87" s="5">
        <v>1897</v>
      </c>
      <c r="M87" s="5">
        <v>1906</v>
      </c>
      <c r="N87" s="5">
        <v>1997</v>
      </c>
      <c r="O87" s="4">
        <v>2192</v>
      </c>
      <c r="P87" s="4">
        <v>2538</v>
      </c>
      <c r="Q87" s="4">
        <v>2465</v>
      </c>
      <c r="R87" s="4">
        <v>2416</v>
      </c>
      <c r="S87" s="4">
        <v>2507</v>
      </c>
      <c r="T87" s="4">
        <v>2828</v>
      </c>
      <c r="U87" s="4">
        <v>2703</v>
      </c>
      <c r="V87" s="4">
        <v>2696</v>
      </c>
      <c r="W87" s="4">
        <v>2832</v>
      </c>
      <c r="BG87" s="5"/>
      <c r="BH87" s="5"/>
      <c r="BI87" s="5"/>
      <c r="BJ87" s="5"/>
    </row>
    <row r="88" spans="2:62" s="4" customFormat="1">
      <c r="B88" s="4" t="s">
        <v>54</v>
      </c>
      <c r="C88" s="5"/>
      <c r="D88" s="5"/>
      <c r="E88" s="5"/>
      <c r="F88" s="5"/>
      <c r="G88" s="5">
        <v>-128</v>
      </c>
      <c r="H88" s="5">
        <v>-354</v>
      </c>
      <c r="I88" s="5">
        <v>-351</v>
      </c>
      <c r="J88" s="5">
        <v>-416</v>
      </c>
      <c r="K88" s="5">
        <v>-364</v>
      </c>
      <c r="L88" s="5">
        <v>-307</v>
      </c>
      <c r="M88" s="5">
        <v>105</v>
      </c>
      <c r="N88" s="5">
        <v>157</v>
      </c>
      <c r="O88" s="4">
        <v>-22</v>
      </c>
      <c r="P88" s="4">
        <v>214</v>
      </c>
      <c r="Q88" s="4">
        <v>-40</v>
      </c>
      <c r="R88" s="4">
        <v>44</v>
      </c>
      <c r="S88" s="4">
        <v>14</v>
      </c>
      <c r="T88" s="4">
        <v>198</v>
      </c>
      <c r="U88" s="4">
        <v>49</v>
      </c>
      <c r="V88" s="4">
        <v>44</v>
      </c>
      <c r="W88" s="4">
        <v>-125</v>
      </c>
      <c r="BG88" s="5"/>
      <c r="BH88" s="5"/>
      <c r="BI88" s="5"/>
      <c r="BJ88" s="5"/>
    </row>
    <row r="89" spans="2:62" s="4" customFormat="1">
      <c r="B89" s="4" t="s">
        <v>55</v>
      </c>
      <c r="C89" s="5"/>
      <c r="D89" s="5"/>
      <c r="E89" s="5"/>
      <c r="F89" s="5"/>
      <c r="G89" s="5">
        <v>-11</v>
      </c>
      <c r="H89" s="5">
        <v>-17</v>
      </c>
      <c r="I89" s="5">
        <v>-88</v>
      </c>
      <c r="J89" s="5">
        <v>-34</v>
      </c>
      <c r="K89" s="5">
        <v>-5970</v>
      </c>
      <c r="L89" s="5">
        <v>183</v>
      </c>
      <c r="M89" s="5">
        <v>-198</v>
      </c>
      <c r="N89" s="5">
        <v>283</v>
      </c>
      <c r="O89" s="4">
        <v>-1191</v>
      </c>
      <c r="P89" s="4">
        <v>-1305</v>
      </c>
      <c r="Q89" s="4">
        <v>-1675</v>
      </c>
      <c r="R89" s="4">
        <v>-1888</v>
      </c>
      <c r="S89" s="4">
        <v>-568</v>
      </c>
      <c r="T89" s="4">
        <v>-1702</v>
      </c>
      <c r="U89" s="4">
        <v>-1323</v>
      </c>
      <c r="V89" s="4">
        <v>-1145</v>
      </c>
      <c r="W89" s="4">
        <v>-1433</v>
      </c>
      <c r="BG89" s="5"/>
      <c r="BH89" s="5"/>
      <c r="BI89" s="5"/>
      <c r="BJ89" s="5"/>
    </row>
    <row r="90" spans="2:62" s="4" customFormat="1">
      <c r="B90" s="4" t="s">
        <v>56</v>
      </c>
      <c r="C90" s="5"/>
      <c r="D90" s="5"/>
      <c r="E90" s="5"/>
      <c r="F90" s="5"/>
      <c r="G90" s="5">
        <f>8843-808-54-62+315-3064-983-2951+244</f>
        <v>1480</v>
      </c>
      <c r="H90" s="5">
        <f>-4008+788+730-1499+33-3227-2368+1755+893</f>
        <v>-6903</v>
      </c>
      <c r="I90" s="5">
        <f>290-329+478-885+833-473+1074+1590+122</f>
        <v>2700</v>
      </c>
      <c r="J90" s="5">
        <f>-11606-388-2086-1013+1617+11397-32+3755+143</f>
        <v>1787</v>
      </c>
      <c r="K90" s="5">
        <f>10486-777+940-598-471-2885+2653-4143+250</f>
        <v>5455</v>
      </c>
      <c r="L90" s="5">
        <f>-5543+394+830-908+235-4343-2057+1745+93</f>
        <v>-9554</v>
      </c>
      <c r="M90" s="5">
        <f>857-279+91-724+520-209+1091+1287+438</f>
        <v>3072</v>
      </c>
      <c r="N90" s="5">
        <f>-12634-461-2570-575+2659+12546-991+3455+44</f>
        <v>1473</v>
      </c>
      <c r="O90" s="4">
        <f>11729-543-332-666-1567-3322+410-4024+188</f>
        <v>1873</v>
      </c>
      <c r="P90" s="4">
        <f>-3164+1305-392-65-2058-5186-2863+1819+257</f>
        <v>-10347</v>
      </c>
      <c r="Q90" s="4">
        <f>-1408+106+1152-554-407-181+1414+1715+6</f>
        <v>1843</v>
      </c>
      <c r="R90" s="4">
        <f>-11244+374-2419-1548+1311+14224+681+2762+102</f>
        <v>4243</v>
      </c>
      <c r="S90" s="4">
        <f>11034-505-796-2013+1214-4126+1425-4106+291</f>
        <v>2418</v>
      </c>
      <c r="T90" s="4">
        <f>-2951+1474+725-1427-2521-5538-1554+1518-26</f>
        <v>-10300</v>
      </c>
      <c r="U90" s="4">
        <f>-2028+260+951-2137+648-645+2622+2803+48</f>
        <v>2522</v>
      </c>
      <c r="V90" s="4">
        <f>-13246+55-2528-1240+4204+15657-806+4652+436</f>
        <v>7184</v>
      </c>
      <c r="W90" s="4">
        <f>14037-373-82-1761-916-5553+1016-5479-33</f>
        <v>856</v>
      </c>
      <c r="BG90" s="5"/>
      <c r="BH90" s="5"/>
      <c r="BI90" s="5"/>
      <c r="BJ90" s="5"/>
    </row>
    <row r="91" spans="2:62" s="4" customFormat="1">
      <c r="B91" s="4" t="s">
        <v>51</v>
      </c>
      <c r="C91" s="5"/>
      <c r="D91" s="5"/>
      <c r="E91" s="5"/>
      <c r="F91" s="5"/>
      <c r="G91" s="5">
        <f t="shared" ref="G91:H91" si="186">SUM(G85:G90)</f>
        <v>19335</v>
      </c>
      <c r="H91" s="5">
        <f t="shared" si="186"/>
        <v>12516</v>
      </c>
      <c r="I91" s="5">
        <f t="shared" ref="I91:K91" si="187">SUM(I85:I90)</f>
        <v>22179</v>
      </c>
      <c r="J91" s="5">
        <f t="shared" si="187"/>
        <v>22710</v>
      </c>
      <c r="K91" s="5">
        <f t="shared" si="187"/>
        <v>24540</v>
      </c>
      <c r="L91" s="5">
        <f t="shared" ref="L91" si="188">SUM(L85:L90)</f>
        <v>14480</v>
      </c>
      <c r="M91" s="5">
        <f t="shared" ref="M91:Q91" si="189">SUM(M85:M90)</f>
        <v>25386</v>
      </c>
      <c r="N91" s="5">
        <f t="shared" si="189"/>
        <v>24629</v>
      </c>
      <c r="O91" s="5">
        <f t="shared" si="189"/>
        <v>23198</v>
      </c>
      <c r="P91" s="5">
        <f t="shared" si="189"/>
        <v>11173</v>
      </c>
      <c r="Q91" s="5">
        <f t="shared" si="189"/>
        <v>24441</v>
      </c>
      <c r="R91" s="5">
        <f t="shared" ref="R91:W91" si="190">SUM(R85:R90)</f>
        <v>28770</v>
      </c>
      <c r="S91" s="5">
        <f t="shared" si="190"/>
        <v>30583</v>
      </c>
      <c r="T91" s="5">
        <f t="shared" si="190"/>
        <v>18853</v>
      </c>
      <c r="U91" s="5">
        <f t="shared" si="190"/>
        <v>31917</v>
      </c>
      <c r="V91" s="5">
        <f t="shared" si="190"/>
        <v>37195</v>
      </c>
      <c r="W91" s="5">
        <f t="shared" si="190"/>
        <v>34180</v>
      </c>
      <c r="X91" s="5"/>
      <c r="Y91" s="5"/>
      <c r="Z91" s="5"/>
      <c r="BG91" s="5"/>
      <c r="BH91" s="5"/>
      <c r="BI91" s="5"/>
      <c r="BJ91" s="5"/>
    </row>
    <row r="92" spans="2:62" s="4" customFormat="1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BG92" s="5"/>
      <c r="BH92" s="5"/>
      <c r="BI92" s="5"/>
      <c r="BJ92" s="5"/>
    </row>
    <row r="93" spans="2:62" s="4" customFormat="1">
      <c r="B93" s="4" t="s">
        <v>58</v>
      </c>
      <c r="C93" s="5"/>
      <c r="D93" s="5"/>
      <c r="E93" s="5"/>
      <c r="F93" s="5"/>
      <c r="G93" s="5">
        <v>-4907</v>
      </c>
      <c r="H93" s="5">
        <v>-4174</v>
      </c>
      <c r="I93" s="5">
        <v>-5089</v>
      </c>
      <c r="J93" s="5">
        <v>-6452</v>
      </c>
      <c r="K93" s="5">
        <v>-5810</v>
      </c>
      <c r="L93" s="5">
        <v>-5865</v>
      </c>
      <c r="M93" s="5">
        <v>-5340</v>
      </c>
      <c r="N93" s="5">
        <v>-6871</v>
      </c>
      <c r="O93" s="4">
        <v>-6283</v>
      </c>
      <c r="P93" s="4">
        <v>-6274</v>
      </c>
      <c r="Q93" s="4">
        <v>-6607</v>
      </c>
      <c r="R93" s="4">
        <v>-8943</v>
      </c>
      <c r="S93" s="4">
        <v>-9917</v>
      </c>
      <c r="T93" s="4">
        <v>-9735</v>
      </c>
      <c r="U93" s="4">
        <v>-10952</v>
      </c>
      <c r="V93" s="4">
        <v>-13873</v>
      </c>
      <c r="W93" s="4">
        <v>-14923</v>
      </c>
      <c r="X93" s="4">
        <v>-15804</v>
      </c>
      <c r="BG93" s="5"/>
      <c r="BH93" s="5"/>
      <c r="BI93" s="5"/>
      <c r="BJ93" s="5"/>
    </row>
    <row r="94" spans="2:62" s="4" customFormat="1">
      <c r="B94" s="4" t="s">
        <v>59</v>
      </c>
      <c r="C94" s="5"/>
      <c r="D94" s="5"/>
      <c r="E94" s="5"/>
      <c r="F94" s="5"/>
      <c r="G94" s="5">
        <v>-481</v>
      </c>
      <c r="H94" s="5">
        <v>-415</v>
      </c>
      <c r="I94" s="5">
        <v>-7512</v>
      </c>
      <c r="J94" s="5">
        <v>-501</v>
      </c>
      <c r="K94" s="5">
        <v>-1206</v>
      </c>
      <c r="L94" s="5">
        <v>-850</v>
      </c>
      <c r="M94" s="5">
        <v>-18719</v>
      </c>
      <c r="N94" s="5">
        <v>-1263</v>
      </c>
      <c r="O94" s="4">
        <v>-349</v>
      </c>
      <c r="P94" s="4">
        <v>-679</v>
      </c>
      <c r="Q94" s="4">
        <v>-301</v>
      </c>
      <c r="R94" s="4">
        <v>-341</v>
      </c>
      <c r="S94" s="4">
        <v>-1186</v>
      </c>
      <c r="T94" s="4">
        <v>-65029</v>
      </c>
      <c r="U94" s="4">
        <v>-1575</v>
      </c>
      <c r="V94" s="4">
        <v>-1342</v>
      </c>
      <c r="W94" s="4">
        <v>-1849</v>
      </c>
      <c r="BG94" s="5"/>
      <c r="BH94" s="5"/>
      <c r="BI94" s="5"/>
      <c r="BJ94" s="5"/>
    </row>
    <row r="95" spans="2:62" s="4" customFormat="1">
      <c r="B95" s="4" t="s">
        <v>60</v>
      </c>
      <c r="C95" s="5"/>
      <c r="D95" s="5"/>
      <c r="E95" s="5"/>
      <c r="F95" s="5"/>
      <c r="G95" s="5">
        <f>-14580+14266+2414</f>
        <v>2100</v>
      </c>
      <c r="H95" s="5">
        <f>-15092+15264+2421</f>
        <v>2593</v>
      </c>
      <c r="I95" s="5">
        <f>-18375+15016+5876</f>
        <v>2517</v>
      </c>
      <c r="J95" s="5">
        <f>-14877+7246+3297</f>
        <v>-4334</v>
      </c>
      <c r="K95" s="5">
        <f>-10309+8862+5630</f>
        <v>4183</v>
      </c>
      <c r="L95" s="5">
        <f>-2505+5253+2895</f>
        <v>5643</v>
      </c>
      <c r="M95" s="5">
        <f>-8723+1099+16693</f>
        <v>9069</v>
      </c>
      <c r="N95" s="5">
        <f>-4919+1237+3225</f>
        <v>-457</v>
      </c>
      <c r="O95" s="4">
        <f>-5013+6662+2711</f>
        <v>4360</v>
      </c>
      <c r="P95" s="4">
        <f>-11599+6928+4775</f>
        <v>104</v>
      </c>
      <c r="Q95" s="4">
        <f>-9063+13154+1239</f>
        <v>5330</v>
      </c>
      <c r="R95" s="4">
        <f>-11976+6766+5629</f>
        <v>419</v>
      </c>
      <c r="S95" s="4">
        <f>-8460+15718+5330</f>
        <v>12588</v>
      </c>
      <c r="T95" s="4">
        <f>-4258+4150+1600</f>
        <v>1492</v>
      </c>
      <c r="U95" s="4">
        <f>-2183+3350+1941</f>
        <v>3108</v>
      </c>
      <c r="V95" s="4">
        <f>-2831+1557+2023</f>
        <v>749</v>
      </c>
      <c r="W95" s="4">
        <f>-1620+2136+1968</f>
        <v>2484</v>
      </c>
      <c r="BG95" s="5"/>
      <c r="BH95" s="5"/>
      <c r="BI95" s="5"/>
      <c r="BJ95" s="5"/>
    </row>
    <row r="96" spans="2:62" s="4" customFormat="1">
      <c r="B96" s="4" t="s">
        <v>28</v>
      </c>
      <c r="C96" s="5"/>
      <c r="D96" s="5"/>
      <c r="E96" s="5"/>
      <c r="F96" s="5"/>
      <c r="G96" s="5">
        <v>-2083</v>
      </c>
      <c r="H96" s="5">
        <v>327</v>
      </c>
      <c r="I96" s="5">
        <v>400</v>
      </c>
      <c r="J96" s="5">
        <v>434</v>
      </c>
      <c r="K96" s="5">
        <v>-417</v>
      </c>
      <c r="L96" s="5">
        <v>-89</v>
      </c>
      <c r="M96" s="5">
        <v>-1181</v>
      </c>
      <c r="N96" s="5">
        <v>-1138</v>
      </c>
      <c r="O96" s="4">
        <v>-860</v>
      </c>
      <c r="P96" s="4">
        <v>-301</v>
      </c>
      <c r="Q96" s="4">
        <v>-1686</v>
      </c>
      <c r="R96" s="4">
        <v>-269</v>
      </c>
      <c r="S96" s="4">
        <v>-982</v>
      </c>
      <c r="T96" s="4">
        <v>1347</v>
      </c>
      <c r="U96" s="4">
        <v>-1281</v>
      </c>
      <c r="V96" s="4">
        <v>-382</v>
      </c>
      <c r="W96" s="4">
        <v>-913</v>
      </c>
      <c r="BG96" s="5"/>
      <c r="BH96" s="5"/>
      <c r="BI96" s="5"/>
      <c r="BJ96" s="5"/>
    </row>
    <row r="97" spans="2:62" s="4" customFormat="1">
      <c r="B97" s="4" t="s">
        <v>57</v>
      </c>
      <c r="C97" s="5"/>
      <c r="D97" s="5"/>
      <c r="E97" s="5"/>
      <c r="F97" s="5"/>
      <c r="G97" s="5">
        <f t="shared" ref="G97:H97" si="191">SUM(G93:G96)</f>
        <v>-5371</v>
      </c>
      <c r="H97" s="5">
        <f t="shared" si="191"/>
        <v>-1669</v>
      </c>
      <c r="I97" s="5">
        <f t="shared" ref="I97:L97" si="192">SUM(I93:I96)</f>
        <v>-9684</v>
      </c>
      <c r="J97" s="5">
        <f t="shared" si="192"/>
        <v>-10853</v>
      </c>
      <c r="K97" s="5">
        <f t="shared" si="192"/>
        <v>-3250</v>
      </c>
      <c r="L97" s="5">
        <f t="shared" si="192"/>
        <v>-1161</v>
      </c>
      <c r="M97" s="5">
        <f t="shared" ref="M97:W97" si="193">SUM(M93:M96)</f>
        <v>-16171</v>
      </c>
      <c r="N97" s="5">
        <f t="shared" si="193"/>
        <v>-9729</v>
      </c>
      <c r="O97" s="5">
        <f t="shared" si="193"/>
        <v>-3132</v>
      </c>
      <c r="P97" s="5">
        <f t="shared" si="193"/>
        <v>-7150</v>
      </c>
      <c r="Q97" s="5">
        <f t="shared" si="193"/>
        <v>-3264</v>
      </c>
      <c r="R97" s="5">
        <f t="shared" si="193"/>
        <v>-9134</v>
      </c>
      <c r="S97" s="5">
        <f t="shared" si="193"/>
        <v>503</v>
      </c>
      <c r="T97" s="5">
        <f t="shared" si="193"/>
        <v>-71925</v>
      </c>
      <c r="U97" s="5">
        <f t="shared" si="193"/>
        <v>-10700</v>
      </c>
      <c r="V97" s="5">
        <f t="shared" si="193"/>
        <v>-14848</v>
      </c>
      <c r="W97" s="5">
        <f t="shared" si="193"/>
        <v>-15201</v>
      </c>
      <c r="BG97" s="5"/>
      <c r="BH97" s="5"/>
      <c r="BI97" s="5"/>
      <c r="BJ97" s="5"/>
    </row>
    <row r="99" spans="2:62" s="4" customFormat="1">
      <c r="B99" s="4" t="s">
        <v>61</v>
      </c>
      <c r="C99" s="5"/>
      <c r="D99" s="5"/>
      <c r="E99" s="5"/>
      <c r="F99" s="5"/>
      <c r="G99" s="5">
        <v>0</v>
      </c>
      <c r="H99" s="5">
        <v>0</v>
      </c>
      <c r="I99" s="5">
        <v>-1754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BG99" s="5"/>
      <c r="BH99" s="5"/>
      <c r="BI99" s="5"/>
      <c r="BJ99" s="5"/>
    </row>
    <row r="100" spans="2:62" s="4" customFormat="1">
      <c r="B100" s="4" t="s">
        <v>62</v>
      </c>
      <c r="C100" s="5"/>
      <c r="D100" s="5"/>
      <c r="E100" s="5"/>
      <c r="F100" s="5"/>
      <c r="G100" s="5">
        <v>0</v>
      </c>
      <c r="H100" s="5">
        <v>-3250</v>
      </c>
      <c r="I100" s="5">
        <v>-500</v>
      </c>
      <c r="J100" s="5">
        <v>0</v>
      </c>
      <c r="K100" s="5">
        <v>-4826</v>
      </c>
      <c r="L100" s="5">
        <v>0</v>
      </c>
      <c r="M100" s="5">
        <v>-4197</v>
      </c>
      <c r="N100" s="5">
        <v>0</v>
      </c>
      <c r="O100" s="4">
        <v>-1000</v>
      </c>
      <c r="P100" s="4">
        <v>-750</v>
      </c>
      <c r="Q100" s="4">
        <v>536</v>
      </c>
      <c r="R100" s="4">
        <f>-1000+512</f>
        <v>-488</v>
      </c>
      <c r="S100" s="4">
        <f>-1500+18692+7073</f>
        <v>24265</v>
      </c>
      <c r="T100" s="4">
        <f>-8490+10773-2916</f>
        <v>-633</v>
      </c>
      <c r="U100" s="4">
        <f>-3810+6352-11589</f>
        <v>-9047</v>
      </c>
      <c r="V100" s="4">
        <f>-1142+197-13065</f>
        <v>-14010</v>
      </c>
      <c r="W100" s="4">
        <f>-5746-966</f>
        <v>-6712</v>
      </c>
      <c r="BG100" s="5"/>
      <c r="BH100" s="5"/>
      <c r="BI100" s="5"/>
      <c r="BJ100" s="5"/>
    </row>
    <row r="101" spans="2:62" s="4" customFormat="1">
      <c r="B101" s="4" t="s">
        <v>63</v>
      </c>
      <c r="C101" s="5"/>
      <c r="D101" s="5"/>
      <c r="E101" s="5"/>
      <c r="F101" s="5"/>
      <c r="G101" s="5">
        <f>545-6743</f>
        <v>-6198</v>
      </c>
      <c r="H101" s="5">
        <f>302-6535</f>
        <v>-6233</v>
      </c>
      <c r="I101" s="5">
        <f>-6930+396</f>
        <v>-6534</v>
      </c>
      <c r="J101" s="5">
        <f>450-7177</f>
        <v>-6727</v>
      </c>
      <c r="K101" s="5">
        <f>612-7684</f>
        <v>-7072</v>
      </c>
      <c r="L101" s="5">
        <f>291-7433</f>
        <v>-7142</v>
      </c>
      <c r="M101" s="5">
        <f>477-8822</f>
        <v>-8345</v>
      </c>
      <c r="N101" s="5">
        <f>-8757+461</f>
        <v>-8296</v>
      </c>
      <c r="O101" s="4">
        <f>575-5573</f>
        <v>-4998</v>
      </c>
      <c r="P101" s="4">
        <f>243-5459</f>
        <v>-5216</v>
      </c>
      <c r="Q101" s="4">
        <f>-5509</f>
        <v>-5509</v>
      </c>
      <c r="R101" s="4">
        <v>-5704</v>
      </c>
      <c r="S101" s="4">
        <f>685-4831</f>
        <v>-4146</v>
      </c>
      <c r="T101" s="4">
        <f>261-4000</f>
        <v>-3739</v>
      </c>
      <c r="U101" s="4">
        <f>522-4213</f>
        <v>-3691</v>
      </c>
      <c r="V101" s="4">
        <f>534-4210</f>
        <v>-3676</v>
      </c>
      <c r="W101" s="4">
        <f>706-4107</f>
        <v>-3401</v>
      </c>
      <c r="BG101" s="5"/>
      <c r="BH101" s="5"/>
      <c r="BI101" s="5"/>
      <c r="BJ101" s="5"/>
    </row>
    <row r="102" spans="2:62" s="4" customFormat="1">
      <c r="B102" s="4" t="s">
        <v>64</v>
      </c>
      <c r="C102" s="5"/>
      <c r="D102" s="5"/>
      <c r="E102" s="5"/>
      <c r="F102" s="5"/>
      <c r="G102" s="5">
        <v>-3856</v>
      </c>
      <c r="H102" s="5">
        <v>-4230</v>
      </c>
      <c r="I102" s="5">
        <v>-4221</v>
      </c>
      <c r="J102" s="5">
        <v>-4214</v>
      </c>
      <c r="K102" s="5">
        <v>-4206</v>
      </c>
      <c r="L102" s="5">
        <v>-4652</v>
      </c>
      <c r="M102" s="5">
        <v>-4645</v>
      </c>
      <c r="N102" s="5">
        <v>-4632</v>
      </c>
      <c r="O102" s="4">
        <v>-4621</v>
      </c>
      <c r="P102" s="4">
        <v>-5066</v>
      </c>
      <c r="Q102" s="4">
        <v>-5059</v>
      </c>
      <c r="R102" s="4">
        <v>-5054</v>
      </c>
      <c r="S102" s="4">
        <v>-5051</v>
      </c>
      <c r="T102" s="4">
        <v>-5574</v>
      </c>
      <c r="U102" s="4">
        <v>-5572</v>
      </c>
      <c r="V102" s="4">
        <v>-5574</v>
      </c>
      <c r="W102" s="4">
        <v>-5574</v>
      </c>
      <c r="BG102" s="5"/>
      <c r="BH102" s="5"/>
      <c r="BI102" s="5"/>
      <c r="BJ102" s="5"/>
    </row>
    <row r="103" spans="2:62" s="4" customFormat="1">
      <c r="B103" s="4" t="s">
        <v>28</v>
      </c>
      <c r="C103" s="5"/>
      <c r="D103" s="5"/>
      <c r="E103" s="5"/>
      <c r="F103" s="5"/>
      <c r="G103" s="5">
        <v>-235</v>
      </c>
      <c r="H103" s="5">
        <v>79</v>
      </c>
      <c r="I103" s="5">
        <v>-183</v>
      </c>
      <c r="J103" s="5">
        <v>-430</v>
      </c>
      <c r="K103" s="5">
        <v>-172</v>
      </c>
      <c r="L103" s="5">
        <v>-192</v>
      </c>
      <c r="M103" s="5">
        <v>-158</v>
      </c>
      <c r="N103" s="5">
        <v>-341</v>
      </c>
      <c r="O103" s="4">
        <v>-264</v>
      </c>
      <c r="P103" s="4">
        <v>-317</v>
      </c>
      <c r="Q103" s="4">
        <v>-258</v>
      </c>
      <c r="R103" s="4">
        <v>-167</v>
      </c>
      <c r="S103" s="4">
        <v>-307</v>
      </c>
      <c r="T103" s="4">
        <v>-201</v>
      </c>
      <c r="U103" s="4">
        <v>-498</v>
      </c>
      <c r="V103" s="4">
        <v>-303</v>
      </c>
      <c r="W103" s="4">
        <v>-889</v>
      </c>
      <c r="BG103" s="5"/>
      <c r="BH103" s="5"/>
      <c r="BI103" s="5"/>
      <c r="BJ103" s="5"/>
    </row>
    <row r="104" spans="2:62" s="4" customFormat="1">
      <c r="B104" s="4" t="s">
        <v>65</v>
      </c>
      <c r="C104" s="5"/>
      <c r="D104" s="5"/>
      <c r="E104" s="5"/>
      <c r="F104" s="5"/>
      <c r="G104" s="5">
        <f t="shared" ref="G104:H104" si="194">SUM(G99:G103)</f>
        <v>-10289</v>
      </c>
      <c r="H104" s="5">
        <f t="shared" si="194"/>
        <v>-13634</v>
      </c>
      <c r="I104" s="5">
        <f t="shared" ref="I104:K104" si="195">SUM(I99:I103)</f>
        <v>-13192</v>
      </c>
      <c r="J104" s="5">
        <f t="shared" si="195"/>
        <v>-11371</v>
      </c>
      <c r="K104" s="5">
        <f t="shared" si="195"/>
        <v>-16276</v>
      </c>
      <c r="L104" s="5">
        <f>SUM(L99:L103)</f>
        <v>-11986</v>
      </c>
      <c r="M104" s="5">
        <f>SUM(M99:M103)</f>
        <v>-17345</v>
      </c>
      <c r="N104" s="5">
        <f>SUM(N99:N103)</f>
        <v>-13269</v>
      </c>
      <c r="O104" s="5">
        <f>SUM(O99:O103)</f>
        <v>-10883</v>
      </c>
      <c r="P104" s="5">
        <f>SUM(P99:P103)</f>
        <v>-11349</v>
      </c>
      <c r="Q104" s="5">
        <f t="shared" ref="Q104:W104" si="196">SUM(Q99:Q103)</f>
        <v>-10290</v>
      </c>
      <c r="R104" s="5">
        <f t="shared" si="196"/>
        <v>-11413</v>
      </c>
      <c r="S104" s="5">
        <f t="shared" si="196"/>
        <v>14761</v>
      </c>
      <c r="T104" s="5">
        <f t="shared" si="196"/>
        <v>-10147</v>
      </c>
      <c r="U104" s="5">
        <f t="shared" si="196"/>
        <v>-18808</v>
      </c>
      <c r="V104" s="5">
        <f t="shared" si="196"/>
        <v>-23563</v>
      </c>
      <c r="W104" s="5">
        <f t="shared" si="196"/>
        <v>-16576</v>
      </c>
      <c r="BG104" s="5"/>
      <c r="BH104" s="5"/>
      <c r="BI104" s="5"/>
      <c r="BJ104" s="5"/>
    </row>
    <row r="105" spans="2:62">
      <c r="B105" s="4" t="s">
        <v>66</v>
      </c>
      <c r="G105" s="2">
        <v>-46</v>
      </c>
      <c r="H105" s="2">
        <v>14</v>
      </c>
      <c r="I105" s="2">
        <v>-33</v>
      </c>
      <c r="J105" s="2">
        <v>36</v>
      </c>
      <c r="K105" s="2">
        <v>-73</v>
      </c>
      <c r="L105" s="2">
        <v>106</v>
      </c>
      <c r="M105" s="2">
        <v>24</v>
      </c>
      <c r="N105" s="2">
        <v>-198</v>
      </c>
      <c r="O105" s="4">
        <v>-230</v>
      </c>
      <c r="P105" s="4">
        <v>88</v>
      </c>
      <c r="Q105" s="4">
        <v>29</v>
      </c>
      <c r="R105" s="4">
        <v>-81</v>
      </c>
      <c r="S105" s="4">
        <v>-99</v>
      </c>
      <c r="T105" s="4">
        <v>72</v>
      </c>
      <c r="U105" s="4">
        <v>-80</v>
      </c>
      <c r="V105" s="4">
        <v>-103</v>
      </c>
      <c r="W105" s="4">
        <v>122</v>
      </c>
    </row>
    <row r="106" spans="2:62">
      <c r="B106" s="4" t="s">
        <v>67</v>
      </c>
      <c r="G106" s="5">
        <f t="shared" ref="G106:H106" si="197">G104+G105+G97+G91</f>
        <v>3629</v>
      </c>
      <c r="H106" s="5">
        <f t="shared" si="197"/>
        <v>-2773</v>
      </c>
      <c r="I106" s="5">
        <f t="shared" ref="I106:K106" si="198">I104+I105+I97+I91</f>
        <v>-730</v>
      </c>
      <c r="J106" s="5">
        <f t="shared" si="198"/>
        <v>522</v>
      </c>
      <c r="K106" s="5">
        <f t="shared" si="198"/>
        <v>4941</v>
      </c>
      <c r="L106" s="5">
        <f>L104+L105+L97+L91</f>
        <v>1439</v>
      </c>
      <c r="M106" s="5">
        <f>M104+M105+M97+M91</f>
        <v>-8106</v>
      </c>
      <c r="N106" s="5">
        <f>N104+N105+N97+N91</f>
        <v>1433</v>
      </c>
      <c r="O106" s="5">
        <f>O104+O105+O97+O91</f>
        <v>8953</v>
      </c>
      <c r="P106" s="5">
        <f>P104+P105+P97+P91</f>
        <v>-7238</v>
      </c>
      <c r="Q106" s="5">
        <f t="shared" ref="Q106:W106" si="199">Q104+Q105+Q97+Q91</f>
        <v>10916</v>
      </c>
      <c r="R106" s="5">
        <f t="shared" si="199"/>
        <v>8142</v>
      </c>
      <c r="S106" s="5">
        <f t="shared" si="199"/>
        <v>45748</v>
      </c>
      <c r="T106" s="5">
        <f t="shared" si="199"/>
        <v>-63147</v>
      </c>
      <c r="U106" s="5">
        <f t="shared" si="199"/>
        <v>2329</v>
      </c>
      <c r="V106" s="5">
        <f t="shared" si="199"/>
        <v>-1319</v>
      </c>
      <c r="W106" s="5">
        <f t="shared" si="199"/>
        <v>2525</v>
      </c>
    </row>
    <row r="108" spans="2:62">
      <c r="B108" s="4" t="s">
        <v>72</v>
      </c>
      <c r="G108" s="5">
        <f t="shared" ref="G108:K108" si="200">G91+G93</f>
        <v>14428</v>
      </c>
      <c r="H108" s="5">
        <f t="shared" si="200"/>
        <v>8342</v>
      </c>
      <c r="I108" s="5">
        <f t="shared" si="200"/>
        <v>17090</v>
      </c>
      <c r="J108" s="5">
        <f t="shared" si="200"/>
        <v>16258</v>
      </c>
      <c r="K108" s="5">
        <f t="shared" si="200"/>
        <v>18730</v>
      </c>
      <c r="L108" s="5">
        <f>L91+L93</f>
        <v>8615</v>
      </c>
      <c r="M108" s="5">
        <f t="shared" ref="M108:N108" si="201">M91+M93</f>
        <v>20046</v>
      </c>
      <c r="N108" s="5">
        <f t="shared" si="201"/>
        <v>17758</v>
      </c>
      <c r="O108" s="5">
        <f>O91+O93</f>
        <v>16915</v>
      </c>
      <c r="P108" s="5">
        <f>P91+P93</f>
        <v>4899</v>
      </c>
      <c r="Q108" s="5">
        <f t="shared" ref="Q108:W108" si="202">Q91+Q93</f>
        <v>17834</v>
      </c>
      <c r="R108" s="5">
        <f t="shared" si="202"/>
        <v>19827</v>
      </c>
      <c r="S108" s="5">
        <f t="shared" si="202"/>
        <v>20666</v>
      </c>
      <c r="T108" s="5">
        <f t="shared" si="202"/>
        <v>9118</v>
      </c>
      <c r="U108" s="5">
        <f t="shared" si="202"/>
        <v>20965</v>
      </c>
      <c r="V108" s="5">
        <f t="shared" si="202"/>
        <v>23322</v>
      </c>
      <c r="W108" s="5">
        <f t="shared" si="202"/>
        <v>19257</v>
      </c>
    </row>
    <row r="109" spans="2:62">
      <c r="B109" s="4" t="s">
        <v>103</v>
      </c>
      <c r="K109" s="4">
        <f t="shared" ref="K109:P109" si="203">SUM(H108:K108)</f>
        <v>60420</v>
      </c>
      <c r="L109" s="4">
        <f t="shared" si="203"/>
        <v>60693</v>
      </c>
      <c r="M109" s="4">
        <f t="shared" si="203"/>
        <v>63649</v>
      </c>
      <c r="N109" s="4">
        <f t="shared" si="203"/>
        <v>65149</v>
      </c>
      <c r="O109" s="4">
        <f t="shared" si="203"/>
        <v>63334</v>
      </c>
      <c r="P109" s="4">
        <f t="shared" si="203"/>
        <v>59618</v>
      </c>
      <c r="Q109" s="4">
        <f t="shared" ref="Q109:W109" si="204">SUM(N108:Q108)</f>
        <v>57406</v>
      </c>
      <c r="R109" s="4">
        <f t="shared" si="204"/>
        <v>59475</v>
      </c>
      <c r="S109" s="4">
        <f t="shared" si="204"/>
        <v>63226</v>
      </c>
      <c r="T109" s="4">
        <f t="shared" si="204"/>
        <v>67445</v>
      </c>
      <c r="U109" s="4">
        <f t="shared" si="204"/>
        <v>70576</v>
      </c>
      <c r="V109" s="4">
        <f t="shared" si="204"/>
        <v>74071</v>
      </c>
      <c r="W109" s="4">
        <f t="shared" si="204"/>
        <v>72662</v>
      </c>
    </row>
    <row r="110" spans="2:62">
      <c r="B110" s="4" t="s">
        <v>463</v>
      </c>
      <c r="O110" s="12">
        <f t="shared" ref="O110:U110" si="205">+O109/K109-1</f>
        <v>4.8229063224098034E-2</v>
      </c>
      <c r="P110" s="12">
        <f t="shared" si="205"/>
        <v>-1.7712092004020241E-2</v>
      </c>
      <c r="Q110" s="12">
        <f t="shared" si="205"/>
        <v>-9.8084808873666551E-2</v>
      </c>
      <c r="R110" s="12">
        <f t="shared" si="205"/>
        <v>-8.7092664507513518E-2</v>
      </c>
      <c r="S110" s="12">
        <f t="shared" si="205"/>
        <v>-1.7052452079451275E-3</v>
      </c>
      <c r="T110" s="12">
        <f t="shared" si="205"/>
        <v>0.13128585326579212</v>
      </c>
      <c r="U110" s="12">
        <f t="shared" si="205"/>
        <v>0.22941852768003335</v>
      </c>
      <c r="V110" s="12">
        <f>+V109/R109-1</f>
        <v>0.24541403951240026</v>
      </c>
      <c r="W110" s="12">
        <f>+W109/S109-1</f>
        <v>0.14924240027836655</v>
      </c>
    </row>
    <row r="111" spans="2:62">
      <c r="B111" s="4" t="s">
        <v>464</v>
      </c>
      <c r="K111" s="4">
        <f t="shared" ref="K111:S111" si="206">SUM(H93:K93)</f>
        <v>-21525</v>
      </c>
      <c r="L111" s="4">
        <f t="shared" si="206"/>
        <v>-23216</v>
      </c>
      <c r="M111" s="4">
        <f t="shared" si="206"/>
        <v>-23467</v>
      </c>
      <c r="N111" s="4">
        <f t="shared" si="206"/>
        <v>-23886</v>
      </c>
      <c r="O111" s="4">
        <f t="shared" si="206"/>
        <v>-24359</v>
      </c>
      <c r="P111" s="4">
        <f t="shared" si="206"/>
        <v>-24768</v>
      </c>
      <c r="Q111" s="4">
        <f t="shared" si="206"/>
        <v>-26035</v>
      </c>
      <c r="R111" s="4">
        <f t="shared" si="206"/>
        <v>-28107</v>
      </c>
      <c r="S111" s="4">
        <f t="shared" si="206"/>
        <v>-31741</v>
      </c>
      <c r="T111" s="4">
        <f>SUM(Q93:T93)</f>
        <v>-35202</v>
      </c>
      <c r="U111" s="4">
        <f>SUM(R93:U93)</f>
        <v>-39547</v>
      </c>
      <c r="V111" s="4">
        <f>SUM(S93:V93)</f>
        <v>-44477</v>
      </c>
      <c r="W111" s="4">
        <f>SUM(T93:W93)</f>
        <v>-49483</v>
      </c>
    </row>
    <row r="112" spans="2:62">
      <c r="B112" s="4" t="s">
        <v>463</v>
      </c>
      <c r="O112" s="12">
        <f t="shared" ref="O112:S112" si="207">+O111/K111-1</f>
        <v>0.13166085946573758</v>
      </c>
      <c r="P112" s="12">
        <f t="shared" si="207"/>
        <v>6.6850447966919413E-2</v>
      </c>
      <c r="Q112" s="12">
        <f t="shared" si="207"/>
        <v>0.10943026377466225</v>
      </c>
      <c r="R112" s="12">
        <f t="shared" si="207"/>
        <v>0.17671439336850048</v>
      </c>
      <c r="S112" s="12">
        <f t="shared" si="207"/>
        <v>0.3030502073155712</v>
      </c>
      <c r="T112" s="12">
        <f>+T111/P111-1</f>
        <v>0.42126937984496116</v>
      </c>
      <c r="U112" s="12">
        <f>+U111/Q111-1</f>
        <v>0.51899366237756861</v>
      </c>
      <c r="V112" s="12">
        <f>+V111/R111-1</f>
        <v>0.58241719144697046</v>
      </c>
      <c r="W112" s="12">
        <f>+W111/S111-1</f>
        <v>0.55896159541287305</v>
      </c>
    </row>
    <row r="113" spans="2:55">
      <c r="B113" s="4"/>
      <c r="O113" s="12"/>
      <c r="P113" s="12"/>
      <c r="Q113" s="12"/>
      <c r="R113" s="12"/>
      <c r="S113" s="12"/>
      <c r="T113" s="4"/>
    </row>
    <row r="115" spans="2:55">
      <c r="B115" t="s">
        <v>189</v>
      </c>
      <c r="R115" s="4">
        <v>221000</v>
      </c>
      <c r="T115" s="4"/>
      <c r="V115" s="4">
        <v>228000</v>
      </c>
      <c r="AC115" s="4">
        <v>5635</v>
      </c>
      <c r="AD115" s="4">
        <v>8226</v>
      </c>
      <c r="AE115" s="4">
        <v>11542</v>
      </c>
      <c r="AF115" s="4">
        <v>14430</v>
      </c>
      <c r="AG115" s="4">
        <v>15257</v>
      </c>
      <c r="AH115" s="4">
        <v>17801</v>
      </c>
      <c r="AI115" s="4">
        <v>20561</v>
      </c>
      <c r="AJ115" s="4">
        <v>22232</v>
      </c>
      <c r="AK115" s="4">
        <v>27055</v>
      </c>
      <c r="AL115" s="4">
        <v>31396</v>
      </c>
      <c r="AM115" s="4">
        <v>39100</v>
      </c>
      <c r="AN115" s="4">
        <v>47600</v>
      </c>
      <c r="AO115" s="4">
        <v>50500</v>
      </c>
      <c r="AP115" s="4">
        <v>55000</v>
      </c>
      <c r="AQ115" s="4">
        <v>57000</v>
      </c>
      <c r="AR115" s="4">
        <v>61000</v>
      </c>
      <c r="AS115" s="4">
        <v>71000</v>
      </c>
      <c r="AT115" s="4">
        <v>79000</v>
      </c>
      <c r="AU115" s="4">
        <v>91000</v>
      </c>
      <c r="AV115" s="4">
        <v>93000</v>
      </c>
      <c r="AW115" s="4">
        <v>89000</v>
      </c>
      <c r="AX115" s="4">
        <v>90000</v>
      </c>
      <c r="AY115" s="4">
        <v>94000</v>
      </c>
      <c r="AZ115" s="4">
        <v>99000</v>
      </c>
      <c r="BA115" s="4">
        <v>128000</v>
      </c>
      <c r="BB115" s="4">
        <v>118000</v>
      </c>
      <c r="BC115" s="4">
        <v>114000</v>
      </c>
    </row>
    <row r="117" spans="2:55" ht="13">
      <c r="B117" t="s">
        <v>0</v>
      </c>
      <c r="AG117" s="1">
        <f>19715/580</f>
        <v>33.991379310344826</v>
      </c>
      <c r="AH117" s="1">
        <f>34330/589</f>
        <v>58.28522920203735</v>
      </c>
      <c r="AI117" s="1">
        <f>45936/596</f>
        <v>77.073825503355707</v>
      </c>
      <c r="AJ117" s="1">
        <f>106179/1212.567</f>
        <v>87.565470609046756</v>
      </c>
      <c r="AK117" s="1">
        <f>171181/2484.635</f>
        <v>68.895833794501002</v>
      </c>
      <c r="AL117" s="1">
        <f>375039/5141</f>
        <v>72.950593269791867</v>
      </c>
      <c r="AM117" s="1">
        <f>302326/5355</f>
        <v>56.456769374416432</v>
      </c>
      <c r="AN117" s="1">
        <f>258033/5401</f>
        <v>47.775041658952048</v>
      </c>
      <c r="AO117" s="1">
        <f>215553/5378</f>
        <v>40.080513201933805</v>
      </c>
      <c r="AP117" s="11">
        <f>235404/10813</f>
        <v>21.770461481549987</v>
      </c>
      <c r="AQ117" s="11">
        <f>252132/10872</f>
        <v>23.190949227373068</v>
      </c>
      <c r="AR117" s="11">
        <f>256094/10712</f>
        <v>23.907206870799104</v>
      </c>
      <c r="AS117" s="11">
        <f>233926/9969</f>
        <v>23.46534256194202</v>
      </c>
      <c r="AT117" s="11">
        <f>251464/9375</f>
        <v>26.822826666666668</v>
      </c>
      <c r="AU117" s="1">
        <f>287616/9130</f>
        <v>31.502300109529024</v>
      </c>
      <c r="AV117" s="11">
        <f>149769/8910</f>
        <v>16.809090909090909</v>
      </c>
      <c r="AW117" s="1">
        <f>235244/8653</f>
        <v>27.186409337801919</v>
      </c>
      <c r="AX117" s="1">
        <f>208370/8378</f>
        <v>24.87109095249463</v>
      </c>
      <c r="AY117" s="1">
        <f>195333/8383</f>
        <v>23.301085530239771</v>
      </c>
      <c r="AZ117" s="1">
        <f>202945/8329</f>
        <v>24.366070356585425</v>
      </c>
      <c r="BA117" s="1">
        <f>284539/8239</f>
        <v>34.535623255249426</v>
      </c>
      <c r="BB117" s="1">
        <f>365312/7997</f>
        <v>45.681130423908968</v>
      </c>
      <c r="BC117" s="1">
        <f>424500/7792</f>
        <v>54.478952772073924</v>
      </c>
    </row>
    <row r="118" spans="2:55">
      <c r="B118" t="s">
        <v>2</v>
      </c>
      <c r="AG118" s="4">
        <f t="shared" ref="AG118:BC118" si="208">AG117*AG47</f>
        <v>20734.741379310344</v>
      </c>
      <c r="AH118" s="4">
        <f t="shared" si="208"/>
        <v>36544.838709677417</v>
      </c>
      <c r="AI118" s="4">
        <f t="shared" si="208"/>
        <v>49327.24832214765</v>
      </c>
      <c r="AJ118" s="4">
        <f t="shared" si="208"/>
        <v>114885.89743906935</v>
      </c>
      <c r="AK118" s="4">
        <f t="shared" si="208"/>
        <v>184709.73040305718</v>
      </c>
      <c r="AL118" s="4">
        <f t="shared" si="208"/>
        <v>372704.58101536665</v>
      </c>
      <c r="AM118" s="4">
        <f t="shared" si="208"/>
        <v>298261.112605042</v>
      </c>
      <c r="AN118" s="4">
        <f t="shared" si="208"/>
        <v>266298.08220699872</v>
      </c>
      <c r="AO118" s="4">
        <f t="shared" si="208"/>
        <v>222567.08981033842</v>
      </c>
      <c r="AP118" s="4">
        <f t="shared" si="208"/>
        <v>236906.16184222695</v>
      </c>
      <c r="AQ118" s="4">
        <f t="shared" si="208"/>
        <v>252642.2008830022</v>
      </c>
      <c r="AR118" s="4">
        <f t="shared" si="208"/>
        <v>260731.99813293503</v>
      </c>
      <c r="AS118" s="4">
        <f t="shared" si="208"/>
        <v>247113.52251981141</v>
      </c>
      <c r="AT118" s="4">
        <f t="shared" si="208"/>
        <v>265170.46442666667</v>
      </c>
      <c r="AU118" s="4">
        <f t="shared" si="208"/>
        <v>298326.78203723987</v>
      </c>
      <c r="AV118" s="4">
        <f t="shared" si="208"/>
        <v>151214.58181818182</v>
      </c>
      <c r="AW118" s="4">
        <f t="shared" si="208"/>
        <v>242693.07615855773</v>
      </c>
      <c r="AX118" s="4">
        <f t="shared" si="208"/>
        <v>213717.28455478634</v>
      </c>
      <c r="AY118" s="4">
        <f t="shared" si="208"/>
        <v>198199.0335202195</v>
      </c>
      <c r="AZ118" s="4">
        <f t="shared" si="208"/>
        <v>206380.61592027853</v>
      </c>
      <c r="BA118" s="4">
        <f t="shared" si="208"/>
        <v>290064.69972083991</v>
      </c>
      <c r="BB118" s="4">
        <f t="shared" si="208"/>
        <v>377052.05051894463</v>
      </c>
      <c r="BC118" s="4">
        <f t="shared" si="208"/>
        <v>436539.84856262838</v>
      </c>
    </row>
    <row r="119" spans="2:55">
      <c r="B119" t="s">
        <v>5</v>
      </c>
      <c r="AG119" s="4">
        <f t="shared" ref="AG119:BC119" si="209">AG118-AG62</f>
        <v>17120.741379310344</v>
      </c>
      <c r="AH119" s="4">
        <f t="shared" si="209"/>
        <v>31794.838709677417</v>
      </c>
      <c r="AI119" s="4">
        <f t="shared" si="209"/>
        <v>42387.24832214765</v>
      </c>
      <c r="AJ119" s="4">
        <f t="shared" si="209"/>
        <v>103573.89743906935</v>
      </c>
      <c r="AK119" s="4">
        <f t="shared" si="209"/>
        <v>166079.73040305718</v>
      </c>
      <c r="AL119" s="4">
        <f t="shared" si="209"/>
        <v>341096.58101536665</v>
      </c>
      <c r="AM119" s="4">
        <f t="shared" si="209"/>
        <v>256737.112605042</v>
      </c>
      <c r="AN119" s="4">
        <f t="shared" si="209"/>
        <v>220557.08220699872</v>
      </c>
      <c r="AO119" s="4">
        <f t="shared" si="209"/>
        <v>169724.08981033842</v>
      </c>
      <c r="AP119" s="4">
        <f t="shared" si="209"/>
        <v>174166.16184222695</v>
      </c>
      <c r="AQ119" s="4">
        <f t="shared" si="209"/>
        <v>179840.2008830022</v>
      </c>
      <c r="AR119" s="4">
        <f t="shared" si="209"/>
        <v>211976.99813293503</v>
      </c>
      <c r="AS119" s="4">
        <f t="shared" si="209"/>
        <v>203720.52251981141</v>
      </c>
      <c r="AT119" s="4">
        <f t="shared" si="209"/>
        <v>231642.46442666667</v>
      </c>
      <c r="AU119" s="4">
        <f t="shared" si="209"/>
        <v>268076.78203723987</v>
      </c>
      <c r="AV119" s="4">
        <f t="shared" si="209"/>
        <v>120580.58181818182</v>
      </c>
      <c r="AW119" s="4">
        <f t="shared" si="209"/>
        <v>204090.07615855773</v>
      </c>
      <c r="AX119" s="4">
        <f t="shared" si="209"/>
        <v>162001.28455478634</v>
      </c>
      <c r="AY119" s="4">
        <f t="shared" si="209"/>
        <v>137327.0335202195</v>
      </c>
      <c r="AZ119" s="4">
        <f t="shared" si="209"/>
        <v>134114.61592027853</v>
      </c>
      <c r="BA119" s="4">
        <f t="shared" si="209"/>
        <v>212403.69972083991</v>
      </c>
      <c r="BB119" s="4">
        <f t="shared" si="209"/>
        <v>377052.05051894463</v>
      </c>
      <c r="BC119" s="4">
        <f t="shared" si="209"/>
        <v>436539.84856262838</v>
      </c>
    </row>
    <row r="120" spans="2:55" ht="13">
      <c r="B120" t="s">
        <v>223</v>
      </c>
      <c r="AG120" s="24">
        <f t="shared" ref="AG120:BC120" si="210">AG119/AG45</f>
        <v>13.85173250753264</v>
      </c>
      <c r="AH120" s="24">
        <f t="shared" si="210"/>
        <v>21.21069960618907</v>
      </c>
      <c r="AI120" s="24">
        <f t="shared" si="210"/>
        <v>19.310819281160661</v>
      </c>
      <c r="AJ120" s="24">
        <f t="shared" si="210"/>
        <v>29.986652414322336</v>
      </c>
      <c r="AK120" s="24">
        <f t="shared" si="210"/>
        <v>34.905365784585371</v>
      </c>
      <c r="AL120" s="24">
        <f t="shared" si="210"/>
        <v>44.733977838080875</v>
      </c>
      <c r="AM120" s="24">
        <f t="shared" si="210"/>
        <v>27.710427696172907</v>
      </c>
      <c r="AN120" s="24">
        <f t="shared" si="210"/>
        <v>27.989477437436385</v>
      </c>
      <c r="AO120" s="24">
        <f t="shared" si="210"/>
        <v>21.427103877078451</v>
      </c>
      <c r="AP120" s="24">
        <f t="shared" si="210"/>
        <v>17.311018968514755</v>
      </c>
      <c r="AQ120" s="24">
        <f t="shared" si="210"/>
        <v>21.950470021115855</v>
      </c>
      <c r="AR120" s="24">
        <f t="shared" si="210"/>
        <v>17.298596224329607</v>
      </c>
      <c r="AS120" s="24">
        <f t="shared" si="210"/>
        <v>16.16957873798011</v>
      </c>
      <c r="AT120" s="24">
        <f t="shared" si="210"/>
        <v>16.469425128095747</v>
      </c>
      <c r="AU120" s="24">
        <f t="shared" si="210"/>
        <v>15.161856345073236</v>
      </c>
      <c r="AV120" s="25">
        <f t="shared" si="210"/>
        <v>8.0931996656273455</v>
      </c>
      <c r="AW120" s="25">
        <f t="shared" si="210"/>
        <v>10.844894848746359</v>
      </c>
      <c r="AX120" s="25">
        <f t="shared" si="210"/>
        <v>6.9978956611138807</v>
      </c>
      <c r="AY120" s="25">
        <f t="shared" si="210"/>
        <v>5.9266770325069915</v>
      </c>
      <c r="AZ120" s="25">
        <f t="shared" si="210"/>
        <v>6.1343189827689946</v>
      </c>
      <c r="BA120" s="25">
        <f t="shared" si="210"/>
        <v>9.5673032620530574</v>
      </c>
      <c r="BB120" s="25">
        <f t="shared" si="210"/>
        <v>16.98126691222053</v>
      </c>
      <c r="BC120" s="25">
        <f t="shared" si="210"/>
        <v>24.376806374951329</v>
      </c>
    </row>
    <row r="123" spans="2:55" ht="13">
      <c r="AG123">
        <f>2023-1994</f>
        <v>29</v>
      </c>
      <c r="AH123">
        <v>28</v>
      </c>
      <c r="AI123">
        <v>27</v>
      </c>
      <c r="AJ123" s="3">
        <v>26</v>
      </c>
      <c r="AK123" s="3">
        <f>2023-1998</f>
        <v>25</v>
      </c>
      <c r="AL123" s="3">
        <v>24</v>
      </c>
      <c r="AM123" s="3">
        <v>23</v>
      </c>
      <c r="AN123" s="3">
        <v>22</v>
      </c>
      <c r="AO123" s="3">
        <v>21</v>
      </c>
      <c r="AP123" s="3">
        <v>20</v>
      </c>
      <c r="AQ123" s="3">
        <v>19</v>
      </c>
      <c r="AR123" s="3">
        <v>18</v>
      </c>
      <c r="AS123">
        <v>17</v>
      </c>
      <c r="AT123">
        <v>16</v>
      </c>
      <c r="AU123">
        <v>15</v>
      </c>
      <c r="AV123" s="3">
        <v>14</v>
      </c>
      <c r="AW123">
        <v>13</v>
      </c>
      <c r="AX123">
        <v>12</v>
      </c>
      <c r="AY123">
        <v>11</v>
      </c>
      <c r="AZ123">
        <v>10</v>
      </c>
      <c r="BA123">
        <v>9</v>
      </c>
      <c r="BB123">
        <v>8</v>
      </c>
      <c r="BC123">
        <v>7</v>
      </c>
    </row>
    <row r="124" spans="2:55" ht="13">
      <c r="AG124" s="4">
        <f>AG118*1.17^29</f>
        <v>1968287.8584171364</v>
      </c>
      <c r="AH124" s="4">
        <f>AH118*1.155^28</f>
        <v>2065958.5689269281</v>
      </c>
      <c r="AI124" s="4">
        <f>AI118*1.15^27</f>
        <v>2147477.2858793675</v>
      </c>
      <c r="AJ124" s="6">
        <f>AJ118*1.12^26</f>
        <v>2187435.7745846231</v>
      </c>
      <c r="AK124" s="6">
        <f>AK118*1.1^25</f>
        <v>2001275.6137996709</v>
      </c>
      <c r="AL124" s="6">
        <f>AL118*1.075^24</f>
        <v>2114306.1490662857</v>
      </c>
      <c r="AM124" s="6">
        <f>AM118*1.09^23</f>
        <v>2164741.7152216784</v>
      </c>
      <c r="AN124" s="6">
        <f>AN118*1.1^22</f>
        <v>2167739.6048092404</v>
      </c>
      <c r="AO124" s="6">
        <f>AO118*1.11^21</f>
        <v>1991789.7894720493</v>
      </c>
      <c r="AP124" s="6">
        <f>AP118*1.115^20</f>
        <v>2089650.7367206167</v>
      </c>
      <c r="AQ124" s="6">
        <f>AQ118*1.115^19</f>
        <v>1998611.4738145093</v>
      </c>
      <c r="AR124" s="6">
        <f>AR118*1.12^18</f>
        <v>2005020.1473098751</v>
      </c>
      <c r="AS124" s="4">
        <f>AS118*1.13^17</f>
        <v>1973467.8274649733</v>
      </c>
      <c r="AT124" s="4">
        <f>AT118*1.135^16</f>
        <v>2011217.0113389471</v>
      </c>
      <c r="AU124" s="4">
        <f>AU118*1.135^15</f>
        <v>1993563.9263761484</v>
      </c>
      <c r="AV124" s="6">
        <f>AV118*1.2^14</f>
        <v>1941471.9370539852</v>
      </c>
      <c r="AW124" s="6">
        <f>AW118*1.175^13</f>
        <v>1974920.6566503427</v>
      </c>
      <c r="AX124" s="6">
        <f>AX118*1.21^12</f>
        <v>2105058.1210641512</v>
      </c>
      <c r="AY124" s="6">
        <f>AY118*1.23^11</f>
        <v>1932225.2728441348</v>
      </c>
      <c r="AZ124" s="6">
        <f>AZ118*1.25^10</f>
        <v>1922069.2656960201</v>
      </c>
      <c r="BA124" s="6">
        <f>BA118*1.24^9</f>
        <v>2010435.0433981232</v>
      </c>
      <c r="BB124" s="6">
        <f>BB118*1.23^8</f>
        <v>1975341.5479007133</v>
      </c>
      <c r="BC124" s="6">
        <f>BC118*1.24^7</f>
        <v>1967776.1368191752</v>
      </c>
    </row>
    <row r="125" spans="2:55" ht="13">
      <c r="AG125" s="12">
        <v>0.17</v>
      </c>
      <c r="AH125" s="12">
        <v>0.155</v>
      </c>
      <c r="AI125" s="12">
        <v>0.15</v>
      </c>
      <c r="AJ125" s="18">
        <v>0.12</v>
      </c>
      <c r="AK125" s="18">
        <v>0.1</v>
      </c>
      <c r="AL125" s="18">
        <v>7.4999999999999997E-2</v>
      </c>
      <c r="AM125" s="18">
        <v>8.5000000000000006E-2</v>
      </c>
      <c r="AN125" s="18">
        <v>0.1</v>
      </c>
      <c r="AO125" s="18">
        <v>0.11</v>
      </c>
      <c r="AP125" s="18">
        <v>0.115</v>
      </c>
      <c r="AQ125" s="18">
        <v>0.115</v>
      </c>
      <c r="AR125" s="18">
        <v>0.12</v>
      </c>
      <c r="AS125" s="12">
        <v>0.13</v>
      </c>
      <c r="AT125" s="12">
        <v>0.13500000000000001</v>
      </c>
      <c r="AU125" s="12">
        <v>0.13500000000000001</v>
      </c>
      <c r="AV125" s="18">
        <v>0.2</v>
      </c>
      <c r="AW125" s="18">
        <v>0.17499999999999999</v>
      </c>
      <c r="AX125" s="18">
        <v>0.21</v>
      </c>
      <c r="AY125" s="18">
        <v>0.23</v>
      </c>
      <c r="AZ125" s="18">
        <v>0.25</v>
      </c>
      <c r="BA125" s="18">
        <v>0.24</v>
      </c>
      <c r="BB125" s="18">
        <v>0.23</v>
      </c>
      <c r="BC125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 ht="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 ht="13">
      <c r="B178" s="26"/>
      <c r="C178" s="27"/>
      <c r="D178" s="26"/>
      <c r="E178" s="27"/>
      <c r="F178" s="26"/>
    </row>
    <row r="179" spans="2:6" ht="13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2025-02-26T16:33:57Z</dcterms:modified>
</cp:coreProperties>
</file>