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ichaelmcelwee/Downloads/"/>
    </mc:Choice>
  </mc:AlternateContent>
  <xr:revisionPtr revIDLastSave="0" documentId="8_{0051162F-3737-8A42-B0BA-38587E26243D}" xr6:coauthVersionLast="47" xr6:coauthVersionMax="47" xr10:uidLastSave="{00000000-0000-0000-0000-000000000000}"/>
  <bookViews>
    <workbookView xWindow="0" yWindow="780" windowWidth="34200" windowHeight="19660" xr2:uid="{41D8D64F-1F93-4F21-AD07-356AA805FC3C}"/>
  </bookViews>
  <sheets>
    <sheet name="Balance Sheet" sheetId="9" r:id="rId1"/>
    <sheet name="PFS" sheetId="17" r:id="rId2"/>
    <sheet name="3408 MLK (Owned Propety)" sheetId="10" r:id="rId3"/>
    <sheet name="1214 E 138th Ave (Deal Anaylsis" sheetId="18" r:id="rId4"/>
    <sheet name="618 73rd St (Deal Analysis)" sheetId="13" r:id="rId5"/>
    <sheet name="1 Harmony St (Deal Anaylsis)" sheetId="11" r:id="rId6"/>
    <sheet name="Investor " sheetId="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9" l="1"/>
  <c r="I30" i="18" l="1"/>
  <c r="I28" i="18"/>
  <c r="M18" i="18"/>
  <c r="N18" i="18"/>
  <c r="O18" i="18"/>
  <c r="P18" i="18"/>
  <c r="Q18" i="18"/>
  <c r="R18" i="18"/>
  <c r="S18" i="18"/>
  <c r="T18" i="18"/>
  <c r="U18" i="18"/>
  <c r="V18" i="18"/>
  <c r="W18" i="18"/>
  <c r="L18" i="18"/>
  <c r="M15" i="18"/>
  <c r="N15" i="18"/>
  <c r="O15" i="18"/>
  <c r="P15" i="18"/>
  <c r="Q15" i="18"/>
  <c r="R15" i="18"/>
  <c r="S15" i="18"/>
  <c r="T15" i="18"/>
  <c r="U15" i="18"/>
  <c r="V15" i="18"/>
  <c r="W15" i="18"/>
  <c r="L15" i="18"/>
  <c r="M17" i="18"/>
  <c r="N17" i="18"/>
  <c r="O17" i="18"/>
  <c r="P17" i="18"/>
  <c r="Q17" i="18"/>
  <c r="R17" i="18"/>
  <c r="S17" i="18"/>
  <c r="T17" i="18"/>
  <c r="U17" i="18"/>
  <c r="V17" i="18"/>
  <c r="W17" i="18"/>
  <c r="L17" i="18"/>
  <c r="M16" i="18"/>
  <c r="N16" i="18"/>
  <c r="O16" i="18"/>
  <c r="P16" i="18"/>
  <c r="Q16" i="18"/>
  <c r="R16" i="18"/>
  <c r="S16" i="18"/>
  <c r="T16" i="18"/>
  <c r="U16" i="18"/>
  <c r="V16" i="18"/>
  <c r="W16" i="18"/>
  <c r="L16" i="18"/>
  <c r="L14" i="18"/>
  <c r="L13" i="18"/>
  <c r="O6" i="18"/>
  <c r="O10" i="18" s="1"/>
  <c r="N6" i="18"/>
  <c r="M6" i="18"/>
  <c r="L6" i="18"/>
  <c r="C51" i="18"/>
  <c r="C45" i="18"/>
  <c r="C41" i="18"/>
  <c r="E52" i="18" s="1"/>
  <c r="E20" i="18"/>
  <c r="I9" i="18"/>
  <c r="I10" i="18"/>
  <c r="I12" i="18"/>
  <c r="I13" i="18"/>
  <c r="I14" i="18"/>
  <c r="I15" i="18"/>
  <c r="I16" i="18"/>
  <c r="I17" i="18"/>
  <c r="I18" i="18"/>
  <c r="I19" i="18"/>
  <c r="I20" i="18"/>
  <c r="I21" i="18"/>
  <c r="I22" i="18"/>
  <c r="I23" i="18"/>
  <c r="I24" i="18"/>
  <c r="I25" i="18"/>
  <c r="I26" i="18"/>
  <c r="I27" i="18"/>
  <c r="I8" i="18"/>
  <c r="C44" i="18"/>
  <c r="C43" i="18"/>
  <c r="W14" i="18"/>
  <c r="V14" i="18"/>
  <c r="U14" i="18"/>
  <c r="T14" i="18"/>
  <c r="S14" i="18"/>
  <c r="R14" i="18"/>
  <c r="Q14" i="18"/>
  <c r="P14" i="18"/>
  <c r="O14" i="18"/>
  <c r="N14" i="18"/>
  <c r="M14" i="18"/>
  <c r="E21" i="18"/>
  <c r="E25" i="18" s="1"/>
  <c r="D20" i="18"/>
  <c r="D21" i="18" s="1"/>
  <c r="W13" i="18"/>
  <c r="V13" i="18"/>
  <c r="U13" i="18"/>
  <c r="T13" i="18"/>
  <c r="S13" i="18"/>
  <c r="R13" i="18"/>
  <c r="Q13" i="18"/>
  <c r="P13" i="18"/>
  <c r="O13" i="18"/>
  <c r="N13" i="18"/>
  <c r="M13" i="18"/>
  <c r="W10" i="18"/>
  <c r="V10" i="18"/>
  <c r="U10" i="18"/>
  <c r="T10" i="18"/>
  <c r="S10" i="18"/>
  <c r="R10" i="18"/>
  <c r="Q10" i="18"/>
  <c r="P10" i="18"/>
  <c r="N10" i="18"/>
  <c r="L10" i="18"/>
  <c r="I6" i="18"/>
  <c r="X15" i="9"/>
  <c r="Y15" i="9"/>
  <c r="S18" i="9"/>
  <c r="Q17" i="9"/>
  <c r="Z17" i="9" s="1"/>
  <c r="O17" i="9"/>
  <c r="Z18" i="9"/>
  <c r="F23" i="10"/>
  <c r="E18" i="10"/>
  <c r="D14" i="10"/>
  <c r="W19" i="18" l="1"/>
  <c r="E28" i="18"/>
  <c r="E23" i="18"/>
  <c r="O19" i="18"/>
  <c r="O21" i="18" s="1"/>
  <c r="Q19" i="18"/>
  <c r="Q21" i="18" s="1"/>
  <c r="S19" i="18"/>
  <c r="S21" i="18" s="1"/>
  <c r="P19" i="18"/>
  <c r="P21" i="18" s="1"/>
  <c r="R19" i="18"/>
  <c r="R21" i="18" s="1"/>
  <c r="T19" i="18"/>
  <c r="T21" i="18" s="1"/>
  <c r="C38" i="18"/>
  <c r="V19" i="18"/>
  <c r="V21" i="18" s="1"/>
  <c r="N19" i="18"/>
  <c r="N21" i="18" s="1"/>
  <c r="C46" i="18"/>
  <c r="W21" i="18"/>
  <c r="U19" i="18"/>
  <c r="U21" i="18" s="1"/>
  <c r="M19" i="18"/>
  <c r="M10" i="18"/>
  <c r="V19" i="9"/>
  <c r="AA17" i="9"/>
  <c r="AA18" i="9"/>
  <c r="S19" i="9"/>
  <c r="E26" i="9" s="1"/>
  <c r="E62" i="10"/>
  <c r="E60" i="10"/>
  <c r="F58" i="10"/>
  <c r="C36" i="10"/>
  <c r="C35" i="10"/>
  <c r="C34" i="10"/>
  <c r="C37" i="10"/>
  <c r="C41" i="10"/>
  <c r="C39" i="10"/>
  <c r="C38" i="10"/>
  <c r="I27" i="10"/>
  <c r="I26" i="10"/>
  <c r="I25" i="10"/>
  <c r="I24" i="10"/>
  <c r="I23" i="10"/>
  <c r="I22" i="10"/>
  <c r="I21" i="10"/>
  <c r="I20" i="10"/>
  <c r="I19" i="10"/>
  <c r="W18" i="10"/>
  <c r="V18" i="10"/>
  <c r="U18" i="10"/>
  <c r="T18" i="10"/>
  <c r="S18" i="10"/>
  <c r="R18" i="10"/>
  <c r="Q18" i="10"/>
  <c r="P18" i="10"/>
  <c r="O18" i="10"/>
  <c r="N18" i="10"/>
  <c r="I18" i="10"/>
  <c r="I17" i="10"/>
  <c r="W16" i="10"/>
  <c r="V16" i="10"/>
  <c r="U16" i="10"/>
  <c r="T16" i="10"/>
  <c r="S16" i="10"/>
  <c r="R16" i="10"/>
  <c r="Q16" i="10"/>
  <c r="P16" i="10"/>
  <c r="O16" i="10"/>
  <c r="N16" i="10"/>
  <c r="I16" i="10"/>
  <c r="I15" i="10"/>
  <c r="W14" i="10"/>
  <c r="V14" i="10"/>
  <c r="U14" i="10"/>
  <c r="T14" i="10"/>
  <c r="S14" i="10"/>
  <c r="R14" i="10"/>
  <c r="Q14" i="10"/>
  <c r="P14" i="10"/>
  <c r="O14" i="10"/>
  <c r="N14" i="10"/>
  <c r="M14" i="10"/>
  <c r="L14" i="10"/>
  <c r="I14" i="10"/>
  <c r="E14" i="10"/>
  <c r="E15" i="10" s="1"/>
  <c r="D15" i="10"/>
  <c r="W13" i="10"/>
  <c r="V13" i="10"/>
  <c r="U13" i="10"/>
  <c r="T13" i="10"/>
  <c r="S13" i="10"/>
  <c r="R13" i="10"/>
  <c r="Q13" i="10"/>
  <c r="P13" i="10"/>
  <c r="O13" i="10"/>
  <c r="N13" i="10"/>
  <c r="M13" i="10"/>
  <c r="L13" i="10"/>
  <c r="I13" i="10"/>
  <c r="W10" i="10"/>
  <c r="V10" i="10"/>
  <c r="U10" i="10"/>
  <c r="T10" i="10"/>
  <c r="S10" i="10"/>
  <c r="R10" i="10"/>
  <c r="Q10" i="10"/>
  <c r="P10" i="10"/>
  <c r="O10" i="10"/>
  <c r="N10" i="10"/>
  <c r="I9" i="10"/>
  <c r="I8" i="10"/>
  <c r="M6" i="10"/>
  <c r="M18" i="10" s="1"/>
  <c r="L6" i="10"/>
  <c r="L18" i="10" s="1"/>
  <c r="I6" i="10"/>
  <c r="C48" i="18" l="1"/>
  <c r="C57" i="18" s="1"/>
  <c r="C58" i="18" s="1"/>
  <c r="E51" i="18"/>
  <c r="E53" i="18" s="1"/>
  <c r="E57" i="18" s="1"/>
  <c r="C52" i="18"/>
  <c r="C53" i="18" s="1"/>
  <c r="C55" i="18" s="1"/>
  <c r="L19" i="18"/>
  <c r="L21" i="18" s="1"/>
  <c r="E30" i="18"/>
  <c r="M21" i="18"/>
  <c r="Z19" i="9"/>
  <c r="AA19" i="9"/>
  <c r="R19" i="10"/>
  <c r="N19" i="10"/>
  <c r="O19" i="10"/>
  <c r="O21" i="10" s="1"/>
  <c r="O25" i="10" s="1"/>
  <c r="I28" i="10"/>
  <c r="P19" i="10"/>
  <c r="P21" i="10" s="1"/>
  <c r="P25" i="10" s="1"/>
  <c r="Q19" i="10"/>
  <c r="Q21" i="10" s="1"/>
  <c r="Q25" i="10" s="1"/>
  <c r="S19" i="10"/>
  <c r="S21" i="10" s="1"/>
  <c r="S25" i="10" s="1"/>
  <c r="T19" i="10"/>
  <c r="T21" i="10" s="1"/>
  <c r="T25" i="10" s="1"/>
  <c r="U19" i="10"/>
  <c r="U21" i="10" s="1"/>
  <c r="U25" i="10" s="1"/>
  <c r="L16" i="10"/>
  <c r="L19" i="10" s="1"/>
  <c r="V19" i="10"/>
  <c r="V21" i="10" s="1"/>
  <c r="V25" i="10" s="1"/>
  <c r="M16" i="10"/>
  <c r="M19" i="10" s="1"/>
  <c r="W19" i="10"/>
  <c r="W21" i="10" s="1"/>
  <c r="W25" i="10" s="1"/>
  <c r="R21" i="10"/>
  <c r="R25" i="10" s="1"/>
  <c r="N21" i="10"/>
  <c r="N25" i="10" s="1"/>
  <c r="E17" i="10"/>
  <c r="E21" i="10"/>
  <c r="L10" i="10"/>
  <c r="M10" i="10"/>
  <c r="F30" i="18" l="1"/>
  <c r="E32" i="18"/>
  <c r="E33" i="18" s="1"/>
  <c r="L21" i="10"/>
  <c r="L25" i="10" s="1"/>
  <c r="M21" i="10"/>
  <c r="M25" i="10" s="1"/>
  <c r="E23" i="10"/>
  <c r="E25" i="10" s="1"/>
  <c r="E26" i="10" s="1"/>
  <c r="J44" i="13" l="1"/>
  <c r="I44" i="13"/>
  <c r="I6" i="13"/>
  <c r="I3" i="13"/>
  <c r="I4" i="13"/>
  <c r="I5" i="13"/>
  <c r="I2" i="13"/>
  <c r="I21" i="13"/>
  <c r="I28" i="13"/>
  <c r="I36" i="13"/>
  <c r="I42" i="13"/>
  <c r="J46" i="13"/>
  <c r="J15" i="13"/>
  <c r="J12" i="13"/>
  <c r="J41" i="13"/>
  <c r="J40" i="13"/>
  <c r="J39" i="13"/>
  <c r="J42" i="13" s="1"/>
  <c r="J35" i="13"/>
  <c r="J34" i="13"/>
  <c r="J33" i="13"/>
  <c r="J32" i="13"/>
  <c r="J31" i="13"/>
  <c r="J27" i="13"/>
  <c r="J26" i="13"/>
  <c r="J25" i="13"/>
  <c r="J24" i="13"/>
  <c r="J28" i="13" s="1"/>
  <c r="I20" i="13"/>
  <c r="J20" i="13" s="1"/>
  <c r="J19" i="13"/>
  <c r="J18" i="13"/>
  <c r="J17" i="13"/>
  <c r="J16" i="13"/>
  <c r="J14" i="13"/>
  <c r="J13" i="13"/>
  <c r="J11" i="13"/>
  <c r="J10" i="13"/>
  <c r="J9" i="13"/>
  <c r="J4" i="13"/>
  <c r="J6" i="13" s="1"/>
  <c r="J36" i="13" l="1"/>
  <c r="J21" i="13"/>
  <c r="C47" i="10"/>
  <c r="C56" i="10"/>
  <c r="C58" i="10" s="1"/>
  <c r="C50" i="10"/>
  <c r="C49" i="10"/>
  <c r="C48" i="10"/>
  <c r="C46" i="10"/>
  <c r="C43" i="10" l="1"/>
  <c r="E57" i="10"/>
  <c r="E56" i="10" s="1"/>
  <c r="E58" i="10" s="1"/>
  <c r="L42" i="13"/>
  <c r="M42" i="13" s="1"/>
  <c r="J48" i="13"/>
  <c r="C51" i="10"/>
  <c r="H61" i="17"/>
  <c r="Q57" i="17"/>
  <c r="Q61" i="17" s="1"/>
  <c r="C46" i="17"/>
  <c r="L41" i="17"/>
  <c r="L46" i="17" s="1"/>
  <c r="L39" i="17"/>
  <c r="C39" i="17"/>
  <c r="H28" i="17"/>
  <c r="H30" i="17" s="1"/>
  <c r="Q22" i="17"/>
  <c r="Q28" i="17" s="1"/>
  <c r="L22" i="17"/>
  <c r="H22" i="17"/>
  <c r="C22" i="17"/>
  <c r="Q20" i="17"/>
  <c r="H20" i="17"/>
  <c r="L18" i="17"/>
  <c r="L30" i="17" s="1"/>
  <c r="M30" i="17" s="1"/>
  <c r="C18" i="17"/>
  <c r="C30" i="17" s="1"/>
  <c r="D30" i="17" s="1"/>
  <c r="H29" i="17" s="1"/>
  <c r="C53" i="10" l="1"/>
  <c r="C62" i="10" s="1"/>
  <c r="C60" i="10"/>
  <c r="C33" i="13"/>
  <c r="C35" i="13" s="1"/>
  <c r="L40" i="13"/>
  <c r="C40" i="13"/>
  <c r="C41" i="13"/>
  <c r="Q29" i="17"/>
  <c r="Q30" i="17" s="1"/>
  <c r="M40" i="13" l="1"/>
  <c r="L41" i="13"/>
  <c r="M41" i="13" s="1"/>
  <c r="X16" i="9"/>
  <c r="Y16" i="9"/>
  <c r="S5" i="9"/>
  <c r="T5" i="9"/>
  <c r="E24" i="9"/>
  <c r="W19" i="9"/>
  <c r="X17" i="9"/>
  <c r="Y17" i="9"/>
  <c r="X18" i="9"/>
  <c r="Y18" i="9"/>
  <c r="H32" i="9"/>
  <c r="O32" i="11"/>
  <c r="N30" i="11"/>
  <c r="N32" i="11"/>
  <c r="N25" i="11"/>
  <c r="N26" i="11"/>
  <c r="N27" i="11"/>
  <c r="N28" i="11"/>
  <c r="N29" i="11"/>
  <c r="N24" i="11"/>
  <c r="N21" i="11"/>
  <c r="K21" i="11"/>
  <c r="K30" i="11"/>
  <c r="N17" i="11"/>
  <c r="N18" i="11"/>
  <c r="M18" i="11"/>
  <c r="M19" i="11"/>
  <c r="M17" i="11"/>
  <c r="L19" i="11"/>
  <c r="K19" i="11"/>
  <c r="K18" i="11"/>
  <c r="K17" i="11"/>
  <c r="O7" i="11"/>
  <c r="O6" i="11"/>
  <c r="O4" i="11"/>
  <c r="O3" i="11"/>
  <c r="F32" i="11"/>
  <c r="E32" i="11"/>
  <c r="E30" i="11"/>
  <c r="E25" i="11"/>
  <c r="E26" i="11"/>
  <c r="E27" i="11"/>
  <c r="E28" i="11"/>
  <c r="E29" i="11"/>
  <c r="E24" i="11"/>
  <c r="B21" i="11"/>
  <c r="E21" i="11"/>
  <c r="E17" i="11"/>
  <c r="E19" i="11"/>
  <c r="D18" i="11"/>
  <c r="D17" i="11"/>
  <c r="D19" i="11"/>
  <c r="C18" i="11"/>
  <c r="F18" i="11"/>
  <c r="C17" i="11"/>
  <c r="F7" i="11"/>
  <c r="F6" i="11"/>
  <c r="F4" i="11"/>
  <c r="F3" i="11"/>
  <c r="N19" i="11"/>
  <c r="C19" i="11"/>
  <c r="F17" i="11"/>
  <c r="F19" i="11"/>
  <c r="T4" i="9"/>
  <c r="T6" i="9"/>
  <c r="T9" i="9"/>
  <c r="S9" i="9"/>
  <c r="T10" i="9"/>
  <c r="Q8" i="9"/>
  <c r="S8" i="9" s="1"/>
  <c r="Q7" i="9"/>
  <c r="T7" i="9" s="1"/>
  <c r="S6" i="9"/>
  <c r="S4" i="9"/>
  <c r="Q3" i="9"/>
  <c r="P3" i="9"/>
  <c r="J146" i="3"/>
  <c r="I146" i="3"/>
  <c r="D146" i="3"/>
  <c r="C146" i="3"/>
  <c r="J132" i="3"/>
  <c r="I132" i="3"/>
  <c r="D132" i="3"/>
  <c r="C132" i="3"/>
  <c r="J118" i="3"/>
  <c r="I118" i="3"/>
  <c r="D118" i="3"/>
  <c r="C118" i="3"/>
  <c r="V104" i="3"/>
  <c r="U104" i="3"/>
  <c r="J104" i="3"/>
  <c r="I104" i="3"/>
  <c r="D104" i="3"/>
  <c r="C104" i="3"/>
  <c r="V90" i="3"/>
  <c r="U90" i="3"/>
  <c r="J90" i="3"/>
  <c r="I90" i="3"/>
  <c r="D90" i="3"/>
  <c r="C90" i="3"/>
  <c r="V76" i="3"/>
  <c r="U76" i="3"/>
  <c r="J76" i="3"/>
  <c r="I76" i="3"/>
  <c r="D76" i="3"/>
  <c r="C76" i="3"/>
  <c r="V62" i="3"/>
  <c r="U62" i="3"/>
  <c r="J62" i="3"/>
  <c r="I62" i="3"/>
  <c r="D62" i="3"/>
  <c r="C62" i="3"/>
  <c r="V48" i="3"/>
  <c r="U48" i="3"/>
  <c r="P48" i="3"/>
  <c r="O48" i="3"/>
  <c r="J48" i="3"/>
  <c r="I48" i="3"/>
  <c r="D48" i="3"/>
  <c r="C48" i="3"/>
  <c r="V34" i="3"/>
  <c r="U34" i="3"/>
  <c r="P34" i="3"/>
  <c r="O34" i="3"/>
  <c r="J34" i="3"/>
  <c r="I34" i="3"/>
  <c r="D34" i="3"/>
  <c r="C34" i="3"/>
  <c r="V20" i="3"/>
  <c r="U20" i="3"/>
  <c r="P20" i="3"/>
  <c r="O20" i="3"/>
  <c r="J20" i="3"/>
  <c r="I20" i="3"/>
  <c r="D20" i="3"/>
  <c r="C20" i="3"/>
  <c r="X19" i="9" l="1"/>
  <c r="D13" i="13"/>
  <c r="D14" i="13" s="1"/>
  <c r="C26" i="9"/>
  <c r="C27" i="9" s="1"/>
  <c r="T8" i="9"/>
  <c r="S7" i="9"/>
  <c r="K26" i="9"/>
  <c r="K32" i="9" s="1"/>
  <c r="T3" i="9"/>
  <c r="S10" i="9"/>
  <c r="S3" i="9"/>
  <c r="C22" i="13" l="1"/>
  <c r="C18" i="13"/>
  <c r="C17" i="13"/>
  <c r="Y19" i="9"/>
  <c r="E27" i="9"/>
  <c r="E29" i="9" s="1"/>
  <c r="C24" i="13" l="1"/>
  <c r="C27" i="13" s="1"/>
  <c r="C28" i="13" s="1"/>
  <c r="E32" i="9"/>
  <c r="E31" i="9"/>
  <c r="C37" i="13" l="1"/>
  <c r="C38" i="13" s="1"/>
  <c r="C44" i="13"/>
  <c r="C45" i="13" s="1"/>
  <c r="C47" i="13" l="1"/>
</calcChain>
</file>

<file path=xl/sharedStrings.xml><?xml version="1.0" encoding="utf-8"?>
<sst xmlns="http://schemas.openxmlformats.org/spreadsheetml/2006/main" count="998" uniqueCount="431">
  <si>
    <t>Investors</t>
  </si>
  <si>
    <t>Mortgages</t>
  </si>
  <si>
    <t>Interest Rate</t>
  </si>
  <si>
    <t>35 Linden St</t>
  </si>
  <si>
    <t>41 Stuart Ave</t>
  </si>
  <si>
    <t>52 Summit Ave</t>
  </si>
  <si>
    <t>145 Crystal Ave</t>
  </si>
  <si>
    <t>149 Crystal Ave</t>
  </si>
  <si>
    <t>175 Crystal Ave</t>
  </si>
  <si>
    <t>Total</t>
  </si>
  <si>
    <t>Electric</t>
  </si>
  <si>
    <t>Internet</t>
  </si>
  <si>
    <t>Credit Cards</t>
  </si>
  <si>
    <t>Net Income</t>
  </si>
  <si>
    <t>Total Expenses</t>
  </si>
  <si>
    <t>Labor</t>
  </si>
  <si>
    <t>Month</t>
  </si>
  <si>
    <t>157 Crystal Ave</t>
  </si>
  <si>
    <t>Pilar Bailon</t>
  </si>
  <si>
    <t>Teresa Bailon</t>
  </si>
  <si>
    <t>Nandani Patel</t>
  </si>
  <si>
    <t>Cameryn Worden</t>
  </si>
  <si>
    <t>Invested Amount</t>
  </si>
  <si>
    <t>Monthly Payment</t>
  </si>
  <si>
    <t>Princple Balance</t>
  </si>
  <si>
    <t>Interest Paid</t>
  </si>
  <si>
    <t>Pricnple Paid</t>
  </si>
  <si>
    <t>Balance</t>
  </si>
  <si>
    <t>Year #1 End</t>
  </si>
  <si>
    <t>Year #2 End</t>
  </si>
  <si>
    <t>Year #3 End</t>
  </si>
  <si>
    <t>Year #4 End</t>
  </si>
  <si>
    <t>Year #5 End</t>
  </si>
  <si>
    <t>Year #6 End</t>
  </si>
  <si>
    <t>Year #7 End</t>
  </si>
  <si>
    <t>Year #8 End</t>
  </si>
  <si>
    <t>Year #9 End</t>
  </si>
  <si>
    <t>Cost</t>
  </si>
  <si>
    <t>25 Huntington Pl</t>
  </si>
  <si>
    <t>CT</t>
  </si>
  <si>
    <t>Repairs</t>
  </si>
  <si>
    <t>29 Brainard St</t>
  </si>
  <si>
    <t>Norwich</t>
  </si>
  <si>
    <t>Property Address</t>
  </si>
  <si>
    <t xml:space="preserve">Ownership structure </t>
  </si>
  <si>
    <t>Acquisition Details</t>
  </si>
  <si>
    <t>Current Debt Structure</t>
  </si>
  <si>
    <t>Value - NOI</t>
  </si>
  <si>
    <t xml:space="preserve"> Count</t>
  </si>
  <si>
    <t>Property Name or Unit #</t>
  </si>
  <si>
    <t># of Apartments</t>
  </si>
  <si>
    <t xml:space="preserve">City </t>
  </si>
  <si>
    <t xml:space="preserve">State </t>
  </si>
  <si>
    <t>Zip</t>
  </si>
  <si>
    <t xml:space="preserve">Ownership Name </t>
  </si>
  <si>
    <t xml:space="preserve">Acquisition Date </t>
  </si>
  <si>
    <t xml:space="preserve">Acquisition Price </t>
  </si>
  <si>
    <t>Rehab Costs</t>
  </si>
  <si>
    <t>ARV (at the time)</t>
  </si>
  <si>
    <t>Initial Capital Required</t>
  </si>
  <si>
    <t>Total cashflow collected</t>
  </si>
  <si>
    <t>Sale Proceeds</t>
  </si>
  <si>
    <t>Years Held</t>
  </si>
  <si>
    <t>Original Principal Balance</t>
  </si>
  <si>
    <t>Cash on Cash Return</t>
  </si>
  <si>
    <t>Sold</t>
  </si>
  <si>
    <t>New London</t>
  </si>
  <si>
    <t>06320</t>
  </si>
  <si>
    <t>100% by 5Central Rentals LLC (80% Michael McElwee 20 % Jozeph)</t>
  </si>
  <si>
    <t>Michael McElwee</t>
  </si>
  <si>
    <t>Aqusition Details</t>
  </si>
  <si>
    <t>Currently Own</t>
  </si>
  <si>
    <t>Current Principal Balance</t>
  </si>
  <si>
    <t>Amortization   # Months</t>
  </si>
  <si>
    <t xml:space="preserve">Present Market Value </t>
  </si>
  <si>
    <t>NOI</t>
  </si>
  <si>
    <t>Equity</t>
  </si>
  <si>
    <t>Leverage</t>
  </si>
  <si>
    <t>CT`</t>
  </si>
  <si>
    <t>5Central Rentals</t>
  </si>
  <si>
    <t>175 Crystal Ave LLC</t>
  </si>
  <si>
    <t>06360</t>
  </si>
  <si>
    <t xml:space="preserve">TOTALS </t>
  </si>
  <si>
    <t>Taxes</t>
  </si>
  <si>
    <t>Insurance</t>
  </si>
  <si>
    <t>Expenses</t>
  </si>
  <si>
    <t>Water/Sewer</t>
  </si>
  <si>
    <t>Insurance/Misc</t>
  </si>
  <si>
    <t>Purchase Price</t>
  </si>
  <si>
    <t>Rehab</t>
  </si>
  <si>
    <t>Total Cost</t>
  </si>
  <si>
    <t>Cash</t>
  </si>
  <si>
    <t>Rent</t>
  </si>
  <si>
    <t>1 Harmony St Proforma</t>
  </si>
  <si>
    <t xml:space="preserve">Income </t>
  </si>
  <si>
    <t>Unit 1</t>
  </si>
  <si>
    <t>Unit 2</t>
  </si>
  <si>
    <t>Unit 3</t>
  </si>
  <si>
    <t>Unit 4</t>
  </si>
  <si>
    <t xml:space="preserve">Expenses </t>
  </si>
  <si>
    <t xml:space="preserve">Mortgage </t>
  </si>
  <si>
    <t>Water</t>
  </si>
  <si>
    <t xml:space="preserve">Cleaning </t>
  </si>
  <si>
    <t xml:space="preserve">Total </t>
  </si>
  <si>
    <t>Monthly Income (average)</t>
  </si>
  <si>
    <t xml:space="preserve">Year Income </t>
  </si>
  <si>
    <t>Weekday Rate</t>
  </si>
  <si>
    <t>Weekend Rate</t>
  </si>
  <si>
    <t xml:space="preserve">Weekday occupancy </t>
  </si>
  <si>
    <t>Weekend occupancy</t>
  </si>
  <si>
    <t xml:space="preserve">Yearly Expenses </t>
  </si>
  <si>
    <t>Cap Rate</t>
  </si>
  <si>
    <t>Value</t>
  </si>
  <si>
    <t>Car</t>
  </si>
  <si>
    <t>1 Harmony St</t>
  </si>
  <si>
    <t xml:space="preserve">Stonington </t>
  </si>
  <si>
    <t>06378</t>
  </si>
  <si>
    <t>Assets</t>
  </si>
  <si>
    <t>Liabilities</t>
  </si>
  <si>
    <t>Real Estate</t>
  </si>
  <si>
    <t>Stocks</t>
  </si>
  <si>
    <t>Line of Credit</t>
  </si>
  <si>
    <t>Current</t>
  </si>
  <si>
    <t xml:space="preserve">Proforma </t>
  </si>
  <si>
    <t>ARV</t>
  </si>
  <si>
    <t xml:space="preserve"> LTV</t>
  </si>
  <si>
    <t>FL</t>
  </si>
  <si>
    <t>Michael</t>
  </si>
  <si>
    <t>Jozeph</t>
  </si>
  <si>
    <t>Return</t>
  </si>
  <si>
    <t>Annualized Return</t>
  </si>
  <si>
    <t>Income</t>
  </si>
  <si>
    <t>Gas</t>
  </si>
  <si>
    <t>Spending</t>
  </si>
  <si>
    <t>Annual Income</t>
  </si>
  <si>
    <t>Annual Expenses</t>
  </si>
  <si>
    <t>2 Bed / 1 Bath</t>
  </si>
  <si>
    <t>Maintenance 5%</t>
  </si>
  <si>
    <t>Vacancy</t>
  </si>
  <si>
    <t>Management</t>
  </si>
  <si>
    <t>Annual</t>
  </si>
  <si>
    <t>Roof</t>
  </si>
  <si>
    <t>Driveway</t>
  </si>
  <si>
    <t>Closing costs</t>
  </si>
  <si>
    <t>Cashout</t>
  </si>
  <si>
    <t>3408 E Dr MLK BLVD</t>
  </si>
  <si>
    <t>6.5 Cap</t>
  </si>
  <si>
    <t>Profit</t>
  </si>
  <si>
    <t>Mini spilt</t>
  </si>
  <si>
    <t>Per unit</t>
  </si>
  <si>
    <t>Doors</t>
  </si>
  <si>
    <t>Windows</t>
  </si>
  <si>
    <t>Exterior Painting</t>
  </si>
  <si>
    <t>Exterior Trim</t>
  </si>
  <si>
    <t>Framing</t>
  </si>
  <si>
    <t>Drywall</t>
  </si>
  <si>
    <t>Interior door</t>
  </si>
  <si>
    <t>Toliet</t>
  </si>
  <si>
    <t>Cabinets</t>
  </si>
  <si>
    <t>Shower</t>
  </si>
  <si>
    <t>Fixtures</t>
  </si>
  <si>
    <t xml:space="preserve">Vanity </t>
  </si>
  <si>
    <t>Counter</t>
  </si>
  <si>
    <t>Sink + faucet</t>
  </si>
  <si>
    <t>Lights</t>
  </si>
  <si>
    <t>Doorknobs</t>
  </si>
  <si>
    <t>Eletric panels</t>
  </si>
  <si>
    <t>Flooring</t>
  </si>
  <si>
    <t>Paint</t>
  </si>
  <si>
    <t>Tampa</t>
  </si>
  <si>
    <t>33610</t>
  </si>
  <si>
    <t>100% 5Central Capital</t>
  </si>
  <si>
    <t>5Central Capital</t>
  </si>
  <si>
    <t>10% Buffer</t>
  </si>
  <si>
    <t>Studio</t>
  </si>
  <si>
    <t>Monthly</t>
  </si>
  <si>
    <t>Tenant</t>
  </si>
  <si>
    <t>Proforma</t>
  </si>
  <si>
    <t>Trash</t>
  </si>
  <si>
    <t>Start up costs</t>
  </si>
  <si>
    <t>Downpayment</t>
  </si>
  <si>
    <t>Balance Sheet</t>
  </si>
  <si>
    <t>Vacant</t>
  </si>
  <si>
    <t>Closing Costs</t>
  </si>
  <si>
    <t>Unit 1 ( 1 bed)</t>
  </si>
  <si>
    <t>Unit 2 (1 bed)</t>
  </si>
  <si>
    <t xml:space="preserve">Unit 3 (Main House) </t>
  </si>
  <si>
    <t xml:space="preserve"> $                         -  </t>
  </si>
  <si>
    <t xml:space="preserve"> Apprasials + Inspection + Flood </t>
  </si>
  <si>
    <t xml:space="preserve"> $                              -  </t>
  </si>
  <si>
    <t xml:space="preserve"> Furnishings </t>
  </si>
  <si>
    <t xml:space="preserve"> Amazon </t>
  </si>
  <si>
    <t xml:space="preserve"> Raymor Furniture </t>
  </si>
  <si>
    <t xml:space="preserve"> Repairs </t>
  </si>
  <si>
    <t xml:space="preserve"> Bathroom </t>
  </si>
  <si>
    <t xml:space="preserve"> $                      -  </t>
  </si>
  <si>
    <t xml:space="preserve"> Flooring </t>
  </si>
  <si>
    <t xml:space="preserve"> Labor </t>
  </si>
  <si>
    <t xml:space="preserve"> Total </t>
  </si>
  <si>
    <t>Summer 1 bedroom Assumptions</t>
  </si>
  <si>
    <t>Winter 1 bedroom Assumptions</t>
  </si>
  <si>
    <t>Summer 2 bedroom Assumptions</t>
  </si>
  <si>
    <t>Winter 2 bedroom Assumptions</t>
  </si>
  <si>
    <t>Summer Main House Assumptions</t>
  </si>
  <si>
    <t>Winter Main House Assumptions</t>
  </si>
  <si>
    <t>Summer</t>
  </si>
  <si>
    <t>Winter</t>
  </si>
  <si>
    <t>Days</t>
  </si>
  <si>
    <t>Summers</t>
  </si>
  <si>
    <t>Winters</t>
  </si>
  <si>
    <t>CT`+C45:H52</t>
  </si>
  <si>
    <t>Plumbing</t>
  </si>
  <si>
    <t>Rehab Budget</t>
  </si>
  <si>
    <t>Monthly expenses</t>
  </si>
  <si>
    <t>Phones</t>
  </si>
  <si>
    <t>Business</t>
  </si>
  <si>
    <t xml:space="preserve">Materials </t>
  </si>
  <si>
    <t>Monthly Spending</t>
  </si>
  <si>
    <t>100% 5Central Rentals</t>
  </si>
  <si>
    <t>House Docotrs LLC (62.5% 5Central Rentals LLC - 37.5% Hector Mesa)</t>
  </si>
  <si>
    <t>House Doctors LLC</t>
  </si>
  <si>
    <t xml:space="preserve">100% House Doctors </t>
  </si>
  <si>
    <t>House Doctors</t>
  </si>
  <si>
    <t>PART 1 - Summary Financial Statement</t>
  </si>
  <si>
    <t>Property Name:</t>
  </si>
  <si>
    <t>Please sign and date at the bottom of Page 2.</t>
  </si>
  <si>
    <t>Key Principal Information</t>
  </si>
  <si>
    <t>Other Principal Information</t>
  </si>
  <si>
    <t xml:space="preserve">Name:                </t>
  </si>
  <si>
    <t>McElwee</t>
  </si>
  <si>
    <t xml:space="preserve">Business Name:          </t>
  </si>
  <si>
    <t xml:space="preserve">Address:            </t>
  </si>
  <si>
    <t>19915 Tamiami Ave</t>
  </si>
  <si>
    <t xml:space="preserve">Business Address:        </t>
  </si>
  <si>
    <t xml:space="preserve">City, State &amp; Zip: </t>
  </si>
  <si>
    <t>Tampa FL</t>
  </si>
  <si>
    <t xml:space="preserve">Business Address 2:        </t>
  </si>
  <si>
    <t>SREO</t>
  </si>
  <si>
    <t>Social Security #:</t>
  </si>
  <si>
    <t>045-98-6634</t>
  </si>
  <si>
    <t xml:space="preserve">City, State &amp; Zip:          </t>
  </si>
  <si>
    <t>Tampa FL 33647</t>
  </si>
  <si>
    <t>Date of Birth:</t>
  </si>
  <si>
    <t>Length of Employment:</t>
  </si>
  <si>
    <t xml:space="preserve">U.S. Citizen (Yes/No):                </t>
  </si>
  <si>
    <t>YES</t>
  </si>
  <si>
    <t xml:space="preserve">Position:                           </t>
  </si>
  <si>
    <t>Email Address</t>
  </si>
  <si>
    <t>michael@5central.capital</t>
  </si>
  <si>
    <r>
      <t xml:space="preserve">Phone #   </t>
    </r>
    <r>
      <rPr>
        <b/>
        <sz val="10"/>
        <rFont val="Times New Roman"/>
        <family val="1"/>
      </rPr>
      <t xml:space="preserve">  </t>
    </r>
    <r>
      <rPr>
        <sz val="10"/>
        <rFont val="Times New Roman"/>
        <family val="1"/>
      </rPr>
      <t xml:space="preserve">          </t>
    </r>
  </si>
  <si>
    <t>860-326-6094</t>
  </si>
  <si>
    <t xml:space="preserve">Phone #                          </t>
  </si>
  <si>
    <t>Assets and Liabilities are broken down by ownership percentage.  If an Asset or Liability is owned by other individuals or entities, indicate their ownership percentage in the respective schedules on page 2.  Below should indicate a total of the principal's ownership only.</t>
  </si>
  <si>
    <t>Total $</t>
  </si>
  <si>
    <t>Cash in Institutions</t>
  </si>
  <si>
    <t>Schedule A</t>
  </si>
  <si>
    <t>Notes Payable to banks</t>
  </si>
  <si>
    <t>Schedule E</t>
  </si>
  <si>
    <t>U.S. Gov't Securities</t>
  </si>
  <si>
    <t>Schedule B</t>
  </si>
  <si>
    <t>Notes Payable to other</t>
  </si>
  <si>
    <t>Marketable Securities</t>
  </si>
  <si>
    <t>Revolving debt and other credit</t>
  </si>
  <si>
    <t>Other Equity Interest</t>
  </si>
  <si>
    <t>Schedule C</t>
  </si>
  <si>
    <t>Unpaid income taxes</t>
  </si>
  <si>
    <t>Real estate Owned</t>
  </si>
  <si>
    <t>Schedule D</t>
  </si>
  <si>
    <t>Mortgage Loans</t>
  </si>
  <si>
    <t>Partnership Interest</t>
  </si>
  <si>
    <t>Other Liabilities</t>
  </si>
  <si>
    <t>Accounts &amp; Notes Receivable:</t>
  </si>
  <si>
    <t>Retirement Accounts:</t>
  </si>
  <si>
    <t>Other Vested Retirement Accounts:</t>
  </si>
  <si>
    <t>Other Assets/Personal Property:</t>
  </si>
  <si>
    <t xml:space="preserve">Cash Value Life Insurance </t>
  </si>
  <si>
    <t>Total Liabilities</t>
  </si>
  <si>
    <t>Net Worth (Assets less Liabilities)</t>
  </si>
  <si>
    <t>Total Assets</t>
  </si>
  <si>
    <t>Total Liabilities and Net Worth</t>
  </si>
  <si>
    <r>
      <t xml:space="preserve">* </t>
    </r>
    <r>
      <rPr>
        <sz val="8"/>
        <rFont val="Times New Roman"/>
        <family val="1"/>
      </rPr>
      <t xml:space="preserve">(Alimony, child support or separate maintenance income need not be revealed unless relied upon for extension of credit.) </t>
    </r>
  </si>
  <si>
    <t xml:space="preserve">     (Individual)</t>
  </si>
  <si>
    <t>(Joint)</t>
  </si>
  <si>
    <t>Personal Information</t>
  </si>
  <si>
    <t>Yes or No *</t>
  </si>
  <si>
    <t>Salary</t>
  </si>
  <si>
    <t>1) Personal guaranties on other properties</t>
  </si>
  <si>
    <t>NO</t>
  </si>
  <si>
    <t>Bonus/ Commissions</t>
  </si>
  <si>
    <t xml:space="preserve">    not on your real estate schedule?</t>
  </si>
  <si>
    <t>Dividends/Interest</t>
  </si>
  <si>
    <t>2) Personal guaranties on other businesses?</t>
  </si>
  <si>
    <t>Real estate Income</t>
  </si>
  <si>
    <t>3) Have you declared bankruptcy in the past 10 years?</t>
  </si>
  <si>
    <t>Other Income</t>
  </si>
  <si>
    <t>4) Settled any debts for less than the amount</t>
  </si>
  <si>
    <t>Total Income</t>
  </si>
  <si>
    <t>$</t>
  </si>
  <si>
    <t xml:space="preserve">     owed?</t>
  </si>
  <si>
    <t>5) Pending legal action?</t>
  </si>
  <si>
    <t>Mortgage/Rental Pmt</t>
  </si>
  <si>
    <t>RE Taxes</t>
  </si>
  <si>
    <t>6) Ever convicted of a felony?</t>
  </si>
  <si>
    <t>Insurance Payments</t>
  </si>
  <si>
    <t>Car/Credit Card</t>
  </si>
  <si>
    <t>7) Contested income tax liens?</t>
  </si>
  <si>
    <t>Other</t>
  </si>
  <si>
    <t>8) Other special debt or circumstances?</t>
  </si>
  <si>
    <t>* Note: If the answer to any of the "Personal Information" questions is "Yes," please attach a letter of explanation for each.</t>
  </si>
  <si>
    <t>PART 2 - Exhibits to Financial Statement</t>
  </si>
  <si>
    <t>SCHEDULE A:</t>
  </si>
  <si>
    <t>CASH, CHECKING &amp; SAVINGS ACCOUNTS, CDs, AND MONEY MARKET FUNDS</t>
  </si>
  <si>
    <t>List here the names of all institutes at which you maintain a deposit account and/or where you have obtained loans or lines of credit.</t>
  </si>
  <si>
    <t>Please provide account statements for verification purposes.</t>
  </si>
  <si>
    <t>Name of Institute</t>
  </si>
  <si>
    <t>Type of Account</t>
  </si>
  <si>
    <t>Owner</t>
  </si>
  <si>
    <t>If Pledged, to Whom?</t>
  </si>
  <si>
    <t>Chase</t>
  </si>
  <si>
    <t>Business Checking</t>
  </si>
  <si>
    <t>TOTAL</t>
  </si>
  <si>
    <t>SCHEDULE B:</t>
  </si>
  <si>
    <t>U.S. GOVERNMENT &amp; MARKETABLE SECURITIES</t>
  </si>
  <si>
    <t>Description</t>
  </si>
  <si>
    <t>Number of Shares</t>
  </si>
  <si>
    <t>In Name Of</t>
  </si>
  <si>
    <t>Market Value</t>
  </si>
  <si>
    <t>SCHEDULE C:</t>
  </si>
  <si>
    <t>NON-MARKETABLE SECURITIES</t>
  </si>
  <si>
    <t>SCHEDULE D:</t>
  </si>
  <si>
    <t>Property</t>
  </si>
  <si>
    <t>Owned</t>
  </si>
  <si>
    <t xml:space="preserve">% </t>
  </si>
  <si>
    <t>Market</t>
  </si>
  <si>
    <t>Address</t>
  </si>
  <si>
    <t>Since</t>
  </si>
  <si>
    <t>SEE REO SCHEDULE</t>
  </si>
  <si>
    <t>SCHEDULE E:</t>
  </si>
  <si>
    <t>LIABILITIES AND NOTES PAYABLE (Excluding Real Estate)</t>
  </si>
  <si>
    <t>Maturity</t>
  </si>
  <si>
    <t>Creditor Name</t>
  </si>
  <si>
    <t>Contact Information</t>
  </si>
  <si>
    <t>Amount of Liability</t>
  </si>
  <si>
    <t>Date</t>
  </si>
  <si>
    <t>SEE REO SCHDULE</t>
  </si>
  <si>
    <t>I (we) certify that the information on this financial statement is true, correct and complete.</t>
  </si>
  <si>
    <t>Signature of :</t>
  </si>
  <si>
    <t>Date Signed:</t>
  </si>
  <si>
    <t>Signature (other) Principal:</t>
  </si>
  <si>
    <t xml:space="preserve">Jozeph </t>
  </si>
  <si>
    <t>Bailon</t>
  </si>
  <si>
    <t>18 Lestertown Rd</t>
  </si>
  <si>
    <t>Groton CT 06340</t>
  </si>
  <si>
    <t>040-08-8335</t>
  </si>
  <si>
    <t>Jozeph@5central.capital</t>
  </si>
  <si>
    <t>860-405-4132</t>
  </si>
  <si>
    <t>Perosnal Checking</t>
  </si>
  <si>
    <t>1 Bed / 1 Bath</t>
  </si>
  <si>
    <t>Hip Home Plumbing</t>
  </si>
  <si>
    <t>Materials</t>
  </si>
  <si>
    <t>Glass Repair</t>
  </si>
  <si>
    <t>Remaining</t>
  </si>
  <si>
    <t>Purchase</t>
  </si>
  <si>
    <t>Taxes, Water, Electric</t>
  </si>
  <si>
    <t>Interest</t>
  </si>
  <si>
    <t>Evictions</t>
  </si>
  <si>
    <t>Closing/Holding Costs</t>
  </si>
  <si>
    <t>All in Costs</t>
  </si>
  <si>
    <t>Profit from Refi</t>
  </si>
  <si>
    <t>Refi Loan</t>
  </si>
  <si>
    <t>Cash from Refinance</t>
  </si>
  <si>
    <t>Current Loan</t>
  </si>
  <si>
    <t>Total Profit</t>
  </si>
  <si>
    <t>Initial Cash</t>
  </si>
  <si>
    <t>Down Payment</t>
  </si>
  <si>
    <t>Rehab Overages</t>
  </si>
  <si>
    <t>Total out of pocket</t>
  </si>
  <si>
    <t>2 Bedrooms</t>
  </si>
  <si>
    <t>618 73rd St St Pete Beach</t>
  </si>
  <si>
    <t>2 Bedroom</t>
  </si>
  <si>
    <t>6 Cap</t>
  </si>
  <si>
    <t>Electric panels</t>
  </si>
  <si>
    <t>Blinds, Doorknobs, Closet Fixtures</t>
  </si>
  <si>
    <t>Landscaping</t>
  </si>
  <si>
    <t xml:space="preserve">Kitchens </t>
  </si>
  <si>
    <t xml:space="preserve">Bathrooms </t>
  </si>
  <si>
    <t xml:space="preserve">General Interior Rough </t>
  </si>
  <si>
    <t>Finishings</t>
  </si>
  <si>
    <t>Appliances</t>
  </si>
  <si>
    <t xml:space="preserve">Tile </t>
  </si>
  <si>
    <t>Vanity/ Mirror</t>
  </si>
  <si>
    <t xml:space="preserve">Lighting </t>
  </si>
  <si>
    <t>Demoliation</t>
  </si>
  <si>
    <t>Permiting</t>
  </si>
  <si>
    <t>Exterior Doors</t>
  </si>
  <si>
    <t>Hot Water Heater</t>
  </si>
  <si>
    <t>Breakdown</t>
  </si>
  <si>
    <t>Per Unit</t>
  </si>
  <si>
    <t>Buffer</t>
  </si>
  <si>
    <t>Loan Amount</t>
  </si>
  <si>
    <t>Cashout Profit</t>
  </si>
  <si>
    <t>Holding Costs</t>
  </si>
  <si>
    <t>Electrical wiring</t>
  </si>
  <si>
    <t>Insulation</t>
  </si>
  <si>
    <t>Rent Roll</t>
  </si>
  <si>
    <t>12 Month Pro Forma</t>
  </si>
  <si>
    <t>Zach Dupuis</t>
  </si>
  <si>
    <t>Destiny Stanley</t>
  </si>
  <si>
    <t>Applicantion Fee</t>
  </si>
  <si>
    <t>Antoine Simpkins</t>
  </si>
  <si>
    <t>Laundry</t>
  </si>
  <si>
    <t>Pet Fee</t>
  </si>
  <si>
    <t>Trey Thomas</t>
  </si>
  <si>
    <t>Henry Gallego</t>
  </si>
  <si>
    <t>Water/ Sewer</t>
  </si>
  <si>
    <t>Non Operating Expense</t>
  </si>
  <si>
    <t>Net Cashflow</t>
  </si>
  <si>
    <t>Autumn Schramm</t>
  </si>
  <si>
    <t>Guillermo</t>
  </si>
  <si>
    <t>Mini Splits</t>
  </si>
  <si>
    <t>Maritiza</t>
  </si>
  <si>
    <t>Henry Ramos</t>
  </si>
  <si>
    <t>Tamara Smith</t>
  </si>
  <si>
    <t>Elizabeth Rayburg</t>
  </si>
  <si>
    <t>All in Cost</t>
  </si>
  <si>
    <t>Multipe on Cash</t>
  </si>
  <si>
    <t>Initial Profit</t>
  </si>
  <si>
    <t>Post refi Cash</t>
  </si>
  <si>
    <t>Contract services</t>
  </si>
  <si>
    <t>Contract Service</t>
  </si>
  <si>
    <t>1214 E 138th Ave Tampa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</si>
</sst>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8" formatCode="&quot;$&quot;#,##0.00_);[Red]\(&quot;$&quot;#,##0.00\)"/>
    <numFmt numFmtId="44" formatCode="_(&quot;$&quot;* #,##0.00_);_(&quot;$&quot;* \(#,##0.00\);_(&quot;$&quot;* &quot;-&quot;??_);_(@_)"/>
    <numFmt numFmtId="164" formatCode="[$-409]mmmm\-yy;@"/>
    <numFmt numFmtId="165" formatCode="0.000%"/>
    <numFmt numFmtId="166" formatCode="&quot;$&quot;#,##0.00"/>
    <numFmt numFmtId="167" formatCode="&quot;$&quot;#,##0"/>
    <numFmt numFmtId="168" formatCode="_([$$-409]* #,##0.00_);_([$$-409]* \(#,##0.00\);_([$$-409]* &quot;-&quot;??_);_(@_)"/>
    <numFmt numFmtId="169" formatCode="[$$-409]#,##0.000"/>
    <numFmt numFmtId="170" formatCode="[$-409]mmmm\ d\,\ yyyy;@"/>
    <numFmt numFmtId="171" formatCode="[&lt;=9999999]###\-####;\(###\)\ ###\-####"/>
  </numFmts>
  <fonts count="39"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name val="Calibri"/>
      <family val="2"/>
      <scheme val="minor"/>
    </font>
    <font>
      <b/>
      <sz val="14"/>
      <color rgb="FF000000"/>
      <name val="Arial"/>
      <family val="2"/>
    </font>
    <font>
      <sz val="12"/>
      <color rgb="FF000000"/>
      <name val="Arial"/>
      <family val="2"/>
    </font>
    <font>
      <b/>
      <sz val="10"/>
      <color theme="1"/>
      <name val="Calibri"/>
      <family val="2"/>
      <scheme val="minor"/>
    </font>
    <font>
      <sz val="10"/>
      <color theme="1"/>
      <name val="Calibri"/>
      <family val="2"/>
      <scheme val="minor"/>
    </font>
    <font>
      <sz val="10"/>
      <name val="Calibri"/>
      <family val="2"/>
      <scheme val="minor"/>
    </font>
    <font>
      <sz val="11"/>
      <color rgb="FF303030"/>
      <name val="Arial"/>
      <family val="1"/>
    </font>
    <font>
      <sz val="11"/>
      <color rgb="FF000000"/>
      <name val="Calibri"/>
      <family val="2"/>
      <scheme val="minor"/>
    </font>
    <font>
      <u/>
      <sz val="11"/>
      <color theme="10"/>
      <name val="Calibri"/>
      <family val="2"/>
      <scheme val="minor"/>
    </font>
    <font>
      <sz val="10"/>
      <name val="Arial"/>
      <family val="2"/>
    </font>
    <font>
      <b/>
      <sz val="14"/>
      <color indexed="8"/>
      <name val="Times New Roman"/>
      <family val="1"/>
    </font>
    <font>
      <sz val="10"/>
      <name val="Times New Roman"/>
      <family val="1"/>
    </font>
    <font>
      <b/>
      <sz val="14"/>
      <name val="Times New Roman"/>
      <family val="1"/>
    </font>
    <font>
      <b/>
      <sz val="10"/>
      <name val="Times New Roman"/>
      <family val="1"/>
    </font>
    <font>
      <i/>
      <sz val="12"/>
      <color indexed="8"/>
      <name val="Times New Roman"/>
      <family val="1"/>
    </font>
    <font>
      <b/>
      <sz val="18"/>
      <color indexed="17"/>
      <name val="Garamond"/>
      <family val="1"/>
    </font>
    <font>
      <b/>
      <sz val="10"/>
      <color indexed="12"/>
      <name val="Times New Roman"/>
      <family val="1"/>
    </font>
    <font>
      <b/>
      <sz val="10"/>
      <color indexed="12"/>
      <name val="Arial"/>
      <family val="2"/>
    </font>
    <font>
      <sz val="8"/>
      <name val="Times New Roman"/>
      <family val="1"/>
    </font>
    <font>
      <b/>
      <sz val="10"/>
      <color rgb="FFFF0000"/>
      <name val="Times New Roman"/>
      <family val="1"/>
    </font>
    <font>
      <sz val="9"/>
      <name val="Times New Roman"/>
      <family val="1"/>
    </font>
    <font>
      <i/>
      <sz val="9"/>
      <name val="Times New Roman"/>
      <family val="1"/>
    </font>
    <font>
      <sz val="9"/>
      <name val="Arial"/>
      <family val="2"/>
    </font>
    <font>
      <b/>
      <sz val="8"/>
      <name val="Times New Roman"/>
      <family val="1"/>
    </font>
    <font>
      <b/>
      <sz val="10"/>
      <name val="Arial"/>
      <family val="2"/>
    </font>
    <font>
      <b/>
      <sz val="9"/>
      <name val="Arial"/>
      <family val="2"/>
    </font>
    <font>
      <sz val="8"/>
      <name val="Arial"/>
      <family val="2"/>
    </font>
    <font>
      <b/>
      <sz val="9"/>
      <name val="Times New Roman"/>
      <family val="1"/>
    </font>
    <font>
      <b/>
      <i/>
      <sz val="9"/>
      <name val="Times New Roman"/>
      <family val="1"/>
    </font>
    <font>
      <sz val="10"/>
      <color indexed="12"/>
      <name val="Times New Roman"/>
      <family val="1"/>
    </font>
    <font>
      <sz val="11"/>
      <color rgb="FF414042"/>
      <name val="Helvetica Neue"/>
      <family val="2"/>
    </font>
    <font>
      <sz val="11"/>
      <color rgb="FF126BC5"/>
      <name val="Helvetica Neue"/>
      <family val="2"/>
    </font>
    <font>
      <sz val="11"/>
      <color rgb="FF717171"/>
      <name val="Helvetica Neue"/>
      <family val="2"/>
    </font>
  </fonts>
  <fills count="2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8868"/>
        <bgColor indexed="64"/>
      </patternFill>
    </fill>
    <fill>
      <patternFill patternType="solid">
        <fgColor rgb="FFD9E1F2"/>
        <bgColor rgb="FF000000"/>
      </patternFill>
    </fill>
    <fill>
      <patternFill patternType="solid">
        <fgColor rgb="FFE2EFDA"/>
        <bgColor rgb="FF000000"/>
      </patternFill>
    </fill>
    <fill>
      <patternFill patternType="solid">
        <fgColor indexed="22"/>
        <bgColor indexed="64"/>
      </patternFill>
    </fill>
    <fill>
      <patternFill patternType="solid">
        <fgColor rgb="FFFF7E88"/>
        <bgColor indexed="64"/>
      </patternFill>
    </fill>
    <fill>
      <patternFill patternType="solid">
        <fgColor theme="9" tint="-0.249977111117893"/>
        <bgColor indexed="64"/>
      </patternFill>
    </fill>
    <fill>
      <patternFill patternType="solid">
        <fgColor rgb="FF00B05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medium">
        <color indexed="64"/>
      </bottom>
      <diagonal/>
    </border>
    <border>
      <left style="thin">
        <color rgb="FF505050"/>
      </left>
      <right style="thin">
        <color rgb="FF505050"/>
      </right>
      <top style="thin">
        <color rgb="FF505050"/>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bottom style="medium">
        <color indexed="64"/>
      </bottom>
      <diagonal/>
    </border>
    <border>
      <left style="thin">
        <color rgb="FF505050"/>
      </left>
      <right/>
      <top style="thin">
        <color rgb="FF505050"/>
      </top>
      <bottom/>
      <diagonal/>
    </border>
    <border>
      <left/>
      <right style="thin">
        <color rgb="FF505050"/>
      </right>
      <top style="thin">
        <color rgb="FF505050"/>
      </top>
      <bottom/>
      <diagonal/>
    </border>
  </borders>
  <cellStyleXfs count="5">
    <xf numFmtId="0" fontId="0" fillId="0" borderId="0"/>
    <xf numFmtId="44" fontId="2" fillId="0" borderId="0" applyFont="0" applyFill="0" applyBorder="0" applyAlignment="0" applyProtection="0"/>
    <xf numFmtId="9" fontId="2" fillId="0" borderId="0" applyFont="0" applyFill="0" applyBorder="0" applyAlignment="0" applyProtection="0"/>
    <xf numFmtId="0" fontId="14" fillId="0" borderId="0" applyNumberFormat="0" applyFill="0" applyBorder="0" applyAlignment="0" applyProtection="0"/>
    <xf numFmtId="0" fontId="15" fillId="0" borderId="0" applyBorder="0"/>
  </cellStyleXfs>
  <cellXfs count="324">
    <xf numFmtId="0" fontId="0" fillId="0" borderId="0" xfId="0"/>
    <xf numFmtId="44" fontId="0" fillId="0" borderId="0" xfId="1" applyFont="1"/>
    <xf numFmtId="44" fontId="0" fillId="0" borderId="0" xfId="0" applyNumberFormat="1"/>
    <xf numFmtId="10" fontId="0" fillId="0" borderId="0" xfId="2" applyNumberFormat="1" applyFont="1"/>
    <xf numFmtId="44" fontId="5" fillId="0" borderId="0" xfId="1" applyFont="1"/>
    <xf numFmtId="0" fontId="3" fillId="0" borderId="0" xfId="0" applyFont="1"/>
    <xf numFmtId="0" fontId="5" fillId="0" borderId="0" xfId="0" applyFont="1"/>
    <xf numFmtId="10" fontId="5" fillId="0" borderId="0" xfId="2" applyNumberFormat="1" applyFont="1"/>
    <xf numFmtId="44" fontId="0" fillId="3" borderId="0" xfId="1" applyFont="1" applyFill="1"/>
    <xf numFmtId="0" fontId="4" fillId="0" borderId="0" xfId="0" applyFont="1"/>
    <xf numFmtId="44" fontId="0" fillId="0" borderId="0" xfId="1" applyFont="1" applyFill="1"/>
    <xf numFmtId="10" fontId="7" fillId="0" borderId="0" xfId="2" applyNumberFormat="1" applyFont="1"/>
    <xf numFmtId="17" fontId="8" fillId="0" borderId="0" xfId="0" applyNumberFormat="1" applyFont="1"/>
    <xf numFmtId="8" fontId="8" fillId="0" borderId="0" xfId="0" applyNumberFormat="1" applyFont="1"/>
    <xf numFmtId="0" fontId="8" fillId="0" borderId="0" xfId="0" applyFont="1"/>
    <xf numFmtId="0" fontId="10" fillId="0" borderId="0" xfId="0" applyFont="1" applyAlignment="1">
      <alignment horizontal="center" vertical="center"/>
    </xf>
    <xf numFmtId="0" fontId="9" fillId="0" borderId="0" xfId="0" applyFont="1" applyAlignment="1">
      <alignment horizontal="center" vertical="center"/>
    </xf>
    <xf numFmtId="0" fontId="10" fillId="0" borderId="1" xfId="0" applyFont="1" applyBorder="1" applyAlignment="1">
      <alignment horizontal="center" vertical="center"/>
    </xf>
    <xf numFmtId="0" fontId="9" fillId="0" borderId="4"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center" vertical="center"/>
    </xf>
    <xf numFmtId="0" fontId="10" fillId="9"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164" fontId="10" fillId="7" borderId="1" xfId="0" applyNumberFormat="1" applyFont="1" applyFill="1" applyBorder="1" applyAlignment="1">
      <alignment horizontal="center" vertical="center" wrapText="1"/>
    </xf>
    <xf numFmtId="44" fontId="10" fillId="7" borderId="1" xfId="1" applyFont="1" applyFill="1" applyBorder="1" applyAlignment="1">
      <alignment horizontal="center" vertical="center" wrapText="1"/>
    </xf>
    <xf numFmtId="44" fontId="10" fillId="8" borderId="1" xfId="1" applyFont="1" applyFill="1" applyBorder="1" applyAlignment="1">
      <alignment horizontal="center" vertical="center" wrapText="1"/>
    </xf>
    <xf numFmtId="44" fontId="11" fillId="8" borderId="1" xfId="1" applyFont="1" applyFill="1" applyBorder="1" applyAlignment="1">
      <alignment horizontal="center" vertical="center" wrapText="1"/>
    </xf>
    <xf numFmtId="0" fontId="11" fillId="8" borderId="1" xfId="1" applyNumberFormat="1" applyFont="1" applyFill="1" applyBorder="1" applyAlignment="1">
      <alignment horizontal="center" vertical="center" wrapText="1"/>
    </xf>
    <xf numFmtId="49" fontId="10" fillId="0" borderId="0" xfId="0" applyNumberFormat="1" applyFont="1" applyAlignment="1">
      <alignment horizontal="center" vertical="center" wrapText="1"/>
    </xf>
    <xf numFmtId="9" fontId="10" fillId="0" borderId="0" xfId="2" applyFont="1" applyFill="1" applyBorder="1" applyAlignment="1">
      <alignment horizontal="center" vertical="center" wrapText="1"/>
    </xf>
    <xf numFmtId="164" fontId="10" fillId="0" borderId="0" xfId="0" applyNumberFormat="1" applyFont="1" applyAlignment="1">
      <alignment horizontal="center" vertical="center" wrapText="1"/>
    </xf>
    <xf numFmtId="44" fontId="10" fillId="0" borderId="0" xfId="1" applyFont="1" applyFill="1" applyBorder="1" applyAlignment="1">
      <alignment horizontal="center" vertical="center" wrapText="1"/>
    </xf>
    <xf numFmtId="0" fontId="11" fillId="0" borderId="0" xfId="0" applyFont="1" applyAlignment="1">
      <alignment horizontal="center" vertical="center" wrapText="1"/>
    </xf>
    <xf numFmtId="44" fontId="11" fillId="0" borderId="0" xfId="1" applyFont="1" applyFill="1" applyBorder="1" applyAlignment="1">
      <alignment horizontal="center" vertical="center" wrapText="1"/>
    </xf>
    <xf numFmtId="44" fontId="10" fillId="0" borderId="0" xfId="0" applyNumberFormat="1" applyFont="1" applyAlignment="1">
      <alignment horizontal="center" vertical="center"/>
    </xf>
    <xf numFmtId="44" fontId="10" fillId="0" borderId="0" xfId="1" applyFont="1" applyAlignment="1">
      <alignment horizontal="center" vertical="center"/>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10" fillId="9" borderId="1" xfId="0" applyFont="1" applyFill="1" applyBorder="1" applyAlignment="1">
      <alignment horizontal="center" vertical="center"/>
    </xf>
    <xf numFmtId="0" fontId="10" fillId="5" borderId="1" xfId="0" applyFont="1" applyFill="1" applyBorder="1" applyAlignment="1">
      <alignment horizontal="center" vertical="center"/>
    </xf>
    <xf numFmtId="164" fontId="11" fillId="7" borderId="1" xfId="0" applyNumberFormat="1" applyFont="1" applyFill="1" applyBorder="1" applyAlignment="1">
      <alignment horizontal="center" vertical="center" wrapText="1"/>
    </xf>
    <xf numFmtId="44" fontId="11" fillId="7" borderId="1" xfId="1" applyFont="1" applyFill="1" applyBorder="1" applyAlignment="1">
      <alignment horizontal="center" vertical="center" wrapText="1"/>
    </xf>
    <xf numFmtId="164" fontId="11" fillId="7" borderId="1" xfId="0" applyNumberFormat="1" applyFont="1" applyFill="1" applyBorder="1" applyAlignment="1" applyProtection="1">
      <alignment horizontal="center" vertical="center"/>
      <protection locked="0"/>
    </xf>
    <xf numFmtId="0" fontId="9" fillId="9" borderId="1" xfId="0" applyFont="1" applyFill="1" applyBorder="1" applyAlignment="1">
      <alignment horizontal="center" vertical="center" wrapText="1"/>
    </xf>
    <xf numFmtId="164" fontId="10" fillId="7" borderId="1" xfId="0" applyNumberFormat="1" applyFont="1" applyFill="1" applyBorder="1" applyAlignment="1" applyProtection="1">
      <alignment horizontal="center" vertical="center"/>
      <protection locked="0"/>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166" fontId="10" fillId="10" borderId="8" xfId="0" applyNumberFormat="1" applyFont="1" applyFill="1" applyBorder="1" applyAlignment="1">
      <alignment horizontal="center" vertical="center"/>
    </xf>
    <xf numFmtId="167" fontId="10" fillId="11" borderId="9" xfId="0" applyNumberFormat="1" applyFont="1" applyFill="1" applyBorder="1" applyAlignment="1">
      <alignment horizontal="center" vertical="center"/>
    </xf>
    <xf numFmtId="167" fontId="10" fillId="11" borderId="10" xfId="0" applyNumberFormat="1" applyFont="1" applyFill="1" applyBorder="1" applyAlignment="1">
      <alignment horizontal="center" vertical="center"/>
    </xf>
    <xf numFmtId="44" fontId="0" fillId="0" borderId="12" xfId="1" applyFont="1" applyBorder="1"/>
    <xf numFmtId="0" fontId="10" fillId="5" borderId="13" xfId="0" applyFont="1" applyFill="1" applyBorder="1" applyAlignment="1">
      <alignment horizontal="center" vertical="center" wrapText="1"/>
    </xf>
    <xf numFmtId="0" fontId="10" fillId="5" borderId="13" xfId="0" applyFont="1" applyFill="1" applyBorder="1" applyAlignment="1">
      <alignment horizontal="center" vertical="center"/>
    </xf>
    <xf numFmtId="49" fontId="10" fillId="5" borderId="13" xfId="0" applyNumberFormat="1" applyFont="1" applyFill="1" applyBorder="1" applyAlignment="1">
      <alignment horizontal="center" vertical="center" wrapText="1"/>
    </xf>
    <xf numFmtId="0" fontId="10" fillId="6" borderId="13" xfId="0" applyFont="1" applyFill="1" applyBorder="1" applyAlignment="1">
      <alignment horizontal="center" vertical="center" wrapText="1"/>
    </xf>
    <xf numFmtId="164" fontId="11" fillId="7" borderId="13" xfId="0" applyNumberFormat="1" applyFont="1" applyFill="1" applyBorder="1" applyAlignment="1" applyProtection="1">
      <alignment horizontal="center" vertical="center"/>
      <protection locked="0"/>
    </xf>
    <xf numFmtId="44" fontId="11" fillId="7" borderId="13" xfId="1" applyFont="1" applyFill="1" applyBorder="1" applyAlignment="1">
      <alignment horizontal="center" vertical="center" wrapText="1"/>
    </xf>
    <xf numFmtId="0" fontId="0" fillId="0" borderId="0" xfId="0" applyAlignment="1">
      <alignment horizontal="center"/>
    </xf>
    <xf numFmtId="44" fontId="3" fillId="0" borderId="0" xfId="1" applyFont="1"/>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9" fontId="10" fillId="6" borderId="1" xfId="2" applyFont="1" applyFill="1" applyBorder="1" applyAlignment="1">
      <alignment horizontal="center" vertical="center" wrapText="1"/>
    </xf>
    <xf numFmtId="0" fontId="10" fillId="6" borderId="0" xfId="0" applyFont="1" applyFill="1" applyAlignment="1">
      <alignment horizontal="center" vertical="center" wrapText="1"/>
    </xf>
    <xf numFmtId="9" fontId="10" fillId="6" borderId="13" xfId="2" applyFont="1" applyFill="1" applyBorder="1" applyAlignment="1">
      <alignment horizontal="center" vertical="center" wrapText="1"/>
    </xf>
    <xf numFmtId="0" fontId="10" fillId="0" borderId="8" xfId="0" applyFont="1" applyBorder="1" applyAlignment="1">
      <alignment horizontal="center" vertical="center"/>
    </xf>
    <xf numFmtId="0" fontId="9" fillId="7" borderId="1" xfId="0" applyFont="1" applyFill="1" applyBorder="1" applyAlignment="1">
      <alignment horizontal="center" vertical="center" wrapText="1"/>
    </xf>
    <xf numFmtId="10" fontId="10" fillId="6" borderId="1" xfId="2" applyNumberFormat="1" applyFont="1" applyFill="1" applyBorder="1" applyAlignment="1">
      <alignment horizontal="center" vertical="center" wrapText="1"/>
    </xf>
    <xf numFmtId="44" fontId="11" fillId="8" borderId="11" xfId="1" applyFont="1" applyFill="1" applyBorder="1" applyAlignment="1">
      <alignment horizontal="center" vertical="center" wrapText="1"/>
    </xf>
    <xf numFmtId="167" fontId="10" fillId="11" borderId="8" xfId="0" applyNumberFormat="1" applyFont="1" applyFill="1" applyBorder="1" applyAlignment="1">
      <alignment horizontal="center" vertical="center"/>
    </xf>
    <xf numFmtId="0" fontId="9" fillId="12" borderId="7" xfId="0" applyFont="1" applyFill="1" applyBorder="1" applyAlignment="1">
      <alignment horizontal="center" vertical="center"/>
    </xf>
    <xf numFmtId="0" fontId="10" fillId="12" borderId="8" xfId="0" applyFont="1" applyFill="1" applyBorder="1" applyAlignment="1">
      <alignment horizontal="center" vertical="center"/>
    </xf>
    <xf numFmtId="0" fontId="11" fillId="8" borderId="1" xfId="1" applyNumberFormat="1" applyFont="1" applyFill="1" applyBorder="1" applyAlignment="1" applyProtection="1">
      <alignment horizontal="center" vertical="center"/>
      <protection locked="0"/>
    </xf>
    <xf numFmtId="0" fontId="10" fillId="8" borderId="1" xfId="1" applyNumberFormat="1" applyFont="1" applyFill="1" applyBorder="1" applyAlignment="1" applyProtection="1">
      <alignment horizontal="center" vertical="center"/>
      <protection locked="0"/>
    </xf>
    <xf numFmtId="0" fontId="10" fillId="0" borderId="3" xfId="0" applyFont="1" applyBorder="1" applyAlignment="1">
      <alignment vertical="center"/>
    </xf>
    <xf numFmtId="169" fontId="11" fillId="8" borderId="13" xfId="2" applyNumberFormat="1" applyFont="1" applyFill="1" applyBorder="1" applyAlignment="1" applyProtection="1">
      <alignment horizontal="center" vertical="center"/>
      <protection locked="0"/>
    </xf>
    <xf numFmtId="0" fontId="9" fillId="8" borderId="13" xfId="0" applyFont="1" applyFill="1" applyBorder="1" applyAlignment="1">
      <alignment horizontal="center" vertical="center" wrapText="1"/>
    </xf>
    <xf numFmtId="168" fontId="10" fillId="0" borderId="0" xfId="0" applyNumberFormat="1" applyFont="1" applyAlignment="1">
      <alignment horizontal="center" vertical="center"/>
    </xf>
    <xf numFmtId="0" fontId="0" fillId="0" borderId="18" xfId="0" applyBorder="1"/>
    <xf numFmtId="44" fontId="0" fillId="0" borderId="19" xfId="1" applyFont="1" applyBorder="1"/>
    <xf numFmtId="0" fontId="0" fillId="0" borderId="20" xfId="0" applyBorder="1"/>
    <xf numFmtId="0" fontId="3" fillId="0" borderId="0" xfId="0" applyFont="1" applyAlignment="1">
      <alignment horizontal="center"/>
    </xf>
    <xf numFmtId="0" fontId="9" fillId="8" borderId="1" xfId="0" applyFont="1" applyFill="1" applyBorder="1" applyAlignment="1">
      <alignment horizontal="center" vertical="center" wrapText="1"/>
    </xf>
    <xf numFmtId="44" fontId="11" fillId="3" borderId="1" xfId="1" applyFont="1" applyFill="1" applyBorder="1" applyAlignment="1">
      <alignment horizontal="center" vertical="center" wrapText="1"/>
    </xf>
    <xf numFmtId="168" fontId="10" fillId="3" borderId="1" xfId="2" applyNumberFormat="1" applyFont="1" applyFill="1" applyBorder="1" applyAlignment="1">
      <alignment horizontal="center" vertical="center" wrapText="1"/>
    </xf>
    <xf numFmtId="44" fontId="10" fillId="3" borderId="1" xfId="0" applyNumberFormat="1" applyFont="1" applyFill="1" applyBorder="1" applyAlignment="1">
      <alignment horizontal="center" vertical="center"/>
    </xf>
    <xf numFmtId="10" fontId="10" fillId="3" borderId="1" xfId="1" applyNumberFormat="1" applyFont="1" applyFill="1" applyBorder="1" applyAlignment="1">
      <alignment horizontal="center" vertical="center"/>
    </xf>
    <xf numFmtId="44" fontId="10" fillId="8" borderId="1" xfId="1" applyFont="1" applyFill="1" applyBorder="1" applyAlignment="1">
      <alignment horizontal="center" vertical="center"/>
    </xf>
    <xf numFmtId="0" fontId="0" fillId="4" borderId="0" xfId="0" applyFill="1" applyAlignment="1">
      <alignment horizontal="center"/>
    </xf>
    <xf numFmtId="0" fontId="0" fillId="4" borderId="0" xfId="0" applyFill="1"/>
    <xf numFmtId="0" fontId="12" fillId="0" borderId="0" xfId="0" applyFont="1"/>
    <xf numFmtId="44" fontId="1" fillId="0" borderId="0" xfId="1" applyFont="1" applyAlignment="1">
      <alignment horizontal="center"/>
    </xf>
    <xf numFmtId="44" fontId="11" fillId="8" borderId="13" xfId="1" applyFont="1" applyFill="1" applyBorder="1" applyAlignment="1" applyProtection="1">
      <alignment horizontal="center" vertical="center"/>
      <protection locked="0"/>
    </xf>
    <xf numFmtId="0" fontId="10" fillId="9" borderId="0" xfId="0" applyFont="1" applyFill="1" applyAlignment="1">
      <alignment horizontal="center" vertical="center"/>
    </xf>
    <xf numFmtId="0" fontId="10" fillId="5" borderId="0" xfId="0" applyFont="1" applyFill="1" applyAlignment="1">
      <alignment horizontal="center" vertical="center" wrapText="1"/>
    </xf>
    <xf numFmtId="0" fontId="10" fillId="5" borderId="0" xfId="0" applyFont="1" applyFill="1" applyAlignment="1">
      <alignment horizontal="center" vertical="center"/>
    </xf>
    <xf numFmtId="49" fontId="10" fillId="5" borderId="0" xfId="0" applyNumberFormat="1" applyFont="1" applyFill="1" applyAlignment="1">
      <alignment horizontal="center" vertical="center" wrapText="1"/>
    </xf>
    <xf numFmtId="9" fontId="10" fillId="6" borderId="0" xfId="2" applyFont="1" applyFill="1" applyBorder="1" applyAlignment="1">
      <alignment horizontal="center" vertical="center" wrapText="1"/>
    </xf>
    <xf numFmtId="164" fontId="10" fillId="7" borderId="0" xfId="0" applyNumberFormat="1" applyFont="1" applyFill="1" applyAlignment="1">
      <alignment horizontal="center" vertical="center" wrapText="1"/>
    </xf>
    <xf numFmtId="44" fontId="10" fillId="7" borderId="0" xfId="1" applyFont="1" applyFill="1" applyBorder="1" applyAlignment="1">
      <alignment horizontal="center" vertical="center" wrapText="1"/>
    </xf>
    <xf numFmtId="44" fontId="10" fillId="8" borderId="0" xfId="1" applyFont="1" applyFill="1" applyBorder="1" applyAlignment="1">
      <alignment horizontal="center" vertical="center" wrapText="1"/>
    </xf>
    <xf numFmtId="44" fontId="11" fillId="8" borderId="0" xfId="1" applyFont="1" applyFill="1" applyBorder="1" applyAlignment="1">
      <alignment horizontal="center" vertical="center" wrapText="1"/>
    </xf>
    <xf numFmtId="0" fontId="10" fillId="8" borderId="0" xfId="1" applyNumberFormat="1" applyFont="1" applyFill="1" applyBorder="1" applyAlignment="1" applyProtection="1">
      <alignment horizontal="center" vertical="center"/>
      <protection locked="0"/>
    </xf>
    <xf numFmtId="10" fontId="10" fillId="6" borderId="0" xfId="2" applyNumberFormat="1" applyFont="1" applyFill="1" applyBorder="1" applyAlignment="1">
      <alignment horizontal="center" vertical="center" wrapText="1"/>
    </xf>
    <xf numFmtId="0" fontId="13" fillId="0" borderId="0" xfId="0" applyFont="1"/>
    <xf numFmtId="9" fontId="13" fillId="0" borderId="0" xfId="0" applyNumberFormat="1" applyFont="1"/>
    <xf numFmtId="44" fontId="13" fillId="0" borderId="0" xfId="0" applyNumberFormat="1" applyFont="1"/>
    <xf numFmtId="10" fontId="13" fillId="0" borderId="0" xfId="0" applyNumberFormat="1" applyFont="1"/>
    <xf numFmtId="0" fontId="13" fillId="15" borderId="0" xfId="0" applyFont="1" applyFill="1"/>
    <xf numFmtId="44" fontId="13" fillId="15" borderId="0" xfId="0" applyNumberFormat="1" applyFont="1" applyFill="1"/>
    <xf numFmtId="0" fontId="11" fillId="6" borderId="0" xfId="0" applyFont="1" applyFill="1" applyAlignment="1">
      <alignment horizontal="center" vertical="center"/>
    </xf>
    <xf numFmtId="0" fontId="10" fillId="13" borderId="0" xfId="0" applyFont="1" applyFill="1" applyAlignment="1">
      <alignment horizontal="center" vertical="center"/>
    </xf>
    <xf numFmtId="0" fontId="16" fillId="0" borderId="0" xfId="4" applyFont="1"/>
    <xf numFmtId="0" fontId="17" fillId="0" borderId="0" xfId="4" applyFont="1"/>
    <xf numFmtId="0" fontId="18" fillId="0" borderId="0" xfId="4" applyFont="1" applyAlignment="1">
      <alignment horizontal="center" vertical="center"/>
    </xf>
    <xf numFmtId="0" fontId="19" fillId="0" borderId="0" xfId="0" applyFont="1" applyAlignment="1">
      <alignment horizontal="left"/>
    </xf>
    <xf numFmtId="0" fontId="15" fillId="0" borderId="0" xfId="4"/>
    <xf numFmtId="0" fontId="19" fillId="0" borderId="24" xfId="0" applyFont="1" applyBorder="1" applyAlignment="1">
      <alignment horizontal="left"/>
    </xf>
    <xf numFmtId="0" fontId="18" fillId="0" borderId="24" xfId="4" applyFont="1" applyBorder="1" applyAlignment="1">
      <alignment horizontal="center" vertical="center"/>
    </xf>
    <xf numFmtId="0" fontId="20" fillId="0" borderId="0" xfId="4" applyFont="1"/>
    <xf numFmtId="0" fontId="21" fillId="0" borderId="0" xfId="4" applyFont="1"/>
    <xf numFmtId="0" fontId="19" fillId="16" borderId="2" xfId="4" applyFont="1" applyFill="1" applyBorder="1"/>
    <xf numFmtId="0" fontId="19" fillId="16" borderId="14" xfId="4" applyFont="1" applyFill="1" applyBorder="1"/>
    <xf numFmtId="0" fontId="19" fillId="16" borderId="15" xfId="4" applyFont="1" applyFill="1" applyBorder="1"/>
    <xf numFmtId="0" fontId="17" fillId="0" borderId="6" xfId="4" applyFont="1" applyBorder="1"/>
    <xf numFmtId="0" fontId="22" fillId="0" borderId="24" xfId="4" applyFont="1" applyBorder="1" applyAlignment="1">
      <alignment wrapText="1"/>
    </xf>
    <xf numFmtId="0" fontId="17" fillId="0" borderId="24" xfId="0" applyFont="1" applyBorder="1" applyAlignment="1">
      <alignment horizontal="right" wrapText="1"/>
    </xf>
    <xf numFmtId="0" fontId="17" fillId="0" borderId="6" xfId="4" applyFont="1" applyBorder="1" applyAlignment="1">
      <alignment horizontal="left"/>
    </xf>
    <xf numFmtId="0" fontId="17" fillId="0" borderId="24" xfId="4" applyFont="1" applyBorder="1" applyAlignment="1">
      <alignment horizontal="left"/>
    </xf>
    <xf numFmtId="0" fontId="19" fillId="0" borderId="15" xfId="0" applyFont="1" applyBorder="1" applyAlignment="1">
      <alignment horizontal="left"/>
    </xf>
    <xf numFmtId="0" fontId="22" fillId="0" borderId="24" xfId="4" applyFont="1" applyBorder="1"/>
    <xf numFmtId="0" fontId="17" fillId="0" borderId="24" xfId="0" applyFont="1" applyBorder="1" applyAlignment="1">
      <alignment horizontal="right"/>
    </xf>
    <xf numFmtId="0" fontId="19" fillId="0" borderId="25" xfId="0" applyFont="1" applyBorder="1" applyAlignment="1">
      <alignment horizontal="left"/>
    </xf>
    <xf numFmtId="0" fontId="17" fillId="0" borderId="2" xfId="4" applyFont="1" applyBorder="1"/>
    <xf numFmtId="0" fontId="22" fillId="0" borderId="14" xfId="4" applyFont="1" applyBorder="1"/>
    <xf numFmtId="0" fontId="17" fillId="0" borderId="14" xfId="4" applyFont="1" applyBorder="1"/>
    <xf numFmtId="0" fontId="23" fillId="0" borderId="14" xfId="4" applyFont="1" applyBorder="1"/>
    <xf numFmtId="0" fontId="19" fillId="0" borderId="24" xfId="0" applyFont="1" applyBorder="1" applyAlignment="1">
      <alignment horizontal="right" wrapText="1"/>
    </xf>
    <xf numFmtId="0" fontId="17" fillId="0" borderId="14" xfId="4" applyFont="1" applyBorder="1" applyAlignment="1">
      <alignment horizontal="left"/>
    </xf>
    <xf numFmtId="0" fontId="17" fillId="0" borderId="2" xfId="4" applyFont="1" applyBorder="1" applyAlignment="1">
      <alignment horizontal="left"/>
    </xf>
    <xf numFmtId="14" fontId="22" fillId="0" borderId="14" xfId="4" applyNumberFormat="1" applyFont="1" applyBorder="1"/>
    <xf numFmtId="0" fontId="15" fillId="0" borderId="14" xfId="4" applyBorder="1" applyAlignment="1">
      <alignment horizontal="left"/>
    </xf>
    <xf numFmtId="14" fontId="19" fillId="0" borderId="24" xfId="0" applyNumberFormat="1" applyFont="1" applyBorder="1" applyAlignment="1">
      <alignment horizontal="right" wrapText="1"/>
    </xf>
    <xf numFmtId="0" fontId="19" fillId="0" borderId="24" xfId="0" applyFont="1" applyBorder="1" applyAlignment="1">
      <alignment horizontal="right"/>
    </xf>
    <xf numFmtId="0" fontId="14" fillId="0" borderId="14" xfId="3" applyBorder="1"/>
    <xf numFmtId="171" fontId="22" fillId="0" borderId="14" xfId="4" applyNumberFormat="1" applyFont="1" applyBorder="1"/>
    <xf numFmtId="0" fontId="15" fillId="0" borderId="14" xfId="4" applyBorder="1"/>
    <xf numFmtId="0" fontId="17" fillId="0" borderId="3" xfId="4" applyFont="1" applyBorder="1" applyAlignment="1">
      <alignment horizontal="left"/>
    </xf>
    <xf numFmtId="0" fontId="17" fillId="0" borderId="0" xfId="4" applyFont="1" applyAlignment="1">
      <alignment horizontal="left"/>
    </xf>
    <xf numFmtId="0" fontId="15" fillId="0" borderId="0" xfId="4" applyBorder="1" applyAlignment="1">
      <alignment horizontal="center"/>
    </xf>
    <xf numFmtId="0" fontId="24" fillId="0" borderId="3" xfId="4" applyFont="1" applyBorder="1" applyAlignment="1">
      <alignment horizontal="left"/>
    </xf>
    <xf numFmtId="0" fontId="25" fillId="0" borderId="3" xfId="4" applyFont="1" applyBorder="1" applyAlignment="1">
      <alignment horizontal="left"/>
    </xf>
    <xf numFmtId="0" fontId="15" fillId="0" borderId="0" xfId="4" applyAlignment="1">
      <alignment horizontal="center"/>
    </xf>
    <xf numFmtId="0" fontId="19" fillId="0" borderId="2" xfId="4" applyFont="1" applyBorder="1" applyAlignment="1">
      <alignment horizontal="left"/>
    </xf>
    <xf numFmtId="0" fontId="19" fillId="0" borderId="2" xfId="4" applyFont="1" applyBorder="1"/>
    <xf numFmtId="0" fontId="17" fillId="0" borderId="15" xfId="4" applyFont="1" applyBorder="1"/>
    <xf numFmtId="0" fontId="19" fillId="0" borderId="14" xfId="4" applyFont="1" applyBorder="1"/>
    <xf numFmtId="0" fontId="0" fillId="0" borderId="3" xfId="0" applyBorder="1"/>
    <xf numFmtId="0" fontId="26" fillId="0" borderId="6" xfId="4" applyFont="1" applyBorder="1" applyAlignment="1">
      <alignment horizontal="left"/>
    </xf>
    <xf numFmtId="0" fontId="27" fillId="0" borderId="24" xfId="4" applyFont="1" applyBorder="1"/>
    <xf numFmtId="6" fontId="27" fillId="0" borderId="1" xfId="4" applyNumberFormat="1" applyFont="1" applyBorder="1"/>
    <xf numFmtId="44" fontId="17" fillId="0" borderId="1" xfId="1" applyFont="1" applyFill="1" applyBorder="1" applyAlignment="1">
      <alignment horizontal="left"/>
    </xf>
    <xf numFmtId="0" fontId="26" fillId="0" borderId="6" xfId="4" applyFont="1" applyBorder="1"/>
    <xf numFmtId="0" fontId="26" fillId="0" borderId="24" xfId="4" applyFont="1" applyBorder="1"/>
    <xf numFmtId="44" fontId="17" fillId="0" borderId="5" xfId="1" applyFont="1" applyFill="1" applyBorder="1" applyAlignment="1">
      <alignment horizontal="left"/>
    </xf>
    <xf numFmtId="0" fontId="26" fillId="0" borderId="3" xfId="4" applyFont="1" applyBorder="1" applyAlignment="1">
      <alignment horizontal="left"/>
    </xf>
    <xf numFmtId="0" fontId="27" fillId="0" borderId="0" xfId="4" applyFont="1"/>
    <xf numFmtId="0" fontId="27" fillId="0" borderId="1" xfId="4" applyFont="1" applyBorder="1"/>
    <xf numFmtId="44" fontId="17" fillId="0" borderId="1" xfId="1" applyFont="1" applyFill="1" applyBorder="1"/>
    <xf numFmtId="0" fontId="26" fillId="0" borderId="3" xfId="4" applyFont="1" applyBorder="1"/>
    <xf numFmtId="0" fontId="26" fillId="0" borderId="0" xfId="4" applyFont="1"/>
    <xf numFmtId="44" fontId="17" fillId="0" borderId="26" xfId="1" applyFont="1" applyFill="1" applyBorder="1" applyAlignment="1">
      <alignment horizontal="center"/>
    </xf>
    <xf numFmtId="0" fontId="26" fillId="0" borderId="2" xfId="4" applyFont="1" applyBorder="1" applyAlignment="1">
      <alignment horizontal="left"/>
    </xf>
    <xf numFmtId="0" fontId="27" fillId="0" borderId="14" xfId="4" applyFont="1" applyBorder="1"/>
    <xf numFmtId="0" fontId="26" fillId="0" borderId="2" xfId="4" applyFont="1" applyBorder="1"/>
    <xf numFmtId="0" fontId="26" fillId="0" borderId="14" xfId="4" applyFont="1" applyBorder="1"/>
    <xf numFmtId="44" fontId="17" fillId="0" borderId="1" xfId="1" applyFont="1" applyFill="1" applyBorder="1" applyAlignment="1">
      <alignment horizontal="center"/>
    </xf>
    <xf numFmtId="44" fontId="27" fillId="0" borderId="1" xfId="1" applyFont="1" applyBorder="1"/>
    <xf numFmtId="0" fontId="26" fillId="0" borderId="1" xfId="4" applyFont="1" applyBorder="1"/>
    <xf numFmtId="0" fontId="17" fillId="0" borderId="3" xfId="4" applyFont="1" applyBorder="1"/>
    <xf numFmtId="44" fontId="19" fillId="0" borderId="1" xfId="1" applyFont="1" applyFill="1" applyBorder="1" applyAlignment="1">
      <alignment horizontal="left"/>
    </xf>
    <xf numFmtId="0" fontId="28" fillId="0" borderId="3" xfId="4" applyFont="1" applyBorder="1" applyAlignment="1">
      <alignment horizontal="left"/>
    </xf>
    <xf numFmtId="0" fontId="26" fillId="0" borderId="4" xfId="4" applyFont="1" applyBorder="1"/>
    <xf numFmtId="0" fontId="26" fillId="0" borderId="23" xfId="4" applyFont="1" applyBorder="1"/>
    <xf numFmtId="0" fontId="17" fillId="0" borderId="23" xfId="4" applyFont="1" applyBorder="1"/>
    <xf numFmtId="44" fontId="19" fillId="0" borderId="11" xfId="1" applyFont="1" applyFill="1" applyBorder="1" applyAlignment="1">
      <alignment horizontal="left"/>
    </xf>
    <xf numFmtId="6" fontId="26" fillId="0" borderId="2" xfId="4" applyNumberFormat="1" applyFont="1" applyBorder="1"/>
    <xf numFmtId="44" fontId="19" fillId="0" borderId="15" xfId="1" applyFont="1" applyFill="1" applyBorder="1" applyAlignment="1">
      <alignment horizontal="left"/>
    </xf>
    <xf numFmtId="0" fontId="29" fillId="0" borderId="6" xfId="4" applyFont="1" applyBorder="1" applyAlignment="1">
      <alignment horizontal="left"/>
    </xf>
    <xf numFmtId="0" fontId="15" fillId="0" borderId="24" xfId="4" applyBorder="1"/>
    <xf numFmtId="0" fontId="30" fillId="0" borderId="24" xfId="4" applyFont="1" applyBorder="1"/>
    <xf numFmtId="0" fontId="31" fillId="0" borderId="24" xfId="4" applyFont="1" applyBorder="1"/>
    <xf numFmtId="0" fontId="30" fillId="0" borderId="25" xfId="4" applyFont="1" applyBorder="1" applyAlignment="1">
      <alignment horizontal="left"/>
    </xf>
    <xf numFmtId="0" fontId="32" fillId="0" borderId="3" xfId="4" applyFont="1" applyBorder="1" applyAlignment="1">
      <alignment horizontal="left"/>
    </xf>
    <xf numFmtId="0" fontId="15" fillId="0" borderId="27" xfId="4" applyBorder="1" applyAlignment="1">
      <alignment horizontal="center"/>
    </xf>
    <xf numFmtId="0" fontId="19" fillId="16" borderId="2" xfId="4" applyFont="1" applyFill="1" applyBorder="1" applyAlignment="1">
      <alignment horizontal="left"/>
    </xf>
    <xf numFmtId="0" fontId="19" fillId="16" borderId="1" xfId="4" applyFont="1" applyFill="1" applyBorder="1" applyAlignment="1">
      <alignment horizontal="centerContinuous"/>
    </xf>
    <xf numFmtId="0" fontId="19" fillId="16" borderId="1" xfId="4" applyFont="1" applyFill="1" applyBorder="1" applyAlignment="1">
      <alignment horizontal="center"/>
    </xf>
    <xf numFmtId="0" fontId="19" fillId="16" borderId="14" xfId="4" applyFont="1" applyFill="1" applyBorder="1" applyAlignment="1">
      <alignment horizontal="center"/>
    </xf>
    <xf numFmtId="6" fontId="19" fillId="0" borderId="2" xfId="4" applyNumberFormat="1" applyFont="1" applyBorder="1" applyAlignment="1">
      <alignment horizontal="left"/>
    </xf>
    <xf numFmtId="6" fontId="19" fillId="0" borderId="15" xfId="4" applyNumberFormat="1" applyFont="1" applyBorder="1" applyAlignment="1">
      <alignment horizontal="left"/>
    </xf>
    <xf numFmtId="0" fontId="17" fillId="0" borderId="1" xfId="4" applyFont="1" applyBorder="1"/>
    <xf numFmtId="0" fontId="17" fillId="0" borderId="26" xfId="4" applyFont="1" applyBorder="1" applyAlignment="1">
      <alignment horizontal="center"/>
    </xf>
    <xf numFmtId="0" fontId="17" fillId="0" borderId="24" xfId="4" applyFont="1" applyBorder="1"/>
    <xf numFmtId="0" fontId="17" fillId="0" borderId="5" xfId="4" applyFont="1" applyBorder="1" applyAlignment="1">
      <alignment horizontal="center"/>
    </xf>
    <xf numFmtId="0" fontId="17" fillId="0" borderId="1" xfId="4" applyFont="1" applyBorder="1" applyAlignment="1">
      <alignment horizontal="center"/>
    </xf>
    <xf numFmtId="44" fontId="17" fillId="0" borderId="15" xfId="1" applyFont="1" applyBorder="1"/>
    <xf numFmtId="6" fontId="19" fillId="0" borderId="6" xfId="4" applyNumberFormat="1" applyFont="1" applyBorder="1" applyAlignment="1">
      <alignment horizontal="left"/>
    </xf>
    <xf numFmtId="6" fontId="19" fillId="0" borderId="25" xfId="4" applyNumberFormat="1" applyFont="1" applyBorder="1" applyAlignment="1">
      <alignment horizontal="left"/>
    </xf>
    <xf numFmtId="0" fontId="17" fillId="0" borderId="11" xfId="4" applyFont="1" applyBorder="1" applyAlignment="1">
      <alignment horizontal="center"/>
    </xf>
    <xf numFmtId="0" fontId="33" fillId="0" borderId="2" xfId="4" applyFont="1" applyBorder="1"/>
    <xf numFmtId="0" fontId="19" fillId="0" borderId="1" xfId="4" applyFont="1" applyBorder="1"/>
    <xf numFmtId="0" fontId="17" fillId="0" borderId="27" xfId="4" applyFont="1" applyBorder="1"/>
    <xf numFmtId="0" fontId="17" fillId="0" borderId="25" xfId="4" applyFont="1" applyBorder="1"/>
    <xf numFmtId="0" fontId="15" fillId="0" borderId="3" xfId="4" applyBorder="1"/>
    <xf numFmtId="0" fontId="26" fillId="0" borderId="28" xfId="4" applyFont="1" applyBorder="1"/>
    <xf numFmtId="0" fontId="33" fillId="0" borderId="0" xfId="4" applyFont="1"/>
    <xf numFmtId="6" fontId="19" fillId="0" borderId="0" xfId="4" applyNumberFormat="1" applyFont="1" applyAlignment="1">
      <alignment horizontal="left"/>
    </xf>
    <xf numFmtId="0" fontId="19" fillId="0" borderId="0" xfId="4" applyFont="1"/>
    <xf numFmtId="0" fontId="17" fillId="0" borderId="0" xfId="4" applyFont="1" applyAlignment="1">
      <alignment horizontal="center"/>
    </xf>
    <xf numFmtId="0" fontId="34" fillId="0" borderId="0" xfId="4" applyFont="1"/>
    <xf numFmtId="0" fontId="19" fillId="0" borderId="0" xfId="4" applyFont="1" applyAlignment="1">
      <alignment horizontal="left"/>
    </xf>
    <xf numFmtId="0" fontId="33" fillId="0" borderId="0" xfId="4" applyFont="1" applyAlignment="1">
      <alignment horizontal="left"/>
    </xf>
    <xf numFmtId="0" fontId="17" fillId="16" borderId="2" xfId="4" applyFont="1" applyFill="1" applyBorder="1"/>
    <xf numFmtId="0" fontId="15" fillId="16" borderId="14" xfId="4" applyFill="1" applyBorder="1"/>
    <xf numFmtId="0" fontId="15" fillId="16" borderId="15" xfId="4" applyFill="1" applyBorder="1"/>
    <xf numFmtId="0" fontId="17" fillId="16" borderId="14" xfId="4" applyFont="1" applyFill="1" applyBorder="1"/>
    <xf numFmtId="0" fontId="17" fillId="16" borderId="15" xfId="4" applyFont="1" applyFill="1" applyBorder="1"/>
    <xf numFmtId="0" fontId="17" fillId="16" borderId="1" xfId="4" applyFont="1" applyFill="1" applyBorder="1" applyAlignment="1">
      <alignment horizontal="left"/>
    </xf>
    <xf numFmtId="0" fontId="15" fillId="0" borderId="15" xfId="4" applyBorder="1"/>
    <xf numFmtId="6" fontId="19" fillId="0" borderId="1" xfId="4" applyNumberFormat="1" applyFont="1" applyBorder="1" applyAlignment="1">
      <alignment horizontal="left"/>
    </xf>
    <xf numFmtId="0" fontId="17" fillId="16" borderId="1" xfId="4" applyFont="1" applyFill="1" applyBorder="1"/>
    <xf numFmtId="0" fontId="17" fillId="0" borderId="4" xfId="4" applyFont="1" applyBorder="1"/>
    <xf numFmtId="0" fontId="17" fillId="0" borderId="11" xfId="4" applyFont="1" applyBorder="1"/>
    <xf numFmtId="0" fontId="17" fillId="0" borderId="26" xfId="4" applyFont="1" applyBorder="1"/>
    <xf numFmtId="0" fontId="17" fillId="16" borderId="4" xfId="4" applyFont="1" applyFill="1" applyBorder="1"/>
    <xf numFmtId="0" fontId="17" fillId="16" borderId="11" xfId="4" applyFont="1" applyFill="1" applyBorder="1"/>
    <xf numFmtId="0" fontId="17" fillId="16" borderId="6" xfId="4" applyFont="1" applyFill="1" applyBorder="1"/>
    <xf numFmtId="0" fontId="17" fillId="16" borderId="5" xfId="4" applyFont="1" applyFill="1" applyBorder="1"/>
    <xf numFmtId="0" fontId="17" fillId="16" borderId="29" xfId="4" applyFont="1" applyFill="1" applyBorder="1"/>
    <xf numFmtId="0" fontId="15" fillId="16" borderId="23" xfId="4" applyFill="1" applyBorder="1"/>
    <xf numFmtId="0" fontId="17" fillId="16" borderId="25" xfId="4" applyFont="1" applyFill="1" applyBorder="1"/>
    <xf numFmtId="0" fontId="15" fillId="16" borderId="24" xfId="4" applyFill="1" applyBorder="1"/>
    <xf numFmtId="0" fontId="19" fillId="0" borderId="15" xfId="4" applyFont="1" applyBorder="1"/>
    <xf numFmtId="167" fontId="35" fillId="0" borderId="14" xfId="4" applyNumberFormat="1" applyFont="1" applyBorder="1"/>
    <xf numFmtId="167" fontId="35" fillId="0" borderId="2" xfId="4" applyNumberFormat="1" applyFont="1" applyBorder="1"/>
    <xf numFmtId="14" fontId="35" fillId="0" borderId="1" xfId="4" applyNumberFormat="1" applyFont="1" applyBorder="1"/>
    <xf numFmtId="0" fontId="24" fillId="0" borderId="0" xfId="4" applyFont="1"/>
    <xf numFmtId="0" fontId="33" fillId="0" borderId="24" xfId="4" applyFont="1" applyBorder="1"/>
    <xf numFmtId="14" fontId="33" fillId="0" borderId="24" xfId="4" applyNumberFormat="1" applyFont="1" applyBorder="1"/>
    <xf numFmtId="8" fontId="0" fillId="0" borderId="0" xfId="0" applyNumberFormat="1"/>
    <xf numFmtId="8" fontId="36" fillId="0" borderId="0" xfId="0" applyNumberFormat="1" applyFont="1"/>
    <xf numFmtId="0" fontId="37" fillId="0" borderId="0" xfId="0" applyFont="1"/>
    <xf numFmtId="0" fontId="36" fillId="0" borderId="0" xfId="0" applyFont="1"/>
    <xf numFmtId="0" fontId="38" fillId="0" borderId="0" xfId="0" applyFont="1"/>
    <xf numFmtId="15" fontId="36" fillId="0" borderId="0" xfId="0" applyNumberFormat="1" applyFont="1"/>
    <xf numFmtId="44" fontId="3" fillId="0" borderId="0" xfId="0" applyNumberFormat="1" applyFont="1"/>
    <xf numFmtId="0" fontId="0" fillId="2" borderId="0" xfId="0" applyFill="1"/>
    <xf numFmtId="44" fontId="0" fillId="2" borderId="0" xfId="1" applyFont="1" applyFill="1"/>
    <xf numFmtId="44" fontId="0" fillId="0" borderId="0" xfId="1" applyFont="1" applyBorder="1"/>
    <xf numFmtId="0" fontId="12" fillId="0" borderId="12" xfId="0" applyFont="1" applyBorder="1"/>
    <xf numFmtId="0" fontId="5" fillId="0" borderId="0" xfId="0" applyFont="1" applyAlignment="1">
      <alignment horizontal="center"/>
    </xf>
    <xf numFmtId="0" fontId="5" fillId="0" borderId="18" xfId="0" applyFont="1" applyBorder="1" applyAlignment="1">
      <alignment horizontal="center"/>
    </xf>
    <xf numFmtId="0" fontId="5" fillId="0" borderId="19" xfId="0" applyFont="1" applyBorder="1" applyAlignment="1">
      <alignment horizontal="center"/>
    </xf>
    <xf numFmtId="44" fontId="0" fillId="0" borderId="21" xfId="1" applyFont="1" applyBorder="1"/>
    <xf numFmtId="44" fontId="0" fillId="0" borderId="12" xfId="0" applyNumberFormat="1" applyBorder="1"/>
    <xf numFmtId="0" fontId="0" fillId="17" borderId="0" xfId="0" applyFill="1"/>
    <xf numFmtId="44" fontId="0" fillId="17" borderId="0" xfId="1" applyFont="1" applyFill="1"/>
    <xf numFmtId="164" fontId="0" fillId="0" borderId="0" xfId="0" applyNumberFormat="1"/>
    <xf numFmtId="164" fontId="0" fillId="0" borderId="0" xfId="1" applyNumberFormat="1" applyFont="1"/>
    <xf numFmtId="17" fontId="5" fillId="0" borderId="0" xfId="0" applyNumberFormat="1" applyFont="1"/>
    <xf numFmtId="44" fontId="0" fillId="0" borderId="27" xfId="1" applyFont="1" applyBorder="1"/>
    <xf numFmtId="44" fontId="0" fillId="0" borderId="30" xfId="1" applyFont="1" applyBorder="1"/>
    <xf numFmtId="2" fontId="38" fillId="0" borderId="0" xfId="0" applyNumberFormat="1" applyFont="1"/>
    <xf numFmtId="165" fontId="11" fillId="8" borderId="31" xfId="2" applyNumberFormat="1" applyFont="1" applyFill="1" applyBorder="1" applyAlignment="1" applyProtection="1">
      <alignment horizontal="center" vertical="center"/>
      <protection locked="0"/>
    </xf>
    <xf numFmtId="9" fontId="11" fillId="8" borderId="2" xfId="2" applyFont="1" applyFill="1" applyBorder="1" applyAlignment="1" applyProtection="1">
      <alignment horizontal="center" vertical="center"/>
      <protection locked="0"/>
    </xf>
    <xf numFmtId="0" fontId="10" fillId="10" borderId="1" xfId="0" applyFont="1" applyFill="1" applyBorder="1" applyAlignment="1">
      <alignment horizontal="center" vertical="center"/>
    </xf>
    <xf numFmtId="168" fontId="10" fillId="3" borderId="1" xfId="0" applyNumberFormat="1" applyFont="1" applyFill="1" applyBorder="1" applyAlignment="1">
      <alignment horizontal="center" vertical="center"/>
    </xf>
    <xf numFmtId="167" fontId="10" fillId="11" borderId="1" xfId="0" applyNumberFormat="1" applyFont="1" applyFill="1" applyBorder="1" applyAlignment="1">
      <alignment horizontal="center" vertical="center"/>
    </xf>
    <xf numFmtId="10" fontId="10" fillId="12" borderId="1" xfId="0" applyNumberFormat="1" applyFont="1" applyFill="1" applyBorder="1" applyAlignment="1">
      <alignment horizontal="center" vertical="center"/>
    </xf>
    <xf numFmtId="44" fontId="11" fillId="7" borderId="31" xfId="1" applyFont="1" applyFill="1" applyBorder="1" applyAlignment="1">
      <alignment horizontal="center" vertical="center" wrapText="1"/>
    </xf>
    <xf numFmtId="44" fontId="11" fillId="8" borderId="32" xfId="1" applyFont="1" applyFill="1" applyBorder="1" applyAlignment="1" applyProtection="1">
      <alignment horizontal="center" vertical="center"/>
      <protection locked="0"/>
    </xf>
    <xf numFmtId="44" fontId="9" fillId="0" borderId="5" xfId="1" applyFont="1" applyBorder="1" applyAlignment="1">
      <alignment horizontal="center" vertical="center" wrapText="1"/>
    </xf>
    <xf numFmtId="44" fontId="11" fillId="8" borderId="1" xfId="1" applyFont="1" applyFill="1" applyBorder="1" applyAlignment="1" applyProtection="1">
      <alignment horizontal="center" vertical="center"/>
      <protection locked="0"/>
    </xf>
    <xf numFmtId="0" fontId="10" fillId="19" borderId="1" xfId="0" applyFont="1" applyFill="1" applyBorder="1" applyAlignment="1">
      <alignment horizontal="center" vertical="center"/>
    </xf>
    <xf numFmtId="10" fontId="10" fillId="19" borderId="1" xfId="2" applyNumberFormat="1" applyFont="1" applyFill="1" applyBorder="1" applyAlignment="1">
      <alignment horizontal="center" vertical="center"/>
    </xf>
    <xf numFmtId="44" fontId="10" fillId="19" borderId="1" xfId="0" applyNumberFormat="1" applyFont="1" applyFill="1" applyBorder="1" applyAlignment="1">
      <alignment horizontal="center" vertical="center"/>
    </xf>
    <xf numFmtId="44" fontId="10" fillId="12" borderId="1" xfId="1" applyFont="1" applyFill="1" applyBorder="1" applyAlignment="1">
      <alignment horizontal="center" vertical="center"/>
    </xf>
    <xf numFmtId="168" fontId="10" fillId="19" borderId="1" xfId="0" applyNumberFormat="1" applyFont="1" applyFill="1" applyBorder="1" applyAlignment="1">
      <alignment horizontal="center" vertical="center"/>
    </xf>
    <xf numFmtId="170" fontId="10" fillId="0" borderId="23" xfId="0" applyNumberFormat="1" applyFont="1" applyBorder="1" applyAlignment="1">
      <alignment horizontal="center" vertical="center"/>
    </xf>
    <xf numFmtId="0" fontId="10" fillId="0" borderId="0" xfId="0" applyFont="1" applyAlignment="1">
      <alignment horizontal="center" vertical="center"/>
    </xf>
    <xf numFmtId="0" fontId="10" fillId="6" borderId="1"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15"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0" xfId="0" applyFont="1" applyFill="1" applyAlignment="1">
      <alignment horizontal="center" vertical="center"/>
    </xf>
    <xf numFmtId="0" fontId="10" fillId="7" borderId="2" xfId="0" applyFont="1" applyFill="1" applyBorder="1" applyAlignment="1">
      <alignment horizontal="center" vertical="center"/>
    </xf>
    <xf numFmtId="0" fontId="10" fillId="7" borderId="14" xfId="0" applyFont="1" applyFill="1" applyBorder="1" applyAlignment="1">
      <alignment horizontal="center" vertical="center"/>
    </xf>
    <xf numFmtId="0" fontId="10" fillId="7" borderId="15"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14" xfId="0" applyFont="1" applyFill="1" applyBorder="1" applyAlignment="1">
      <alignment horizontal="center" vertical="center"/>
    </xf>
    <xf numFmtId="0" fontId="10" fillId="5" borderId="15"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15"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14" xfId="0" applyFont="1" applyFill="1" applyBorder="1" applyAlignment="1">
      <alignment horizontal="center" vertical="center"/>
    </xf>
    <xf numFmtId="0" fontId="10" fillId="8" borderId="15" xfId="0" applyFont="1" applyFill="1" applyBorder="1" applyAlignment="1">
      <alignment horizontal="center" vertical="center"/>
    </xf>
    <xf numFmtId="0" fontId="24" fillId="0" borderId="3" xfId="4" applyFont="1" applyBorder="1" applyAlignment="1">
      <alignment horizontal="center" vertical="top" wrapText="1"/>
    </xf>
    <xf numFmtId="0" fontId="24" fillId="0" borderId="0" xfId="4" applyFont="1" applyBorder="1" applyAlignment="1">
      <alignment horizontal="center" vertical="top" wrapText="1"/>
    </xf>
    <xf numFmtId="0" fontId="36" fillId="0" borderId="0" xfId="0" applyFont="1"/>
    <xf numFmtId="15" fontId="36" fillId="0" borderId="0" xfId="0" applyNumberFormat="1" applyFont="1"/>
    <xf numFmtId="0" fontId="5" fillId="9" borderId="0" xfId="0" applyFont="1" applyFill="1" applyAlignment="1">
      <alignment horizontal="center"/>
    </xf>
    <xf numFmtId="0" fontId="5" fillId="0" borderId="0" xfId="0" applyFont="1" applyAlignment="1">
      <alignment horizontal="center"/>
    </xf>
    <xf numFmtId="8" fontId="36" fillId="0" borderId="0" xfId="0" applyNumberFormat="1" applyFont="1"/>
    <xf numFmtId="0" fontId="37" fillId="0" borderId="0" xfId="0" applyFont="1"/>
    <xf numFmtId="0" fontId="5" fillId="0" borderId="16" xfId="0" applyFont="1" applyBorder="1" applyAlignment="1">
      <alignment horizontal="center"/>
    </xf>
    <xf numFmtId="0" fontId="5" fillId="0" borderId="22" xfId="0" applyFont="1" applyBorder="1" applyAlignment="1">
      <alignment horizontal="center"/>
    </xf>
    <xf numFmtId="0" fontId="5" fillId="0" borderId="17" xfId="0" applyFont="1" applyBorder="1" applyAlignment="1">
      <alignment horizontal="center"/>
    </xf>
    <xf numFmtId="0" fontId="0" fillId="9" borderId="0" xfId="0" applyFill="1" applyAlignment="1">
      <alignment horizontal="center"/>
    </xf>
    <xf numFmtId="44" fontId="5" fillId="0" borderId="0" xfId="1" applyFont="1" applyAlignment="1">
      <alignment horizontal="center"/>
    </xf>
    <xf numFmtId="0" fontId="13" fillId="14" borderId="0" xfId="0" applyFont="1" applyFill="1" applyAlignment="1">
      <alignment horizontal="center"/>
    </xf>
    <xf numFmtId="0" fontId="0" fillId="0" borderId="0" xfId="0" applyFill="1"/>
    <xf numFmtId="44" fontId="4" fillId="0" borderId="0" xfId="1" applyFont="1"/>
  </cellXfs>
  <cellStyles count="5">
    <cellStyle name="Currency" xfId="1" builtinId="4"/>
    <cellStyle name="Hyperlink" xfId="3" builtinId="8"/>
    <cellStyle name="Normal" xfId="0" builtinId="0"/>
    <cellStyle name="Normal_Statement of Financial Condition" xfId="4" xr:uid="{C0C157A6-9AA0-B547-8B33-6BB87CEBF8A2}"/>
    <cellStyle name="Percent" xfId="2" builtinId="5"/>
  </cellStyles>
  <dxfs count="6">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2" defaultPivotStyle="PivotStyleLight16"/>
  <colors>
    <mruColors>
      <color rgb="FFFF7E86"/>
      <color rgb="FFFF84EC"/>
      <color rgb="FFFF8868"/>
      <color rgb="FFFFC8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mailto:Jozeph@5central.capital" TargetMode="External"/><Relationship Id="rId1" Type="http://schemas.openxmlformats.org/officeDocument/2006/relationships/hyperlink" Target="mailto:michael@5central.capit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B4E7F-2FF3-EA42-878D-63CE1B4D7C0D}">
  <dimension ref="A1:AH53"/>
  <sheetViews>
    <sheetView tabSelected="1" zoomScale="59" zoomScaleNormal="90" workbookViewId="0">
      <selection activeCell="H48" sqref="H48"/>
    </sheetView>
  </sheetViews>
  <sheetFormatPr baseColWidth="10" defaultColWidth="11.5" defaultRowHeight="15" x14ac:dyDescent="0.2"/>
  <cols>
    <col min="1" max="1" width="12.1640625" style="15" customWidth="1"/>
    <col min="2" max="2" width="10.6640625" style="15" bestFit="1" customWidth="1"/>
    <col min="3" max="3" width="20.1640625" style="15" bestFit="1" customWidth="1"/>
    <col min="4" max="4" width="13.1640625" style="15" bestFit="1" customWidth="1"/>
    <col min="5" max="5" width="17.1640625" style="15" bestFit="1" customWidth="1"/>
    <col min="6" max="6" width="17.33203125" style="15" bestFit="1" customWidth="1"/>
    <col min="7" max="7" width="16.33203125" style="15" bestFit="1" customWidth="1"/>
    <col min="8" max="8" width="10.5" style="15" bestFit="1" customWidth="1"/>
    <col min="9" max="9" width="28.83203125" style="15" bestFit="1" customWidth="1"/>
    <col min="10" max="10" width="17.83203125" style="15" bestFit="1" customWidth="1"/>
    <col min="11" max="11" width="13.83203125" style="15" bestFit="1" customWidth="1"/>
    <col min="12" max="12" width="14.33203125" style="15" bestFit="1" customWidth="1"/>
    <col min="13" max="13" width="12.5" style="15" bestFit="1" customWidth="1"/>
    <col min="14" max="14" width="15" style="15" bestFit="1" customWidth="1"/>
    <col min="15" max="15" width="21" style="15" bestFit="1" customWidth="1"/>
    <col min="16" max="16" width="19.83203125" style="15" bestFit="1" customWidth="1"/>
    <col min="17" max="17" width="14" style="15" bestFit="1" customWidth="1"/>
    <col min="18" max="18" width="20.6640625" style="15" bestFit="1" customWidth="1"/>
    <col min="19" max="19" width="19.83203125" style="15" bestFit="1" customWidth="1"/>
    <col min="20" max="20" width="17.33203125" style="15" bestFit="1" customWidth="1"/>
    <col min="21" max="21" width="17.83203125" style="15" bestFit="1" customWidth="1"/>
    <col min="22" max="22" width="16" style="15" bestFit="1" customWidth="1"/>
    <col min="23" max="23" width="14" style="15" bestFit="1" customWidth="1"/>
    <col min="24" max="24" width="12.5" style="15" bestFit="1" customWidth="1"/>
    <col min="25" max="25" width="15" style="15" bestFit="1" customWidth="1"/>
    <col min="26" max="26" width="14" style="15" bestFit="1" customWidth="1"/>
    <col min="27" max="27" width="13.83203125" style="15" bestFit="1" customWidth="1"/>
    <col min="28" max="28" width="17.33203125" style="15" bestFit="1" customWidth="1"/>
    <col min="29" max="29" width="10.5" style="15" bestFit="1" customWidth="1"/>
    <col min="30" max="32" width="11.5" style="15"/>
    <col min="34" max="16384" width="11.5" style="15"/>
  </cols>
  <sheetData>
    <row r="1" spans="1:34" x14ac:dyDescent="0.2">
      <c r="C1" s="300" t="s">
        <v>43</v>
      </c>
      <c r="D1" s="301"/>
      <c r="E1" s="301"/>
      <c r="F1" s="301"/>
      <c r="G1" s="301"/>
      <c r="H1" s="302"/>
      <c r="I1" s="303" t="s">
        <v>44</v>
      </c>
      <c r="J1" s="304"/>
      <c r="K1" s="297" t="s">
        <v>45</v>
      </c>
      <c r="L1" s="298"/>
      <c r="M1" s="298"/>
      <c r="N1" s="299"/>
      <c r="O1" s="305" t="s">
        <v>46</v>
      </c>
      <c r="P1" s="306"/>
      <c r="Q1" s="306"/>
      <c r="R1" s="307"/>
      <c r="S1" s="303" t="s">
        <v>129</v>
      </c>
      <c r="T1" s="304"/>
      <c r="U1" s="75"/>
    </row>
    <row r="2" spans="1:34" x14ac:dyDescent="0.2">
      <c r="B2" s="18" t="s">
        <v>48</v>
      </c>
      <c r="C2" s="19" t="s">
        <v>49</v>
      </c>
      <c r="D2" s="19" t="s">
        <v>50</v>
      </c>
      <c r="E2" s="19" t="s">
        <v>43</v>
      </c>
      <c r="F2" s="19" t="s">
        <v>51</v>
      </c>
      <c r="G2" s="19" t="s">
        <v>52</v>
      </c>
      <c r="H2" s="19" t="s">
        <v>53</v>
      </c>
      <c r="I2" s="61" t="s">
        <v>44</v>
      </c>
      <c r="J2" s="61" t="s">
        <v>54</v>
      </c>
      <c r="K2" s="67" t="s">
        <v>55</v>
      </c>
      <c r="L2" s="19" t="s">
        <v>56</v>
      </c>
      <c r="M2" s="19" t="s">
        <v>57</v>
      </c>
      <c r="N2" s="19" t="s">
        <v>58</v>
      </c>
      <c r="O2" s="19" t="s">
        <v>59</v>
      </c>
      <c r="P2" s="19" t="s">
        <v>60</v>
      </c>
      <c r="Q2" s="19" t="s">
        <v>61</v>
      </c>
      <c r="R2" s="19" t="s">
        <v>62</v>
      </c>
      <c r="S2" s="19" t="s">
        <v>64</v>
      </c>
      <c r="T2" s="19" t="s">
        <v>130</v>
      </c>
    </row>
    <row r="3" spans="1:34" ht="30" x14ac:dyDescent="0.2">
      <c r="A3" s="21" t="s">
        <v>65</v>
      </c>
      <c r="B3" s="22">
        <v>1</v>
      </c>
      <c r="C3" s="23" t="s">
        <v>4</v>
      </c>
      <c r="D3" s="23">
        <v>3</v>
      </c>
      <c r="E3" s="23" t="s">
        <v>4</v>
      </c>
      <c r="F3" s="23" t="s">
        <v>66</v>
      </c>
      <c r="G3" s="23" t="s">
        <v>39</v>
      </c>
      <c r="H3" s="24" t="s">
        <v>67</v>
      </c>
      <c r="I3" s="62" t="s">
        <v>68</v>
      </c>
      <c r="J3" s="62" t="s">
        <v>69</v>
      </c>
      <c r="K3" s="25">
        <v>43952</v>
      </c>
      <c r="L3" s="26">
        <v>195000</v>
      </c>
      <c r="M3" s="26">
        <v>20000</v>
      </c>
      <c r="N3" s="26">
        <v>350000</v>
      </c>
      <c r="O3" s="27">
        <v>20000</v>
      </c>
      <c r="P3" s="27">
        <f>36000*4</f>
        <v>144000</v>
      </c>
      <c r="Q3" s="28">
        <f>159000</f>
        <v>159000</v>
      </c>
      <c r="R3" s="29">
        <v>4</v>
      </c>
      <c r="S3" s="68">
        <f>(Q3+P3)/O3</f>
        <v>15.15</v>
      </c>
      <c r="T3" s="68">
        <f t="shared" ref="T3:T9" si="0">((Q3+P3)/O3)^(1/R3)-1</f>
        <v>0.97289130243044886</v>
      </c>
    </row>
    <row r="4" spans="1:34" ht="30" x14ac:dyDescent="0.2">
      <c r="A4" s="16"/>
      <c r="B4" s="45">
        <v>2</v>
      </c>
      <c r="C4" s="23" t="s">
        <v>5</v>
      </c>
      <c r="D4" s="41">
        <v>2</v>
      </c>
      <c r="E4" s="23" t="s">
        <v>5</v>
      </c>
      <c r="F4" s="23" t="s">
        <v>66</v>
      </c>
      <c r="G4" s="23" t="s">
        <v>78</v>
      </c>
      <c r="H4" s="24" t="s">
        <v>67</v>
      </c>
      <c r="I4" s="62" t="s">
        <v>68</v>
      </c>
      <c r="J4" s="63" t="s">
        <v>79</v>
      </c>
      <c r="K4" s="44">
        <v>44743</v>
      </c>
      <c r="L4" s="43">
        <v>315000</v>
      </c>
      <c r="M4" s="43">
        <v>10000</v>
      </c>
      <c r="N4" s="43">
        <v>350000</v>
      </c>
      <c r="O4" s="28">
        <v>30000</v>
      </c>
      <c r="P4" s="28">
        <v>48000</v>
      </c>
      <c r="Q4" s="28">
        <v>75000</v>
      </c>
      <c r="R4" s="73">
        <v>2.5</v>
      </c>
      <c r="S4" s="68">
        <f t="shared" ref="S4:S6" si="1">(Q4+P4)/O4</f>
        <v>4.0999999999999996</v>
      </c>
      <c r="T4" s="68">
        <f t="shared" si="0"/>
        <v>0.75838326858161187</v>
      </c>
    </row>
    <row r="5" spans="1:34" ht="30" x14ac:dyDescent="0.2">
      <c r="A5" s="16"/>
      <c r="B5" s="45">
        <v>3</v>
      </c>
      <c r="C5" s="23" t="s">
        <v>41</v>
      </c>
      <c r="D5" s="41">
        <v>1</v>
      </c>
      <c r="E5" s="23" t="s">
        <v>41</v>
      </c>
      <c r="F5" s="23" t="s">
        <v>66</v>
      </c>
      <c r="G5" s="23" t="s">
        <v>39</v>
      </c>
      <c r="H5" s="24" t="s">
        <v>67</v>
      </c>
      <c r="I5" s="61" t="s">
        <v>219</v>
      </c>
      <c r="J5" s="63" t="s">
        <v>220</v>
      </c>
      <c r="K5" s="44">
        <v>44580</v>
      </c>
      <c r="L5" s="43">
        <v>329000</v>
      </c>
      <c r="M5" s="43"/>
      <c r="N5" s="43"/>
      <c r="O5" s="28">
        <v>12000</v>
      </c>
      <c r="P5" s="28">
        <v>30000</v>
      </c>
      <c r="Q5" s="28">
        <v>55000</v>
      </c>
      <c r="R5" s="73">
        <v>3</v>
      </c>
      <c r="S5" s="68">
        <f t="shared" ref="S5" si="2">(Q5+P5)/O5</f>
        <v>7.083333333333333</v>
      </c>
      <c r="T5" s="68">
        <f t="shared" ref="T5" si="3">((Q5+P5)/O5)^(1/R5)-1</f>
        <v>0.92049225418514546</v>
      </c>
    </row>
    <row r="6" spans="1:34" ht="30" x14ac:dyDescent="0.2">
      <c r="A6" s="16"/>
      <c r="B6" s="40">
        <v>4</v>
      </c>
      <c r="C6" s="23" t="s">
        <v>38</v>
      </c>
      <c r="D6" s="41">
        <v>1</v>
      </c>
      <c r="E6" s="23" t="s">
        <v>38</v>
      </c>
      <c r="F6" s="23" t="s">
        <v>42</v>
      </c>
      <c r="G6" s="23" t="s">
        <v>78</v>
      </c>
      <c r="H6" s="24" t="s">
        <v>81</v>
      </c>
      <c r="I6" s="62" t="s">
        <v>68</v>
      </c>
      <c r="J6" s="63" t="s">
        <v>80</v>
      </c>
      <c r="K6" s="25">
        <v>45170</v>
      </c>
      <c r="L6" s="26">
        <v>319000</v>
      </c>
      <c r="M6" s="26">
        <v>0</v>
      </c>
      <c r="N6" s="26">
        <v>0</v>
      </c>
      <c r="O6" s="27">
        <v>100000</v>
      </c>
      <c r="P6" s="28">
        <v>36000</v>
      </c>
      <c r="Q6" s="28">
        <v>84000</v>
      </c>
      <c r="R6" s="74">
        <v>2</v>
      </c>
      <c r="S6" s="68">
        <f t="shared" si="1"/>
        <v>1.2</v>
      </c>
      <c r="T6" s="68">
        <f t="shared" si="0"/>
        <v>9.5445115010332149E-2</v>
      </c>
    </row>
    <row r="7" spans="1:34" ht="30" x14ac:dyDescent="0.2">
      <c r="B7" s="40">
        <v>5</v>
      </c>
      <c r="C7" s="23" t="s">
        <v>8</v>
      </c>
      <c r="D7" s="41">
        <v>2</v>
      </c>
      <c r="E7" s="23" t="s">
        <v>8</v>
      </c>
      <c r="F7" s="23" t="s">
        <v>66</v>
      </c>
      <c r="G7" s="23" t="s">
        <v>78</v>
      </c>
      <c r="H7" s="24" t="s">
        <v>67</v>
      </c>
      <c r="I7" s="62" t="s">
        <v>68</v>
      </c>
      <c r="J7" s="63" t="s">
        <v>79</v>
      </c>
      <c r="K7" s="42">
        <v>45220</v>
      </c>
      <c r="L7" s="43">
        <v>280000</v>
      </c>
      <c r="M7" s="43">
        <v>0</v>
      </c>
      <c r="N7" s="43">
        <v>0</v>
      </c>
      <c r="O7" s="27">
        <v>25000</v>
      </c>
      <c r="P7" s="28">
        <v>97000</v>
      </c>
      <c r="Q7" s="28">
        <f>84000+26000</f>
        <v>110000</v>
      </c>
      <c r="R7" s="74">
        <v>2</v>
      </c>
      <c r="S7" s="68">
        <f t="shared" ref="S7:S8" si="4">(Q7+P7)/O7</f>
        <v>8.2799999999999994</v>
      </c>
      <c r="T7" s="68">
        <f t="shared" si="0"/>
        <v>1.8774989139876315</v>
      </c>
      <c r="AC7"/>
      <c r="AG7" s="15"/>
    </row>
    <row r="8" spans="1:34" ht="30" x14ac:dyDescent="0.2">
      <c r="B8" s="45">
        <v>6</v>
      </c>
      <c r="C8" s="23" t="s">
        <v>3</v>
      </c>
      <c r="D8" s="41">
        <v>3</v>
      </c>
      <c r="E8" s="23" t="s">
        <v>3</v>
      </c>
      <c r="F8" s="23" t="s">
        <v>66</v>
      </c>
      <c r="G8" s="23" t="s">
        <v>78</v>
      </c>
      <c r="H8" s="24" t="s">
        <v>67</v>
      </c>
      <c r="I8" s="62" t="s">
        <v>68</v>
      </c>
      <c r="J8" s="63" t="s">
        <v>80</v>
      </c>
      <c r="K8" s="46">
        <v>45231</v>
      </c>
      <c r="L8" s="26">
        <v>385000</v>
      </c>
      <c r="M8" s="26">
        <v>0</v>
      </c>
      <c r="N8" s="26">
        <v>0</v>
      </c>
      <c r="O8" s="27">
        <v>112500</v>
      </c>
      <c r="P8" s="28">
        <v>84000</v>
      </c>
      <c r="Q8" s="28">
        <f>122500</f>
        <v>122500</v>
      </c>
      <c r="R8" s="74">
        <v>2</v>
      </c>
      <c r="S8" s="68">
        <f t="shared" si="4"/>
        <v>1.8355555555555556</v>
      </c>
      <c r="T8" s="68">
        <f t="shared" si="0"/>
        <v>0.35482676219343845</v>
      </c>
      <c r="AG8" s="15"/>
    </row>
    <row r="9" spans="1:34" ht="30" x14ac:dyDescent="0.2">
      <c r="B9" s="40">
        <v>7</v>
      </c>
      <c r="C9" s="23" t="s">
        <v>6</v>
      </c>
      <c r="D9" s="41">
        <v>3</v>
      </c>
      <c r="E9" s="23" t="s">
        <v>6</v>
      </c>
      <c r="F9" s="23" t="s">
        <v>66</v>
      </c>
      <c r="G9" s="23" t="s">
        <v>210</v>
      </c>
      <c r="H9" s="24" t="s">
        <v>67</v>
      </c>
      <c r="I9" s="62" t="s">
        <v>68</v>
      </c>
      <c r="J9" s="63" t="s">
        <v>80</v>
      </c>
      <c r="K9" s="44">
        <v>44866</v>
      </c>
      <c r="L9" s="43">
        <v>210000</v>
      </c>
      <c r="M9" s="43">
        <v>50000</v>
      </c>
      <c r="N9" s="43">
        <v>325000</v>
      </c>
      <c r="O9" s="27">
        <v>108500</v>
      </c>
      <c r="P9" s="28">
        <v>90000</v>
      </c>
      <c r="Q9" s="28">
        <v>80000</v>
      </c>
      <c r="R9" s="74">
        <v>2</v>
      </c>
      <c r="S9" s="68">
        <f>(Q9+P9)/O9</f>
        <v>1.566820276497696</v>
      </c>
      <c r="T9" s="68">
        <f t="shared" si="0"/>
        <v>0.25172691770117983</v>
      </c>
      <c r="AG9" s="15"/>
    </row>
    <row r="10" spans="1:34" ht="30" x14ac:dyDescent="0.2">
      <c r="B10" s="40">
        <v>8</v>
      </c>
      <c r="C10" s="23" t="s">
        <v>7</v>
      </c>
      <c r="D10" s="41">
        <v>3</v>
      </c>
      <c r="E10" s="23" t="s">
        <v>7</v>
      </c>
      <c r="F10" s="23" t="s">
        <v>66</v>
      </c>
      <c r="G10" s="23" t="s">
        <v>78</v>
      </c>
      <c r="H10" s="24" t="s">
        <v>67</v>
      </c>
      <c r="I10" s="62" t="s">
        <v>68</v>
      </c>
      <c r="J10" s="63" t="s">
        <v>80</v>
      </c>
      <c r="K10" s="46">
        <v>44958</v>
      </c>
      <c r="L10" s="26">
        <v>230000</v>
      </c>
      <c r="M10" s="26">
        <v>50000</v>
      </c>
      <c r="N10" s="26">
        <v>325000</v>
      </c>
      <c r="O10" s="27">
        <v>115000</v>
      </c>
      <c r="P10" s="28">
        <v>90000</v>
      </c>
      <c r="Q10" s="28">
        <v>80000</v>
      </c>
      <c r="R10" s="74">
        <v>2</v>
      </c>
      <c r="S10" s="68">
        <f t="shared" ref="S10" si="5">(Q10+P10)/O10</f>
        <v>1.4782608695652173</v>
      </c>
      <c r="T10" s="68">
        <f>((Q10+P10)/O10)^(1/R10)-1</f>
        <v>0.21583751774865756</v>
      </c>
      <c r="AG10" s="15"/>
    </row>
    <row r="11" spans="1:34" x14ac:dyDescent="0.2">
      <c r="A11" s="16"/>
      <c r="B11" s="94"/>
      <c r="C11" s="95"/>
      <c r="D11" s="96"/>
      <c r="E11" s="95"/>
      <c r="F11" s="95"/>
      <c r="G11" s="95"/>
      <c r="H11" s="97"/>
      <c r="I11" s="64"/>
      <c r="J11" s="98"/>
      <c r="K11" s="99"/>
      <c r="L11" s="100"/>
      <c r="M11" s="100"/>
      <c r="N11" s="100"/>
      <c r="O11" s="101"/>
      <c r="P11" s="102"/>
      <c r="Q11" s="102"/>
      <c r="R11" s="103"/>
      <c r="S11" s="104"/>
      <c r="T11" s="104"/>
    </row>
    <row r="12" spans="1:34" x14ac:dyDescent="0.2">
      <c r="B12" s="20"/>
      <c r="C12" s="20"/>
      <c r="D12" s="20"/>
      <c r="E12" s="20"/>
      <c r="F12" s="20"/>
      <c r="G12" s="20"/>
      <c r="H12" s="30"/>
      <c r="I12" s="20"/>
      <c r="J12" s="31"/>
      <c r="K12" s="20"/>
      <c r="L12" s="32"/>
      <c r="M12" s="33"/>
      <c r="N12" s="33"/>
      <c r="O12" s="33"/>
      <c r="P12" s="20"/>
      <c r="Q12" s="32"/>
      <c r="R12" s="34"/>
      <c r="S12" s="35"/>
      <c r="T12" s="33"/>
      <c r="U12" s="35"/>
      <c r="V12" s="35"/>
      <c r="W12" s="33"/>
      <c r="X12" s="20"/>
    </row>
    <row r="13" spans="1:34" x14ac:dyDescent="0.2">
      <c r="B13" s="17"/>
      <c r="C13" s="300" t="s">
        <v>43</v>
      </c>
      <c r="D13" s="301"/>
      <c r="E13" s="301"/>
      <c r="F13" s="301"/>
      <c r="G13" s="301"/>
      <c r="H13" s="302"/>
      <c r="I13" s="303" t="s">
        <v>44</v>
      </c>
      <c r="J13" s="304"/>
      <c r="K13" s="297" t="s">
        <v>70</v>
      </c>
      <c r="L13" s="298"/>
      <c r="M13" s="298"/>
      <c r="N13" s="299"/>
      <c r="O13" s="295" t="s">
        <v>46</v>
      </c>
      <c r="P13" s="296"/>
      <c r="Q13" s="296"/>
      <c r="R13" s="296"/>
      <c r="S13" s="296"/>
      <c r="T13" s="296"/>
      <c r="U13" s="296"/>
      <c r="V13" s="292" t="s">
        <v>47</v>
      </c>
      <c r="W13" s="292"/>
      <c r="X13" s="292"/>
      <c r="Y13" s="292"/>
      <c r="Z13" s="293" t="s">
        <v>147</v>
      </c>
      <c r="AA13" s="294"/>
    </row>
    <row r="14" spans="1:34" ht="30" x14ac:dyDescent="0.2">
      <c r="A14" s="19" t="s">
        <v>71</v>
      </c>
      <c r="B14" s="38" t="s">
        <v>48</v>
      </c>
      <c r="C14" s="38" t="s">
        <v>49</v>
      </c>
      <c r="D14" s="38" t="s">
        <v>50</v>
      </c>
      <c r="E14" s="38" t="s">
        <v>43</v>
      </c>
      <c r="F14" s="38" t="s">
        <v>51</v>
      </c>
      <c r="G14" s="38" t="s">
        <v>52</v>
      </c>
      <c r="H14" s="38" t="s">
        <v>53</v>
      </c>
      <c r="I14" s="38" t="s">
        <v>44</v>
      </c>
      <c r="J14" s="38" t="s">
        <v>54</v>
      </c>
      <c r="K14" s="38" t="s">
        <v>55</v>
      </c>
      <c r="L14" s="38" t="s">
        <v>56</v>
      </c>
      <c r="M14" s="38" t="s">
        <v>57</v>
      </c>
      <c r="N14" s="38" t="s">
        <v>58</v>
      </c>
      <c r="O14" s="283" t="s">
        <v>180</v>
      </c>
      <c r="P14" s="283" t="s">
        <v>183</v>
      </c>
      <c r="Q14" s="283" t="s">
        <v>424</v>
      </c>
      <c r="R14" s="38" t="s">
        <v>63</v>
      </c>
      <c r="S14" s="38" t="s">
        <v>72</v>
      </c>
      <c r="T14" s="38" t="s">
        <v>73</v>
      </c>
      <c r="U14" s="39" t="s">
        <v>2</v>
      </c>
      <c r="V14" s="19" t="s">
        <v>74</v>
      </c>
      <c r="W14" s="19" t="s">
        <v>75</v>
      </c>
      <c r="X14" s="19" t="s">
        <v>76</v>
      </c>
      <c r="Y14" s="19" t="s">
        <v>77</v>
      </c>
      <c r="Z14" s="277" t="s">
        <v>426</v>
      </c>
      <c r="AA14" s="277" t="s">
        <v>425</v>
      </c>
      <c r="AG14" s="15"/>
      <c r="AH14"/>
    </row>
    <row r="15" spans="1:34" x14ac:dyDescent="0.2">
      <c r="B15" s="40">
        <v>1</v>
      </c>
      <c r="C15" s="53" t="s">
        <v>17</v>
      </c>
      <c r="D15" s="54">
        <v>5</v>
      </c>
      <c r="E15" s="53" t="s">
        <v>17</v>
      </c>
      <c r="F15" s="53" t="s">
        <v>66</v>
      </c>
      <c r="G15" s="53" t="s">
        <v>39</v>
      </c>
      <c r="H15" s="55" t="s">
        <v>67</v>
      </c>
      <c r="I15" s="56" t="s">
        <v>221</v>
      </c>
      <c r="J15" s="65" t="s">
        <v>222</v>
      </c>
      <c r="K15" s="57">
        <v>45078</v>
      </c>
      <c r="L15" s="58">
        <v>376000</v>
      </c>
      <c r="M15" s="58">
        <v>10000</v>
      </c>
      <c r="N15" s="281">
        <v>700000</v>
      </c>
      <c r="O15" s="88"/>
      <c r="P15" s="282"/>
      <c r="Q15" s="93"/>
      <c r="R15" s="76">
        <v>280000</v>
      </c>
      <c r="S15" s="76">
        <v>488500</v>
      </c>
      <c r="T15" s="77">
        <v>360</v>
      </c>
      <c r="U15" s="275">
        <v>8.5000000000000006E-2</v>
      </c>
      <c r="V15" s="278">
        <v>700000</v>
      </c>
      <c r="W15" s="85">
        <v>0</v>
      </c>
      <c r="X15" s="86">
        <f t="shared" ref="X15" si="6">V15-S15</f>
        <v>211500</v>
      </c>
      <c r="Y15" s="87">
        <f t="shared" ref="Y15" si="7">S15/V15</f>
        <v>0.69785714285714284</v>
      </c>
      <c r="Z15" s="285"/>
      <c r="AA15" s="286"/>
      <c r="AG15" s="15"/>
    </row>
    <row r="16" spans="1:34" x14ac:dyDescent="0.2">
      <c r="B16" s="40">
        <v>2</v>
      </c>
      <c r="C16" s="53" t="s">
        <v>38</v>
      </c>
      <c r="D16" s="54">
        <v>1</v>
      </c>
      <c r="E16" s="53" t="s">
        <v>38</v>
      </c>
      <c r="F16" s="53" t="s">
        <v>42</v>
      </c>
      <c r="G16" s="53" t="s">
        <v>39</v>
      </c>
      <c r="H16" s="55" t="s">
        <v>81</v>
      </c>
      <c r="I16" s="56" t="s">
        <v>218</v>
      </c>
      <c r="J16" s="65" t="s">
        <v>79</v>
      </c>
      <c r="K16" s="57">
        <v>44826</v>
      </c>
      <c r="L16" s="58">
        <v>319000</v>
      </c>
      <c r="M16" s="58">
        <v>0</v>
      </c>
      <c r="N16" s="281">
        <v>0</v>
      </c>
      <c r="O16" s="88"/>
      <c r="P16" s="282"/>
      <c r="Q16" s="93"/>
      <c r="R16" s="76">
        <v>240000</v>
      </c>
      <c r="S16" s="76">
        <v>233000</v>
      </c>
      <c r="T16" s="77">
        <v>360</v>
      </c>
      <c r="U16" s="275">
        <v>9.2499999999999999E-2</v>
      </c>
      <c r="V16" s="278">
        <v>350000</v>
      </c>
      <c r="W16" s="85">
        <v>0</v>
      </c>
      <c r="X16" s="86">
        <f t="shared" ref="X16" si="8">V16-S16</f>
        <v>117000</v>
      </c>
      <c r="Y16" s="87">
        <f t="shared" ref="Y16" si="9">S16/V16</f>
        <v>0.6657142857142857</v>
      </c>
      <c r="Z16" s="285"/>
      <c r="AA16" s="286"/>
      <c r="AG16" s="15"/>
    </row>
    <row r="17" spans="2:33" x14ac:dyDescent="0.2">
      <c r="B17" s="40">
        <v>3</v>
      </c>
      <c r="C17" s="53" t="s">
        <v>114</v>
      </c>
      <c r="D17" s="54">
        <v>4</v>
      </c>
      <c r="E17" s="53" t="s">
        <v>114</v>
      </c>
      <c r="F17" s="53" t="s">
        <v>115</v>
      </c>
      <c r="G17" s="53" t="s">
        <v>39</v>
      </c>
      <c r="H17" s="55" t="s">
        <v>116</v>
      </c>
      <c r="I17" s="56" t="s">
        <v>171</v>
      </c>
      <c r="J17" s="65" t="s">
        <v>172</v>
      </c>
      <c r="K17" s="57">
        <v>45566</v>
      </c>
      <c r="L17" s="58">
        <v>1075000</v>
      </c>
      <c r="M17" s="58">
        <v>80000</v>
      </c>
      <c r="N17" s="281">
        <v>1500000</v>
      </c>
      <c r="O17" s="88">
        <f>L17*0.05</f>
        <v>53750</v>
      </c>
      <c r="P17" s="282">
        <v>45000</v>
      </c>
      <c r="Q17" s="93">
        <f>L17+M17+P17</f>
        <v>1200000</v>
      </c>
      <c r="R17" s="76">
        <v>1021500</v>
      </c>
      <c r="S17" s="76">
        <v>1020000</v>
      </c>
      <c r="T17" s="77">
        <v>360</v>
      </c>
      <c r="U17" s="275">
        <v>6.8750000000000006E-2</v>
      </c>
      <c r="V17" s="278">
        <v>1500000</v>
      </c>
      <c r="W17" s="85">
        <v>119000</v>
      </c>
      <c r="X17" s="86">
        <f t="shared" ref="X17" si="10">V17-S17</f>
        <v>480000</v>
      </c>
      <c r="Y17" s="87">
        <f t="shared" ref="Y17" si="11">S17/V17</f>
        <v>0.68</v>
      </c>
      <c r="Z17" s="289">
        <f>V17-Q17</f>
        <v>300000</v>
      </c>
      <c r="AA17" s="286">
        <f>Z17/(O17+P17+M17)</f>
        <v>1.6783216783216783</v>
      </c>
      <c r="AG17" s="15"/>
    </row>
    <row r="18" spans="2:33" ht="16" thickBot="1" x14ac:dyDescent="0.25">
      <c r="B18" s="40">
        <v>4</v>
      </c>
      <c r="C18" s="23" t="s">
        <v>145</v>
      </c>
      <c r="D18" s="41">
        <v>10</v>
      </c>
      <c r="E18" s="23" t="s">
        <v>145</v>
      </c>
      <c r="F18" s="23" t="s">
        <v>169</v>
      </c>
      <c r="G18" s="23" t="s">
        <v>126</v>
      </c>
      <c r="H18" s="24" t="s">
        <v>170</v>
      </c>
      <c r="I18" s="62" t="s">
        <v>171</v>
      </c>
      <c r="J18" s="63" t="s">
        <v>172</v>
      </c>
      <c r="K18" s="44">
        <v>45597</v>
      </c>
      <c r="L18" s="43">
        <v>750000</v>
      </c>
      <c r="M18" s="43">
        <v>450000</v>
      </c>
      <c r="N18" s="43">
        <v>2000000</v>
      </c>
      <c r="O18" s="88">
        <v>150000</v>
      </c>
      <c r="P18" s="284">
        <v>42000</v>
      </c>
      <c r="Q18" s="69">
        <v>1267000</v>
      </c>
      <c r="R18" s="88">
        <v>868000</v>
      </c>
      <c r="S18" s="28">
        <f>V18*0.65</f>
        <v>1235000</v>
      </c>
      <c r="T18" s="83">
        <v>12</v>
      </c>
      <c r="U18" s="276">
        <v>0.12</v>
      </c>
      <c r="V18" s="84">
        <v>1900000</v>
      </c>
      <c r="W18" s="85">
        <v>135000</v>
      </c>
      <c r="X18" s="86">
        <f>V18-S18</f>
        <v>665000</v>
      </c>
      <c r="Y18" s="87">
        <f>S18/V18</f>
        <v>0.65</v>
      </c>
      <c r="Z18" s="287">
        <f>V18-Q18</f>
        <v>633000</v>
      </c>
      <c r="AA18" s="286">
        <f>Z18/(O18+P18)</f>
        <v>3.296875</v>
      </c>
      <c r="AG18" s="15"/>
    </row>
    <row r="19" spans="2:33" thickBot="1" x14ac:dyDescent="0.25">
      <c r="B19" s="47"/>
      <c r="C19" s="48"/>
      <c r="D19" s="48"/>
      <c r="E19" s="48"/>
      <c r="F19" s="48"/>
      <c r="G19" s="48"/>
      <c r="H19" s="48"/>
      <c r="I19" s="66"/>
      <c r="J19" s="66"/>
      <c r="K19" s="66"/>
      <c r="L19" s="49"/>
      <c r="M19" s="49"/>
      <c r="N19" s="49"/>
      <c r="O19" s="71" t="s">
        <v>82</v>
      </c>
      <c r="P19" s="72"/>
      <c r="Q19" s="72"/>
      <c r="R19" s="72"/>
      <c r="S19" s="50">
        <f>SUM(S15:S18)</f>
        <v>2976500</v>
      </c>
      <c r="T19" s="51"/>
      <c r="U19" s="70"/>
      <c r="V19" s="279">
        <f>SUM(V15:V18)</f>
        <v>4450000</v>
      </c>
      <c r="W19" s="279">
        <f>SUM(W16:W18)</f>
        <v>254000</v>
      </c>
      <c r="X19" s="279">
        <f>V19-S19</f>
        <v>1473500</v>
      </c>
      <c r="Y19" s="280">
        <f>S19/V19</f>
        <v>0.66887640449438202</v>
      </c>
      <c r="Z19" s="288">
        <f>SUM(Z15:Z18)</f>
        <v>933000</v>
      </c>
      <c r="AA19" s="280">
        <f>AVERAGE(AA15:AA18)</f>
        <v>2.4875983391608392</v>
      </c>
      <c r="AG19" s="15"/>
    </row>
    <row r="20" spans="2:33" ht="14" x14ac:dyDescent="0.2">
      <c r="P20" s="37"/>
      <c r="Q20" s="37"/>
      <c r="AG20" s="15"/>
    </row>
    <row r="21" spans="2:33" ht="14" x14ac:dyDescent="0.2">
      <c r="B21" s="290">
        <v>45809</v>
      </c>
      <c r="C21" s="290"/>
      <c r="D21" s="290"/>
      <c r="E21" s="290"/>
      <c r="P21" s="37"/>
      <c r="AG21" s="15"/>
    </row>
    <row r="22" spans="2:33" ht="14" x14ac:dyDescent="0.2">
      <c r="B22" s="291" t="s">
        <v>181</v>
      </c>
      <c r="C22" s="291"/>
      <c r="D22" s="291"/>
      <c r="E22" s="291"/>
      <c r="P22" s="37"/>
      <c r="AG22" s="15"/>
    </row>
    <row r="23" spans="2:33" ht="14" x14ac:dyDescent="0.2">
      <c r="B23" s="111" t="s">
        <v>117</v>
      </c>
      <c r="C23" s="111"/>
      <c r="D23" s="112" t="s">
        <v>118</v>
      </c>
      <c r="E23" s="112"/>
      <c r="G23" s="291" t="s">
        <v>213</v>
      </c>
      <c r="H23" s="291"/>
      <c r="I23" s="291"/>
      <c r="J23" s="291"/>
      <c r="K23" s="291"/>
      <c r="P23" s="37"/>
      <c r="AG23" s="15"/>
    </row>
    <row r="24" spans="2:33" ht="14" x14ac:dyDescent="0.2">
      <c r="B24" s="15" t="s">
        <v>91</v>
      </c>
      <c r="C24" s="37"/>
      <c r="D24" s="15" t="s">
        <v>12</v>
      </c>
      <c r="E24" s="37">
        <f>30000+13000</f>
        <v>43000</v>
      </c>
      <c r="G24" s="15" t="s">
        <v>92</v>
      </c>
      <c r="H24" s="37">
        <v>2895</v>
      </c>
      <c r="J24" s="15" t="s">
        <v>215</v>
      </c>
      <c r="K24" s="37"/>
      <c r="P24" s="37"/>
      <c r="AG24" s="15"/>
    </row>
    <row r="25" spans="2:33" ht="14" x14ac:dyDescent="0.2">
      <c r="B25" s="15" t="s">
        <v>427</v>
      </c>
      <c r="C25" s="37" t="e">
        <f>C24+((#REF!*0.98)-#REF!)</f>
        <v>#REF!</v>
      </c>
      <c r="D25" s="15" t="s">
        <v>121</v>
      </c>
      <c r="E25" s="37">
        <v>40000</v>
      </c>
      <c r="G25" s="15" t="s">
        <v>113</v>
      </c>
      <c r="H25" s="37">
        <v>1250</v>
      </c>
      <c r="J25" s="15" t="s">
        <v>0</v>
      </c>
      <c r="K25" s="37">
        <v>3997</v>
      </c>
      <c r="P25" s="37"/>
      <c r="AG25" s="15"/>
    </row>
    <row r="26" spans="2:33" ht="14" x14ac:dyDescent="0.2">
      <c r="B26" s="15" t="s">
        <v>119</v>
      </c>
      <c r="C26" s="78">
        <f>V19</f>
        <v>4450000</v>
      </c>
      <c r="D26" s="15" t="s">
        <v>1</v>
      </c>
      <c r="E26" s="37">
        <f>S19</f>
        <v>2976500</v>
      </c>
      <c r="G26" s="15" t="s">
        <v>214</v>
      </c>
      <c r="H26" s="37">
        <v>250</v>
      </c>
      <c r="J26" s="15" t="s">
        <v>9</v>
      </c>
      <c r="K26" s="37">
        <f>SUM(K25:K25)</f>
        <v>3997</v>
      </c>
      <c r="P26" s="37"/>
      <c r="AG26" s="15"/>
    </row>
    <row r="27" spans="2:33" ht="14" x14ac:dyDescent="0.2">
      <c r="C27" s="36" t="e">
        <f>SUM(C24:C26)</f>
        <v>#REF!</v>
      </c>
      <c r="E27" s="36">
        <f>SUM(E24:E26)</f>
        <v>3059500</v>
      </c>
      <c r="G27" s="15" t="s">
        <v>84</v>
      </c>
      <c r="H27" s="37">
        <v>155</v>
      </c>
      <c r="P27" s="37"/>
      <c r="AG27" s="15"/>
    </row>
    <row r="28" spans="2:33" ht="14" x14ac:dyDescent="0.2">
      <c r="G28" s="15" t="s">
        <v>133</v>
      </c>
      <c r="H28" s="37">
        <v>2000</v>
      </c>
      <c r="P28" s="37"/>
      <c r="AG28" s="15"/>
    </row>
    <row r="29" spans="2:33" ht="14" x14ac:dyDescent="0.2">
      <c r="D29" s="15" t="s">
        <v>76</v>
      </c>
      <c r="E29" s="36" t="e">
        <f>C27-E27</f>
        <v>#REF!</v>
      </c>
      <c r="G29" s="15" t="s">
        <v>132</v>
      </c>
      <c r="H29" s="37">
        <v>250</v>
      </c>
      <c r="P29" s="37"/>
      <c r="AG29" s="15"/>
    </row>
    <row r="30" spans="2:33" ht="14" x14ac:dyDescent="0.2">
      <c r="G30" s="15" t="s">
        <v>11</v>
      </c>
      <c r="H30" s="37">
        <v>50</v>
      </c>
      <c r="P30" s="37"/>
      <c r="AG30" s="15"/>
    </row>
    <row r="31" spans="2:33" ht="14" x14ac:dyDescent="0.2">
      <c r="D31" s="15" t="s">
        <v>127</v>
      </c>
      <c r="E31" s="36" t="e">
        <f>E29*0.8</f>
        <v>#REF!</v>
      </c>
      <c r="G31" s="15" t="s">
        <v>10</v>
      </c>
      <c r="H31" s="37">
        <v>200</v>
      </c>
      <c r="P31" s="37"/>
      <c r="AG31" s="15"/>
    </row>
    <row r="32" spans="2:33" ht="14" x14ac:dyDescent="0.2">
      <c r="D32" s="15" t="s">
        <v>128</v>
      </c>
      <c r="E32" s="36" t="e">
        <f>E29*0.2</f>
        <v>#REF!</v>
      </c>
      <c r="G32" s="15" t="s">
        <v>9</v>
      </c>
      <c r="H32" s="37">
        <f>SUM(H24:H31)</f>
        <v>7050</v>
      </c>
      <c r="J32" s="15" t="s">
        <v>217</v>
      </c>
      <c r="K32" s="36">
        <f>H32+K26</f>
        <v>11047</v>
      </c>
      <c r="P32" s="37"/>
      <c r="AG32" s="15"/>
    </row>
    <row r="33" spans="10:33" ht="14" x14ac:dyDescent="0.2">
      <c r="P33" s="37"/>
      <c r="AG33" s="15"/>
    </row>
    <row r="34" spans="10:33" ht="14" x14ac:dyDescent="0.2">
      <c r="P34" s="37"/>
      <c r="AG34" s="15"/>
    </row>
    <row r="35" spans="10:33" ht="14" x14ac:dyDescent="0.2">
      <c r="J35" s="36"/>
      <c r="AG35" s="15"/>
    </row>
    <row r="36" spans="10:33" ht="14" x14ac:dyDescent="0.2">
      <c r="AG36" s="15"/>
    </row>
    <row r="37" spans="10:33" ht="14" x14ac:dyDescent="0.2">
      <c r="J37" s="37"/>
      <c r="AG37" s="15"/>
    </row>
    <row r="38" spans="10:33" ht="14" x14ac:dyDescent="0.2">
      <c r="J38" s="37"/>
      <c r="AG38" s="15"/>
    </row>
    <row r="39" spans="10:33" ht="14" x14ac:dyDescent="0.2">
      <c r="J39" s="37"/>
      <c r="AG39" s="15"/>
    </row>
    <row r="40" spans="10:33" ht="14" x14ac:dyDescent="0.2">
      <c r="J40" s="37"/>
      <c r="AG40" s="15"/>
    </row>
    <row r="41" spans="10:33" ht="14" x14ac:dyDescent="0.2">
      <c r="AG41" s="15"/>
    </row>
    <row r="42" spans="10:33" ht="14" x14ac:dyDescent="0.2">
      <c r="AG42" s="15"/>
    </row>
    <row r="43" spans="10:33" x14ac:dyDescent="0.2">
      <c r="J43" s="36"/>
      <c r="AF43"/>
      <c r="AG43" s="15"/>
    </row>
    <row r="44" spans="10:33" x14ac:dyDescent="0.2">
      <c r="AF44"/>
      <c r="AG44" s="15"/>
    </row>
    <row r="45" spans="10:33" x14ac:dyDescent="0.2">
      <c r="J45" s="37"/>
      <c r="AF45"/>
      <c r="AG45" s="15"/>
    </row>
    <row r="46" spans="10:33" x14ac:dyDescent="0.2">
      <c r="J46" s="36"/>
      <c r="AF46"/>
      <c r="AG46" s="15"/>
    </row>
    <row r="47" spans="10:33" x14ac:dyDescent="0.2">
      <c r="AF47"/>
      <c r="AG47" s="15"/>
    </row>
    <row r="48" spans="10:33" x14ac:dyDescent="0.2">
      <c r="AF48"/>
      <c r="AG48" s="15"/>
    </row>
    <row r="49" spans="32:33" x14ac:dyDescent="0.2">
      <c r="AF49"/>
      <c r="AG49" s="15"/>
    </row>
    <row r="50" spans="32:33" x14ac:dyDescent="0.2">
      <c r="AF50"/>
      <c r="AG50" s="15"/>
    </row>
    <row r="51" spans="32:33" x14ac:dyDescent="0.2">
      <c r="AF51"/>
      <c r="AG51" s="15"/>
    </row>
    <row r="52" spans="32:33" x14ac:dyDescent="0.2">
      <c r="AF52"/>
      <c r="AG52" s="15"/>
    </row>
    <row r="53" spans="32:33" x14ac:dyDescent="0.2">
      <c r="AF53"/>
      <c r="AG53" s="15"/>
    </row>
  </sheetData>
  <mergeCells count="14">
    <mergeCell ref="O1:R1"/>
    <mergeCell ref="S1:T1"/>
    <mergeCell ref="G23:K23"/>
    <mergeCell ref="K13:N13"/>
    <mergeCell ref="C13:H13"/>
    <mergeCell ref="I13:J13"/>
    <mergeCell ref="C1:H1"/>
    <mergeCell ref="I1:J1"/>
    <mergeCell ref="K1:N1"/>
    <mergeCell ref="Z13:AA13"/>
    <mergeCell ref="V13:Y13"/>
    <mergeCell ref="O13:U13"/>
    <mergeCell ref="B22:E22"/>
    <mergeCell ref="B21:E2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51704-79AA-7C4A-8A3C-4874A6F8620D}">
  <dimension ref="A1:W165"/>
  <sheetViews>
    <sheetView zoomScale="63" workbookViewId="0">
      <selection activeCell="D23" sqref="D23"/>
    </sheetView>
  </sheetViews>
  <sheetFormatPr baseColWidth="10" defaultColWidth="8.83203125" defaultRowHeight="15" x14ac:dyDescent="0.2"/>
  <cols>
    <col min="1" max="2" width="33.33203125" style="117" customWidth="1"/>
    <col min="3" max="3" width="14.6640625" style="117" bestFit="1" customWidth="1"/>
    <col min="4" max="4" width="14" style="117" bestFit="1" customWidth="1"/>
    <col min="5" max="5" width="26.33203125" style="117" customWidth="1"/>
    <col min="6" max="6" width="14.83203125" style="117" bestFit="1" customWidth="1"/>
    <col min="7" max="7" width="18.33203125" style="117" bestFit="1" customWidth="1"/>
    <col min="8" max="8" width="12" style="117" bestFit="1" customWidth="1"/>
    <col min="10" max="11" width="35.5" customWidth="1"/>
    <col min="12" max="12" width="14.6640625" bestFit="1" customWidth="1"/>
    <col min="13" max="13" width="14" bestFit="1" customWidth="1"/>
    <col min="14" max="14" width="22" customWidth="1"/>
    <col min="15" max="15" width="14.83203125" bestFit="1" customWidth="1"/>
    <col min="16" max="16" width="18.33203125" bestFit="1" customWidth="1"/>
    <col min="17" max="17" width="12" bestFit="1" customWidth="1"/>
    <col min="23" max="23" width="5.33203125" bestFit="1" customWidth="1"/>
  </cols>
  <sheetData>
    <row r="1" spans="1:23" ht="18" x14ac:dyDescent="0.2">
      <c r="A1" s="113" t="s">
        <v>223</v>
      </c>
      <c r="B1" s="114"/>
      <c r="C1" s="114"/>
      <c r="D1" s="115"/>
      <c r="E1" s="116" t="s">
        <v>224</v>
      </c>
      <c r="G1" s="118" t="s">
        <v>145</v>
      </c>
      <c r="H1" s="119"/>
      <c r="J1" s="113" t="s">
        <v>223</v>
      </c>
      <c r="K1" s="114"/>
      <c r="L1" s="114"/>
      <c r="M1" s="115"/>
      <c r="N1" s="116" t="s">
        <v>224</v>
      </c>
      <c r="O1" s="117"/>
      <c r="P1" s="118" t="s">
        <v>145</v>
      </c>
      <c r="Q1" s="119"/>
    </row>
    <row r="2" spans="1:23" ht="18" x14ac:dyDescent="0.2">
      <c r="A2" s="120" t="s">
        <v>225</v>
      </c>
      <c r="B2" s="114"/>
      <c r="C2" s="114"/>
      <c r="D2" s="115"/>
      <c r="E2" s="116"/>
      <c r="G2" s="116"/>
      <c r="H2" s="115"/>
      <c r="J2" s="120" t="s">
        <v>225</v>
      </c>
      <c r="K2" s="114"/>
      <c r="L2" s="114"/>
      <c r="M2" s="115"/>
      <c r="N2" s="116"/>
      <c r="O2" s="117"/>
      <c r="P2" s="116"/>
      <c r="Q2" s="115"/>
    </row>
    <row r="3" spans="1:23" ht="24" x14ac:dyDescent="0.3">
      <c r="A3" s="121"/>
      <c r="B3" s="114"/>
      <c r="C3" s="114"/>
      <c r="D3" s="115"/>
      <c r="E3" s="115"/>
      <c r="F3" s="115"/>
      <c r="G3" s="115"/>
      <c r="H3" s="115"/>
      <c r="J3" s="121"/>
      <c r="K3" s="114"/>
      <c r="L3" s="114"/>
      <c r="M3" s="115"/>
      <c r="N3" s="115"/>
      <c r="O3" s="115"/>
      <c r="P3" s="115"/>
      <c r="Q3" s="115"/>
    </row>
    <row r="4" spans="1:23" x14ac:dyDescent="0.2">
      <c r="A4" s="122" t="s">
        <v>226</v>
      </c>
      <c r="B4" s="123"/>
      <c r="C4" s="123"/>
      <c r="D4" s="123"/>
      <c r="E4" s="122" t="s">
        <v>227</v>
      </c>
      <c r="F4" s="123"/>
      <c r="G4" s="123"/>
      <c r="H4" s="124"/>
      <c r="J4" s="122" t="s">
        <v>226</v>
      </c>
      <c r="K4" s="123"/>
      <c r="L4" s="123"/>
      <c r="M4" s="123"/>
      <c r="N4" s="122" t="s">
        <v>227</v>
      </c>
      <c r="O4" s="123"/>
      <c r="P4" s="123"/>
      <c r="Q4" s="124"/>
    </row>
    <row r="5" spans="1:23" x14ac:dyDescent="0.2">
      <c r="A5" s="125" t="s">
        <v>228</v>
      </c>
      <c r="B5" s="126" t="s">
        <v>127</v>
      </c>
      <c r="C5" s="126" t="s">
        <v>229</v>
      </c>
      <c r="D5" s="127"/>
      <c r="E5" s="128" t="s">
        <v>230</v>
      </c>
      <c r="F5" s="129"/>
      <c r="G5" s="126" t="s">
        <v>172</v>
      </c>
      <c r="H5" s="130"/>
      <c r="J5" s="125" t="s">
        <v>228</v>
      </c>
      <c r="K5" s="126" t="s">
        <v>349</v>
      </c>
      <c r="L5" s="126" t="s">
        <v>350</v>
      </c>
      <c r="M5" s="127"/>
      <c r="N5" s="128" t="s">
        <v>230</v>
      </c>
      <c r="O5" s="129"/>
      <c r="P5" s="126" t="s">
        <v>172</v>
      </c>
      <c r="Q5" s="130"/>
    </row>
    <row r="6" spans="1:23" x14ac:dyDescent="0.2">
      <c r="A6" s="128" t="s">
        <v>231</v>
      </c>
      <c r="B6" s="131" t="s">
        <v>232</v>
      </c>
      <c r="C6" s="131"/>
      <c r="D6" s="132"/>
      <c r="E6" s="128" t="s">
        <v>233</v>
      </c>
      <c r="F6" s="129"/>
      <c r="G6" s="131" t="s">
        <v>232</v>
      </c>
      <c r="H6" s="133"/>
      <c r="J6" s="128" t="s">
        <v>231</v>
      </c>
      <c r="K6" s="131" t="s">
        <v>351</v>
      </c>
      <c r="L6" s="131"/>
      <c r="M6" s="132"/>
      <c r="N6" s="128" t="s">
        <v>233</v>
      </c>
      <c r="O6" s="129"/>
      <c r="P6" s="131" t="s">
        <v>232</v>
      </c>
      <c r="Q6" s="133"/>
    </row>
    <row r="7" spans="1:23" x14ac:dyDescent="0.2">
      <c r="A7" s="134" t="s">
        <v>234</v>
      </c>
      <c r="B7" s="135" t="s">
        <v>235</v>
      </c>
      <c r="C7" s="135"/>
      <c r="D7" s="132"/>
      <c r="E7" s="128" t="s">
        <v>236</v>
      </c>
      <c r="F7" s="136"/>
      <c r="H7" s="133"/>
      <c r="J7" s="134" t="s">
        <v>234</v>
      </c>
      <c r="K7" s="135" t="s">
        <v>352</v>
      </c>
      <c r="L7" s="135"/>
      <c r="M7" s="132"/>
      <c r="N7" s="128" t="s">
        <v>236</v>
      </c>
      <c r="O7" s="136"/>
      <c r="P7" s="117"/>
      <c r="Q7" s="133"/>
      <c r="W7" t="s">
        <v>237</v>
      </c>
    </row>
    <row r="8" spans="1:23" x14ac:dyDescent="0.2">
      <c r="A8" s="134" t="s">
        <v>238</v>
      </c>
      <c r="B8" s="135" t="s">
        <v>239</v>
      </c>
      <c r="C8" s="137"/>
      <c r="D8" s="138"/>
      <c r="E8" s="134" t="s">
        <v>240</v>
      </c>
      <c r="F8" s="139"/>
      <c r="G8" s="135" t="s">
        <v>241</v>
      </c>
      <c r="H8" s="133"/>
      <c r="J8" s="134" t="s">
        <v>238</v>
      </c>
      <c r="K8" s="135" t="s">
        <v>353</v>
      </c>
      <c r="L8" s="137"/>
      <c r="M8" s="138"/>
      <c r="N8" s="134" t="s">
        <v>240</v>
      </c>
      <c r="O8" s="139"/>
      <c r="P8" s="135" t="s">
        <v>241</v>
      </c>
      <c r="Q8" s="133"/>
    </row>
    <row r="9" spans="1:23" x14ac:dyDescent="0.2">
      <c r="A9" s="140" t="s">
        <v>242</v>
      </c>
      <c r="B9" s="141">
        <v>36179</v>
      </c>
      <c r="C9" s="142"/>
      <c r="D9" s="143"/>
      <c r="E9" s="140" t="s">
        <v>243</v>
      </c>
      <c r="F9" s="139"/>
      <c r="G9" s="135"/>
      <c r="H9" s="133"/>
      <c r="J9" s="140" t="s">
        <v>242</v>
      </c>
      <c r="K9" s="141">
        <v>36147</v>
      </c>
      <c r="L9" s="142"/>
      <c r="M9" s="143"/>
      <c r="N9" s="140" t="s">
        <v>243</v>
      </c>
      <c r="O9" s="139"/>
      <c r="P9" s="135"/>
      <c r="Q9" s="133"/>
    </row>
    <row r="10" spans="1:23" x14ac:dyDescent="0.2">
      <c r="A10" s="140" t="s">
        <v>244</v>
      </c>
      <c r="B10" s="135" t="s">
        <v>245</v>
      </c>
      <c r="C10" s="142"/>
      <c r="D10" s="144"/>
      <c r="E10" s="140" t="s">
        <v>246</v>
      </c>
      <c r="F10" s="139"/>
      <c r="G10" s="135"/>
      <c r="H10" s="133"/>
      <c r="J10" s="140" t="s">
        <v>244</v>
      </c>
      <c r="K10" s="135" t="s">
        <v>245</v>
      </c>
      <c r="L10" s="142"/>
      <c r="M10" s="144"/>
      <c r="N10" s="140" t="s">
        <v>246</v>
      </c>
      <c r="O10" s="139"/>
      <c r="P10" s="135"/>
      <c r="Q10" s="133"/>
    </row>
    <row r="11" spans="1:23" x14ac:dyDescent="0.2">
      <c r="A11" s="140" t="s">
        <v>247</v>
      </c>
      <c r="B11" s="145" t="s">
        <v>248</v>
      </c>
      <c r="C11" s="142"/>
      <c r="D11" s="144"/>
      <c r="E11" s="140"/>
      <c r="F11" s="139"/>
      <c r="G11" s="135"/>
      <c r="H11" s="133"/>
      <c r="J11" s="140" t="s">
        <v>247</v>
      </c>
      <c r="K11" s="145" t="s">
        <v>354</v>
      </c>
      <c r="L11" s="142"/>
      <c r="M11" s="144"/>
      <c r="N11" s="140"/>
      <c r="O11" s="139"/>
      <c r="P11" s="135"/>
      <c r="Q11" s="133"/>
    </row>
    <row r="12" spans="1:23" x14ac:dyDescent="0.2">
      <c r="A12" s="140" t="s">
        <v>249</v>
      </c>
      <c r="B12" s="146" t="s">
        <v>250</v>
      </c>
      <c r="C12" s="147"/>
      <c r="D12" s="132"/>
      <c r="E12" s="140" t="s">
        <v>251</v>
      </c>
      <c r="F12" s="139"/>
      <c r="G12" s="135"/>
      <c r="H12" s="133"/>
      <c r="J12" s="140" t="s">
        <v>249</v>
      </c>
      <c r="K12" s="146" t="s">
        <v>355</v>
      </c>
      <c r="L12" s="147"/>
      <c r="M12" s="132"/>
      <c r="N12" s="140" t="s">
        <v>251</v>
      </c>
      <c r="O12" s="139"/>
      <c r="P12" s="135"/>
      <c r="Q12" s="133"/>
    </row>
    <row r="13" spans="1:23" x14ac:dyDescent="0.2">
      <c r="A13" s="148"/>
      <c r="E13" s="149"/>
      <c r="F13" s="149"/>
      <c r="H13" s="150"/>
      <c r="J13" s="148"/>
      <c r="K13" s="117"/>
      <c r="L13" s="117"/>
      <c r="M13" s="117"/>
      <c r="N13" s="149"/>
      <c r="O13" s="149"/>
      <c r="P13" s="117"/>
      <c r="Q13" s="150"/>
    </row>
    <row r="14" spans="1:23" ht="21" customHeight="1" x14ac:dyDescent="0.2">
      <c r="A14" s="308" t="s">
        <v>252</v>
      </c>
      <c r="B14" s="309"/>
      <c r="C14" s="309"/>
      <c r="D14" s="309"/>
      <c r="E14" s="309"/>
      <c r="F14" s="309"/>
      <c r="G14" s="309"/>
      <c r="H14" s="309"/>
      <c r="J14" s="308" t="s">
        <v>252</v>
      </c>
      <c r="K14" s="309"/>
      <c r="L14" s="309"/>
      <c r="M14" s="309"/>
      <c r="N14" s="309"/>
      <c r="O14" s="309"/>
      <c r="P14" s="309"/>
      <c r="Q14" s="309"/>
    </row>
    <row r="15" spans="1:23" x14ac:dyDescent="0.2">
      <c r="A15" s="151"/>
      <c r="H15" s="150"/>
      <c r="J15" s="151"/>
      <c r="K15" s="117"/>
      <c r="L15" s="117"/>
      <c r="M15" s="117"/>
      <c r="N15" s="117"/>
      <c r="O15" s="117"/>
      <c r="P15" s="117"/>
      <c r="Q15" s="150"/>
    </row>
    <row r="16" spans="1:23" x14ac:dyDescent="0.2">
      <c r="A16" s="152"/>
      <c r="H16" s="153"/>
      <c r="J16" s="152"/>
      <c r="K16" s="117"/>
      <c r="L16" s="117"/>
      <c r="M16" s="117"/>
      <c r="N16" s="117"/>
      <c r="O16" s="117"/>
      <c r="P16" s="117"/>
      <c r="Q16" s="153"/>
    </row>
    <row r="17" spans="1:18" x14ac:dyDescent="0.2">
      <c r="A17" s="154" t="s">
        <v>117</v>
      </c>
      <c r="B17" s="136"/>
      <c r="C17" s="155" t="s">
        <v>253</v>
      </c>
      <c r="D17" s="156"/>
      <c r="E17" s="155" t="s">
        <v>118</v>
      </c>
      <c r="F17" s="157"/>
      <c r="G17" s="147"/>
      <c r="H17" s="155" t="s">
        <v>253</v>
      </c>
      <c r="I17" s="158"/>
      <c r="J17" s="154" t="s">
        <v>117</v>
      </c>
      <c r="K17" s="136"/>
      <c r="L17" s="155" t="s">
        <v>253</v>
      </c>
      <c r="M17" s="156"/>
      <c r="N17" s="155" t="s">
        <v>118</v>
      </c>
      <c r="O17" s="157"/>
      <c r="P17" s="147"/>
      <c r="Q17" s="155" t="s">
        <v>253</v>
      </c>
      <c r="R17" s="158"/>
    </row>
    <row r="18" spans="1:18" x14ac:dyDescent="0.2">
      <c r="A18" s="159" t="s">
        <v>254</v>
      </c>
      <c r="B18" s="160" t="s">
        <v>255</v>
      </c>
      <c r="C18" s="161">
        <f>0.8*200000</f>
        <v>160000</v>
      </c>
      <c r="D18" s="162"/>
      <c r="E18" s="163" t="s">
        <v>256</v>
      </c>
      <c r="F18" s="164"/>
      <c r="G18" s="160" t="s">
        <v>257</v>
      </c>
      <c r="H18" s="165"/>
      <c r="J18" s="159" t="s">
        <v>254</v>
      </c>
      <c r="K18" s="160" t="s">
        <v>255</v>
      </c>
      <c r="L18" s="161">
        <f>0.2*200000+50000</f>
        <v>90000</v>
      </c>
      <c r="M18" s="162"/>
      <c r="N18" s="163" t="s">
        <v>256</v>
      </c>
      <c r="O18" s="164"/>
      <c r="P18" s="160" t="s">
        <v>257</v>
      </c>
      <c r="Q18" s="165"/>
    </row>
    <row r="19" spans="1:18" x14ac:dyDescent="0.2">
      <c r="A19" s="166" t="s">
        <v>258</v>
      </c>
      <c r="B19" s="167" t="s">
        <v>259</v>
      </c>
      <c r="C19" s="168"/>
      <c r="D19" s="169"/>
      <c r="E19" s="170" t="s">
        <v>260</v>
      </c>
      <c r="F19" s="171"/>
      <c r="G19" s="160" t="s">
        <v>257</v>
      </c>
      <c r="H19" s="172"/>
      <c r="J19" s="166" t="s">
        <v>258</v>
      </c>
      <c r="K19" s="167" t="s">
        <v>259</v>
      </c>
      <c r="L19" s="168"/>
      <c r="M19" s="169"/>
      <c r="N19" s="170" t="s">
        <v>260</v>
      </c>
      <c r="O19" s="171"/>
      <c r="P19" s="160" t="s">
        <v>257</v>
      </c>
      <c r="Q19" s="172"/>
    </row>
    <row r="20" spans="1:18" x14ac:dyDescent="0.2">
      <c r="A20" s="173" t="s">
        <v>261</v>
      </c>
      <c r="B20" s="174" t="s">
        <v>259</v>
      </c>
      <c r="C20" s="168"/>
      <c r="D20" s="169"/>
      <c r="E20" s="175" t="s">
        <v>262</v>
      </c>
      <c r="F20" s="176"/>
      <c r="G20" s="136"/>
      <c r="H20" s="177">
        <f>0.8*80000</f>
        <v>64000</v>
      </c>
      <c r="J20" s="173" t="s">
        <v>261</v>
      </c>
      <c r="K20" s="174" t="s">
        <v>259</v>
      </c>
      <c r="L20" s="168"/>
      <c r="M20" s="169"/>
      <c r="N20" s="175" t="s">
        <v>262</v>
      </c>
      <c r="O20" s="176"/>
      <c r="P20" s="136"/>
      <c r="Q20" s="177">
        <f>0.2*80000</f>
        <v>16000</v>
      </c>
    </row>
    <row r="21" spans="1:18" x14ac:dyDescent="0.2">
      <c r="A21" s="166" t="s">
        <v>263</v>
      </c>
      <c r="B21" s="167" t="s">
        <v>264</v>
      </c>
      <c r="C21" s="168"/>
      <c r="D21" s="169"/>
      <c r="E21" s="170" t="s">
        <v>265</v>
      </c>
      <c r="F21" s="176"/>
      <c r="G21" s="156"/>
      <c r="H21" s="172"/>
      <c r="J21" s="166" t="s">
        <v>263</v>
      </c>
      <c r="K21" s="167" t="s">
        <v>264</v>
      </c>
      <c r="L21" s="168"/>
      <c r="M21" s="169"/>
      <c r="N21" s="170" t="s">
        <v>265</v>
      </c>
      <c r="O21" s="176"/>
      <c r="P21" s="156"/>
      <c r="Q21" s="172"/>
    </row>
    <row r="22" spans="1:18" x14ac:dyDescent="0.2">
      <c r="A22" s="173" t="s">
        <v>266</v>
      </c>
      <c r="B22" s="174" t="s">
        <v>267</v>
      </c>
      <c r="C22" s="178">
        <f>4550000*0.8</f>
        <v>3640000</v>
      </c>
      <c r="D22" s="162"/>
      <c r="E22" s="175" t="s">
        <v>268</v>
      </c>
      <c r="F22" s="164"/>
      <c r="G22" s="160"/>
      <c r="H22" s="162">
        <f>0.8*2609500</f>
        <v>2087600</v>
      </c>
      <c r="J22" s="173" t="s">
        <v>266</v>
      </c>
      <c r="K22" s="174" t="s">
        <v>267</v>
      </c>
      <c r="L22" s="178">
        <f>0.2*4550000</f>
        <v>910000</v>
      </c>
      <c r="M22" s="162"/>
      <c r="N22" s="175" t="s">
        <v>268</v>
      </c>
      <c r="O22" s="164"/>
      <c r="P22" s="160"/>
      <c r="Q22" s="162">
        <f>0.2*2609500</f>
        <v>521900</v>
      </c>
    </row>
    <row r="23" spans="1:18" x14ac:dyDescent="0.2">
      <c r="A23" s="166" t="s">
        <v>269</v>
      </c>
      <c r="B23" s="167" t="s">
        <v>257</v>
      </c>
      <c r="C23" s="168"/>
      <c r="D23" s="169"/>
      <c r="E23" s="175" t="s">
        <v>270</v>
      </c>
      <c r="F23" s="171"/>
      <c r="G23" s="114"/>
      <c r="H23" s="172"/>
      <c r="J23" s="166" t="s">
        <v>269</v>
      </c>
      <c r="K23" s="167" t="s">
        <v>257</v>
      </c>
      <c r="L23" s="168"/>
      <c r="M23" s="169"/>
      <c r="N23" s="175" t="s">
        <v>270</v>
      </c>
      <c r="O23" s="171"/>
      <c r="P23" s="114"/>
      <c r="Q23" s="172"/>
    </row>
    <row r="24" spans="1:18" x14ac:dyDescent="0.2">
      <c r="A24" s="173" t="s">
        <v>271</v>
      </c>
      <c r="B24" s="176"/>
      <c r="C24" s="179"/>
      <c r="D24" s="169"/>
      <c r="E24" s="175"/>
      <c r="F24" s="176"/>
      <c r="G24" s="136"/>
      <c r="H24" s="177"/>
      <c r="J24" s="173" t="s">
        <v>271</v>
      </c>
      <c r="K24" s="176"/>
      <c r="L24" s="179"/>
      <c r="M24" s="169"/>
      <c r="N24" s="175"/>
      <c r="O24" s="176"/>
      <c r="P24" s="136"/>
      <c r="Q24" s="177"/>
    </row>
    <row r="25" spans="1:18" x14ac:dyDescent="0.2">
      <c r="A25" s="166" t="s">
        <v>272</v>
      </c>
      <c r="B25" s="171"/>
      <c r="C25" s="179"/>
      <c r="D25" s="169"/>
      <c r="E25" s="175"/>
      <c r="F25" s="171"/>
      <c r="G25" s="114"/>
      <c r="H25" s="172"/>
      <c r="J25" s="166" t="s">
        <v>272</v>
      </c>
      <c r="K25" s="171"/>
      <c r="L25" s="179"/>
      <c r="M25" s="169"/>
      <c r="N25" s="175"/>
      <c r="O25" s="171"/>
      <c r="P25" s="114"/>
      <c r="Q25" s="172"/>
    </row>
    <row r="26" spans="1:18" x14ac:dyDescent="0.2">
      <c r="A26" s="173" t="s">
        <v>273</v>
      </c>
      <c r="B26" s="176"/>
      <c r="C26" s="179"/>
      <c r="D26" s="169"/>
      <c r="E26" s="134"/>
      <c r="F26" s="136"/>
      <c r="G26" s="136"/>
      <c r="H26" s="177"/>
      <c r="J26" s="173" t="s">
        <v>273</v>
      </c>
      <c r="K26" s="176"/>
      <c r="L26" s="179"/>
      <c r="M26" s="169"/>
      <c r="N26" s="134"/>
      <c r="O26" s="136"/>
      <c r="P26" s="136"/>
      <c r="Q26" s="177"/>
    </row>
    <row r="27" spans="1:18" x14ac:dyDescent="0.2">
      <c r="A27" s="166" t="s">
        <v>274</v>
      </c>
      <c r="B27" s="171"/>
      <c r="C27" s="179"/>
      <c r="D27" s="162"/>
      <c r="E27" s="180"/>
      <c r="F27" s="114"/>
      <c r="G27" s="114"/>
      <c r="H27" s="172"/>
      <c r="J27" s="166" t="s">
        <v>274</v>
      </c>
      <c r="K27" s="171"/>
      <c r="L27" s="179"/>
      <c r="M27" s="162"/>
      <c r="N27" s="180"/>
      <c r="O27" s="114"/>
      <c r="P27" s="114"/>
      <c r="Q27" s="172"/>
    </row>
    <row r="28" spans="1:18" x14ac:dyDescent="0.2">
      <c r="A28" s="173" t="s">
        <v>275</v>
      </c>
      <c r="B28" s="176"/>
      <c r="C28" s="179"/>
      <c r="D28" s="169"/>
      <c r="E28" s="175" t="s">
        <v>276</v>
      </c>
      <c r="F28" s="176"/>
      <c r="G28" s="136"/>
      <c r="H28" s="181">
        <f>H22</f>
        <v>2087600</v>
      </c>
      <c r="J28" s="173" t="s">
        <v>275</v>
      </c>
      <c r="K28" s="176"/>
      <c r="L28" s="179"/>
      <c r="M28" s="169"/>
      <c r="N28" s="175" t="s">
        <v>276</v>
      </c>
      <c r="O28" s="176"/>
      <c r="P28" s="136"/>
      <c r="Q28" s="181">
        <f>Q22</f>
        <v>521900</v>
      </c>
    </row>
    <row r="29" spans="1:18" x14ac:dyDescent="0.2">
      <c r="A29" s="182" t="s">
        <v>120</v>
      </c>
      <c r="B29" s="171"/>
      <c r="C29" s="179"/>
      <c r="D29" s="169"/>
      <c r="E29" s="183" t="s">
        <v>277</v>
      </c>
      <c r="F29" s="184"/>
      <c r="G29" s="185"/>
      <c r="H29" s="186">
        <f>D30-H28</f>
        <v>1712400</v>
      </c>
      <c r="J29" s="182" t="s">
        <v>120</v>
      </c>
      <c r="K29" s="171"/>
      <c r="L29" s="179"/>
      <c r="M29" s="169"/>
      <c r="N29" s="183" t="s">
        <v>277</v>
      </c>
      <c r="O29" s="184"/>
      <c r="P29" s="185"/>
      <c r="Q29" s="186">
        <f>M30-Q28</f>
        <v>478100</v>
      </c>
    </row>
    <row r="30" spans="1:18" x14ac:dyDescent="0.2">
      <c r="A30" s="173" t="s">
        <v>278</v>
      </c>
      <c r="B30" s="176"/>
      <c r="C30" s="187">
        <f>SUM(C18:C29)</f>
        <v>3800000</v>
      </c>
      <c r="D30" s="188">
        <f>C30</f>
        <v>3800000</v>
      </c>
      <c r="E30" s="175" t="s">
        <v>279</v>
      </c>
      <c r="F30" s="176"/>
      <c r="G30" s="136"/>
      <c r="H30" s="181">
        <f>H28+H29</f>
        <v>3800000</v>
      </c>
      <c r="J30" s="173" t="s">
        <v>278</v>
      </c>
      <c r="K30" s="176"/>
      <c r="L30" s="187">
        <f>SUM(L18:L29)</f>
        <v>1000000</v>
      </c>
      <c r="M30" s="188">
        <f>L30</f>
        <v>1000000</v>
      </c>
      <c r="N30" s="175" t="s">
        <v>279</v>
      </c>
      <c r="O30" s="176"/>
      <c r="P30" s="136"/>
      <c r="Q30" s="181">
        <f>Q28+Q29</f>
        <v>1000000</v>
      </c>
    </row>
    <row r="31" spans="1:18" x14ac:dyDescent="0.2">
      <c r="A31" s="189" t="s">
        <v>280</v>
      </c>
      <c r="B31" s="190"/>
      <c r="C31" s="190"/>
      <c r="D31" s="191"/>
      <c r="E31" s="192"/>
      <c r="F31" s="192"/>
      <c r="G31" s="190"/>
      <c r="H31" s="193"/>
      <c r="I31" s="158"/>
      <c r="J31" s="189" t="s">
        <v>280</v>
      </c>
      <c r="K31" s="190"/>
      <c r="L31" s="190"/>
      <c r="M31" s="191"/>
      <c r="N31" s="192"/>
      <c r="O31" s="192"/>
      <c r="P31" s="190"/>
      <c r="Q31" s="193"/>
      <c r="R31" s="158"/>
    </row>
    <row r="32" spans="1:18" x14ac:dyDescent="0.2">
      <c r="A32" s="194"/>
      <c r="H32" s="195"/>
      <c r="J32" s="194"/>
      <c r="K32" s="117"/>
      <c r="L32" s="117"/>
      <c r="M32" s="117"/>
      <c r="N32" s="117"/>
      <c r="O32" s="117"/>
      <c r="P32" s="117"/>
      <c r="Q32" s="195"/>
    </row>
    <row r="33" spans="1:17" x14ac:dyDescent="0.2">
      <c r="A33" s="196" t="s">
        <v>134</v>
      </c>
      <c r="B33" s="197" t="s">
        <v>281</v>
      </c>
      <c r="C33" s="197"/>
      <c r="D33" s="198" t="s">
        <v>282</v>
      </c>
      <c r="E33" s="122" t="s">
        <v>283</v>
      </c>
      <c r="F33" s="123"/>
      <c r="G33" s="199"/>
      <c r="H33" s="198" t="s">
        <v>284</v>
      </c>
      <c r="J33" s="196" t="s">
        <v>134</v>
      </c>
      <c r="K33" s="197" t="s">
        <v>281</v>
      </c>
      <c r="L33" s="197"/>
      <c r="M33" s="198" t="s">
        <v>282</v>
      </c>
      <c r="N33" s="122" t="s">
        <v>283</v>
      </c>
      <c r="O33" s="123"/>
      <c r="P33" s="199"/>
      <c r="Q33" s="198" t="s">
        <v>284</v>
      </c>
    </row>
    <row r="34" spans="1:17" x14ac:dyDescent="0.2">
      <c r="A34" s="173" t="s">
        <v>285</v>
      </c>
      <c r="B34" s="200"/>
      <c r="C34" s="201"/>
      <c r="D34" s="202"/>
      <c r="E34" s="170" t="s">
        <v>286</v>
      </c>
      <c r="F34" s="171"/>
      <c r="G34" s="114"/>
      <c r="H34" s="203" t="s">
        <v>287</v>
      </c>
      <c r="J34" s="173" t="s">
        <v>285</v>
      </c>
      <c r="K34" s="200"/>
      <c r="L34" s="201">
        <v>150000</v>
      </c>
      <c r="M34" s="202"/>
      <c r="N34" s="170" t="s">
        <v>286</v>
      </c>
      <c r="O34" s="171"/>
      <c r="P34" s="114"/>
      <c r="Q34" s="203" t="s">
        <v>287</v>
      </c>
    </row>
    <row r="35" spans="1:17" x14ac:dyDescent="0.2">
      <c r="A35" s="173" t="s">
        <v>288</v>
      </c>
      <c r="B35" s="134"/>
      <c r="C35" s="156"/>
      <c r="D35" s="202"/>
      <c r="E35" s="163" t="s">
        <v>289</v>
      </c>
      <c r="F35" s="164"/>
      <c r="G35" s="204"/>
      <c r="H35" s="205"/>
      <c r="J35" s="173" t="s">
        <v>288</v>
      </c>
      <c r="K35" s="134"/>
      <c r="L35" s="156"/>
      <c r="M35" s="202"/>
      <c r="N35" s="163" t="s">
        <v>289</v>
      </c>
      <c r="O35" s="164"/>
      <c r="P35" s="204"/>
      <c r="Q35" s="205"/>
    </row>
    <row r="36" spans="1:17" x14ac:dyDescent="0.2">
      <c r="A36" s="173" t="s">
        <v>290</v>
      </c>
      <c r="B36" s="134"/>
      <c r="C36" s="156"/>
      <c r="D36" s="202"/>
      <c r="E36" s="175" t="s">
        <v>291</v>
      </c>
      <c r="F36" s="176"/>
      <c r="G36" s="136"/>
      <c r="H36" s="206" t="s">
        <v>287</v>
      </c>
      <c r="J36" s="173" t="s">
        <v>290</v>
      </c>
      <c r="K36" s="134"/>
      <c r="L36" s="156"/>
      <c r="M36" s="202"/>
      <c r="N36" s="175" t="s">
        <v>291</v>
      </c>
      <c r="O36" s="176"/>
      <c r="P36" s="136"/>
      <c r="Q36" s="206" t="s">
        <v>287</v>
      </c>
    </row>
    <row r="37" spans="1:17" x14ac:dyDescent="0.2">
      <c r="A37" s="173" t="s">
        <v>292</v>
      </c>
      <c r="B37" s="134"/>
      <c r="C37" s="207">
        <v>240000</v>
      </c>
      <c r="D37" s="202"/>
      <c r="E37" s="183" t="s">
        <v>293</v>
      </c>
      <c r="F37" s="184"/>
      <c r="G37" s="185"/>
      <c r="H37" s="206" t="s">
        <v>287</v>
      </c>
      <c r="J37" s="173" t="s">
        <v>292</v>
      </c>
      <c r="K37" s="134"/>
      <c r="L37" s="207">
        <v>48000</v>
      </c>
      <c r="M37" s="202"/>
      <c r="N37" s="183" t="s">
        <v>293</v>
      </c>
      <c r="O37" s="184"/>
      <c r="P37" s="185"/>
      <c r="Q37" s="206" t="s">
        <v>287</v>
      </c>
    </row>
    <row r="38" spans="1:17" x14ac:dyDescent="0.2">
      <c r="A38" s="173" t="s">
        <v>294</v>
      </c>
      <c r="B38" s="208"/>
      <c r="C38" s="209"/>
      <c r="D38" s="202"/>
      <c r="E38" s="183" t="s">
        <v>295</v>
      </c>
      <c r="F38" s="184"/>
      <c r="G38" s="185"/>
      <c r="H38" s="210" t="s">
        <v>287</v>
      </c>
      <c r="J38" s="173" t="s">
        <v>294</v>
      </c>
      <c r="K38" s="208"/>
      <c r="L38" s="209"/>
      <c r="M38" s="202"/>
      <c r="N38" s="183" t="s">
        <v>295</v>
      </c>
      <c r="O38" s="184"/>
      <c r="P38" s="185"/>
      <c r="Q38" s="210" t="s">
        <v>287</v>
      </c>
    </row>
    <row r="39" spans="1:17" x14ac:dyDescent="0.2">
      <c r="A39" s="211" t="s">
        <v>296</v>
      </c>
      <c r="B39" s="200" t="s">
        <v>297</v>
      </c>
      <c r="C39" s="201">
        <f>SUM(C34:C38)</f>
        <v>240000</v>
      </c>
      <c r="D39" s="212" t="s">
        <v>297</v>
      </c>
      <c r="E39" s="163" t="s">
        <v>298</v>
      </c>
      <c r="F39" s="164"/>
      <c r="G39" s="204"/>
      <c r="H39" s="205"/>
      <c r="J39" s="211" t="s">
        <v>296</v>
      </c>
      <c r="K39" s="200" t="s">
        <v>297</v>
      </c>
      <c r="L39" s="201">
        <f>SUM(L34:L38)</f>
        <v>198000</v>
      </c>
      <c r="M39" s="212" t="s">
        <v>297</v>
      </c>
      <c r="N39" s="163" t="s">
        <v>298</v>
      </c>
      <c r="O39" s="164"/>
      <c r="P39" s="204"/>
      <c r="Q39" s="205"/>
    </row>
    <row r="40" spans="1:17" x14ac:dyDescent="0.2">
      <c r="A40" s="196" t="s">
        <v>135</v>
      </c>
      <c r="B40" s="197" t="s">
        <v>281</v>
      </c>
      <c r="C40" s="197"/>
      <c r="D40" s="198" t="s">
        <v>282</v>
      </c>
      <c r="E40" s="163" t="s">
        <v>299</v>
      </c>
      <c r="F40" s="164"/>
      <c r="G40" s="204"/>
      <c r="H40" s="205" t="s">
        <v>287</v>
      </c>
      <c r="J40" s="196" t="s">
        <v>135</v>
      </c>
      <c r="K40" s="197" t="s">
        <v>281</v>
      </c>
      <c r="L40" s="197"/>
      <c r="M40" s="198" t="s">
        <v>282</v>
      </c>
      <c r="N40" s="163" t="s">
        <v>299</v>
      </c>
      <c r="O40" s="164"/>
      <c r="P40" s="204"/>
      <c r="Q40" s="205" t="s">
        <v>287</v>
      </c>
    </row>
    <row r="41" spans="1:17" x14ac:dyDescent="0.2">
      <c r="A41" s="175" t="s">
        <v>300</v>
      </c>
      <c r="B41" s="200"/>
      <c r="C41" s="201">
        <v>36000</v>
      </c>
      <c r="D41" s="202"/>
      <c r="E41" s="170"/>
      <c r="F41" s="171"/>
      <c r="G41" s="213"/>
      <c r="H41" s="210"/>
      <c r="J41" s="175" t="s">
        <v>300</v>
      </c>
      <c r="K41" s="200"/>
      <c r="L41" s="201">
        <f>1500*12</f>
        <v>18000</v>
      </c>
      <c r="M41" s="202"/>
      <c r="N41" s="170"/>
      <c r="O41" s="171"/>
      <c r="P41" s="213"/>
      <c r="Q41" s="210"/>
    </row>
    <row r="42" spans="1:17" x14ac:dyDescent="0.2">
      <c r="A42" s="175" t="s">
        <v>301</v>
      </c>
      <c r="B42" s="134"/>
      <c r="C42" s="156"/>
      <c r="D42" s="202"/>
      <c r="E42" s="163" t="s">
        <v>302</v>
      </c>
      <c r="F42" s="164"/>
      <c r="G42" s="214"/>
      <c r="H42" s="205" t="s">
        <v>287</v>
      </c>
      <c r="J42" s="175" t="s">
        <v>301</v>
      </c>
      <c r="K42" s="134"/>
      <c r="L42" s="156"/>
      <c r="M42" s="202"/>
      <c r="N42" s="163" t="s">
        <v>302</v>
      </c>
      <c r="O42" s="164"/>
      <c r="P42" s="214"/>
      <c r="Q42" s="205" t="s">
        <v>287</v>
      </c>
    </row>
    <row r="43" spans="1:17" x14ac:dyDescent="0.2">
      <c r="A43" s="173" t="s">
        <v>303</v>
      </c>
      <c r="B43" s="134"/>
      <c r="C43" s="207">
        <v>2400</v>
      </c>
      <c r="D43" s="202"/>
      <c r="E43" s="215"/>
      <c r="G43" s="213"/>
      <c r="H43" s="203"/>
      <c r="J43" s="173" t="s">
        <v>303</v>
      </c>
      <c r="K43" s="134"/>
      <c r="L43" s="207">
        <v>0</v>
      </c>
      <c r="M43" s="202"/>
      <c r="N43" s="215"/>
      <c r="O43" s="117"/>
      <c r="P43" s="213"/>
      <c r="Q43" s="203"/>
    </row>
    <row r="44" spans="1:17" x14ac:dyDescent="0.2">
      <c r="A44" s="173" t="s">
        <v>304</v>
      </c>
      <c r="B44" s="134"/>
      <c r="C44" s="156"/>
      <c r="D44" s="202"/>
      <c r="E44" s="216" t="s">
        <v>305</v>
      </c>
      <c r="F44" s="164"/>
      <c r="G44" s="214"/>
      <c r="H44" s="205" t="s">
        <v>287</v>
      </c>
      <c r="J44" s="173" t="s">
        <v>304</v>
      </c>
      <c r="K44" s="134"/>
      <c r="L44" s="156"/>
      <c r="M44" s="202"/>
      <c r="N44" s="216" t="s">
        <v>305</v>
      </c>
      <c r="O44" s="164"/>
      <c r="P44" s="214"/>
      <c r="Q44" s="205" t="s">
        <v>287</v>
      </c>
    </row>
    <row r="45" spans="1:17" x14ac:dyDescent="0.2">
      <c r="A45" s="175" t="s">
        <v>306</v>
      </c>
      <c r="B45" s="208"/>
      <c r="C45" s="209">
        <v>60000</v>
      </c>
      <c r="D45" s="202"/>
      <c r="E45" s="215"/>
      <c r="G45" s="213"/>
      <c r="H45" s="203"/>
      <c r="J45" s="175" t="s">
        <v>306</v>
      </c>
      <c r="K45" s="208"/>
      <c r="L45" s="209">
        <v>60000</v>
      </c>
      <c r="M45" s="202"/>
      <c r="N45" s="215"/>
      <c r="O45" s="117"/>
      <c r="P45" s="213"/>
      <c r="Q45" s="203"/>
    </row>
    <row r="46" spans="1:17" x14ac:dyDescent="0.2">
      <c r="A46" s="211" t="s">
        <v>14</v>
      </c>
      <c r="B46" s="200" t="s">
        <v>297</v>
      </c>
      <c r="C46" s="201">
        <f>SUM(C41:C45)</f>
        <v>98400</v>
      </c>
      <c r="D46" s="212" t="s">
        <v>297</v>
      </c>
      <c r="E46" s="163" t="s">
        <v>307</v>
      </c>
      <c r="F46" s="164"/>
      <c r="G46" s="204"/>
      <c r="H46" s="205" t="s">
        <v>287</v>
      </c>
      <c r="J46" s="211" t="s">
        <v>14</v>
      </c>
      <c r="K46" s="200" t="s">
        <v>297</v>
      </c>
      <c r="L46" s="201">
        <f>SUM(L41:L45)</f>
        <v>78000</v>
      </c>
      <c r="M46" s="212" t="s">
        <v>297</v>
      </c>
      <c r="N46" s="163" t="s">
        <v>307</v>
      </c>
      <c r="O46" s="164"/>
      <c r="P46" s="204"/>
      <c r="Q46" s="205" t="s">
        <v>287</v>
      </c>
    </row>
    <row r="47" spans="1:17" x14ac:dyDescent="0.2">
      <c r="A47" s="217" t="s">
        <v>308</v>
      </c>
      <c r="B47" s="218"/>
      <c r="C47" s="218"/>
      <c r="D47" s="219"/>
      <c r="E47" s="171"/>
      <c r="F47" s="171"/>
      <c r="G47" s="114"/>
      <c r="H47" s="220"/>
      <c r="J47" s="217" t="s">
        <v>308</v>
      </c>
      <c r="K47" s="218"/>
      <c r="L47" s="218"/>
      <c r="M47" s="219"/>
      <c r="N47" s="171"/>
      <c r="O47" s="171"/>
      <c r="P47" s="114"/>
      <c r="Q47" s="220"/>
    </row>
    <row r="48" spans="1:17" x14ac:dyDescent="0.2">
      <c r="A48" s="217"/>
      <c r="B48" s="218"/>
      <c r="C48" s="218"/>
      <c r="D48" s="219"/>
      <c r="E48" s="171"/>
      <c r="F48" s="171"/>
      <c r="G48" s="114"/>
      <c r="H48" s="220"/>
      <c r="J48" s="217"/>
      <c r="K48" s="218"/>
      <c r="L48" s="218"/>
      <c r="M48" s="219"/>
      <c r="N48" s="171"/>
      <c r="O48" s="171"/>
      <c r="P48" s="114"/>
      <c r="Q48" s="220"/>
    </row>
    <row r="49" spans="1:17" x14ac:dyDescent="0.2">
      <c r="A49" s="217"/>
      <c r="B49" s="114"/>
      <c r="C49" s="114"/>
      <c r="D49" s="219"/>
      <c r="E49" s="171"/>
      <c r="F49" s="171"/>
      <c r="G49" s="114"/>
      <c r="H49" s="114"/>
      <c r="J49" s="217"/>
      <c r="K49" s="114"/>
      <c r="L49" s="114"/>
      <c r="M49" s="219"/>
      <c r="N49" s="171"/>
      <c r="O49" s="171"/>
      <c r="P49" s="114"/>
      <c r="Q49" s="114"/>
    </row>
    <row r="50" spans="1:17" ht="18" x14ac:dyDescent="0.2">
      <c r="A50" s="113" t="s">
        <v>309</v>
      </c>
      <c r="B50" s="114"/>
      <c r="C50" s="114"/>
      <c r="D50" s="219"/>
      <c r="E50" s="171"/>
      <c r="F50" s="171"/>
      <c r="G50" s="114"/>
      <c r="H50" s="114"/>
      <c r="J50" s="113" t="s">
        <v>309</v>
      </c>
      <c r="K50" s="114"/>
      <c r="L50" s="114"/>
      <c r="M50" s="219"/>
      <c r="N50" s="171"/>
      <c r="O50" s="171"/>
      <c r="P50" s="114"/>
      <c r="Q50" s="114"/>
    </row>
    <row r="51" spans="1:17" x14ac:dyDescent="0.2">
      <c r="A51" s="217"/>
      <c r="B51" s="114"/>
      <c r="C51" s="114"/>
      <c r="D51" s="219"/>
      <c r="E51" s="171"/>
      <c r="F51" s="171"/>
      <c r="G51" s="114"/>
      <c r="H51" s="114"/>
      <c r="J51" s="217"/>
      <c r="K51" s="114"/>
      <c r="L51" s="114"/>
      <c r="M51" s="219"/>
      <c r="N51" s="171"/>
      <c r="O51" s="171"/>
      <c r="P51" s="114"/>
      <c r="Q51" s="114"/>
    </row>
    <row r="52" spans="1:17" x14ac:dyDescent="0.2">
      <c r="A52" s="219" t="s">
        <v>310</v>
      </c>
      <c r="B52" s="221" t="s">
        <v>311</v>
      </c>
      <c r="C52" s="221"/>
      <c r="D52" s="114"/>
      <c r="G52" s="114"/>
      <c r="H52" s="114"/>
      <c r="J52" s="219" t="s">
        <v>310</v>
      </c>
      <c r="K52" s="221" t="s">
        <v>311</v>
      </c>
      <c r="L52" s="221"/>
      <c r="M52" s="114"/>
      <c r="N52" s="117"/>
      <c r="O52" s="117"/>
      <c r="P52" s="114"/>
      <c r="Q52" s="114"/>
    </row>
    <row r="53" spans="1:17" x14ac:dyDescent="0.2">
      <c r="A53" s="114" t="s">
        <v>312</v>
      </c>
      <c r="B53" s="222"/>
      <c r="C53" s="222"/>
      <c r="D53" s="114"/>
      <c r="E53" s="219"/>
      <c r="F53" s="219"/>
      <c r="G53" s="114"/>
      <c r="H53" s="114"/>
      <c r="J53" s="114" t="s">
        <v>312</v>
      </c>
      <c r="K53" s="222"/>
      <c r="L53" s="222"/>
      <c r="M53" s="114"/>
      <c r="N53" s="219"/>
      <c r="O53" s="219"/>
      <c r="P53" s="114"/>
      <c r="Q53" s="114"/>
    </row>
    <row r="54" spans="1:17" x14ac:dyDescent="0.2">
      <c r="A54" s="114" t="s">
        <v>313</v>
      </c>
      <c r="B54" s="223"/>
      <c r="C54" s="223"/>
      <c r="D54" s="114"/>
      <c r="E54" s="217"/>
      <c r="F54" s="217"/>
      <c r="G54" s="114"/>
      <c r="H54" s="114"/>
      <c r="J54" s="114" t="s">
        <v>313</v>
      </c>
      <c r="K54" s="223"/>
      <c r="L54" s="223"/>
      <c r="M54" s="114"/>
      <c r="N54" s="217"/>
      <c r="O54" s="217"/>
      <c r="P54" s="114"/>
      <c r="Q54" s="114"/>
    </row>
    <row r="55" spans="1:17" x14ac:dyDescent="0.2">
      <c r="A55" s="224" t="s">
        <v>314</v>
      </c>
      <c r="B55" s="225"/>
      <c r="C55" s="226"/>
      <c r="D55" s="227" t="s">
        <v>315</v>
      </c>
      <c r="E55" s="224" t="s">
        <v>316</v>
      </c>
      <c r="F55" s="228"/>
      <c r="G55" s="228" t="s">
        <v>317</v>
      </c>
      <c r="H55" s="229" t="s">
        <v>27</v>
      </c>
      <c r="J55" s="224" t="s">
        <v>314</v>
      </c>
      <c r="K55" s="225"/>
      <c r="L55" s="226"/>
      <c r="M55" s="227" t="s">
        <v>315</v>
      </c>
      <c r="N55" s="224" t="s">
        <v>316</v>
      </c>
      <c r="O55" s="228"/>
      <c r="P55" s="228" t="s">
        <v>317</v>
      </c>
      <c r="Q55" s="229" t="s">
        <v>27</v>
      </c>
    </row>
    <row r="56" spans="1:17" x14ac:dyDescent="0.2">
      <c r="B56" s="147"/>
      <c r="C56" s="230"/>
      <c r="D56" s="136"/>
      <c r="E56" s="134"/>
      <c r="F56" s="156"/>
      <c r="G56" s="156"/>
      <c r="H56" s="231"/>
      <c r="J56" s="117"/>
      <c r="K56" s="147"/>
      <c r="L56" s="230"/>
      <c r="M56" s="136"/>
      <c r="N56" s="134"/>
      <c r="O56" s="156"/>
      <c r="P56" s="156"/>
      <c r="Q56" s="231"/>
    </row>
    <row r="57" spans="1:17" x14ac:dyDescent="0.2">
      <c r="A57" s="117" t="s">
        <v>318</v>
      </c>
      <c r="B57" s="147"/>
      <c r="C57" s="230"/>
      <c r="D57" s="136" t="s">
        <v>319</v>
      </c>
      <c r="E57" s="134"/>
      <c r="F57" s="156"/>
      <c r="G57" s="156"/>
      <c r="H57" s="231">
        <v>200000</v>
      </c>
      <c r="J57" s="117" t="s">
        <v>318</v>
      </c>
      <c r="K57" s="147"/>
      <c r="L57" s="230"/>
      <c r="M57" s="136" t="s">
        <v>319</v>
      </c>
      <c r="N57" s="134"/>
      <c r="O57" s="156"/>
      <c r="P57" s="156"/>
      <c r="Q57" s="231">
        <f>200000*0.2</f>
        <v>40000</v>
      </c>
    </row>
    <row r="58" spans="1:17" x14ac:dyDescent="0.2">
      <c r="A58" s="134"/>
      <c r="B58" s="147"/>
      <c r="C58" s="230"/>
      <c r="D58" s="136"/>
      <c r="E58" s="134"/>
      <c r="F58" s="156"/>
      <c r="G58" s="156"/>
      <c r="H58" s="231"/>
      <c r="J58" s="134"/>
      <c r="K58" s="147"/>
      <c r="L58" s="230"/>
      <c r="M58" s="136" t="s">
        <v>356</v>
      </c>
      <c r="N58" s="134"/>
      <c r="O58" s="156"/>
      <c r="P58" s="156"/>
      <c r="Q58" s="231">
        <v>50000</v>
      </c>
    </row>
    <row r="59" spans="1:17" x14ac:dyDescent="0.2">
      <c r="A59" s="134"/>
      <c r="B59" s="147"/>
      <c r="C59" s="230"/>
      <c r="D59" s="136"/>
      <c r="E59" s="134"/>
      <c r="F59" s="156"/>
      <c r="G59" s="156"/>
      <c r="H59" s="231"/>
      <c r="J59" s="134"/>
      <c r="K59" s="147"/>
      <c r="L59" s="230"/>
      <c r="M59" s="136"/>
      <c r="N59" s="134"/>
      <c r="O59" s="156"/>
      <c r="P59" s="156"/>
      <c r="Q59" s="231"/>
    </row>
    <row r="60" spans="1:17" x14ac:dyDescent="0.2">
      <c r="A60" s="134"/>
      <c r="B60" s="147"/>
      <c r="C60" s="230"/>
      <c r="D60" s="136"/>
      <c r="E60" s="134"/>
      <c r="F60" s="156"/>
      <c r="G60" s="156"/>
      <c r="H60" s="231"/>
      <c r="J60" s="134"/>
      <c r="K60" s="147"/>
      <c r="L60" s="230"/>
      <c r="M60" s="136"/>
      <c r="N60" s="134"/>
      <c r="O60" s="156"/>
      <c r="P60" s="156"/>
      <c r="Q60" s="231"/>
    </row>
    <row r="61" spans="1:17" x14ac:dyDescent="0.2">
      <c r="A61" s="134" t="s">
        <v>320</v>
      </c>
      <c r="B61" s="147"/>
      <c r="C61" s="230"/>
      <c r="D61" s="136"/>
      <c r="E61" s="134"/>
      <c r="F61" s="156"/>
      <c r="G61" s="156"/>
      <c r="H61" s="231">
        <f>SUM(H56:H60)</f>
        <v>200000</v>
      </c>
      <c r="J61" s="134" t="s">
        <v>320</v>
      </c>
      <c r="K61" s="147"/>
      <c r="L61" s="230"/>
      <c r="M61" s="136"/>
      <c r="N61" s="134"/>
      <c r="O61" s="156"/>
      <c r="P61" s="156"/>
      <c r="Q61" s="231">
        <f>SUM(Q56:Q60)</f>
        <v>90000</v>
      </c>
    </row>
    <row r="62" spans="1:17" x14ac:dyDescent="0.2">
      <c r="A62" s="114"/>
      <c r="B62" s="114"/>
      <c r="C62" s="114"/>
      <c r="D62" s="114"/>
      <c r="E62" s="114"/>
      <c r="F62" s="114"/>
      <c r="G62" s="114"/>
      <c r="H62" s="114"/>
      <c r="J62" s="114"/>
      <c r="K62" s="114"/>
      <c r="L62" s="114"/>
      <c r="M62" s="114"/>
      <c r="N62" s="114"/>
      <c r="O62" s="114"/>
      <c r="P62" s="114"/>
      <c r="Q62" s="114"/>
    </row>
    <row r="63" spans="1:17" x14ac:dyDescent="0.2">
      <c r="A63" s="219" t="s">
        <v>321</v>
      </c>
      <c r="B63" s="221" t="s">
        <v>322</v>
      </c>
      <c r="C63" s="221"/>
      <c r="D63" s="114"/>
      <c r="G63" s="114"/>
      <c r="H63" s="114"/>
      <c r="J63" s="219" t="s">
        <v>321</v>
      </c>
      <c r="K63" s="221" t="s">
        <v>322</v>
      </c>
      <c r="L63" s="221"/>
      <c r="M63" s="114"/>
      <c r="N63" s="117"/>
      <c r="O63" s="117"/>
      <c r="P63" s="114"/>
      <c r="Q63" s="114"/>
    </row>
    <row r="64" spans="1:17" x14ac:dyDescent="0.2">
      <c r="A64" s="114" t="s">
        <v>313</v>
      </c>
      <c r="B64" s="221"/>
      <c r="C64" s="221"/>
      <c r="D64" s="114"/>
      <c r="G64" s="114"/>
      <c r="H64" s="114"/>
      <c r="J64" s="114" t="s">
        <v>313</v>
      </c>
      <c r="K64" s="221"/>
      <c r="L64" s="221"/>
      <c r="M64" s="114"/>
      <c r="N64" s="117"/>
      <c r="O64" s="117"/>
      <c r="P64" s="114"/>
      <c r="Q64" s="114"/>
    </row>
    <row r="65" spans="1:18" x14ac:dyDescent="0.2">
      <c r="A65" s="224" t="s">
        <v>323</v>
      </c>
      <c r="B65" s="224" t="s">
        <v>324</v>
      </c>
      <c r="C65" s="228"/>
      <c r="D65" s="224" t="s">
        <v>325</v>
      </c>
      <c r="E65" s="224" t="s">
        <v>317</v>
      </c>
      <c r="F65" s="228"/>
      <c r="G65" s="224" t="s">
        <v>37</v>
      </c>
      <c r="H65" s="232" t="s">
        <v>326</v>
      </c>
      <c r="I65" s="158"/>
      <c r="J65" s="224" t="s">
        <v>323</v>
      </c>
      <c r="K65" s="224" t="s">
        <v>324</v>
      </c>
      <c r="L65" s="228"/>
      <c r="M65" s="224" t="s">
        <v>325</v>
      </c>
      <c r="N65" s="224" t="s">
        <v>317</v>
      </c>
      <c r="O65" s="228"/>
      <c r="P65" s="224" t="s">
        <v>37</v>
      </c>
      <c r="Q65" s="232" t="s">
        <v>326</v>
      </c>
      <c r="R65" s="158"/>
    </row>
    <row r="66" spans="1:18" x14ac:dyDescent="0.2">
      <c r="A66" s="233"/>
      <c r="B66" s="134"/>
      <c r="C66" s="156"/>
      <c r="D66" s="233"/>
      <c r="E66" s="134"/>
      <c r="F66" s="156"/>
      <c r="G66" s="233"/>
      <c r="H66" s="234"/>
      <c r="J66" s="233"/>
      <c r="K66" s="134"/>
      <c r="L66" s="156"/>
      <c r="M66" s="233"/>
      <c r="N66" s="134"/>
      <c r="O66" s="156"/>
      <c r="P66" s="233"/>
      <c r="Q66" s="234"/>
    </row>
    <row r="67" spans="1:18" x14ac:dyDescent="0.2">
      <c r="A67" s="233"/>
      <c r="B67" s="134"/>
      <c r="C67" s="156"/>
      <c r="D67" s="233"/>
      <c r="E67" s="134"/>
      <c r="F67" s="156"/>
      <c r="G67" s="233"/>
      <c r="H67" s="234"/>
      <c r="J67" s="233"/>
      <c r="K67" s="134"/>
      <c r="L67" s="156"/>
      <c r="M67" s="233"/>
      <c r="N67" s="134"/>
      <c r="O67" s="156"/>
      <c r="P67" s="233"/>
      <c r="Q67" s="234"/>
    </row>
    <row r="68" spans="1:18" x14ac:dyDescent="0.2">
      <c r="A68" s="233"/>
      <c r="B68" s="134"/>
      <c r="C68" s="156"/>
      <c r="D68" s="233"/>
      <c r="E68" s="134"/>
      <c r="F68" s="156"/>
      <c r="G68" s="233"/>
      <c r="H68" s="234"/>
      <c r="J68" s="233"/>
      <c r="K68" s="134"/>
      <c r="L68" s="156"/>
      <c r="M68" s="233"/>
      <c r="N68" s="134"/>
      <c r="O68" s="156"/>
      <c r="P68" s="233"/>
      <c r="Q68" s="234"/>
    </row>
    <row r="69" spans="1:18" x14ac:dyDescent="0.2">
      <c r="A69" s="134"/>
      <c r="B69" s="134"/>
      <c r="C69" s="156"/>
      <c r="D69" s="134"/>
      <c r="E69" s="134"/>
      <c r="F69" s="156"/>
      <c r="G69" s="134"/>
      <c r="H69" s="202"/>
      <c r="J69" s="134"/>
      <c r="K69" s="134"/>
      <c r="L69" s="156"/>
      <c r="M69" s="134"/>
      <c r="N69" s="134"/>
      <c r="O69" s="156"/>
      <c r="P69" s="134"/>
      <c r="Q69" s="202"/>
    </row>
    <row r="70" spans="1:18" x14ac:dyDescent="0.2">
      <c r="A70" s="180"/>
      <c r="B70" s="134"/>
      <c r="C70" s="156"/>
      <c r="D70" s="180"/>
      <c r="E70" s="134"/>
      <c r="F70" s="156"/>
      <c r="G70" s="180"/>
      <c r="H70" s="235"/>
      <c r="J70" s="180"/>
      <c r="K70" s="134"/>
      <c r="L70" s="156"/>
      <c r="M70" s="180"/>
      <c r="N70" s="134"/>
      <c r="O70" s="156"/>
      <c r="P70" s="180"/>
      <c r="Q70" s="235"/>
    </row>
    <row r="71" spans="1:18" x14ac:dyDescent="0.2">
      <c r="A71" s="134"/>
      <c r="B71" s="134"/>
      <c r="C71" s="156"/>
      <c r="D71" s="134"/>
      <c r="E71" s="134"/>
      <c r="F71" s="156"/>
      <c r="G71" s="134"/>
      <c r="H71" s="202"/>
      <c r="J71" s="134"/>
      <c r="K71" s="134"/>
      <c r="L71" s="156"/>
      <c r="M71" s="134"/>
      <c r="N71" s="134"/>
      <c r="O71" s="156"/>
      <c r="P71" s="134"/>
      <c r="Q71" s="202"/>
    </row>
    <row r="72" spans="1:18" x14ac:dyDescent="0.2">
      <c r="A72" s="114"/>
      <c r="B72" s="114"/>
      <c r="C72" s="114"/>
      <c r="D72" s="114"/>
      <c r="E72" s="114"/>
      <c r="F72" s="114"/>
      <c r="G72" s="114"/>
      <c r="H72" s="114"/>
      <c r="J72" s="114"/>
      <c r="K72" s="114"/>
      <c r="L72" s="114"/>
      <c r="M72" s="114"/>
      <c r="N72" s="114"/>
      <c r="O72" s="114"/>
      <c r="P72" s="114"/>
      <c r="Q72" s="114"/>
    </row>
    <row r="73" spans="1:18" x14ac:dyDescent="0.2">
      <c r="A73" s="219" t="s">
        <v>327</v>
      </c>
      <c r="B73" s="221" t="s">
        <v>328</v>
      </c>
      <c r="C73" s="221"/>
      <c r="D73" s="114"/>
      <c r="G73" s="114"/>
      <c r="H73" s="114"/>
      <c r="J73" s="219" t="s">
        <v>327</v>
      </c>
      <c r="K73" s="221" t="s">
        <v>328</v>
      </c>
      <c r="L73" s="221"/>
      <c r="M73" s="114"/>
      <c r="N73" s="117"/>
      <c r="O73" s="117"/>
      <c r="P73" s="114"/>
      <c r="Q73" s="114"/>
    </row>
    <row r="74" spans="1:18" x14ac:dyDescent="0.2">
      <c r="A74" s="224" t="s">
        <v>323</v>
      </c>
      <c r="B74" s="224" t="s">
        <v>324</v>
      </c>
      <c r="C74" s="228"/>
      <c r="D74" s="224" t="s">
        <v>325</v>
      </c>
      <c r="E74" s="224" t="s">
        <v>317</v>
      </c>
      <c r="F74" s="228"/>
      <c r="G74" s="224" t="s">
        <v>37</v>
      </c>
      <c r="H74" s="232" t="s">
        <v>326</v>
      </c>
      <c r="I74" s="158"/>
      <c r="J74" s="224" t="s">
        <v>323</v>
      </c>
      <c r="K74" s="224" t="s">
        <v>324</v>
      </c>
      <c r="L74" s="228"/>
      <c r="M74" s="224" t="s">
        <v>325</v>
      </c>
      <c r="N74" s="224" t="s">
        <v>317</v>
      </c>
      <c r="O74" s="228"/>
      <c r="P74" s="224" t="s">
        <v>37</v>
      </c>
      <c r="Q74" s="232" t="s">
        <v>326</v>
      </c>
      <c r="R74" s="158"/>
    </row>
    <row r="75" spans="1:18" x14ac:dyDescent="0.2">
      <c r="A75" s="233"/>
      <c r="B75" s="134"/>
      <c r="C75" s="156"/>
      <c r="D75" s="233"/>
      <c r="E75" s="134"/>
      <c r="F75" s="156"/>
      <c r="G75" s="233"/>
      <c r="H75" s="234"/>
      <c r="J75" s="233"/>
      <c r="K75" s="134"/>
      <c r="L75" s="156"/>
      <c r="M75" s="233"/>
      <c r="N75" s="134"/>
      <c r="O75" s="156"/>
      <c r="P75" s="233"/>
      <c r="Q75" s="234"/>
    </row>
    <row r="76" spans="1:18" x14ac:dyDescent="0.2">
      <c r="A76" s="233"/>
      <c r="B76" s="134"/>
      <c r="C76" s="156"/>
      <c r="D76" s="233"/>
      <c r="E76" s="134"/>
      <c r="F76" s="156"/>
      <c r="G76" s="233"/>
      <c r="H76" s="234"/>
      <c r="J76" s="233"/>
      <c r="K76" s="134"/>
      <c r="L76" s="156"/>
      <c r="M76" s="233"/>
      <c r="N76" s="134"/>
      <c r="O76" s="156"/>
      <c r="P76" s="233"/>
      <c r="Q76" s="234"/>
    </row>
    <row r="77" spans="1:18" x14ac:dyDescent="0.2">
      <c r="A77" s="233"/>
      <c r="B77" s="134"/>
      <c r="C77" s="156"/>
      <c r="D77" s="233"/>
      <c r="E77" s="134"/>
      <c r="F77" s="156"/>
      <c r="G77" s="233"/>
      <c r="H77" s="234"/>
      <c r="J77" s="233"/>
      <c r="K77" s="134"/>
      <c r="L77" s="156"/>
      <c r="M77" s="233"/>
      <c r="N77" s="134"/>
      <c r="O77" s="156"/>
      <c r="P77" s="233"/>
      <c r="Q77" s="234"/>
    </row>
    <row r="78" spans="1:18" x14ac:dyDescent="0.2">
      <c r="A78" s="134"/>
      <c r="B78" s="134"/>
      <c r="C78" s="156"/>
      <c r="D78" s="134"/>
      <c r="E78" s="134"/>
      <c r="F78" s="156"/>
      <c r="G78" s="134"/>
      <c r="H78" s="202"/>
      <c r="J78" s="134"/>
      <c r="K78" s="134"/>
      <c r="L78" s="156"/>
      <c r="M78" s="134"/>
      <c r="N78" s="134"/>
      <c r="O78" s="156"/>
      <c r="P78" s="134"/>
      <c r="Q78" s="202"/>
    </row>
    <row r="79" spans="1:18" x14ac:dyDescent="0.2">
      <c r="A79" s="180"/>
      <c r="B79" s="134"/>
      <c r="C79" s="156"/>
      <c r="D79" s="180"/>
      <c r="E79" s="134"/>
      <c r="F79" s="156"/>
      <c r="G79" s="180"/>
      <c r="H79" s="235"/>
      <c r="J79" s="180"/>
      <c r="K79" s="134"/>
      <c r="L79" s="156"/>
      <c r="M79" s="180"/>
      <c r="N79" s="134"/>
      <c r="O79" s="156"/>
      <c r="P79" s="180"/>
      <c r="Q79" s="235"/>
    </row>
    <row r="80" spans="1:18" x14ac:dyDescent="0.2">
      <c r="A80" s="134"/>
      <c r="B80" s="134"/>
      <c r="C80" s="156"/>
      <c r="D80" s="134"/>
      <c r="E80" s="134"/>
      <c r="F80" s="156"/>
      <c r="G80" s="134"/>
      <c r="H80" s="202"/>
      <c r="J80" s="134"/>
      <c r="K80" s="134"/>
      <c r="L80" s="156"/>
      <c r="M80" s="134"/>
      <c r="N80" s="134"/>
      <c r="O80" s="156"/>
      <c r="P80" s="134"/>
      <c r="Q80" s="202"/>
    </row>
    <row r="81" spans="1:18" x14ac:dyDescent="0.2">
      <c r="A81" s="114"/>
      <c r="B81" s="114"/>
      <c r="C81" s="114"/>
      <c r="D81" s="114"/>
      <c r="E81" s="114"/>
      <c r="F81" s="114"/>
      <c r="G81" s="114"/>
      <c r="H81" s="114"/>
      <c r="J81" s="114"/>
      <c r="K81" s="114"/>
      <c r="L81" s="114"/>
      <c r="M81" s="114"/>
      <c r="N81" s="114"/>
      <c r="O81" s="114"/>
      <c r="P81" s="114"/>
      <c r="Q81" s="114"/>
    </row>
    <row r="82" spans="1:18" x14ac:dyDescent="0.2">
      <c r="A82" s="219" t="s">
        <v>329</v>
      </c>
      <c r="B82" s="114"/>
      <c r="C82" s="114"/>
      <c r="D82" s="114"/>
      <c r="E82" s="217"/>
      <c r="F82" s="217"/>
      <c r="G82" s="114"/>
      <c r="H82" s="114"/>
      <c r="J82" s="219" t="s">
        <v>329</v>
      </c>
      <c r="K82" s="114"/>
      <c r="L82" s="114"/>
      <c r="M82" s="114"/>
      <c r="N82" s="217"/>
      <c r="O82" s="217"/>
      <c r="P82" s="114"/>
      <c r="Q82" s="114"/>
    </row>
    <row r="83" spans="1:18" x14ac:dyDescent="0.2">
      <c r="A83" s="236" t="s">
        <v>330</v>
      </c>
      <c r="B83" s="236" t="s">
        <v>331</v>
      </c>
      <c r="C83" s="236"/>
      <c r="D83" s="236"/>
      <c r="E83" s="236" t="s">
        <v>332</v>
      </c>
      <c r="F83" s="236"/>
      <c r="G83" s="236" t="s">
        <v>333</v>
      </c>
      <c r="H83" s="237" t="s">
        <v>122</v>
      </c>
      <c r="J83" s="236" t="s">
        <v>330</v>
      </c>
      <c r="K83" s="236" t="s">
        <v>331</v>
      </c>
      <c r="L83" s="236"/>
      <c r="M83" s="236"/>
      <c r="N83" s="236" t="s">
        <v>332</v>
      </c>
      <c r="O83" s="236"/>
      <c r="P83" s="236" t="s">
        <v>333</v>
      </c>
      <c r="Q83" s="237" t="s">
        <v>122</v>
      </c>
    </row>
    <row r="84" spans="1:18" x14ac:dyDescent="0.2">
      <c r="A84" s="238" t="s">
        <v>334</v>
      </c>
      <c r="B84" s="238" t="s">
        <v>335</v>
      </c>
      <c r="C84" s="238"/>
      <c r="D84" s="238" t="s">
        <v>37</v>
      </c>
      <c r="E84" s="238" t="s">
        <v>331</v>
      </c>
      <c r="F84" s="238"/>
      <c r="G84" s="238" t="s">
        <v>112</v>
      </c>
      <c r="H84" s="239" t="s">
        <v>27</v>
      </c>
      <c r="J84" s="238" t="s">
        <v>334</v>
      </c>
      <c r="K84" s="238" t="s">
        <v>335</v>
      </c>
      <c r="L84" s="238"/>
      <c r="M84" s="238" t="s">
        <v>37</v>
      </c>
      <c r="N84" s="238" t="s">
        <v>331</v>
      </c>
      <c r="O84" s="238"/>
      <c r="P84" s="238" t="s">
        <v>112</v>
      </c>
      <c r="Q84" s="239" t="s">
        <v>27</v>
      </c>
    </row>
    <row r="85" spans="1:18" x14ac:dyDescent="0.2">
      <c r="A85" s="155"/>
      <c r="B85" s="134"/>
      <c r="C85" s="134"/>
      <c r="D85" s="134"/>
      <c r="E85" s="134"/>
      <c r="F85" s="134"/>
      <c r="G85" s="134"/>
      <c r="H85" s="202"/>
      <c r="J85" s="155"/>
      <c r="K85" s="134"/>
      <c r="L85" s="134"/>
      <c r="M85" s="134"/>
      <c r="N85" s="134"/>
      <c r="O85" s="134"/>
      <c r="P85" s="134"/>
      <c r="Q85" s="202"/>
    </row>
    <row r="86" spans="1:18" x14ac:dyDescent="0.2">
      <c r="A86" s="134" t="s">
        <v>336</v>
      </c>
      <c r="B86" s="134"/>
      <c r="C86" s="134"/>
      <c r="D86" s="134"/>
      <c r="E86" s="134"/>
      <c r="F86" s="134"/>
      <c r="G86" s="134"/>
      <c r="H86" s="202"/>
      <c r="J86" s="134" t="s">
        <v>336</v>
      </c>
      <c r="K86" s="134"/>
      <c r="L86" s="134"/>
      <c r="M86" s="134"/>
      <c r="N86" s="134"/>
      <c r="O86" s="134"/>
      <c r="P86" s="134"/>
      <c r="Q86" s="202"/>
    </row>
    <row r="87" spans="1:18" x14ac:dyDescent="0.2">
      <c r="A87" s="134"/>
      <c r="B87" s="134"/>
      <c r="C87" s="134"/>
      <c r="D87" s="134"/>
      <c r="E87" s="134"/>
      <c r="F87" s="134"/>
      <c r="G87" s="134"/>
      <c r="H87" s="202"/>
      <c r="J87" s="134"/>
      <c r="K87" s="134"/>
      <c r="L87" s="134"/>
      <c r="M87" s="134"/>
      <c r="N87" s="134"/>
      <c r="O87" s="134"/>
      <c r="P87" s="134"/>
      <c r="Q87" s="202"/>
    </row>
    <row r="88" spans="1:18" x14ac:dyDescent="0.2">
      <c r="A88" s="134"/>
      <c r="B88" s="134"/>
      <c r="C88" s="134"/>
      <c r="D88" s="134"/>
      <c r="E88" s="134"/>
      <c r="F88" s="134"/>
      <c r="G88" s="134"/>
      <c r="H88" s="202"/>
      <c r="J88" s="134"/>
      <c r="K88" s="134"/>
      <c r="L88" s="134"/>
      <c r="M88" s="134"/>
      <c r="N88" s="134"/>
      <c r="O88" s="134"/>
      <c r="P88" s="134"/>
      <c r="Q88" s="202"/>
    </row>
    <row r="89" spans="1:18" x14ac:dyDescent="0.2">
      <c r="A89" s="134"/>
      <c r="B89" s="134"/>
      <c r="C89" s="134"/>
      <c r="D89" s="134"/>
      <c r="E89" s="134"/>
      <c r="F89" s="134"/>
      <c r="G89" s="134"/>
      <c r="H89" s="202"/>
      <c r="J89" s="134"/>
      <c r="K89" s="134"/>
      <c r="L89" s="134"/>
      <c r="M89" s="134"/>
      <c r="N89" s="134"/>
      <c r="O89" s="134"/>
      <c r="P89" s="134"/>
      <c r="Q89" s="202"/>
    </row>
    <row r="90" spans="1:18" x14ac:dyDescent="0.2">
      <c r="A90" s="134"/>
      <c r="B90" s="134"/>
      <c r="C90" s="134"/>
      <c r="D90" s="134"/>
      <c r="E90" s="134"/>
      <c r="F90" s="134"/>
      <c r="G90" s="134"/>
      <c r="H90" s="202"/>
      <c r="J90" s="134"/>
      <c r="K90" s="134"/>
      <c r="L90" s="134"/>
      <c r="M90" s="134"/>
      <c r="N90" s="134"/>
      <c r="O90" s="134"/>
      <c r="P90" s="134"/>
      <c r="Q90" s="202"/>
    </row>
    <row r="91" spans="1:18" x14ac:dyDescent="0.2">
      <c r="A91" s="134"/>
      <c r="B91" s="134"/>
      <c r="C91" s="134"/>
      <c r="D91" s="134"/>
      <c r="E91" s="134"/>
      <c r="F91" s="134"/>
      <c r="G91" s="134"/>
      <c r="H91" s="202"/>
      <c r="J91" s="134"/>
      <c r="K91" s="134"/>
      <c r="L91" s="134"/>
      <c r="M91" s="134"/>
      <c r="N91" s="134"/>
      <c r="O91" s="134"/>
      <c r="P91" s="134"/>
      <c r="Q91" s="202"/>
    </row>
    <row r="92" spans="1:18" x14ac:dyDescent="0.2">
      <c r="A92" s="114"/>
      <c r="B92" s="221"/>
      <c r="C92" s="221"/>
      <c r="D92" s="114"/>
      <c r="E92" s="114"/>
      <c r="F92" s="114"/>
      <c r="G92" s="114"/>
      <c r="H92" s="114"/>
      <c r="J92" s="114"/>
      <c r="K92" s="221"/>
      <c r="L92" s="221"/>
      <c r="M92" s="114"/>
      <c r="N92" s="114"/>
      <c r="O92" s="114"/>
      <c r="P92" s="114"/>
      <c r="Q92" s="114"/>
    </row>
    <row r="93" spans="1:18" x14ac:dyDescent="0.2">
      <c r="A93" s="219" t="s">
        <v>337</v>
      </c>
      <c r="B93" s="221" t="s">
        <v>338</v>
      </c>
      <c r="C93" s="221"/>
      <c r="D93" s="114"/>
      <c r="E93" s="217"/>
      <c r="F93" s="217"/>
      <c r="G93" s="114"/>
      <c r="H93" s="114"/>
      <c r="J93" s="219" t="s">
        <v>337</v>
      </c>
      <c r="K93" s="221" t="s">
        <v>338</v>
      </c>
      <c r="L93" s="221"/>
      <c r="M93" s="114"/>
      <c r="N93" s="217"/>
      <c r="O93" s="217"/>
      <c r="P93" s="114"/>
      <c r="Q93" s="114"/>
    </row>
    <row r="94" spans="1:18" x14ac:dyDescent="0.2">
      <c r="A94" s="236"/>
      <c r="B94" s="240"/>
      <c r="C94" s="236"/>
      <c r="D94" s="241"/>
      <c r="E94" s="240"/>
      <c r="F94" s="236"/>
      <c r="G94" s="240"/>
      <c r="H94" s="236" t="s">
        <v>339</v>
      </c>
      <c r="I94" s="158"/>
      <c r="J94" s="236"/>
      <c r="K94" s="240"/>
      <c r="L94" s="236"/>
      <c r="M94" s="241"/>
      <c r="N94" s="240"/>
      <c r="O94" s="236"/>
      <c r="P94" s="240"/>
      <c r="Q94" s="236" t="s">
        <v>339</v>
      </c>
      <c r="R94" s="158"/>
    </row>
    <row r="95" spans="1:18" x14ac:dyDescent="0.2">
      <c r="A95" s="238" t="s">
        <v>340</v>
      </c>
      <c r="B95" s="242"/>
      <c r="C95" s="238" t="s">
        <v>341</v>
      </c>
      <c r="D95" s="243"/>
      <c r="E95" s="242"/>
      <c r="F95" s="238" t="s">
        <v>342</v>
      </c>
      <c r="G95" s="242"/>
      <c r="H95" s="238" t="s">
        <v>343</v>
      </c>
      <c r="I95" s="158"/>
      <c r="J95" s="238" t="s">
        <v>340</v>
      </c>
      <c r="K95" s="242"/>
      <c r="L95" s="238" t="s">
        <v>341</v>
      </c>
      <c r="M95" s="243"/>
      <c r="N95" s="242"/>
      <c r="O95" s="238" t="s">
        <v>342</v>
      </c>
      <c r="P95" s="242"/>
      <c r="Q95" s="238" t="s">
        <v>343</v>
      </c>
      <c r="R95" s="158"/>
    </row>
    <row r="96" spans="1:18" x14ac:dyDescent="0.2">
      <c r="A96" s="155"/>
      <c r="B96" s="244"/>
      <c r="C96" s="134"/>
      <c r="D96" s="245"/>
      <c r="E96" s="156"/>
      <c r="F96" s="246"/>
      <c r="G96" s="156"/>
      <c r="H96" s="247"/>
      <c r="J96" s="155"/>
      <c r="K96" s="244"/>
      <c r="L96" s="134"/>
      <c r="M96" s="245"/>
      <c r="N96" s="156"/>
      <c r="O96" s="246"/>
      <c r="P96" s="156"/>
      <c r="Q96" s="247"/>
    </row>
    <row r="97" spans="1:17" x14ac:dyDescent="0.2">
      <c r="A97" s="134"/>
      <c r="B97" s="156"/>
      <c r="C97" s="134"/>
      <c r="D97" s="245"/>
      <c r="E97" s="156"/>
      <c r="F97" s="246"/>
      <c r="G97" s="156"/>
      <c r="H97" s="247"/>
      <c r="J97" s="134"/>
      <c r="K97" s="156"/>
      <c r="L97" s="134"/>
      <c r="M97" s="245"/>
      <c r="N97" s="156"/>
      <c r="O97" s="246"/>
      <c r="P97" s="156"/>
      <c r="Q97" s="247"/>
    </row>
    <row r="98" spans="1:17" x14ac:dyDescent="0.2">
      <c r="A98" s="134" t="s">
        <v>344</v>
      </c>
      <c r="B98" s="156"/>
      <c r="C98" s="134"/>
      <c r="D98" s="245"/>
      <c r="E98" s="156"/>
      <c r="F98" s="246"/>
      <c r="G98" s="156"/>
      <c r="H98" s="247"/>
      <c r="J98" s="134" t="s">
        <v>344</v>
      </c>
      <c r="K98" s="156"/>
      <c r="L98" s="134"/>
      <c r="M98" s="245"/>
      <c r="N98" s="156"/>
      <c r="O98" s="246"/>
      <c r="P98" s="156"/>
      <c r="Q98" s="247"/>
    </row>
    <row r="99" spans="1:17" x14ac:dyDescent="0.2">
      <c r="A99" s="134"/>
      <c r="B99" s="156"/>
      <c r="C99" s="134"/>
      <c r="D99" s="245"/>
      <c r="E99" s="156"/>
      <c r="F99" s="246"/>
      <c r="G99" s="156"/>
      <c r="H99" s="247"/>
      <c r="J99" s="134"/>
      <c r="K99" s="156"/>
      <c r="L99" s="134"/>
      <c r="M99" s="245"/>
      <c r="N99" s="156"/>
      <c r="O99" s="246"/>
      <c r="P99" s="156"/>
      <c r="Q99" s="247"/>
    </row>
    <row r="100" spans="1:17" x14ac:dyDescent="0.2">
      <c r="A100" s="134"/>
      <c r="B100" s="156"/>
      <c r="C100" s="134"/>
      <c r="D100" s="245"/>
      <c r="E100" s="156"/>
      <c r="F100" s="246"/>
      <c r="G100" s="156"/>
      <c r="H100" s="247"/>
      <c r="J100" s="134"/>
      <c r="K100" s="156"/>
      <c r="L100" s="134"/>
      <c r="M100" s="245"/>
      <c r="N100" s="156"/>
      <c r="O100" s="246"/>
      <c r="P100" s="156"/>
      <c r="Q100" s="247"/>
    </row>
    <row r="101" spans="1:17" x14ac:dyDescent="0.2">
      <c r="A101" s="134"/>
      <c r="B101" s="156"/>
      <c r="C101" s="134"/>
      <c r="D101" s="245"/>
      <c r="E101" s="156"/>
      <c r="F101" s="246"/>
      <c r="G101" s="156"/>
      <c r="H101" s="247"/>
      <c r="J101" s="134"/>
      <c r="K101" s="156"/>
      <c r="L101" s="134"/>
      <c r="M101" s="245"/>
      <c r="N101" s="156"/>
      <c r="O101" s="246"/>
      <c r="P101" s="156"/>
      <c r="Q101" s="247"/>
    </row>
    <row r="102" spans="1:17" x14ac:dyDescent="0.2">
      <c r="A102" s="134"/>
      <c r="B102" s="156"/>
      <c r="C102" s="134"/>
      <c r="D102" s="245"/>
      <c r="E102" s="156"/>
      <c r="F102" s="246"/>
      <c r="G102" s="156"/>
      <c r="H102" s="247"/>
      <c r="J102" s="134"/>
      <c r="K102" s="156"/>
      <c r="L102" s="134"/>
      <c r="M102" s="245"/>
      <c r="N102" s="156"/>
      <c r="O102" s="246"/>
      <c r="P102" s="156"/>
      <c r="Q102" s="247"/>
    </row>
    <row r="103" spans="1:17" x14ac:dyDescent="0.2">
      <c r="A103" s="134"/>
      <c r="B103" s="156"/>
      <c r="C103" s="134"/>
      <c r="D103" s="245"/>
      <c r="E103" s="156"/>
      <c r="F103" s="246"/>
      <c r="G103" s="156"/>
      <c r="H103" s="247"/>
      <c r="J103" s="134"/>
      <c r="K103" s="156"/>
      <c r="L103" s="134"/>
      <c r="M103" s="245"/>
      <c r="N103" s="156"/>
      <c r="O103" s="246"/>
      <c r="P103" s="156"/>
      <c r="Q103" s="247"/>
    </row>
    <row r="104" spans="1:17" x14ac:dyDescent="0.2">
      <c r="A104" s="134"/>
      <c r="B104" s="156"/>
      <c r="C104" s="134"/>
      <c r="D104" s="245"/>
      <c r="E104" s="156"/>
      <c r="F104" s="246"/>
      <c r="G104" s="156"/>
      <c r="H104" s="247"/>
      <c r="J104" s="134"/>
      <c r="K104" s="156"/>
      <c r="L104" s="134"/>
      <c r="M104" s="245"/>
      <c r="N104" s="156"/>
      <c r="O104" s="246"/>
      <c r="P104" s="156"/>
      <c r="Q104" s="247"/>
    </row>
    <row r="105" spans="1:17" x14ac:dyDescent="0.2">
      <c r="A105" s="114"/>
      <c r="B105" s="114"/>
      <c r="C105" s="114"/>
      <c r="D105" s="114"/>
      <c r="E105" s="114"/>
      <c r="F105" s="114"/>
      <c r="G105" s="114"/>
      <c r="H105" s="114"/>
      <c r="J105" s="114"/>
      <c r="K105" s="114"/>
      <c r="L105" s="114"/>
      <c r="M105" s="114"/>
      <c r="N105" s="114"/>
      <c r="O105" s="114"/>
      <c r="P105" s="114"/>
      <c r="Q105" s="114"/>
    </row>
    <row r="106" spans="1:17" x14ac:dyDescent="0.2">
      <c r="A106" s="248" t="s">
        <v>345</v>
      </c>
      <c r="B106" s="114"/>
      <c r="C106" s="114"/>
      <c r="D106" s="114"/>
      <c r="E106" s="114"/>
      <c r="F106" s="114"/>
      <c r="G106" s="114"/>
      <c r="H106" s="114"/>
      <c r="J106" s="248" t="s">
        <v>345</v>
      </c>
      <c r="K106" s="114"/>
      <c r="L106" s="114"/>
      <c r="M106" s="114"/>
      <c r="N106" s="114"/>
      <c r="O106" s="114"/>
      <c r="P106" s="114"/>
      <c r="Q106" s="114"/>
    </row>
    <row r="107" spans="1:17" x14ac:dyDescent="0.2">
      <c r="A107" s="248"/>
      <c r="B107" s="114"/>
      <c r="C107" s="114"/>
      <c r="D107" s="114"/>
      <c r="E107" s="114"/>
      <c r="F107" s="114"/>
      <c r="G107" s="114"/>
      <c r="H107" s="114"/>
      <c r="J107" s="248"/>
      <c r="K107" s="114"/>
      <c r="L107" s="114"/>
      <c r="M107" s="114"/>
      <c r="N107" s="114"/>
      <c r="O107" s="114"/>
      <c r="P107" s="114"/>
      <c r="Q107" s="114"/>
    </row>
    <row r="108" spans="1:17" x14ac:dyDescent="0.2">
      <c r="A108" s="248"/>
      <c r="B108" s="114"/>
      <c r="C108" s="114"/>
      <c r="D108" s="114"/>
      <c r="E108" s="114"/>
      <c r="F108" s="114"/>
      <c r="G108" s="114"/>
      <c r="H108" s="114"/>
      <c r="J108" s="248"/>
      <c r="K108" s="114"/>
      <c r="L108" s="114"/>
      <c r="M108" s="114"/>
      <c r="N108" s="114"/>
      <c r="O108" s="114"/>
      <c r="P108" s="114"/>
      <c r="Q108" s="114"/>
    </row>
    <row r="109" spans="1:17" x14ac:dyDescent="0.2">
      <c r="A109" s="248"/>
      <c r="B109" s="114"/>
      <c r="C109" s="114"/>
      <c r="D109" s="114"/>
      <c r="E109" s="114"/>
      <c r="F109" s="114"/>
      <c r="G109" s="114"/>
      <c r="H109" s="114"/>
      <c r="J109" s="248"/>
      <c r="K109" s="114"/>
      <c r="L109" s="114"/>
      <c r="M109" s="114"/>
      <c r="N109" s="114"/>
      <c r="O109" s="114"/>
      <c r="P109" s="114"/>
      <c r="Q109" s="114"/>
    </row>
    <row r="110" spans="1:17" x14ac:dyDescent="0.2">
      <c r="A110" s="114"/>
      <c r="B110" s="114"/>
      <c r="C110" s="114"/>
      <c r="D110" s="114"/>
      <c r="E110" s="114"/>
      <c r="F110" s="114"/>
      <c r="G110" s="114"/>
      <c r="H110" s="114"/>
      <c r="J110" s="114"/>
      <c r="K110" s="114"/>
      <c r="L110" s="114"/>
      <c r="M110" s="114"/>
      <c r="N110" s="114"/>
      <c r="O110" s="114"/>
      <c r="P110" s="114"/>
      <c r="Q110" s="114"/>
    </row>
    <row r="111" spans="1:17" x14ac:dyDescent="0.2">
      <c r="A111" s="217" t="s">
        <v>346</v>
      </c>
      <c r="C111" s="190"/>
      <c r="D111" s="249"/>
      <c r="E111" s="190"/>
      <c r="F111" s="217" t="s">
        <v>347</v>
      </c>
      <c r="G111" s="250"/>
      <c r="H111" s="249"/>
      <c r="J111" s="217" t="s">
        <v>346</v>
      </c>
      <c r="K111" s="117"/>
      <c r="L111" s="190"/>
      <c r="M111" s="249"/>
      <c r="N111" s="190"/>
      <c r="O111" s="217" t="s">
        <v>347</v>
      </c>
      <c r="P111" s="250"/>
      <c r="Q111" s="249"/>
    </row>
    <row r="112" spans="1:17" x14ac:dyDescent="0.2">
      <c r="A112" s="217"/>
      <c r="D112" s="217"/>
      <c r="F112" s="217"/>
      <c r="G112" s="217"/>
      <c r="H112" s="217"/>
      <c r="J112" s="217"/>
      <c r="K112" s="117"/>
      <c r="L112" s="117"/>
      <c r="M112" s="217"/>
      <c r="N112" s="117"/>
      <c r="O112" s="217"/>
      <c r="P112" s="217"/>
      <c r="Q112" s="217"/>
    </row>
    <row r="113" spans="1:17" x14ac:dyDescent="0.2">
      <c r="A113" s="217" t="s">
        <v>348</v>
      </c>
      <c r="C113" s="190"/>
      <c r="D113" s="249"/>
      <c r="E113" s="190"/>
      <c r="F113" s="217" t="s">
        <v>347</v>
      </c>
      <c r="G113" s="249"/>
      <c r="H113" s="249"/>
      <c r="J113" s="217" t="s">
        <v>348</v>
      </c>
      <c r="K113" s="117"/>
      <c r="L113" s="190"/>
      <c r="M113" s="249"/>
      <c r="N113" s="190"/>
      <c r="O113" s="217" t="s">
        <v>347</v>
      </c>
      <c r="P113" s="249"/>
      <c r="Q113" s="249"/>
    </row>
    <row r="114" spans="1:17" x14ac:dyDescent="0.2">
      <c r="J114" s="117"/>
      <c r="K114" s="117"/>
      <c r="L114" s="117"/>
      <c r="M114" s="117"/>
      <c r="N114" s="117"/>
      <c r="O114" s="117"/>
      <c r="P114" s="117"/>
      <c r="Q114" s="117"/>
    </row>
    <row r="115" spans="1:17" x14ac:dyDescent="0.2">
      <c r="J115" s="117"/>
      <c r="K115" s="117"/>
      <c r="L115" s="117"/>
      <c r="M115" s="117"/>
      <c r="N115" s="117"/>
      <c r="O115" s="117"/>
      <c r="P115" s="117"/>
      <c r="Q115" s="117"/>
    </row>
    <row r="116" spans="1:17" x14ac:dyDescent="0.2">
      <c r="J116" s="117"/>
      <c r="K116" s="117"/>
      <c r="L116" s="117"/>
      <c r="M116" s="117"/>
      <c r="N116" s="117"/>
      <c r="O116" s="117"/>
      <c r="P116" s="117"/>
      <c r="Q116" s="117"/>
    </row>
    <row r="117" spans="1:17" x14ac:dyDescent="0.2">
      <c r="J117" s="117"/>
      <c r="K117" s="117"/>
      <c r="L117" s="117"/>
      <c r="M117" s="117"/>
      <c r="N117" s="117"/>
      <c r="O117" s="117"/>
      <c r="P117" s="117"/>
      <c r="Q117" s="117"/>
    </row>
    <row r="118" spans="1:17" x14ac:dyDescent="0.2">
      <c r="J118" s="117"/>
      <c r="K118" s="117"/>
      <c r="L118" s="117"/>
      <c r="M118" s="117"/>
      <c r="N118" s="117"/>
      <c r="O118" s="117"/>
      <c r="P118" s="117"/>
      <c r="Q118" s="117"/>
    </row>
    <row r="119" spans="1:17" x14ac:dyDescent="0.2">
      <c r="J119" s="117"/>
      <c r="K119" s="117"/>
      <c r="L119" s="117"/>
      <c r="M119" s="117"/>
      <c r="N119" s="117"/>
      <c r="O119" s="117"/>
      <c r="P119" s="117"/>
      <c r="Q119" s="117"/>
    </row>
    <row r="120" spans="1:17" x14ac:dyDescent="0.2">
      <c r="J120" s="117"/>
      <c r="K120" s="117"/>
      <c r="L120" s="117"/>
      <c r="M120" s="117"/>
      <c r="N120" s="117"/>
      <c r="O120" s="117"/>
      <c r="P120" s="117"/>
      <c r="Q120" s="117"/>
    </row>
    <row r="121" spans="1:17" x14ac:dyDescent="0.2">
      <c r="J121" s="117"/>
      <c r="K121" s="117"/>
      <c r="L121" s="117"/>
      <c r="M121" s="117"/>
      <c r="N121" s="117"/>
      <c r="O121" s="117"/>
      <c r="P121" s="117"/>
      <c r="Q121" s="117"/>
    </row>
    <row r="122" spans="1:17" x14ac:dyDescent="0.2">
      <c r="J122" s="117"/>
      <c r="K122" s="117"/>
      <c r="L122" s="117"/>
      <c r="M122" s="117"/>
      <c r="N122" s="117"/>
      <c r="O122" s="117"/>
      <c r="P122" s="117"/>
      <c r="Q122" s="117"/>
    </row>
    <row r="123" spans="1:17" x14ac:dyDescent="0.2">
      <c r="J123" s="117"/>
      <c r="K123" s="117"/>
      <c r="L123" s="117"/>
      <c r="M123" s="117"/>
      <c r="N123" s="117"/>
      <c r="O123" s="117"/>
      <c r="P123" s="117"/>
      <c r="Q123" s="117"/>
    </row>
    <row r="124" spans="1:17" x14ac:dyDescent="0.2">
      <c r="J124" s="117"/>
      <c r="K124" s="117"/>
      <c r="L124" s="117"/>
      <c r="M124" s="117"/>
      <c r="N124" s="117"/>
      <c r="O124" s="117"/>
      <c r="P124" s="117"/>
      <c r="Q124" s="117"/>
    </row>
    <row r="125" spans="1:17" x14ac:dyDescent="0.2">
      <c r="J125" s="117"/>
      <c r="K125" s="117"/>
      <c r="L125" s="117"/>
      <c r="M125" s="117"/>
      <c r="N125" s="117"/>
      <c r="O125" s="117"/>
      <c r="P125" s="117"/>
      <c r="Q125" s="117"/>
    </row>
    <row r="126" spans="1:17" x14ac:dyDescent="0.2">
      <c r="J126" s="117"/>
      <c r="K126" s="117"/>
      <c r="L126" s="117"/>
      <c r="M126" s="117"/>
      <c r="N126" s="117"/>
      <c r="O126" s="117"/>
      <c r="P126" s="117"/>
      <c r="Q126" s="117"/>
    </row>
    <row r="127" spans="1:17" x14ac:dyDescent="0.2">
      <c r="J127" s="117"/>
      <c r="K127" s="117"/>
      <c r="L127" s="117"/>
      <c r="M127" s="117"/>
      <c r="N127" s="117"/>
      <c r="O127" s="117"/>
      <c r="P127" s="117"/>
      <c r="Q127" s="117"/>
    </row>
    <row r="128" spans="1:17" x14ac:dyDescent="0.2">
      <c r="J128" s="117"/>
      <c r="K128" s="117"/>
      <c r="L128" s="117"/>
      <c r="M128" s="117"/>
      <c r="N128" s="117"/>
      <c r="O128" s="117"/>
      <c r="P128" s="117"/>
      <c r="Q128" s="117"/>
    </row>
    <row r="129" spans="10:17" x14ac:dyDescent="0.2">
      <c r="J129" s="117"/>
      <c r="K129" s="117"/>
      <c r="L129" s="117"/>
      <c r="M129" s="117"/>
      <c r="N129" s="117"/>
      <c r="O129" s="117"/>
      <c r="P129" s="117"/>
      <c r="Q129" s="117"/>
    </row>
    <row r="130" spans="10:17" x14ac:dyDescent="0.2">
      <c r="J130" s="117"/>
      <c r="K130" s="117"/>
      <c r="L130" s="117"/>
      <c r="M130" s="117"/>
      <c r="N130" s="117"/>
      <c r="O130" s="117"/>
      <c r="P130" s="117"/>
      <c r="Q130" s="117"/>
    </row>
    <row r="131" spans="10:17" x14ac:dyDescent="0.2">
      <c r="J131" s="117"/>
      <c r="K131" s="117"/>
      <c r="L131" s="117"/>
      <c r="M131" s="117"/>
      <c r="N131" s="117"/>
      <c r="O131" s="117"/>
      <c r="P131" s="117"/>
      <c r="Q131" s="117"/>
    </row>
    <row r="132" spans="10:17" x14ac:dyDescent="0.2">
      <c r="J132" s="117"/>
      <c r="K132" s="117"/>
      <c r="L132" s="117"/>
      <c r="M132" s="117"/>
      <c r="N132" s="117"/>
      <c r="O132" s="117"/>
      <c r="P132" s="117"/>
      <c r="Q132" s="117"/>
    </row>
    <row r="133" spans="10:17" x14ac:dyDescent="0.2">
      <c r="J133" s="117"/>
      <c r="K133" s="117"/>
      <c r="L133" s="117"/>
      <c r="M133" s="117"/>
      <c r="N133" s="117"/>
      <c r="O133" s="117"/>
      <c r="P133" s="117"/>
      <c r="Q133" s="117"/>
    </row>
    <row r="134" spans="10:17" x14ac:dyDescent="0.2">
      <c r="J134" s="117"/>
      <c r="K134" s="117"/>
      <c r="L134" s="117"/>
      <c r="M134" s="117"/>
      <c r="N134" s="117"/>
      <c r="O134" s="117"/>
      <c r="P134" s="117"/>
      <c r="Q134" s="117"/>
    </row>
    <row r="135" spans="10:17" x14ac:dyDescent="0.2">
      <c r="J135" s="117"/>
      <c r="K135" s="117"/>
      <c r="L135" s="117"/>
      <c r="M135" s="117"/>
      <c r="N135" s="117"/>
      <c r="O135" s="117"/>
      <c r="P135" s="117"/>
      <c r="Q135" s="117"/>
    </row>
    <row r="136" spans="10:17" x14ac:dyDescent="0.2">
      <c r="J136" s="117"/>
      <c r="K136" s="117"/>
      <c r="L136" s="117"/>
      <c r="M136" s="117"/>
      <c r="N136" s="117"/>
      <c r="O136" s="117"/>
      <c r="P136" s="117"/>
      <c r="Q136" s="117"/>
    </row>
    <row r="137" spans="10:17" x14ac:dyDescent="0.2">
      <c r="J137" s="117"/>
      <c r="K137" s="117"/>
      <c r="L137" s="117"/>
      <c r="M137" s="117"/>
      <c r="N137" s="117"/>
      <c r="O137" s="117"/>
      <c r="P137" s="117"/>
      <c r="Q137" s="117"/>
    </row>
    <row r="138" spans="10:17" x14ac:dyDescent="0.2">
      <c r="J138" s="117"/>
      <c r="K138" s="117"/>
      <c r="L138" s="117"/>
      <c r="M138" s="117"/>
      <c r="N138" s="117"/>
      <c r="O138" s="117"/>
      <c r="P138" s="117"/>
      <c r="Q138" s="117"/>
    </row>
    <row r="139" spans="10:17" x14ac:dyDescent="0.2">
      <c r="J139" s="117"/>
      <c r="K139" s="117"/>
      <c r="L139" s="117"/>
      <c r="M139" s="117"/>
      <c r="N139" s="117"/>
      <c r="O139" s="117"/>
      <c r="P139" s="117"/>
      <c r="Q139" s="117"/>
    </row>
    <row r="140" spans="10:17" x14ac:dyDescent="0.2">
      <c r="J140" s="117"/>
      <c r="K140" s="117"/>
      <c r="L140" s="117"/>
      <c r="M140" s="117"/>
      <c r="N140" s="117"/>
      <c r="O140" s="117"/>
      <c r="P140" s="117"/>
      <c r="Q140" s="117"/>
    </row>
    <row r="141" spans="10:17" x14ac:dyDescent="0.2">
      <c r="J141" s="117"/>
      <c r="K141" s="117"/>
      <c r="L141" s="117"/>
      <c r="M141" s="117"/>
      <c r="N141" s="117"/>
      <c r="O141" s="117"/>
      <c r="P141" s="117"/>
      <c r="Q141" s="117"/>
    </row>
    <row r="142" spans="10:17" x14ac:dyDescent="0.2">
      <c r="J142" s="117"/>
      <c r="K142" s="117"/>
      <c r="L142" s="117"/>
      <c r="M142" s="117"/>
      <c r="N142" s="117"/>
      <c r="O142" s="117"/>
      <c r="P142" s="117"/>
      <c r="Q142" s="117"/>
    </row>
    <row r="143" spans="10:17" x14ac:dyDescent="0.2">
      <c r="J143" s="117"/>
      <c r="K143" s="117"/>
      <c r="L143" s="117"/>
      <c r="M143" s="117"/>
      <c r="N143" s="117"/>
      <c r="O143" s="117"/>
      <c r="P143" s="117"/>
      <c r="Q143" s="117"/>
    </row>
    <row r="144" spans="10:17" x14ac:dyDescent="0.2">
      <c r="J144" s="117"/>
      <c r="K144" s="117"/>
      <c r="L144" s="117"/>
      <c r="M144" s="117"/>
      <c r="N144" s="117"/>
      <c r="O144" s="117"/>
      <c r="P144" s="117"/>
      <c r="Q144" s="117"/>
    </row>
    <row r="145" spans="10:17" x14ac:dyDescent="0.2">
      <c r="J145" s="117"/>
      <c r="K145" s="117"/>
      <c r="L145" s="117"/>
      <c r="M145" s="117"/>
      <c r="N145" s="117"/>
      <c r="O145" s="117"/>
      <c r="P145" s="117"/>
      <c r="Q145" s="117"/>
    </row>
    <row r="146" spans="10:17" x14ac:dyDescent="0.2">
      <c r="J146" s="117"/>
      <c r="K146" s="117"/>
      <c r="L146" s="117"/>
      <c r="M146" s="117"/>
      <c r="N146" s="117"/>
      <c r="O146" s="117"/>
      <c r="P146" s="117"/>
      <c r="Q146" s="117"/>
    </row>
    <row r="147" spans="10:17" x14ac:dyDescent="0.2">
      <c r="J147" s="117"/>
      <c r="K147" s="117"/>
      <c r="L147" s="117"/>
      <c r="M147" s="117"/>
      <c r="N147" s="117"/>
      <c r="O147" s="117"/>
      <c r="P147" s="117"/>
      <c r="Q147" s="117"/>
    </row>
    <row r="148" spans="10:17" x14ac:dyDescent="0.2">
      <c r="J148" s="117"/>
      <c r="K148" s="117"/>
      <c r="L148" s="117"/>
      <c r="M148" s="117"/>
      <c r="N148" s="117"/>
      <c r="O148" s="117"/>
      <c r="P148" s="117"/>
      <c r="Q148" s="117"/>
    </row>
    <row r="149" spans="10:17" x14ac:dyDescent="0.2">
      <c r="J149" s="117"/>
      <c r="K149" s="117"/>
      <c r="L149" s="117"/>
      <c r="M149" s="117"/>
      <c r="N149" s="117"/>
      <c r="O149" s="117"/>
      <c r="P149" s="117"/>
      <c r="Q149" s="117"/>
    </row>
    <row r="150" spans="10:17" x14ac:dyDescent="0.2">
      <c r="J150" s="117"/>
      <c r="K150" s="117"/>
      <c r="L150" s="117"/>
      <c r="M150" s="117"/>
      <c r="N150" s="117"/>
      <c r="O150" s="117"/>
      <c r="P150" s="117"/>
      <c r="Q150" s="117"/>
    </row>
    <row r="151" spans="10:17" x14ac:dyDescent="0.2">
      <c r="J151" s="117"/>
      <c r="K151" s="117"/>
      <c r="L151" s="117"/>
      <c r="M151" s="117"/>
      <c r="N151" s="117"/>
      <c r="O151" s="117"/>
      <c r="P151" s="117"/>
      <c r="Q151" s="117"/>
    </row>
    <row r="152" spans="10:17" x14ac:dyDescent="0.2">
      <c r="J152" s="117"/>
      <c r="K152" s="117"/>
      <c r="L152" s="117"/>
      <c r="M152" s="117"/>
      <c r="N152" s="117"/>
      <c r="O152" s="117"/>
      <c r="P152" s="117"/>
      <c r="Q152" s="117"/>
    </row>
    <row r="153" spans="10:17" x14ac:dyDescent="0.2">
      <c r="J153" s="117"/>
      <c r="K153" s="117"/>
      <c r="L153" s="117"/>
      <c r="M153" s="117"/>
      <c r="N153" s="117"/>
      <c r="O153" s="117"/>
      <c r="P153" s="117"/>
      <c r="Q153" s="117"/>
    </row>
    <row r="154" spans="10:17" x14ac:dyDescent="0.2">
      <c r="J154" s="117"/>
      <c r="K154" s="117"/>
      <c r="L154" s="117"/>
      <c r="M154" s="117"/>
      <c r="N154" s="117"/>
      <c r="O154" s="117"/>
      <c r="P154" s="117"/>
      <c r="Q154" s="117"/>
    </row>
    <row r="155" spans="10:17" x14ac:dyDescent="0.2">
      <c r="J155" s="117"/>
      <c r="K155" s="117"/>
      <c r="L155" s="117"/>
      <c r="M155" s="117"/>
      <c r="N155" s="117"/>
      <c r="O155" s="117"/>
      <c r="P155" s="117"/>
      <c r="Q155" s="117"/>
    </row>
    <row r="156" spans="10:17" x14ac:dyDescent="0.2">
      <c r="J156" s="117"/>
      <c r="K156" s="117"/>
      <c r="L156" s="117"/>
      <c r="M156" s="117"/>
      <c r="N156" s="117"/>
      <c r="O156" s="117"/>
      <c r="P156" s="117"/>
      <c r="Q156" s="117"/>
    </row>
    <row r="157" spans="10:17" x14ac:dyDescent="0.2">
      <c r="J157" s="117"/>
      <c r="K157" s="117"/>
      <c r="L157" s="117"/>
      <c r="M157" s="117"/>
      <c r="N157" s="117"/>
      <c r="O157" s="117"/>
      <c r="P157" s="117"/>
      <c r="Q157" s="117"/>
    </row>
    <row r="158" spans="10:17" x14ac:dyDescent="0.2">
      <c r="J158" s="117"/>
      <c r="K158" s="117"/>
      <c r="L158" s="117"/>
      <c r="M158" s="117"/>
      <c r="N158" s="117"/>
      <c r="O158" s="117"/>
      <c r="P158" s="117"/>
      <c r="Q158" s="117"/>
    </row>
    <row r="159" spans="10:17" x14ac:dyDescent="0.2">
      <c r="J159" s="117"/>
      <c r="K159" s="117"/>
      <c r="L159" s="117"/>
      <c r="M159" s="117"/>
      <c r="N159" s="117"/>
      <c r="O159" s="117"/>
      <c r="P159" s="117"/>
      <c r="Q159" s="117"/>
    </row>
    <row r="160" spans="10:17" x14ac:dyDescent="0.2">
      <c r="J160" s="117"/>
      <c r="K160" s="117"/>
      <c r="L160" s="117"/>
      <c r="M160" s="117"/>
      <c r="N160" s="117"/>
      <c r="O160" s="117"/>
      <c r="P160" s="117"/>
      <c r="Q160" s="117"/>
    </row>
    <row r="161" spans="10:17" x14ac:dyDescent="0.2">
      <c r="J161" s="117"/>
      <c r="K161" s="117"/>
      <c r="L161" s="117"/>
      <c r="M161" s="117"/>
      <c r="N161" s="117"/>
      <c r="O161" s="117"/>
      <c r="P161" s="117"/>
      <c r="Q161" s="117"/>
    </row>
    <row r="162" spans="10:17" x14ac:dyDescent="0.2">
      <c r="J162" s="117"/>
      <c r="K162" s="117"/>
      <c r="L162" s="117"/>
      <c r="M162" s="117"/>
      <c r="N162" s="117"/>
      <c r="O162" s="117"/>
      <c r="P162" s="117"/>
      <c r="Q162" s="117"/>
    </row>
    <row r="163" spans="10:17" x14ac:dyDescent="0.2">
      <c r="J163" s="117"/>
      <c r="K163" s="117"/>
      <c r="L163" s="117"/>
      <c r="M163" s="117"/>
      <c r="N163" s="117"/>
      <c r="O163" s="117"/>
      <c r="P163" s="117"/>
      <c r="Q163" s="117"/>
    </row>
    <row r="164" spans="10:17" x14ac:dyDescent="0.2">
      <c r="J164" s="117"/>
      <c r="K164" s="117"/>
      <c r="L164" s="117"/>
      <c r="M164" s="117"/>
      <c r="N164" s="117"/>
      <c r="O164" s="117"/>
      <c r="P164" s="117"/>
      <c r="Q164" s="117"/>
    </row>
    <row r="165" spans="10:17" x14ac:dyDescent="0.2">
      <c r="J165" s="117"/>
      <c r="K165" s="117"/>
      <c r="L165" s="117"/>
      <c r="M165" s="117"/>
      <c r="N165" s="117"/>
      <c r="O165" s="117"/>
      <c r="P165" s="117"/>
      <c r="Q165" s="117"/>
    </row>
  </sheetData>
  <mergeCells count="2">
    <mergeCell ref="A14:H14"/>
    <mergeCell ref="J14:Q14"/>
  </mergeCells>
  <conditionalFormatting sqref="B5:C12">
    <cfRule type="cellIs" dxfId="5" priority="6" stopIfTrue="1" operator="equal">
      <formula>0</formula>
    </cfRule>
  </conditionalFormatting>
  <conditionalFormatting sqref="G6">
    <cfRule type="cellIs" dxfId="4" priority="5" stopIfTrue="1" operator="equal">
      <formula>0</formula>
    </cfRule>
  </conditionalFormatting>
  <conditionalFormatting sqref="G8">
    <cfRule type="cellIs" dxfId="3" priority="4" stopIfTrue="1" operator="equal">
      <formula>0</formula>
    </cfRule>
  </conditionalFormatting>
  <conditionalFormatting sqref="K5:L12">
    <cfRule type="cellIs" dxfId="2" priority="3" stopIfTrue="1" operator="equal">
      <formula>0</formula>
    </cfRule>
  </conditionalFormatting>
  <conditionalFormatting sqref="P6">
    <cfRule type="cellIs" dxfId="1" priority="2" stopIfTrue="1" operator="equal">
      <formula>0</formula>
    </cfRule>
  </conditionalFormatting>
  <conditionalFormatting sqref="P8">
    <cfRule type="cellIs" dxfId="0" priority="1" stopIfTrue="1" operator="equal">
      <formula>0</formula>
    </cfRule>
  </conditionalFormatting>
  <dataValidations count="1">
    <dataValidation allowBlank="1" showErrorMessage="1" sqref="D8 M8" xr:uid="{B3FA49F9-83A0-EC4C-AE58-373A37861D37}"/>
  </dataValidations>
  <hyperlinks>
    <hyperlink ref="B11" r:id="rId1" xr:uid="{7BCC9CD7-7310-774C-B1CB-44B59A34028D}"/>
    <hyperlink ref="K11" r:id="rId2" xr:uid="{598F8A75-E133-D248-9E5E-D6D2297DDB9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88636-B283-604A-A974-BA4E2A8260D3}">
  <dimension ref="A1:W100"/>
  <sheetViews>
    <sheetView topLeftCell="A11" zoomScale="90" zoomScaleNormal="130" workbookViewId="0">
      <selection activeCell="F23" sqref="F23"/>
    </sheetView>
  </sheetViews>
  <sheetFormatPr baseColWidth="10" defaultColWidth="10.83203125" defaultRowHeight="15" x14ac:dyDescent="0.2"/>
  <cols>
    <col min="1" max="1" width="3.1640625" bestFit="1" customWidth="1"/>
    <col min="2" max="2" width="20" style="1" bestFit="1" customWidth="1"/>
    <col min="3" max="3" width="14.33203125" style="1" bestFit="1" customWidth="1"/>
    <col min="4" max="4" width="15.33203125" bestFit="1" customWidth="1"/>
    <col min="5" max="5" width="13.6640625" bestFit="1" customWidth="1"/>
    <col min="6" max="6" width="9.5" customWidth="1"/>
    <col min="7" max="7" width="13.83203125" bestFit="1" customWidth="1"/>
    <col min="8" max="8" width="11.1640625" bestFit="1" customWidth="1"/>
    <col min="9" max="9" width="12.1640625" bestFit="1" customWidth="1"/>
    <col min="10" max="10" width="14.6640625" bestFit="1" customWidth="1"/>
    <col min="11" max="11" width="18.6640625" bestFit="1" customWidth="1"/>
    <col min="12" max="12" width="10.6640625" bestFit="1" customWidth="1"/>
    <col min="13" max="15" width="11.1640625" bestFit="1" customWidth="1"/>
    <col min="16" max="16" width="11.83203125" bestFit="1" customWidth="1"/>
    <col min="17" max="17" width="11.1640625" bestFit="1" customWidth="1"/>
    <col min="18" max="18" width="11.5" bestFit="1" customWidth="1"/>
    <col min="19" max="19" width="11.33203125" bestFit="1" customWidth="1"/>
    <col min="20" max="23" width="11.1640625" bestFit="1" customWidth="1"/>
  </cols>
  <sheetData>
    <row r="1" spans="1:23" ht="19" x14ac:dyDescent="0.25">
      <c r="B1" s="312" t="s">
        <v>145</v>
      </c>
      <c r="C1" s="312"/>
      <c r="D1" s="312"/>
      <c r="E1" s="312"/>
      <c r="F1" s="312"/>
      <c r="G1" s="312"/>
      <c r="H1" s="312"/>
      <c r="K1" s="1"/>
      <c r="L1" s="1"/>
      <c r="M1" s="1"/>
      <c r="N1" s="1"/>
      <c r="O1" s="1"/>
      <c r="P1" s="1"/>
      <c r="Q1" s="1"/>
      <c r="R1" s="1"/>
      <c r="S1" s="1"/>
      <c r="T1" s="1"/>
      <c r="U1" s="1"/>
      <c r="V1" s="1"/>
      <c r="W1" s="1"/>
    </row>
    <row r="2" spans="1:23" ht="19" x14ac:dyDescent="0.25">
      <c r="B2" s="313" t="s">
        <v>404</v>
      </c>
      <c r="C2" s="313"/>
      <c r="D2" s="313"/>
      <c r="E2" s="6"/>
      <c r="F2" s="313" t="s">
        <v>212</v>
      </c>
      <c r="G2" s="313"/>
      <c r="H2" s="313"/>
      <c r="K2" s="1"/>
      <c r="L2" s="1"/>
      <c r="M2" s="1"/>
      <c r="N2" s="1"/>
      <c r="O2" s="1"/>
      <c r="P2" s="1"/>
      <c r="Q2" s="1"/>
      <c r="R2" s="1"/>
      <c r="S2" s="1"/>
      <c r="T2" s="1"/>
      <c r="U2" s="1"/>
      <c r="V2" s="1"/>
      <c r="W2" s="1"/>
    </row>
    <row r="3" spans="1:23" ht="19" x14ac:dyDescent="0.25">
      <c r="B3" s="262"/>
      <c r="C3" s="262"/>
      <c r="D3" s="262" t="s">
        <v>122</v>
      </c>
      <c r="E3" s="262" t="s">
        <v>123</v>
      </c>
      <c r="H3" t="s">
        <v>149</v>
      </c>
      <c r="I3" t="s">
        <v>9</v>
      </c>
      <c r="K3" s="313" t="s">
        <v>405</v>
      </c>
      <c r="L3" s="313"/>
      <c r="M3" s="313"/>
      <c r="N3" s="313"/>
      <c r="O3" s="313"/>
      <c r="P3" s="313"/>
      <c r="Q3" s="313"/>
      <c r="R3" s="313"/>
      <c r="S3" s="313"/>
      <c r="T3" s="313"/>
      <c r="U3" s="313"/>
      <c r="V3" s="313"/>
      <c r="W3" s="313"/>
    </row>
    <row r="4" spans="1:23" x14ac:dyDescent="0.2">
      <c r="A4" s="59">
        <v>1</v>
      </c>
      <c r="B4" t="s">
        <v>136</v>
      </c>
      <c r="C4" t="s">
        <v>422</v>
      </c>
      <c r="D4" s="10">
        <v>1700</v>
      </c>
      <c r="E4" s="1">
        <v>1700</v>
      </c>
      <c r="G4" t="s">
        <v>141</v>
      </c>
      <c r="H4" s="1"/>
      <c r="I4" s="1">
        <v>144500</v>
      </c>
      <c r="K4" s="269"/>
      <c r="L4" s="270">
        <v>45778</v>
      </c>
      <c r="M4" s="270">
        <v>45809</v>
      </c>
      <c r="N4" s="270">
        <v>45839</v>
      </c>
      <c r="O4" s="270">
        <v>45870</v>
      </c>
      <c r="P4" s="270">
        <v>45901</v>
      </c>
      <c r="Q4" s="270">
        <v>45931</v>
      </c>
      <c r="R4" s="270">
        <v>45962</v>
      </c>
      <c r="S4" s="270">
        <v>45992</v>
      </c>
      <c r="T4" s="270">
        <v>46023</v>
      </c>
      <c r="U4" s="270">
        <v>46054</v>
      </c>
      <c r="V4" s="270">
        <v>46082</v>
      </c>
      <c r="W4" s="270">
        <v>46113</v>
      </c>
    </row>
    <row r="5" spans="1:23" ht="19" x14ac:dyDescent="0.25">
      <c r="A5" s="59">
        <v>2</v>
      </c>
      <c r="B5" t="s">
        <v>136</v>
      </c>
      <c r="C5" t="s">
        <v>423</v>
      </c>
      <c r="D5" s="10">
        <v>1650</v>
      </c>
      <c r="E5" s="1">
        <v>1650</v>
      </c>
      <c r="G5" t="s">
        <v>142</v>
      </c>
      <c r="H5" s="1"/>
      <c r="I5" s="1">
        <v>16000</v>
      </c>
      <c r="K5" s="271" t="s">
        <v>131</v>
      </c>
      <c r="L5" s="1"/>
      <c r="M5" s="1"/>
      <c r="N5" s="1"/>
      <c r="O5" s="1"/>
      <c r="P5" s="1"/>
      <c r="Q5" s="1"/>
      <c r="R5" s="1"/>
      <c r="S5" s="1"/>
      <c r="T5" s="1"/>
      <c r="U5" s="1"/>
      <c r="V5" s="1"/>
      <c r="W5" s="1"/>
    </row>
    <row r="6" spans="1:23" x14ac:dyDescent="0.2">
      <c r="A6" s="59">
        <v>3</v>
      </c>
      <c r="B6" t="s">
        <v>136</v>
      </c>
      <c r="C6" t="s">
        <v>406</v>
      </c>
      <c r="D6" s="1">
        <v>1550</v>
      </c>
      <c r="E6" s="1">
        <v>1550</v>
      </c>
      <c r="H6" s="1" t="s">
        <v>9</v>
      </c>
      <c r="I6" s="1">
        <f>SUM(I4:I5)</f>
        <v>160500</v>
      </c>
      <c r="K6" t="s">
        <v>92</v>
      </c>
      <c r="L6" s="1">
        <f>D7+D8+D10</f>
        <v>3200</v>
      </c>
      <c r="M6" s="1">
        <f>1700*9</f>
        <v>15300</v>
      </c>
      <c r="N6" s="1">
        <v>16950</v>
      </c>
      <c r="O6" s="1">
        <v>16950</v>
      </c>
      <c r="P6" s="1">
        <v>16950</v>
      </c>
      <c r="Q6" s="1">
        <v>16950</v>
      </c>
      <c r="R6" s="1">
        <v>16950</v>
      </c>
      <c r="S6" s="1">
        <v>16950</v>
      </c>
      <c r="T6" s="1">
        <v>16950</v>
      </c>
      <c r="U6" s="1">
        <v>16950</v>
      </c>
      <c r="V6" s="1">
        <v>16950</v>
      </c>
      <c r="W6" s="272">
        <v>16950</v>
      </c>
    </row>
    <row r="7" spans="1:23" x14ac:dyDescent="0.2">
      <c r="A7" s="59">
        <v>4</v>
      </c>
      <c r="B7" t="s">
        <v>136</v>
      </c>
      <c r="C7" s="267" t="s">
        <v>182</v>
      </c>
      <c r="D7" s="268">
        <v>0</v>
      </c>
      <c r="E7" s="1">
        <v>1750</v>
      </c>
      <c r="H7" s="1"/>
      <c r="I7" s="1"/>
      <c r="K7" t="s">
        <v>408</v>
      </c>
      <c r="L7" s="1">
        <v>0</v>
      </c>
      <c r="M7" s="1">
        <v>0</v>
      </c>
      <c r="N7" s="1">
        <v>0</v>
      </c>
      <c r="O7" s="1">
        <v>0</v>
      </c>
      <c r="P7" s="1">
        <v>0</v>
      </c>
      <c r="Q7" s="1">
        <v>0</v>
      </c>
      <c r="R7" s="1">
        <v>0</v>
      </c>
      <c r="S7" s="1">
        <v>0</v>
      </c>
      <c r="T7" s="1">
        <v>0</v>
      </c>
      <c r="U7" s="1">
        <v>0</v>
      </c>
      <c r="V7" s="1">
        <v>0</v>
      </c>
      <c r="W7" s="272">
        <v>0</v>
      </c>
    </row>
    <row r="8" spans="1:23" x14ac:dyDescent="0.2">
      <c r="A8" s="59">
        <v>5</v>
      </c>
      <c r="B8" t="s">
        <v>136</v>
      </c>
      <c r="C8" t="s">
        <v>409</v>
      </c>
      <c r="D8" s="1">
        <v>1700</v>
      </c>
      <c r="E8" s="1">
        <v>1700</v>
      </c>
      <c r="G8" t="s">
        <v>150</v>
      </c>
      <c r="H8" s="1">
        <v>1000</v>
      </c>
      <c r="I8" s="1">
        <f>H8*10</f>
        <v>10000</v>
      </c>
      <c r="K8" t="s">
        <v>410</v>
      </c>
      <c r="L8" s="1">
        <v>0</v>
      </c>
      <c r="M8" s="1">
        <v>0</v>
      </c>
      <c r="N8" s="1">
        <v>0</v>
      </c>
      <c r="O8" s="1">
        <v>0</v>
      </c>
      <c r="P8" s="1">
        <v>0</v>
      </c>
      <c r="Q8" s="1">
        <v>0</v>
      </c>
      <c r="R8" s="1">
        <v>0</v>
      </c>
      <c r="S8" s="1">
        <v>0</v>
      </c>
      <c r="T8" s="1">
        <v>0</v>
      </c>
      <c r="U8" s="1">
        <v>0</v>
      </c>
      <c r="V8" s="1">
        <v>0</v>
      </c>
      <c r="W8" s="272">
        <v>0</v>
      </c>
    </row>
    <row r="9" spans="1:23" ht="16" thickBot="1" x14ac:dyDescent="0.25">
      <c r="A9" s="59">
        <v>6</v>
      </c>
      <c r="B9" t="s">
        <v>136</v>
      </c>
      <c r="C9" t="s">
        <v>407</v>
      </c>
      <c r="D9" s="1">
        <v>1800</v>
      </c>
      <c r="E9" s="1">
        <v>1800</v>
      </c>
      <c r="G9" t="s">
        <v>148</v>
      </c>
      <c r="H9" s="1">
        <v>2000</v>
      </c>
      <c r="I9" s="1">
        <f>H9*10</f>
        <v>20000</v>
      </c>
      <c r="K9" t="s">
        <v>411</v>
      </c>
      <c r="L9" s="52">
        <v>0</v>
      </c>
      <c r="M9" s="52">
        <v>0</v>
      </c>
      <c r="N9" s="52">
        <v>0</v>
      </c>
      <c r="O9" s="52">
        <v>0</v>
      </c>
      <c r="P9" s="52">
        <v>0</v>
      </c>
      <c r="Q9" s="52">
        <v>0</v>
      </c>
      <c r="R9" s="52">
        <v>0</v>
      </c>
      <c r="S9" s="52">
        <v>0</v>
      </c>
      <c r="T9" s="52">
        <v>0</v>
      </c>
      <c r="U9" s="52">
        <v>0</v>
      </c>
      <c r="V9" s="52">
        <v>0</v>
      </c>
      <c r="W9" s="273">
        <v>0</v>
      </c>
    </row>
    <row r="10" spans="1:23" x14ac:dyDescent="0.2">
      <c r="A10" s="59">
        <v>7</v>
      </c>
      <c r="B10" t="s">
        <v>136</v>
      </c>
      <c r="C10" t="s">
        <v>412</v>
      </c>
      <c r="D10" s="1">
        <v>1500</v>
      </c>
      <c r="E10" s="1">
        <v>1500</v>
      </c>
      <c r="G10" t="s">
        <v>151</v>
      </c>
      <c r="H10" s="1">
        <v>12644</v>
      </c>
      <c r="I10" s="1">
        <v>15000</v>
      </c>
      <c r="K10" t="s">
        <v>9</v>
      </c>
      <c r="L10" s="1">
        <f>SUM(L6+L9)</f>
        <v>3200</v>
      </c>
      <c r="M10" s="1">
        <f t="shared" ref="M10:W10" si="0">SUM(M6+M9)</f>
        <v>15300</v>
      </c>
      <c r="N10" s="1">
        <f t="shared" si="0"/>
        <v>16950</v>
      </c>
      <c r="O10" s="1">
        <f t="shared" si="0"/>
        <v>16950</v>
      </c>
      <c r="P10" s="1">
        <f t="shared" si="0"/>
        <v>16950</v>
      </c>
      <c r="Q10" s="1">
        <f t="shared" si="0"/>
        <v>16950</v>
      </c>
      <c r="R10" s="1">
        <f t="shared" si="0"/>
        <v>16950</v>
      </c>
      <c r="S10" s="1">
        <f t="shared" si="0"/>
        <v>16950</v>
      </c>
      <c r="T10" s="1">
        <f t="shared" si="0"/>
        <v>16950</v>
      </c>
      <c r="U10" s="1">
        <f t="shared" si="0"/>
        <v>16950</v>
      </c>
      <c r="V10" s="1">
        <f t="shared" si="0"/>
        <v>16950</v>
      </c>
      <c r="W10" s="272">
        <f t="shared" si="0"/>
        <v>16950</v>
      </c>
    </row>
    <row r="11" spans="1:23" x14ac:dyDescent="0.2">
      <c r="A11" s="59">
        <v>8</v>
      </c>
      <c r="B11" t="s">
        <v>136</v>
      </c>
      <c r="C11" s="267" t="s">
        <v>182</v>
      </c>
      <c r="D11" s="268">
        <v>0</v>
      </c>
      <c r="E11" s="1">
        <v>1750</v>
      </c>
      <c r="G11" t="s">
        <v>152</v>
      </c>
      <c r="H11" s="1">
        <v>1000</v>
      </c>
      <c r="I11" s="1">
        <v>10000</v>
      </c>
      <c r="L11" s="1"/>
      <c r="M11" s="1"/>
      <c r="N11" s="1"/>
      <c r="O11" s="1"/>
      <c r="P11" s="1"/>
      <c r="Q11" s="1"/>
      <c r="R11" s="1"/>
      <c r="S11" s="1"/>
      <c r="T11" s="1"/>
      <c r="U11" s="1"/>
      <c r="V11" s="1"/>
      <c r="W11" s="1"/>
    </row>
    <row r="12" spans="1:23" ht="19" x14ac:dyDescent="0.25">
      <c r="A12" s="59">
        <v>9</v>
      </c>
      <c r="B12" t="s">
        <v>136</v>
      </c>
      <c r="C12" t="s">
        <v>417</v>
      </c>
      <c r="D12" s="1">
        <v>1650</v>
      </c>
      <c r="E12" s="1">
        <v>1650</v>
      </c>
      <c r="G12" t="s">
        <v>153</v>
      </c>
      <c r="H12" s="1">
        <v>2500</v>
      </c>
      <c r="I12" s="1">
        <v>7500</v>
      </c>
      <c r="K12" s="6" t="s">
        <v>85</v>
      </c>
      <c r="L12" s="1"/>
      <c r="M12" s="1"/>
      <c r="N12" s="1"/>
      <c r="O12" s="1"/>
      <c r="P12" s="1"/>
      <c r="Q12" s="1"/>
      <c r="R12" s="1"/>
      <c r="S12" s="1"/>
      <c r="T12" s="1"/>
      <c r="U12" s="1"/>
      <c r="V12" s="1"/>
      <c r="W12" s="1"/>
    </row>
    <row r="13" spans="1:23" x14ac:dyDescent="0.2">
      <c r="A13" s="59">
        <v>10</v>
      </c>
      <c r="B13" t="s">
        <v>136</v>
      </c>
      <c r="C13" s="267" t="s">
        <v>182</v>
      </c>
      <c r="D13" s="268">
        <v>0</v>
      </c>
      <c r="E13" s="1">
        <v>1750</v>
      </c>
      <c r="G13" t="s">
        <v>154</v>
      </c>
      <c r="H13" s="1">
        <v>1300</v>
      </c>
      <c r="I13" s="1">
        <f t="shared" ref="I13:I27" si="1">H13*10</f>
        <v>13000</v>
      </c>
      <c r="K13" t="s">
        <v>84</v>
      </c>
      <c r="L13" s="1">
        <f t="shared" ref="L13:W13" si="2">$E$22/12</f>
        <v>1183.3333333333333</v>
      </c>
      <c r="M13" s="1">
        <f t="shared" si="2"/>
        <v>1183.3333333333333</v>
      </c>
      <c r="N13" s="1">
        <f t="shared" si="2"/>
        <v>1183.3333333333333</v>
      </c>
      <c r="O13" s="1">
        <f t="shared" si="2"/>
        <v>1183.3333333333333</v>
      </c>
      <c r="P13" s="1">
        <f t="shared" si="2"/>
        <v>1183.3333333333333</v>
      </c>
      <c r="Q13" s="1">
        <f t="shared" si="2"/>
        <v>1183.3333333333333</v>
      </c>
      <c r="R13" s="1">
        <f t="shared" si="2"/>
        <v>1183.3333333333333</v>
      </c>
      <c r="S13" s="1">
        <f t="shared" si="2"/>
        <v>1183.3333333333333</v>
      </c>
      <c r="T13" s="1">
        <f t="shared" si="2"/>
        <v>1183.3333333333333</v>
      </c>
      <c r="U13" s="1">
        <f t="shared" si="2"/>
        <v>1183.3333333333333</v>
      </c>
      <c r="V13" s="1">
        <f t="shared" si="2"/>
        <v>1183.3333333333333</v>
      </c>
      <c r="W13" s="1">
        <f t="shared" si="2"/>
        <v>1183.3333333333333</v>
      </c>
    </row>
    <row r="14" spans="1:23" x14ac:dyDescent="0.2">
      <c r="B14"/>
      <c r="C14"/>
      <c r="D14" s="1">
        <f>SUM(D4:D13)</f>
        <v>11550</v>
      </c>
      <c r="E14" s="1">
        <f>SUM(E4:E13)</f>
        <v>16800</v>
      </c>
      <c r="G14" t="s">
        <v>155</v>
      </c>
      <c r="H14" s="1">
        <v>3500</v>
      </c>
      <c r="I14" s="1">
        <f t="shared" si="1"/>
        <v>35000</v>
      </c>
      <c r="K14" t="s">
        <v>83</v>
      </c>
      <c r="L14" s="1">
        <f t="shared" ref="L14:W14" si="3">$E$20/12</f>
        <v>1250</v>
      </c>
      <c r="M14" s="1">
        <f t="shared" si="3"/>
        <v>1250</v>
      </c>
      <c r="N14" s="1">
        <f t="shared" si="3"/>
        <v>1250</v>
      </c>
      <c r="O14" s="1">
        <f t="shared" si="3"/>
        <v>1250</v>
      </c>
      <c r="P14" s="1">
        <f t="shared" si="3"/>
        <v>1250</v>
      </c>
      <c r="Q14" s="1">
        <f t="shared" si="3"/>
        <v>1250</v>
      </c>
      <c r="R14" s="1">
        <f t="shared" si="3"/>
        <v>1250</v>
      </c>
      <c r="S14" s="1">
        <f t="shared" si="3"/>
        <v>1250</v>
      </c>
      <c r="T14" s="1">
        <f t="shared" si="3"/>
        <v>1250</v>
      </c>
      <c r="U14" s="1">
        <f t="shared" si="3"/>
        <v>1250</v>
      </c>
      <c r="V14" s="1">
        <f t="shared" si="3"/>
        <v>1250</v>
      </c>
      <c r="W14" s="1">
        <f t="shared" si="3"/>
        <v>1250</v>
      </c>
    </row>
    <row r="15" spans="1:23" x14ac:dyDescent="0.2">
      <c r="B15" t="s">
        <v>140</v>
      </c>
      <c r="C15"/>
      <c r="D15" s="1">
        <f>D14*12</f>
        <v>138600</v>
      </c>
      <c r="E15" s="1">
        <f>E14*12</f>
        <v>201600</v>
      </c>
      <c r="G15" t="s">
        <v>156</v>
      </c>
      <c r="H15" s="1">
        <v>800</v>
      </c>
      <c r="I15" s="1">
        <f t="shared" si="1"/>
        <v>8000</v>
      </c>
      <c r="K15" t="s">
        <v>383</v>
      </c>
      <c r="L15" s="1">
        <v>500</v>
      </c>
      <c r="M15" s="1">
        <v>501</v>
      </c>
      <c r="N15" s="1">
        <v>502</v>
      </c>
      <c r="O15" s="1">
        <v>503</v>
      </c>
      <c r="P15" s="1">
        <v>504</v>
      </c>
      <c r="Q15" s="1">
        <v>505</v>
      </c>
      <c r="R15" s="1">
        <v>506</v>
      </c>
      <c r="S15" s="1">
        <v>507</v>
      </c>
      <c r="T15" s="1">
        <v>508</v>
      </c>
      <c r="U15" s="1">
        <v>509</v>
      </c>
      <c r="V15" s="1">
        <v>510</v>
      </c>
      <c r="W15" s="1">
        <v>511</v>
      </c>
    </row>
    <row r="16" spans="1:23" ht="16" x14ac:dyDescent="0.2">
      <c r="B16" s="9" t="s">
        <v>85</v>
      </c>
      <c r="C16" s="9"/>
      <c r="D16" s="1"/>
      <c r="E16" s="1"/>
      <c r="G16" t="s">
        <v>157</v>
      </c>
      <c r="H16" s="1">
        <v>350</v>
      </c>
      <c r="I16" s="1">
        <f t="shared" si="1"/>
        <v>3500</v>
      </c>
      <c r="K16" t="s">
        <v>139</v>
      </c>
      <c r="L16" s="1">
        <f>L6*0.05</f>
        <v>160</v>
      </c>
      <c r="M16" s="1">
        <f t="shared" ref="M16:W16" si="4">M6*0.05</f>
        <v>765</v>
      </c>
      <c r="N16" s="1">
        <f t="shared" si="4"/>
        <v>847.5</v>
      </c>
      <c r="O16" s="1">
        <f t="shared" si="4"/>
        <v>847.5</v>
      </c>
      <c r="P16" s="1">
        <f t="shared" si="4"/>
        <v>847.5</v>
      </c>
      <c r="Q16" s="1">
        <f t="shared" si="4"/>
        <v>847.5</v>
      </c>
      <c r="R16" s="1">
        <f t="shared" si="4"/>
        <v>847.5</v>
      </c>
      <c r="S16" s="1">
        <f t="shared" si="4"/>
        <v>847.5</v>
      </c>
      <c r="T16" s="1">
        <f t="shared" si="4"/>
        <v>847.5</v>
      </c>
      <c r="U16" s="1">
        <f t="shared" si="4"/>
        <v>847.5</v>
      </c>
      <c r="V16" s="1">
        <f t="shared" si="4"/>
        <v>847.5</v>
      </c>
      <c r="W16" s="1">
        <f t="shared" si="4"/>
        <v>847.5</v>
      </c>
    </row>
    <row r="17" spans="2:23" x14ac:dyDescent="0.2">
      <c r="B17" t="s">
        <v>138</v>
      </c>
      <c r="C17"/>
      <c r="D17" s="1"/>
      <c r="E17" s="1">
        <f>E15*0.05</f>
        <v>10080</v>
      </c>
      <c r="G17" t="s">
        <v>161</v>
      </c>
      <c r="H17" s="1">
        <v>600</v>
      </c>
      <c r="I17" s="1">
        <f t="shared" si="1"/>
        <v>6000</v>
      </c>
      <c r="K17" t="s">
        <v>414</v>
      </c>
      <c r="L17" s="1">
        <v>500</v>
      </c>
      <c r="M17" s="1">
        <v>501</v>
      </c>
      <c r="N17" s="1">
        <v>502</v>
      </c>
      <c r="O17" s="1">
        <v>503</v>
      </c>
      <c r="P17" s="1">
        <v>504</v>
      </c>
      <c r="Q17" s="1">
        <v>505</v>
      </c>
      <c r="R17" s="1">
        <v>506</v>
      </c>
      <c r="S17" s="1">
        <v>507</v>
      </c>
      <c r="T17" s="1">
        <v>508</v>
      </c>
      <c r="U17" s="1">
        <v>509</v>
      </c>
      <c r="V17" s="1">
        <v>510</v>
      </c>
      <c r="W17" s="1">
        <v>511</v>
      </c>
    </row>
    <row r="18" spans="2:23" ht="16" thickBot="1" x14ac:dyDescent="0.25">
      <c r="B18" t="s">
        <v>139</v>
      </c>
      <c r="C18"/>
      <c r="D18" s="1"/>
      <c r="E18" s="1">
        <f>E15*0.05</f>
        <v>10080</v>
      </c>
      <c r="G18" t="s">
        <v>159</v>
      </c>
      <c r="H18" s="1">
        <v>3000</v>
      </c>
      <c r="I18" s="1">
        <f t="shared" si="1"/>
        <v>30000</v>
      </c>
      <c r="K18" t="s">
        <v>137</v>
      </c>
      <c r="L18" s="52">
        <f>L6*0.05</f>
        <v>160</v>
      </c>
      <c r="M18" s="52">
        <f t="shared" ref="M18:W18" si="5">M6*0.05</f>
        <v>765</v>
      </c>
      <c r="N18" s="52">
        <f t="shared" si="5"/>
        <v>847.5</v>
      </c>
      <c r="O18" s="52">
        <f t="shared" si="5"/>
        <v>847.5</v>
      </c>
      <c r="P18" s="52">
        <f t="shared" si="5"/>
        <v>847.5</v>
      </c>
      <c r="Q18" s="52">
        <f t="shared" si="5"/>
        <v>847.5</v>
      </c>
      <c r="R18" s="52">
        <f t="shared" si="5"/>
        <v>847.5</v>
      </c>
      <c r="S18" s="52">
        <f t="shared" si="5"/>
        <v>847.5</v>
      </c>
      <c r="T18" s="52">
        <f t="shared" si="5"/>
        <v>847.5</v>
      </c>
      <c r="U18" s="52">
        <f t="shared" si="5"/>
        <v>847.5</v>
      </c>
      <c r="V18" s="52">
        <f t="shared" si="5"/>
        <v>847.5</v>
      </c>
      <c r="W18" s="52">
        <f t="shared" si="5"/>
        <v>847.5</v>
      </c>
    </row>
    <row r="19" spans="2:23" x14ac:dyDescent="0.2">
      <c r="B19" t="s">
        <v>86</v>
      </c>
      <c r="C19"/>
      <c r="D19" s="1"/>
      <c r="E19" s="1">
        <v>6000</v>
      </c>
      <c r="G19" t="s">
        <v>160</v>
      </c>
      <c r="H19" s="1">
        <v>200</v>
      </c>
      <c r="I19" s="1">
        <f t="shared" si="1"/>
        <v>2000</v>
      </c>
      <c r="K19" t="s">
        <v>9</v>
      </c>
      <c r="L19" s="1">
        <f>SUM(L13:L18)</f>
        <v>3753.333333333333</v>
      </c>
      <c r="M19" s="1">
        <f t="shared" ref="M19:W19" si="6">SUM(M13:M18)</f>
        <v>4965.333333333333</v>
      </c>
      <c r="N19" s="1">
        <f t="shared" si="6"/>
        <v>5132.333333333333</v>
      </c>
      <c r="O19" s="1">
        <f t="shared" si="6"/>
        <v>5134.333333333333</v>
      </c>
      <c r="P19" s="1">
        <f t="shared" si="6"/>
        <v>5136.333333333333</v>
      </c>
      <c r="Q19" s="1">
        <f t="shared" si="6"/>
        <v>5138.333333333333</v>
      </c>
      <c r="R19" s="1">
        <f t="shared" si="6"/>
        <v>5140.333333333333</v>
      </c>
      <c r="S19" s="1">
        <f t="shared" si="6"/>
        <v>5142.333333333333</v>
      </c>
      <c r="T19" s="1">
        <f t="shared" si="6"/>
        <v>5144.333333333333</v>
      </c>
      <c r="U19" s="1">
        <f t="shared" si="6"/>
        <v>5146.333333333333</v>
      </c>
      <c r="V19" s="1">
        <f t="shared" si="6"/>
        <v>5148.333333333333</v>
      </c>
      <c r="W19" s="272">
        <f t="shared" si="6"/>
        <v>5150.333333333333</v>
      </c>
    </row>
    <row r="20" spans="2:23" x14ac:dyDescent="0.2">
      <c r="B20" t="s">
        <v>83</v>
      </c>
      <c r="C20"/>
      <c r="D20" s="1"/>
      <c r="E20" s="1">
        <v>15000</v>
      </c>
      <c r="G20" t="s">
        <v>158</v>
      </c>
      <c r="H20" s="1">
        <v>1500</v>
      </c>
      <c r="I20" s="1">
        <f t="shared" si="1"/>
        <v>15000</v>
      </c>
      <c r="L20" s="1"/>
      <c r="M20" s="1"/>
      <c r="N20" s="1"/>
      <c r="O20" s="1"/>
      <c r="P20" s="1"/>
      <c r="Q20" s="1"/>
      <c r="R20" s="1"/>
      <c r="S20" s="1"/>
      <c r="T20" s="1"/>
      <c r="U20" s="1"/>
      <c r="V20" s="1"/>
      <c r="W20" s="1"/>
    </row>
    <row r="21" spans="2:23" x14ac:dyDescent="0.2">
      <c r="B21" t="s">
        <v>137</v>
      </c>
      <c r="C21"/>
      <c r="D21" s="1"/>
      <c r="E21" s="1">
        <f>E15*0.05</f>
        <v>10080</v>
      </c>
      <c r="G21" t="s">
        <v>162</v>
      </c>
      <c r="H21" s="1">
        <v>750</v>
      </c>
      <c r="I21" s="1">
        <f t="shared" si="1"/>
        <v>7500</v>
      </c>
      <c r="K21" t="s">
        <v>75</v>
      </c>
      <c r="L21" s="1">
        <f>L10-L19</f>
        <v>-553.33333333333303</v>
      </c>
      <c r="M21" s="1">
        <f t="shared" ref="M21:W21" si="7">M10-M19</f>
        <v>10334.666666666668</v>
      </c>
      <c r="N21" s="1">
        <f t="shared" si="7"/>
        <v>11817.666666666668</v>
      </c>
      <c r="O21" s="1">
        <f t="shared" si="7"/>
        <v>11815.666666666668</v>
      </c>
      <c r="P21" s="1">
        <f t="shared" si="7"/>
        <v>11813.666666666668</v>
      </c>
      <c r="Q21" s="1">
        <f t="shared" si="7"/>
        <v>11811.666666666668</v>
      </c>
      <c r="R21" s="1">
        <f t="shared" si="7"/>
        <v>11809.666666666668</v>
      </c>
      <c r="S21" s="1">
        <f t="shared" si="7"/>
        <v>11807.666666666668</v>
      </c>
      <c r="T21" s="1">
        <f t="shared" si="7"/>
        <v>11805.666666666668</v>
      </c>
      <c r="U21" s="1">
        <f t="shared" si="7"/>
        <v>11803.666666666668</v>
      </c>
      <c r="V21" s="1">
        <f t="shared" si="7"/>
        <v>11801.666666666668</v>
      </c>
      <c r="W21" s="1">
        <f t="shared" si="7"/>
        <v>11799.666666666668</v>
      </c>
    </row>
    <row r="22" spans="2:23" x14ac:dyDescent="0.2">
      <c r="B22" t="s">
        <v>87</v>
      </c>
      <c r="C22"/>
      <c r="D22" s="1"/>
      <c r="E22" s="1">
        <v>14200</v>
      </c>
      <c r="G22" t="s">
        <v>163</v>
      </c>
      <c r="H22" s="1">
        <v>500</v>
      </c>
      <c r="I22" s="1">
        <f t="shared" si="1"/>
        <v>5000</v>
      </c>
      <c r="L22" s="1"/>
      <c r="M22" s="1"/>
      <c r="N22" s="1"/>
      <c r="O22" s="1"/>
      <c r="P22" s="1"/>
      <c r="Q22" s="1"/>
      <c r="R22" s="1"/>
      <c r="S22" s="1"/>
      <c r="T22" s="1"/>
      <c r="U22" s="1"/>
      <c r="V22" s="1"/>
      <c r="W22" s="1"/>
    </row>
    <row r="23" spans="2:23" x14ac:dyDescent="0.2">
      <c r="B23" t="s">
        <v>14</v>
      </c>
      <c r="C23"/>
      <c r="D23" s="1"/>
      <c r="E23" s="1">
        <f>SUM(E17:E22)</f>
        <v>65440</v>
      </c>
      <c r="F23" s="3">
        <f>E23/E15</f>
        <v>0.32460317460317462</v>
      </c>
      <c r="G23" t="s">
        <v>164</v>
      </c>
      <c r="H23" s="1">
        <v>500</v>
      </c>
      <c r="I23" s="1">
        <f t="shared" si="1"/>
        <v>5000</v>
      </c>
      <c r="K23" t="s">
        <v>415</v>
      </c>
      <c r="L23" s="1">
        <v>7137</v>
      </c>
      <c r="M23" s="1">
        <v>7137</v>
      </c>
      <c r="N23" s="1"/>
      <c r="O23" s="1">
        <v>13000</v>
      </c>
      <c r="P23" s="1">
        <v>13000</v>
      </c>
      <c r="Q23" s="1">
        <v>13000</v>
      </c>
      <c r="R23" s="1">
        <v>13000</v>
      </c>
      <c r="S23" s="1">
        <v>13000</v>
      </c>
      <c r="T23" s="1">
        <v>13000</v>
      </c>
      <c r="U23" s="1">
        <v>13000</v>
      </c>
      <c r="V23" s="1">
        <v>13000</v>
      </c>
      <c r="W23" s="1">
        <v>13000</v>
      </c>
    </row>
    <row r="24" spans="2:23" x14ac:dyDescent="0.2">
      <c r="B24"/>
      <c r="C24"/>
      <c r="D24" s="1"/>
      <c r="E24" s="1"/>
      <c r="G24" t="s">
        <v>165</v>
      </c>
      <c r="H24" s="1">
        <v>200</v>
      </c>
      <c r="I24" s="1">
        <f t="shared" si="1"/>
        <v>2000</v>
      </c>
      <c r="L24" s="1"/>
      <c r="M24" s="1"/>
      <c r="N24" s="1"/>
      <c r="O24" s="1"/>
      <c r="P24" s="1"/>
      <c r="Q24" s="1"/>
      <c r="R24" s="1"/>
      <c r="S24" s="1"/>
      <c r="T24" s="1"/>
      <c r="U24" s="1"/>
      <c r="V24" s="1"/>
      <c r="W24" s="1"/>
    </row>
    <row r="25" spans="2:23" x14ac:dyDescent="0.2">
      <c r="B25" t="s">
        <v>75</v>
      </c>
      <c r="C25"/>
      <c r="D25" s="8"/>
      <c r="E25" s="8">
        <f>E15-E23</f>
        <v>136160</v>
      </c>
      <c r="G25" t="s">
        <v>166</v>
      </c>
      <c r="H25" s="1">
        <v>1200</v>
      </c>
      <c r="I25" s="1">
        <f t="shared" si="1"/>
        <v>12000</v>
      </c>
      <c r="K25" t="s">
        <v>416</v>
      </c>
      <c r="L25" s="1">
        <f>L21-L23</f>
        <v>-7690.333333333333</v>
      </c>
      <c r="M25" s="1">
        <f t="shared" ref="M25:W25" si="8">M21-M23</f>
        <v>3197.6666666666679</v>
      </c>
      <c r="N25" s="1">
        <f t="shared" si="8"/>
        <v>11817.666666666668</v>
      </c>
      <c r="O25" s="1">
        <f t="shared" si="8"/>
        <v>-1184.3333333333321</v>
      </c>
      <c r="P25" s="1">
        <f t="shared" si="8"/>
        <v>-1186.3333333333321</v>
      </c>
      <c r="Q25" s="1">
        <f t="shared" si="8"/>
        <v>-1188.3333333333321</v>
      </c>
      <c r="R25" s="1">
        <f t="shared" si="8"/>
        <v>-1190.3333333333321</v>
      </c>
      <c r="S25" s="1">
        <f t="shared" si="8"/>
        <v>-1192.3333333333321</v>
      </c>
      <c r="T25" s="1">
        <f t="shared" si="8"/>
        <v>-1194.3333333333321</v>
      </c>
      <c r="U25" s="1">
        <f t="shared" si="8"/>
        <v>-1196.3333333333321</v>
      </c>
      <c r="V25" s="1">
        <f t="shared" si="8"/>
        <v>-1198.3333333333321</v>
      </c>
      <c r="W25" s="1">
        <f t="shared" si="8"/>
        <v>-1200.3333333333321</v>
      </c>
    </row>
    <row r="26" spans="2:23" x14ac:dyDescent="0.2">
      <c r="B26" t="s">
        <v>146</v>
      </c>
      <c r="C26"/>
      <c r="D26" s="8"/>
      <c r="E26" s="8">
        <f>E25/0.065</f>
        <v>2094769.2307692308</v>
      </c>
      <c r="G26" t="s">
        <v>167</v>
      </c>
      <c r="H26" s="1">
        <v>2250</v>
      </c>
      <c r="I26" s="1">
        <f t="shared" si="1"/>
        <v>22500</v>
      </c>
      <c r="L26" s="1"/>
      <c r="M26" s="1"/>
      <c r="N26" s="1"/>
      <c r="O26" s="1"/>
      <c r="P26" s="1"/>
      <c r="Q26" s="1"/>
      <c r="R26" s="1"/>
      <c r="S26" s="1"/>
      <c r="T26" s="1"/>
      <c r="U26" s="1"/>
      <c r="V26" s="1"/>
      <c r="W26" s="1"/>
    </row>
    <row r="27" spans="2:23" x14ac:dyDescent="0.2">
      <c r="B27"/>
      <c r="C27"/>
      <c r="D27" s="1"/>
      <c r="E27" s="1"/>
      <c r="G27" t="s">
        <v>168</v>
      </c>
      <c r="H27" s="1">
        <v>1500</v>
      </c>
      <c r="I27" s="1">
        <f t="shared" si="1"/>
        <v>15000</v>
      </c>
      <c r="L27" s="1"/>
      <c r="M27" s="1"/>
      <c r="N27" s="1"/>
      <c r="O27" s="1"/>
      <c r="P27" s="1"/>
      <c r="Q27" s="1"/>
      <c r="R27" s="1"/>
      <c r="S27" s="1"/>
      <c r="T27" s="1"/>
      <c r="U27" s="1"/>
      <c r="V27" s="1"/>
      <c r="W27" s="1"/>
    </row>
    <row r="28" spans="2:23" x14ac:dyDescent="0.2">
      <c r="B28"/>
      <c r="C28"/>
      <c r="D28" s="1"/>
      <c r="E28" s="1"/>
      <c r="H28" s="1"/>
      <c r="I28" s="1">
        <f>SUM(I8:I27)+I6</f>
        <v>404500</v>
      </c>
      <c r="L28" s="1"/>
      <c r="M28" s="1"/>
      <c r="N28" s="1"/>
      <c r="O28" s="1"/>
      <c r="P28" s="1"/>
      <c r="Q28" s="1"/>
      <c r="R28" s="1"/>
      <c r="S28" s="1"/>
      <c r="T28" s="1"/>
      <c r="U28" s="1"/>
      <c r="V28" s="1"/>
      <c r="W28" s="1"/>
    </row>
    <row r="29" spans="2:23" ht="16" x14ac:dyDescent="0.2">
      <c r="B29" s="9" t="s">
        <v>362</v>
      </c>
      <c r="C29" s="60">
        <v>750000</v>
      </c>
      <c r="O29" s="5"/>
      <c r="P29" s="251"/>
    </row>
    <row r="30" spans="2:23" x14ac:dyDescent="0.2">
      <c r="B30"/>
      <c r="C30"/>
      <c r="O30" s="5"/>
      <c r="P30" s="1"/>
    </row>
    <row r="31" spans="2:23" ht="16" x14ac:dyDescent="0.2">
      <c r="B31" s="9" t="s">
        <v>89</v>
      </c>
      <c r="C31"/>
      <c r="O31" s="5"/>
      <c r="P31" s="251"/>
    </row>
    <row r="32" spans="2:23" x14ac:dyDescent="0.2">
      <c r="B32" t="s">
        <v>141</v>
      </c>
      <c r="C32" s="1">
        <v>144500</v>
      </c>
    </row>
    <row r="33" spans="2:16" x14ac:dyDescent="0.2">
      <c r="B33" t="s">
        <v>142</v>
      </c>
      <c r="C33" s="1">
        <v>16000</v>
      </c>
    </row>
    <row r="34" spans="2:16" x14ac:dyDescent="0.2">
      <c r="B34" t="s">
        <v>358</v>
      </c>
      <c r="C34" s="1">
        <f>4950+3129+5500+775+9575</f>
        <v>23929</v>
      </c>
      <c r="O34" s="5"/>
      <c r="P34" s="1"/>
    </row>
    <row r="35" spans="2:16" x14ac:dyDescent="0.2">
      <c r="B35" t="s">
        <v>421</v>
      </c>
      <c r="C35" s="1">
        <f>650+900+500+300+750+640+650+1150+1000</f>
        <v>6540</v>
      </c>
      <c r="O35" s="5"/>
      <c r="P35" s="1"/>
    </row>
    <row r="36" spans="2:16" x14ac:dyDescent="0.2">
      <c r="B36" t="s">
        <v>420</v>
      </c>
      <c r="C36" s="1">
        <f>640+720+720+400+420+360+140</f>
        <v>3400</v>
      </c>
      <c r="O36" s="5"/>
      <c r="P36" s="251"/>
    </row>
    <row r="37" spans="2:16" x14ac:dyDescent="0.2">
      <c r="B37" t="s">
        <v>419</v>
      </c>
      <c r="C37" s="1">
        <f>7500+3300</f>
        <v>10800</v>
      </c>
      <c r="P37" s="2"/>
    </row>
    <row r="38" spans="2:16" x14ac:dyDescent="0.2">
      <c r="B38" t="s">
        <v>418</v>
      </c>
      <c r="C38" s="1">
        <f>4600+2000+376+4000+4050+2890+1500+2400+2500</f>
        <v>24316</v>
      </c>
    </row>
    <row r="39" spans="2:16" x14ac:dyDescent="0.2">
      <c r="B39" t="s">
        <v>413</v>
      </c>
      <c r="C39" s="1">
        <f>162728.51</f>
        <v>162728.51</v>
      </c>
      <c r="K39" s="1"/>
    </row>
    <row r="40" spans="2:16" x14ac:dyDescent="0.2">
      <c r="B40" t="s">
        <v>360</v>
      </c>
      <c r="C40" s="1">
        <v>12744</v>
      </c>
      <c r="K40" s="1"/>
    </row>
    <row r="41" spans="2:16" x14ac:dyDescent="0.2">
      <c r="B41" t="s">
        <v>359</v>
      </c>
      <c r="C41" s="1">
        <f>48596+723+844+407+1369+4141+948+531+523+6213+1171</f>
        <v>65466</v>
      </c>
      <c r="K41" s="1"/>
    </row>
    <row r="42" spans="2:16" x14ac:dyDescent="0.2">
      <c r="B42" t="s">
        <v>361</v>
      </c>
      <c r="C42" s="1">
        <v>17000</v>
      </c>
      <c r="K42" s="1"/>
      <c r="L42" s="1"/>
      <c r="M42" s="1"/>
    </row>
    <row r="43" spans="2:16" x14ac:dyDescent="0.2">
      <c r="B43"/>
      <c r="C43" s="60">
        <f>SUM(C32:C42)</f>
        <v>487423.51</v>
      </c>
      <c r="K43" s="1"/>
      <c r="L43" s="1"/>
      <c r="M43" s="1"/>
    </row>
    <row r="44" spans="2:16" x14ac:dyDescent="0.2">
      <c r="B44"/>
      <c r="C44"/>
      <c r="L44" s="1"/>
      <c r="M44" s="1"/>
    </row>
    <row r="45" spans="2:16" ht="16" x14ac:dyDescent="0.2">
      <c r="B45" s="9" t="s">
        <v>366</v>
      </c>
      <c r="C45"/>
      <c r="K45" s="310"/>
      <c r="L45" s="1"/>
      <c r="M45" s="1"/>
    </row>
    <row r="46" spans="2:16" x14ac:dyDescent="0.2">
      <c r="B46" t="s">
        <v>183</v>
      </c>
      <c r="C46" s="1">
        <f>48418-25714</f>
        <v>22704</v>
      </c>
      <c r="F46" s="253"/>
      <c r="K46" s="310"/>
      <c r="L46" s="1"/>
      <c r="M46" s="1"/>
    </row>
    <row r="47" spans="2:16" x14ac:dyDescent="0.2">
      <c r="B47" t="s">
        <v>364</v>
      </c>
      <c r="C47" s="1">
        <f>(25714+7710)</f>
        <v>33424</v>
      </c>
      <c r="F47" s="254"/>
      <c r="K47" s="310"/>
    </row>
    <row r="48" spans="2:16" x14ac:dyDescent="0.2">
      <c r="B48" t="s">
        <v>84</v>
      </c>
      <c r="C48" s="1">
        <f>1052*9</f>
        <v>9468</v>
      </c>
      <c r="F48" s="255"/>
      <c r="K48" s="310"/>
      <c r="L48" s="311"/>
      <c r="M48" s="311"/>
      <c r="N48" s="314"/>
      <c r="O48" s="315"/>
    </row>
    <row r="49" spans="2:15" x14ac:dyDescent="0.2">
      <c r="B49" t="s">
        <v>363</v>
      </c>
      <c r="C49" s="1">
        <f>14000</f>
        <v>14000</v>
      </c>
      <c r="K49" s="310"/>
      <c r="L49" s="311"/>
      <c r="M49" s="311"/>
      <c r="N49" s="314"/>
      <c r="O49" s="315"/>
    </row>
    <row r="50" spans="2:15" x14ac:dyDescent="0.2">
      <c r="B50" t="s">
        <v>365</v>
      </c>
      <c r="C50" s="1">
        <f>1500+(5*585)</f>
        <v>4425</v>
      </c>
      <c r="K50" s="310"/>
      <c r="L50" s="311"/>
      <c r="M50" s="311"/>
      <c r="N50" s="314"/>
      <c r="O50" s="315"/>
    </row>
    <row r="51" spans="2:15" x14ac:dyDescent="0.2">
      <c r="B51"/>
      <c r="C51" s="257">
        <f>SUM(C46:C50)</f>
        <v>84021</v>
      </c>
      <c r="E51" s="252"/>
      <c r="K51" s="310"/>
      <c r="L51" s="311"/>
      <c r="M51" s="311"/>
      <c r="N51" s="314"/>
      <c r="O51" s="315"/>
    </row>
    <row r="52" spans="2:15" x14ac:dyDescent="0.2">
      <c r="B52"/>
      <c r="C52"/>
      <c r="E52" s="253"/>
      <c r="K52" s="310"/>
      <c r="L52" s="311"/>
      <c r="M52" s="311"/>
      <c r="N52" s="314"/>
      <c r="O52" s="315"/>
    </row>
    <row r="53" spans="2:15" x14ac:dyDescent="0.2">
      <c r="B53" s="5" t="s">
        <v>367</v>
      </c>
      <c r="C53" s="257">
        <f>C29+C43+C51</f>
        <v>1321444.51</v>
      </c>
      <c r="E53" s="254"/>
      <c r="K53" s="310"/>
      <c r="L53" s="311"/>
      <c r="M53" s="311"/>
      <c r="N53" s="314"/>
      <c r="O53" s="315"/>
    </row>
    <row r="54" spans="2:15" x14ac:dyDescent="0.2">
      <c r="B54"/>
      <c r="C54"/>
      <c r="F54" s="3"/>
      <c r="K54" s="310"/>
      <c r="L54" s="311"/>
      <c r="M54" s="311"/>
      <c r="N54" s="314"/>
      <c r="O54" s="315"/>
    </row>
    <row r="55" spans="2:15" x14ac:dyDescent="0.2">
      <c r="B55" t="s">
        <v>112</v>
      </c>
      <c r="C55" s="1">
        <v>2000000</v>
      </c>
      <c r="D55" t="s">
        <v>373</v>
      </c>
      <c r="K55" s="310"/>
      <c r="L55" s="311"/>
      <c r="M55" s="311"/>
      <c r="N55" s="314"/>
      <c r="O55" s="315"/>
    </row>
    <row r="56" spans="2:15" x14ac:dyDescent="0.2">
      <c r="B56" t="s">
        <v>369</v>
      </c>
      <c r="C56" s="1">
        <f>C55*0.7</f>
        <v>1400000</v>
      </c>
      <c r="D56" t="s">
        <v>374</v>
      </c>
      <c r="E56" s="2">
        <f>7500+35000+159575.83-E57</f>
        <v>145947.82999999999</v>
      </c>
      <c r="K56" s="310"/>
      <c r="L56" s="256"/>
      <c r="M56" s="256"/>
      <c r="N56" s="252"/>
      <c r="O56" s="253"/>
    </row>
    <row r="57" spans="2:15" x14ac:dyDescent="0.2">
      <c r="B57" t="s">
        <v>371</v>
      </c>
      <c r="C57" s="1">
        <v>858000</v>
      </c>
      <c r="D57" t="s">
        <v>183</v>
      </c>
      <c r="E57" s="2">
        <f>C46+C47</f>
        <v>56128</v>
      </c>
      <c r="K57" s="254"/>
      <c r="L57" s="256"/>
      <c r="M57" s="256"/>
      <c r="N57" s="252"/>
      <c r="O57" s="253"/>
    </row>
    <row r="58" spans="2:15" x14ac:dyDescent="0.2">
      <c r="B58" t="s">
        <v>370</v>
      </c>
      <c r="C58" s="1">
        <f>(C56*0.98)-C57</f>
        <v>514000</v>
      </c>
      <c r="E58" s="2">
        <f>SUM(E56:E57)</f>
        <v>202075.83</v>
      </c>
      <c r="F58" s="274">
        <f>C62/E58</f>
        <v>3.3579250422972406</v>
      </c>
      <c r="K58" s="254"/>
      <c r="L58" s="256"/>
      <c r="M58" s="256"/>
      <c r="N58" s="252"/>
      <c r="O58" s="253"/>
    </row>
    <row r="59" spans="2:15" x14ac:dyDescent="0.2">
      <c r="B59"/>
      <c r="C59"/>
      <c r="J59" s="254"/>
      <c r="K59" s="256"/>
      <c r="L59" s="256"/>
      <c r="M59" s="252"/>
      <c r="N59" s="253"/>
    </row>
    <row r="60" spans="2:15" x14ac:dyDescent="0.2">
      <c r="B60" t="s">
        <v>368</v>
      </c>
      <c r="C60" s="1">
        <f>C58-E62</f>
        <v>88500.660000000033</v>
      </c>
      <c r="D60" t="s">
        <v>375</v>
      </c>
      <c r="E60" s="2">
        <f>C43-264000</f>
        <v>223423.51</v>
      </c>
      <c r="J60" s="254"/>
      <c r="K60" s="311"/>
      <c r="L60" s="311"/>
      <c r="M60" s="314"/>
      <c r="N60" s="315"/>
    </row>
    <row r="61" spans="2:15" x14ac:dyDescent="0.2">
      <c r="B61"/>
      <c r="C61"/>
      <c r="H61" s="254"/>
      <c r="I61" s="254"/>
      <c r="J61" s="310"/>
      <c r="K61" s="311"/>
      <c r="L61" s="311"/>
      <c r="M61" s="314"/>
      <c r="N61" s="315"/>
    </row>
    <row r="62" spans="2:15" x14ac:dyDescent="0.2">
      <c r="B62" s="258" t="s">
        <v>372</v>
      </c>
      <c r="C62" s="259">
        <f>C55-C53</f>
        <v>678555.49</v>
      </c>
      <c r="D62" t="s">
        <v>376</v>
      </c>
      <c r="E62" s="2">
        <f>E58+E60</f>
        <v>425499.33999999997</v>
      </c>
      <c r="H62" s="255"/>
      <c r="I62" s="255"/>
      <c r="J62" s="310"/>
      <c r="K62" s="311"/>
      <c r="L62" s="311"/>
      <c r="M62" s="314"/>
      <c r="N62" s="315"/>
    </row>
    <row r="63" spans="2:15" x14ac:dyDescent="0.2">
      <c r="D63" s="1"/>
      <c r="H63" s="255"/>
      <c r="J63" s="310"/>
      <c r="K63" s="311"/>
      <c r="L63" s="311"/>
      <c r="M63" s="314"/>
      <c r="N63" s="315"/>
    </row>
    <row r="64" spans="2:15" x14ac:dyDescent="0.2">
      <c r="D64" s="1"/>
      <c r="H64" s="253"/>
      <c r="J64" s="310"/>
      <c r="K64" s="311"/>
      <c r="L64" s="311"/>
      <c r="M64" s="314"/>
      <c r="N64" s="315"/>
    </row>
    <row r="65" spans="4:14" x14ac:dyDescent="0.2">
      <c r="D65" s="1"/>
      <c r="G65" s="1"/>
      <c r="H65" s="254"/>
      <c r="I65" s="254"/>
      <c r="J65" s="310"/>
      <c r="K65" s="311"/>
      <c r="L65" s="311"/>
      <c r="M65" s="314"/>
      <c r="N65" s="315"/>
    </row>
    <row r="66" spans="4:14" x14ac:dyDescent="0.2">
      <c r="D66" s="1"/>
      <c r="F66" s="1"/>
      <c r="G66" s="1"/>
      <c r="H66" s="255"/>
      <c r="I66" s="255"/>
      <c r="J66" s="310"/>
      <c r="K66" s="311"/>
      <c r="L66" s="311"/>
      <c r="M66" s="314"/>
      <c r="N66" s="315"/>
    </row>
    <row r="67" spans="4:14" x14ac:dyDescent="0.2">
      <c r="D67" s="1"/>
      <c r="F67" s="1"/>
      <c r="G67" s="1"/>
      <c r="H67" s="255"/>
      <c r="J67" s="310"/>
      <c r="K67" s="311"/>
      <c r="L67" s="311"/>
      <c r="M67" s="314"/>
      <c r="N67" s="315"/>
    </row>
    <row r="68" spans="4:14" x14ac:dyDescent="0.2">
      <c r="D68" s="1"/>
      <c r="G68" s="1"/>
      <c r="H68" s="253"/>
      <c r="J68" s="310"/>
      <c r="K68" s="311"/>
      <c r="L68" s="311"/>
      <c r="M68" s="314"/>
      <c r="N68" s="315"/>
    </row>
    <row r="69" spans="4:14" x14ac:dyDescent="0.2">
      <c r="E69" s="1"/>
      <c r="F69" s="2"/>
      <c r="H69" s="254"/>
      <c r="I69" s="254"/>
      <c r="J69" s="310"/>
      <c r="K69" s="311"/>
      <c r="L69" s="311"/>
      <c r="M69" s="314"/>
      <c r="N69" s="315"/>
    </row>
    <row r="70" spans="4:14" x14ac:dyDescent="0.2">
      <c r="D70" s="1"/>
      <c r="H70" s="255"/>
      <c r="I70" s="255"/>
      <c r="J70" s="310"/>
      <c r="K70" s="311"/>
      <c r="L70" s="311"/>
      <c r="M70" s="314"/>
      <c r="N70" s="315"/>
    </row>
    <row r="71" spans="4:14" x14ac:dyDescent="0.2">
      <c r="D71" s="1"/>
      <c r="H71" s="255"/>
      <c r="J71" s="310"/>
      <c r="K71" s="311"/>
      <c r="L71" s="311"/>
      <c r="M71" s="314"/>
      <c r="N71" s="315"/>
    </row>
    <row r="72" spans="4:14" x14ac:dyDescent="0.2">
      <c r="D72" s="1"/>
      <c r="H72" s="253"/>
      <c r="J72" s="310"/>
      <c r="K72" s="311"/>
      <c r="L72" s="311"/>
      <c r="M72" s="314"/>
      <c r="N72" s="315"/>
    </row>
    <row r="73" spans="4:14" x14ac:dyDescent="0.2">
      <c r="D73" s="1"/>
      <c r="H73" s="254"/>
      <c r="I73" s="254"/>
      <c r="J73" s="310"/>
      <c r="K73" s="311"/>
      <c r="L73" s="311"/>
      <c r="M73" s="314"/>
      <c r="N73" s="315"/>
    </row>
    <row r="74" spans="4:14" x14ac:dyDescent="0.2">
      <c r="D74" s="1"/>
      <c r="H74" s="255"/>
      <c r="I74" s="255"/>
      <c r="J74" s="310"/>
      <c r="K74" s="311"/>
      <c r="L74" s="311"/>
      <c r="M74" s="314"/>
      <c r="N74" s="315"/>
    </row>
    <row r="75" spans="4:14" x14ac:dyDescent="0.2">
      <c r="D75" s="1"/>
      <c r="H75" s="255"/>
      <c r="J75" s="310"/>
      <c r="K75" s="311"/>
      <c r="L75" s="311"/>
      <c r="M75" s="314"/>
      <c r="N75" s="315"/>
    </row>
    <row r="76" spans="4:14" x14ac:dyDescent="0.2">
      <c r="D76" s="1"/>
      <c r="H76" s="253"/>
      <c r="J76" s="310"/>
      <c r="K76" s="311"/>
      <c r="L76" s="311"/>
      <c r="M76" s="314"/>
      <c r="N76" s="315"/>
    </row>
    <row r="77" spans="4:14" x14ac:dyDescent="0.2">
      <c r="D77" s="1"/>
      <c r="H77" s="254"/>
      <c r="I77" s="254"/>
      <c r="J77" s="310"/>
      <c r="K77" s="311"/>
      <c r="L77" s="311"/>
      <c r="M77" s="314"/>
      <c r="N77" s="315"/>
    </row>
    <row r="78" spans="4:14" x14ac:dyDescent="0.2">
      <c r="D78" s="1"/>
      <c r="H78" s="255"/>
      <c r="I78" s="255"/>
      <c r="J78" s="310"/>
      <c r="K78" s="311"/>
      <c r="L78" s="311"/>
      <c r="M78" s="314"/>
      <c r="N78" s="315"/>
    </row>
    <row r="79" spans="4:14" x14ac:dyDescent="0.2">
      <c r="D79" s="1"/>
      <c r="H79" s="255"/>
      <c r="J79" s="310"/>
      <c r="K79" s="311"/>
      <c r="L79" s="311"/>
      <c r="M79" s="314"/>
      <c r="N79" s="315"/>
    </row>
    <row r="80" spans="4:14" x14ac:dyDescent="0.2">
      <c r="D80" s="1"/>
      <c r="H80" s="253"/>
      <c r="J80" s="310"/>
      <c r="K80" s="311"/>
      <c r="L80" s="311"/>
      <c r="M80" s="314"/>
      <c r="N80" s="315"/>
    </row>
    <row r="81" spans="4:14" x14ac:dyDescent="0.2">
      <c r="D81" s="1"/>
      <c r="H81" s="254"/>
      <c r="I81" s="254"/>
      <c r="J81" s="310"/>
      <c r="K81" s="311"/>
      <c r="L81" s="311"/>
      <c r="M81" s="314"/>
      <c r="N81" s="315"/>
    </row>
    <row r="82" spans="4:14" x14ac:dyDescent="0.2">
      <c r="D82" s="1"/>
      <c r="H82" s="255"/>
      <c r="I82" s="255"/>
      <c r="J82" s="310"/>
      <c r="K82" s="311"/>
      <c r="L82" s="311"/>
      <c r="M82" s="314"/>
      <c r="N82" s="315"/>
    </row>
    <row r="83" spans="4:14" x14ac:dyDescent="0.2">
      <c r="D83" s="1"/>
      <c r="H83" s="255"/>
      <c r="J83" s="310"/>
      <c r="K83" s="311"/>
      <c r="L83" s="311"/>
      <c r="M83" s="314"/>
      <c r="N83" s="315"/>
    </row>
    <row r="84" spans="4:14" x14ac:dyDescent="0.2">
      <c r="D84" s="1"/>
      <c r="H84" s="253"/>
      <c r="J84" s="310"/>
      <c r="K84" s="311"/>
      <c r="L84" s="311"/>
      <c r="M84" s="314"/>
      <c r="N84" s="315"/>
    </row>
    <row r="85" spans="4:14" x14ac:dyDescent="0.2">
      <c r="D85" s="1"/>
      <c r="H85" s="254"/>
      <c r="I85" s="254"/>
      <c r="J85" s="310"/>
      <c r="K85" s="311"/>
      <c r="L85" s="311"/>
      <c r="M85" s="314"/>
      <c r="N85" s="315"/>
    </row>
    <row r="86" spans="4:14" x14ac:dyDescent="0.2">
      <c r="D86" s="1"/>
      <c r="H86" s="255"/>
      <c r="I86" s="255"/>
      <c r="J86" s="310"/>
      <c r="K86" s="311"/>
      <c r="L86" s="311"/>
      <c r="M86" s="314"/>
      <c r="N86" s="315"/>
    </row>
    <row r="87" spans="4:14" x14ac:dyDescent="0.2">
      <c r="H87" s="255"/>
      <c r="J87" s="310"/>
      <c r="K87" s="311"/>
      <c r="L87" s="311"/>
      <c r="M87" s="314"/>
      <c r="N87" s="315"/>
    </row>
    <row r="88" spans="4:14" x14ac:dyDescent="0.2">
      <c r="H88" s="253"/>
      <c r="J88" s="310"/>
      <c r="K88" s="311"/>
      <c r="L88" s="311"/>
      <c r="M88" s="314"/>
      <c r="N88" s="315"/>
    </row>
    <row r="89" spans="4:14" x14ac:dyDescent="0.2">
      <c r="H89" s="254"/>
      <c r="I89" s="254"/>
      <c r="J89" s="310"/>
      <c r="K89" s="311"/>
      <c r="L89" s="311"/>
      <c r="M89" s="314"/>
      <c r="N89" s="315"/>
    </row>
    <row r="90" spans="4:14" x14ac:dyDescent="0.2">
      <c r="H90" s="255"/>
      <c r="I90" s="255"/>
      <c r="J90" s="310"/>
      <c r="K90" s="311"/>
      <c r="L90" s="311"/>
      <c r="M90" s="314"/>
      <c r="N90" s="315"/>
    </row>
    <row r="91" spans="4:14" x14ac:dyDescent="0.2">
      <c r="H91" s="255"/>
      <c r="J91" s="310"/>
      <c r="K91" s="311"/>
      <c r="L91" s="311"/>
      <c r="M91" s="314"/>
      <c r="N91" s="315"/>
    </row>
    <row r="92" spans="4:14" x14ac:dyDescent="0.2">
      <c r="H92" s="253"/>
      <c r="J92" s="310"/>
      <c r="K92" s="311"/>
      <c r="L92" s="311"/>
      <c r="M92" s="314"/>
      <c r="N92" s="315"/>
    </row>
    <row r="93" spans="4:14" x14ac:dyDescent="0.2">
      <c r="H93" s="254"/>
      <c r="I93" s="254"/>
      <c r="J93" s="310"/>
      <c r="K93" s="311"/>
      <c r="L93" s="311"/>
      <c r="M93" s="314"/>
      <c r="N93" s="315"/>
    </row>
    <row r="94" spans="4:14" x14ac:dyDescent="0.2">
      <c r="H94" s="255"/>
      <c r="I94" s="255"/>
      <c r="J94" s="310"/>
      <c r="K94" s="311"/>
      <c r="L94" s="311"/>
      <c r="M94" s="314"/>
      <c r="N94" s="315"/>
    </row>
    <row r="95" spans="4:14" x14ac:dyDescent="0.2">
      <c r="H95" s="255"/>
      <c r="J95" s="310"/>
      <c r="K95" s="311"/>
      <c r="L95" s="311"/>
      <c r="M95" s="314"/>
      <c r="N95" s="315"/>
    </row>
    <row r="96" spans="4:14" x14ac:dyDescent="0.2">
      <c r="H96" s="253"/>
      <c r="J96" s="310"/>
      <c r="K96" s="311"/>
      <c r="L96" s="311"/>
      <c r="M96" s="314"/>
    </row>
    <row r="97" spans="8:13" x14ac:dyDescent="0.2">
      <c r="H97" s="254"/>
      <c r="K97" s="311"/>
      <c r="L97" s="311"/>
      <c r="M97" s="314"/>
    </row>
    <row r="98" spans="8:13" x14ac:dyDescent="0.2">
      <c r="H98" s="255"/>
      <c r="K98" s="311"/>
      <c r="L98" s="311"/>
      <c r="M98" s="314"/>
    </row>
    <row r="99" spans="8:13" x14ac:dyDescent="0.2">
      <c r="H99" s="255"/>
      <c r="K99" s="311"/>
      <c r="L99" s="311"/>
      <c r="M99" s="314"/>
    </row>
    <row r="100" spans="8:13" x14ac:dyDescent="0.2">
      <c r="M100" s="251"/>
    </row>
  </sheetData>
  <mergeCells count="63">
    <mergeCell ref="M84:M87"/>
    <mergeCell ref="N84:N87"/>
    <mergeCell ref="N92:N95"/>
    <mergeCell ref="J85:J88"/>
    <mergeCell ref="K88:K91"/>
    <mergeCell ref="L88:L91"/>
    <mergeCell ref="M88:M91"/>
    <mergeCell ref="N88:N91"/>
    <mergeCell ref="J93:J96"/>
    <mergeCell ref="K96:K99"/>
    <mergeCell ref="L96:L99"/>
    <mergeCell ref="M96:M99"/>
    <mergeCell ref="J89:J92"/>
    <mergeCell ref="K92:K95"/>
    <mergeCell ref="L92:L95"/>
    <mergeCell ref="M92:M95"/>
    <mergeCell ref="L72:L75"/>
    <mergeCell ref="M72:M75"/>
    <mergeCell ref="N72:N75"/>
    <mergeCell ref="J73:J76"/>
    <mergeCell ref="K76:K79"/>
    <mergeCell ref="L76:L79"/>
    <mergeCell ref="M76:M79"/>
    <mergeCell ref="N76:N79"/>
    <mergeCell ref="J77:J80"/>
    <mergeCell ref="K80:K83"/>
    <mergeCell ref="L80:L83"/>
    <mergeCell ref="M80:M83"/>
    <mergeCell ref="N80:N83"/>
    <mergeCell ref="J81:J84"/>
    <mergeCell ref="K84:K87"/>
    <mergeCell ref="L84:L87"/>
    <mergeCell ref="K60:K63"/>
    <mergeCell ref="L60:L63"/>
    <mergeCell ref="M60:M63"/>
    <mergeCell ref="N60:N63"/>
    <mergeCell ref="J61:J64"/>
    <mergeCell ref="K64:K67"/>
    <mergeCell ref="L64:L67"/>
    <mergeCell ref="M64:M67"/>
    <mergeCell ref="N64:N67"/>
    <mergeCell ref="J65:J68"/>
    <mergeCell ref="K68:K71"/>
    <mergeCell ref="L68:L71"/>
    <mergeCell ref="M68:M71"/>
    <mergeCell ref="N68:N71"/>
    <mergeCell ref="J69:J72"/>
    <mergeCell ref="K72:K75"/>
    <mergeCell ref="K45:K48"/>
    <mergeCell ref="L48:L51"/>
    <mergeCell ref="M48:M51"/>
    <mergeCell ref="B1:H1"/>
    <mergeCell ref="B2:D2"/>
    <mergeCell ref="F2:H2"/>
    <mergeCell ref="K3:W3"/>
    <mergeCell ref="N48:N51"/>
    <mergeCell ref="O48:O51"/>
    <mergeCell ref="K49:K52"/>
    <mergeCell ref="L52:L55"/>
    <mergeCell ref="M52:M55"/>
    <mergeCell ref="N52:N55"/>
    <mergeCell ref="O52:O55"/>
    <mergeCell ref="K53:K56"/>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8F56E-9B61-844D-B703-FA620B23392F}">
  <dimension ref="A1:W100"/>
  <sheetViews>
    <sheetView workbookViewId="0">
      <selection activeCell="E25" sqref="E25:E28"/>
    </sheetView>
  </sheetViews>
  <sheetFormatPr baseColWidth="10" defaultColWidth="10.83203125" defaultRowHeight="15" x14ac:dyDescent="0.2"/>
  <cols>
    <col min="1" max="1" width="3.1640625" bestFit="1" customWidth="1"/>
    <col min="2" max="2" width="20" style="1" bestFit="1" customWidth="1"/>
    <col min="3" max="3" width="14.33203125" style="1" bestFit="1" customWidth="1"/>
    <col min="4" max="4" width="15.33203125" bestFit="1" customWidth="1"/>
    <col min="5" max="5" width="13.6640625" bestFit="1" customWidth="1"/>
    <col min="6" max="6" width="9.5" customWidth="1"/>
    <col min="7" max="7" width="13.83203125" bestFit="1" customWidth="1"/>
    <col min="8" max="8" width="11.1640625" bestFit="1" customWidth="1"/>
    <col min="9" max="9" width="12.5" bestFit="1" customWidth="1"/>
    <col min="10" max="10" width="14.6640625" bestFit="1" customWidth="1"/>
    <col min="11" max="11" width="18.6640625" bestFit="1" customWidth="1"/>
    <col min="12" max="12" width="11.5" bestFit="1" customWidth="1"/>
    <col min="13" max="15" width="11.1640625" bestFit="1" customWidth="1"/>
    <col min="16" max="16" width="11.83203125" bestFit="1" customWidth="1"/>
    <col min="17" max="17" width="11.1640625" bestFit="1" customWidth="1"/>
    <col min="18" max="18" width="11.5" bestFit="1" customWidth="1"/>
    <col min="19" max="19" width="11.33203125" bestFit="1" customWidth="1"/>
    <col min="20" max="21" width="11.1640625" bestFit="1" customWidth="1"/>
    <col min="22" max="22" width="11.83203125" bestFit="1" customWidth="1"/>
    <col min="23" max="23" width="11.1640625" bestFit="1" customWidth="1"/>
  </cols>
  <sheetData>
    <row r="1" spans="1:23" ht="19" x14ac:dyDescent="0.25">
      <c r="B1" s="312" t="s">
        <v>430</v>
      </c>
      <c r="C1" s="312"/>
      <c r="D1" s="312"/>
      <c r="E1" s="312"/>
      <c r="F1" s="312"/>
      <c r="G1" s="312"/>
      <c r="H1" s="312"/>
      <c r="K1" s="1"/>
      <c r="L1" s="1"/>
      <c r="M1" s="1"/>
      <c r="N1" s="1"/>
      <c r="O1" s="1"/>
      <c r="P1" s="1"/>
      <c r="Q1" s="1"/>
      <c r="R1" s="1"/>
      <c r="S1" s="1"/>
      <c r="T1" s="1"/>
      <c r="U1" s="1"/>
      <c r="V1" s="1"/>
      <c r="W1" s="1"/>
    </row>
    <row r="2" spans="1:23" ht="19" x14ac:dyDescent="0.25">
      <c r="B2" s="313" t="s">
        <v>404</v>
      </c>
      <c r="C2" s="313"/>
      <c r="D2" s="313"/>
      <c r="E2" s="6"/>
      <c r="F2" s="313" t="s">
        <v>212</v>
      </c>
      <c r="G2" s="313"/>
      <c r="H2" s="313"/>
      <c r="K2" s="1"/>
      <c r="L2" s="1"/>
      <c r="M2" s="1"/>
      <c r="N2" s="1"/>
      <c r="O2" s="1"/>
      <c r="P2" s="1"/>
      <c r="Q2" s="1"/>
      <c r="R2" s="1"/>
      <c r="S2" s="1"/>
      <c r="T2" s="1"/>
      <c r="U2" s="1"/>
      <c r="V2" s="1"/>
      <c r="W2" s="1"/>
    </row>
    <row r="3" spans="1:23" ht="19" x14ac:dyDescent="0.25">
      <c r="B3" s="262"/>
      <c r="C3" s="262"/>
      <c r="D3" s="262" t="s">
        <v>122</v>
      </c>
      <c r="E3" s="262" t="s">
        <v>123</v>
      </c>
      <c r="H3" t="s">
        <v>149</v>
      </c>
      <c r="I3" t="s">
        <v>9</v>
      </c>
      <c r="K3" s="313" t="s">
        <v>405</v>
      </c>
      <c r="L3" s="313"/>
      <c r="M3" s="313"/>
      <c r="N3" s="313"/>
      <c r="O3" s="313"/>
      <c r="P3" s="313"/>
      <c r="Q3" s="313"/>
      <c r="R3" s="313"/>
      <c r="S3" s="313"/>
      <c r="T3" s="313"/>
      <c r="U3" s="313"/>
      <c r="V3" s="313"/>
      <c r="W3" s="313"/>
    </row>
    <row r="4" spans="1:23" x14ac:dyDescent="0.2">
      <c r="A4" s="59">
        <v>1</v>
      </c>
      <c r="B4" t="s">
        <v>357</v>
      </c>
      <c r="C4" s="322"/>
      <c r="D4" s="10"/>
      <c r="E4" s="10">
        <v>1550</v>
      </c>
      <c r="G4" t="s">
        <v>141</v>
      </c>
      <c r="H4" s="1"/>
      <c r="I4" s="1">
        <v>0</v>
      </c>
      <c r="K4" s="269"/>
      <c r="L4" s="270">
        <v>45962</v>
      </c>
      <c r="M4" s="270">
        <v>45992</v>
      </c>
      <c r="N4" s="270">
        <v>46023</v>
      </c>
      <c r="O4" s="270">
        <v>46054</v>
      </c>
      <c r="P4" s="270">
        <v>46082</v>
      </c>
      <c r="Q4" s="270">
        <v>46113</v>
      </c>
      <c r="R4" s="270">
        <v>46143</v>
      </c>
      <c r="S4" s="270">
        <v>46174</v>
      </c>
      <c r="T4" s="270">
        <v>46204</v>
      </c>
      <c r="U4" s="270">
        <v>46235</v>
      </c>
      <c r="V4" s="270">
        <v>46266</v>
      </c>
      <c r="W4" s="270">
        <v>46296</v>
      </c>
    </row>
    <row r="5" spans="1:23" ht="19" x14ac:dyDescent="0.25">
      <c r="A5" s="59">
        <v>2</v>
      </c>
      <c r="B5" t="s">
        <v>357</v>
      </c>
      <c r="C5" s="322"/>
      <c r="D5" s="10"/>
      <c r="E5" s="10">
        <v>1550</v>
      </c>
      <c r="G5" t="s">
        <v>142</v>
      </c>
      <c r="H5" s="1"/>
      <c r="I5" s="1">
        <v>25000</v>
      </c>
      <c r="K5" s="271" t="s">
        <v>131</v>
      </c>
      <c r="L5" s="1"/>
      <c r="M5" s="1"/>
      <c r="N5" s="1"/>
      <c r="O5" s="1"/>
      <c r="P5" s="1"/>
      <c r="Q5" s="1"/>
      <c r="R5" s="1"/>
      <c r="S5" s="1"/>
      <c r="T5" s="1"/>
      <c r="U5" s="1"/>
      <c r="V5" s="1"/>
      <c r="W5" s="1"/>
    </row>
    <row r="6" spans="1:23" x14ac:dyDescent="0.2">
      <c r="A6" s="59">
        <v>3</v>
      </c>
      <c r="B6" t="s">
        <v>357</v>
      </c>
      <c r="C6" s="322"/>
      <c r="D6" s="10"/>
      <c r="E6" s="10">
        <v>1550</v>
      </c>
      <c r="H6" s="1" t="s">
        <v>9</v>
      </c>
      <c r="I6" s="1">
        <f>SUM(I4:I5)</f>
        <v>25000</v>
      </c>
      <c r="K6" t="s">
        <v>92</v>
      </c>
      <c r="L6" s="1">
        <f>E20*0.5</f>
        <v>12880</v>
      </c>
      <c r="M6" s="1">
        <f>E20*0.75</f>
        <v>19320</v>
      </c>
      <c r="N6" s="1">
        <f>E20*0.9</f>
        <v>23184</v>
      </c>
      <c r="O6" s="1">
        <f>E20</f>
        <v>25760</v>
      </c>
      <c r="P6" s="1">
        <v>25760</v>
      </c>
      <c r="Q6" s="1">
        <v>25760</v>
      </c>
      <c r="R6" s="1">
        <v>25760</v>
      </c>
      <c r="S6" s="1">
        <v>25760</v>
      </c>
      <c r="T6" s="1">
        <v>25760</v>
      </c>
      <c r="U6" s="1">
        <v>25760</v>
      </c>
      <c r="V6" s="1">
        <v>25760</v>
      </c>
      <c r="W6" s="1">
        <v>25760</v>
      </c>
    </row>
    <row r="7" spans="1:23" x14ac:dyDescent="0.2">
      <c r="A7" s="59">
        <v>4</v>
      </c>
      <c r="B7" t="s">
        <v>357</v>
      </c>
      <c r="C7" s="322"/>
      <c r="D7" s="10"/>
      <c r="E7" s="10">
        <v>1550</v>
      </c>
      <c r="H7" s="1"/>
      <c r="I7" s="1"/>
      <c r="K7" t="s">
        <v>408</v>
      </c>
      <c r="L7" s="1">
        <v>0</v>
      </c>
      <c r="M7" s="1">
        <v>0</v>
      </c>
      <c r="N7" s="1">
        <v>0</v>
      </c>
      <c r="O7" s="1">
        <v>0</v>
      </c>
      <c r="P7" s="1">
        <v>0</v>
      </c>
      <c r="Q7" s="1">
        <v>0</v>
      </c>
      <c r="R7" s="1">
        <v>0</v>
      </c>
      <c r="S7" s="1">
        <v>0</v>
      </c>
      <c r="T7" s="1">
        <v>0</v>
      </c>
      <c r="U7" s="1">
        <v>0</v>
      </c>
      <c r="V7" s="1">
        <v>0</v>
      </c>
      <c r="W7" s="272">
        <v>0</v>
      </c>
    </row>
    <row r="8" spans="1:23" x14ac:dyDescent="0.2">
      <c r="A8" s="59">
        <v>5</v>
      </c>
      <c r="B8" t="s">
        <v>357</v>
      </c>
      <c r="C8" s="322"/>
      <c r="D8" s="10"/>
      <c r="E8" s="10">
        <v>1550</v>
      </c>
      <c r="G8" t="s">
        <v>150</v>
      </c>
      <c r="H8" s="1">
        <v>1000</v>
      </c>
      <c r="I8" s="1">
        <f>H8*16</f>
        <v>16000</v>
      </c>
      <c r="K8" t="s">
        <v>410</v>
      </c>
      <c r="L8" s="1">
        <v>0</v>
      </c>
      <c r="M8" s="1">
        <v>0</v>
      </c>
      <c r="N8" s="1">
        <v>0</v>
      </c>
      <c r="O8" s="1">
        <v>0</v>
      </c>
      <c r="P8" s="1">
        <v>0</v>
      </c>
      <c r="Q8" s="1">
        <v>0</v>
      </c>
      <c r="R8" s="1">
        <v>0</v>
      </c>
      <c r="S8" s="1">
        <v>0</v>
      </c>
      <c r="T8" s="1">
        <v>0</v>
      </c>
      <c r="U8" s="1">
        <v>0</v>
      </c>
      <c r="V8" s="1">
        <v>0</v>
      </c>
      <c r="W8" s="272">
        <v>0</v>
      </c>
    </row>
    <row r="9" spans="1:23" ht="16" thickBot="1" x14ac:dyDescent="0.25">
      <c r="A9" s="59">
        <v>6</v>
      </c>
      <c r="B9" t="s">
        <v>357</v>
      </c>
      <c r="C9" s="322"/>
      <c r="D9" s="10"/>
      <c r="E9" s="10">
        <v>1550</v>
      </c>
      <c r="G9" t="s">
        <v>148</v>
      </c>
      <c r="H9" s="1">
        <v>2000</v>
      </c>
      <c r="I9" s="1">
        <f t="shared" ref="I9:I27" si="0">H9*16</f>
        <v>32000</v>
      </c>
      <c r="K9" t="s">
        <v>411</v>
      </c>
      <c r="L9" s="52">
        <v>0</v>
      </c>
      <c r="M9" s="52">
        <v>0</v>
      </c>
      <c r="N9" s="52">
        <v>0</v>
      </c>
      <c r="O9" s="52">
        <v>0</v>
      </c>
      <c r="P9" s="52">
        <v>0</v>
      </c>
      <c r="Q9" s="52">
        <v>0</v>
      </c>
      <c r="R9" s="52">
        <v>0</v>
      </c>
      <c r="S9" s="52">
        <v>0</v>
      </c>
      <c r="T9" s="52">
        <v>0</v>
      </c>
      <c r="U9" s="52">
        <v>0</v>
      </c>
      <c r="V9" s="52">
        <v>0</v>
      </c>
      <c r="W9" s="273">
        <v>0</v>
      </c>
    </row>
    <row r="10" spans="1:23" x14ac:dyDescent="0.2">
      <c r="A10" s="59">
        <v>7</v>
      </c>
      <c r="B10" t="s">
        <v>357</v>
      </c>
      <c r="C10" s="322"/>
      <c r="D10" s="10"/>
      <c r="E10" s="10">
        <v>1550</v>
      </c>
      <c r="G10" t="s">
        <v>151</v>
      </c>
      <c r="H10" s="1">
        <v>0</v>
      </c>
      <c r="I10" s="1">
        <f t="shared" si="0"/>
        <v>0</v>
      </c>
      <c r="K10" t="s">
        <v>9</v>
      </c>
      <c r="L10" s="1">
        <f>SUM(L6+L9)</f>
        <v>12880</v>
      </c>
      <c r="M10" s="1">
        <f t="shared" ref="M10:W10" si="1">SUM(M6+M9)</f>
        <v>19320</v>
      </c>
      <c r="N10" s="1">
        <f t="shared" si="1"/>
        <v>23184</v>
      </c>
      <c r="O10" s="1">
        <f t="shared" si="1"/>
        <v>25760</v>
      </c>
      <c r="P10" s="1">
        <f t="shared" si="1"/>
        <v>25760</v>
      </c>
      <c r="Q10" s="1">
        <f t="shared" si="1"/>
        <v>25760</v>
      </c>
      <c r="R10" s="1">
        <f t="shared" si="1"/>
        <v>25760</v>
      </c>
      <c r="S10" s="1">
        <f t="shared" si="1"/>
        <v>25760</v>
      </c>
      <c r="T10" s="1">
        <f t="shared" si="1"/>
        <v>25760</v>
      </c>
      <c r="U10" s="1">
        <f t="shared" si="1"/>
        <v>25760</v>
      </c>
      <c r="V10" s="1">
        <f t="shared" si="1"/>
        <v>25760</v>
      </c>
      <c r="W10" s="272">
        <f t="shared" si="1"/>
        <v>25760</v>
      </c>
    </row>
    <row r="11" spans="1:23" x14ac:dyDescent="0.2">
      <c r="A11" s="59">
        <v>8</v>
      </c>
      <c r="B11" t="s">
        <v>357</v>
      </c>
      <c r="C11" s="322"/>
      <c r="D11" s="10"/>
      <c r="E11" s="10">
        <v>1550</v>
      </c>
      <c r="G11" t="s">
        <v>152</v>
      </c>
      <c r="H11" s="1">
        <v>1000</v>
      </c>
      <c r="I11" s="1">
        <v>10000</v>
      </c>
      <c r="L11" s="1"/>
      <c r="M11" s="1"/>
      <c r="N11" s="1"/>
      <c r="O11" s="1"/>
      <c r="P11" s="1"/>
      <c r="Q11" s="1"/>
      <c r="R11" s="1"/>
      <c r="S11" s="1"/>
      <c r="T11" s="1"/>
      <c r="U11" s="1"/>
      <c r="V11" s="1"/>
      <c r="W11" s="1"/>
    </row>
    <row r="12" spans="1:23" ht="19" x14ac:dyDescent="0.25">
      <c r="A12" s="59">
        <v>9</v>
      </c>
      <c r="B12" t="s">
        <v>357</v>
      </c>
      <c r="C12" s="322"/>
      <c r="D12" s="10"/>
      <c r="E12" s="10">
        <v>1550</v>
      </c>
      <c r="G12" t="s">
        <v>153</v>
      </c>
      <c r="H12" s="1">
        <v>500</v>
      </c>
      <c r="I12" s="1">
        <f t="shared" si="0"/>
        <v>8000</v>
      </c>
      <c r="K12" s="6" t="s">
        <v>85</v>
      </c>
      <c r="L12" s="1"/>
      <c r="M12" s="1"/>
      <c r="N12" s="1"/>
      <c r="O12" s="1"/>
      <c r="P12" s="1"/>
      <c r="Q12" s="1"/>
      <c r="R12" s="1"/>
      <c r="S12" s="1"/>
      <c r="T12" s="1"/>
      <c r="U12" s="1"/>
      <c r="V12" s="1"/>
      <c r="W12" s="1"/>
    </row>
    <row r="13" spans="1:23" x14ac:dyDescent="0.2">
      <c r="A13" s="59">
        <v>10</v>
      </c>
      <c r="B13" t="s">
        <v>357</v>
      </c>
      <c r="C13" s="322"/>
      <c r="D13" s="10"/>
      <c r="E13" s="10">
        <v>1550</v>
      </c>
      <c r="G13" t="s">
        <v>154</v>
      </c>
      <c r="H13" s="1">
        <v>0</v>
      </c>
      <c r="I13" s="1">
        <f t="shared" si="0"/>
        <v>0</v>
      </c>
      <c r="K13" t="s">
        <v>84</v>
      </c>
      <c r="L13" s="1">
        <f>$E$29/12</f>
        <v>1250</v>
      </c>
      <c r="M13" s="1">
        <f t="shared" ref="L13:W13" si="2">$E$29/12</f>
        <v>1250</v>
      </c>
      <c r="N13" s="1">
        <f t="shared" si="2"/>
        <v>1250</v>
      </c>
      <c r="O13" s="1">
        <f t="shared" si="2"/>
        <v>1250</v>
      </c>
      <c r="P13" s="1">
        <f t="shared" si="2"/>
        <v>1250</v>
      </c>
      <c r="Q13" s="1">
        <f t="shared" si="2"/>
        <v>1250</v>
      </c>
      <c r="R13" s="1">
        <f t="shared" si="2"/>
        <v>1250</v>
      </c>
      <c r="S13" s="1">
        <f t="shared" si="2"/>
        <v>1250</v>
      </c>
      <c r="T13" s="1">
        <f t="shared" si="2"/>
        <v>1250</v>
      </c>
      <c r="U13" s="1">
        <f t="shared" si="2"/>
        <v>1250</v>
      </c>
      <c r="V13" s="1">
        <f t="shared" si="2"/>
        <v>1250</v>
      </c>
      <c r="W13" s="1">
        <f t="shared" si="2"/>
        <v>1250</v>
      </c>
    </row>
    <row r="14" spans="1:23" x14ac:dyDescent="0.2">
      <c r="A14" s="59">
        <v>11</v>
      </c>
      <c r="B14" t="s">
        <v>357</v>
      </c>
      <c r="C14" s="322"/>
      <c r="D14" s="10"/>
      <c r="E14" s="10">
        <v>1550</v>
      </c>
      <c r="G14" t="s">
        <v>155</v>
      </c>
      <c r="H14" s="1">
        <v>2500</v>
      </c>
      <c r="I14" s="1">
        <f t="shared" si="0"/>
        <v>40000</v>
      </c>
      <c r="K14" t="s">
        <v>83</v>
      </c>
      <c r="L14" s="1">
        <f>$E$27/12</f>
        <v>1666.6666666666667</v>
      </c>
      <c r="M14" s="1">
        <f t="shared" ref="L14:W14" si="3">$E$27/12</f>
        <v>1666.6666666666667</v>
      </c>
      <c r="N14" s="1">
        <f t="shared" si="3"/>
        <v>1666.6666666666667</v>
      </c>
      <c r="O14" s="1">
        <f t="shared" si="3"/>
        <v>1666.6666666666667</v>
      </c>
      <c r="P14" s="1">
        <f t="shared" si="3"/>
        <v>1666.6666666666667</v>
      </c>
      <c r="Q14" s="1">
        <f t="shared" si="3"/>
        <v>1666.6666666666667</v>
      </c>
      <c r="R14" s="1">
        <f t="shared" si="3"/>
        <v>1666.6666666666667</v>
      </c>
      <c r="S14" s="1">
        <f t="shared" si="3"/>
        <v>1666.6666666666667</v>
      </c>
      <c r="T14" s="1">
        <f t="shared" si="3"/>
        <v>1666.6666666666667</v>
      </c>
      <c r="U14" s="1">
        <f t="shared" si="3"/>
        <v>1666.6666666666667</v>
      </c>
      <c r="V14" s="1">
        <f t="shared" si="3"/>
        <v>1666.6666666666667</v>
      </c>
      <c r="W14" s="1">
        <f t="shared" si="3"/>
        <v>1666.6666666666667</v>
      </c>
    </row>
    <row r="15" spans="1:23" x14ac:dyDescent="0.2">
      <c r="A15" s="59">
        <v>12</v>
      </c>
      <c r="B15" t="s">
        <v>357</v>
      </c>
      <c r="C15" s="322"/>
      <c r="D15" s="10"/>
      <c r="E15" s="10">
        <v>1550</v>
      </c>
      <c r="G15" t="s">
        <v>156</v>
      </c>
      <c r="H15" s="1">
        <v>800</v>
      </c>
      <c r="I15" s="1">
        <f t="shared" si="0"/>
        <v>12800</v>
      </c>
      <c r="K15" t="s">
        <v>429</v>
      </c>
      <c r="L15" s="1">
        <f>$E$24/12</f>
        <v>833.33333333333337</v>
      </c>
      <c r="M15" s="1">
        <f t="shared" ref="M15:W15" si="4">$E$24/12</f>
        <v>833.33333333333337</v>
      </c>
      <c r="N15" s="1">
        <f t="shared" si="4"/>
        <v>833.33333333333337</v>
      </c>
      <c r="O15" s="1">
        <f t="shared" si="4"/>
        <v>833.33333333333337</v>
      </c>
      <c r="P15" s="1">
        <f t="shared" si="4"/>
        <v>833.33333333333337</v>
      </c>
      <c r="Q15" s="1">
        <f t="shared" si="4"/>
        <v>833.33333333333337</v>
      </c>
      <c r="R15" s="1">
        <f t="shared" si="4"/>
        <v>833.33333333333337</v>
      </c>
      <c r="S15" s="1">
        <f t="shared" si="4"/>
        <v>833.33333333333337</v>
      </c>
      <c r="T15" s="1">
        <f t="shared" si="4"/>
        <v>833.33333333333337</v>
      </c>
      <c r="U15" s="1">
        <f t="shared" si="4"/>
        <v>833.33333333333337</v>
      </c>
      <c r="V15" s="1">
        <f t="shared" si="4"/>
        <v>833.33333333333337</v>
      </c>
      <c r="W15" s="1">
        <f t="shared" si="4"/>
        <v>833.33333333333337</v>
      </c>
    </row>
    <row r="16" spans="1:23" x14ac:dyDescent="0.2">
      <c r="A16" s="59">
        <v>13</v>
      </c>
      <c r="B16" t="s">
        <v>136</v>
      </c>
      <c r="C16" s="322"/>
      <c r="D16" s="10"/>
      <c r="E16" s="10">
        <v>1790</v>
      </c>
      <c r="G16" t="s">
        <v>157</v>
      </c>
      <c r="H16" s="1">
        <v>250</v>
      </c>
      <c r="I16" s="1">
        <f t="shared" si="0"/>
        <v>4000</v>
      </c>
      <c r="K16" t="s">
        <v>139</v>
      </c>
      <c r="L16" s="1">
        <f>L6*0.1</f>
        <v>1288</v>
      </c>
      <c r="M16" s="1">
        <f t="shared" ref="M16:W16" si="5">M6*0.1</f>
        <v>1932</v>
      </c>
      <c r="N16" s="1">
        <f t="shared" si="5"/>
        <v>2318.4</v>
      </c>
      <c r="O16" s="1">
        <f t="shared" si="5"/>
        <v>2576</v>
      </c>
      <c r="P16" s="1">
        <f t="shared" si="5"/>
        <v>2576</v>
      </c>
      <c r="Q16" s="1">
        <f t="shared" si="5"/>
        <v>2576</v>
      </c>
      <c r="R16" s="1">
        <f t="shared" si="5"/>
        <v>2576</v>
      </c>
      <c r="S16" s="1">
        <f t="shared" si="5"/>
        <v>2576</v>
      </c>
      <c r="T16" s="1">
        <f t="shared" si="5"/>
        <v>2576</v>
      </c>
      <c r="U16" s="1">
        <f t="shared" si="5"/>
        <v>2576</v>
      </c>
      <c r="V16" s="1">
        <f t="shared" si="5"/>
        <v>2576</v>
      </c>
      <c r="W16" s="1">
        <f t="shared" si="5"/>
        <v>2576</v>
      </c>
    </row>
    <row r="17" spans="1:23" x14ac:dyDescent="0.2">
      <c r="A17" s="59">
        <v>14</v>
      </c>
      <c r="B17" t="s">
        <v>136</v>
      </c>
      <c r="C17" s="322"/>
      <c r="D17" s="10"/>
      <c r="E17" s="10">
        <v>1790</v>
      </c>
      <c r="G17" t="s">
        <v>161</v>
      </c>
      <c r="H17" s="1">
        <v>500</v>
      </c>
      <c r="I17" s="1">
        <f t="shared" si="0"/>
        <v>8000</v>
      </c>
      <c r="K17" t="s">
        <v>414</v>
      </c>
      <c r="L17" s="1">
        <f>$E$26/12</f>
        <v>750</v>
      </c>
      <c r="M17" s="1">
        <f t="shared" ref="M17:W17" si="6">$E$26/12</f>
        <v>750</v>
      </c>
      <c r="N17" s="1">
        <f t="shared" si="6"/>
        <v>750</v>
      </c>
      <c r="O17" s="1">
        <f t="shared" si="6"/>
        <v>750</v>
      </c>
      <c r="P17" s="1">
        <f t="shared" si="6"/>
        <v>750</v>
      </c>
      <c r="Q17" s="1">
        <f t="shared" si="6"/>
        <v>750</v>
      </c>
      <c r="R17" s="1">
        <f t="shared" si="6"/>
        <v>750</v>
      </c>
      <c r="S17" s="1">
        <f t="shared" si="6"/>
        <v>750</v>
      </c>
      <c r="T17" s="1">
        <f t="shared" si="6"/>
        <v>750</v>
      </c>
      <c r="U17" s="1">
        <f t="shared" si="6"/>
        <v>750</v>
      </c>
      <c r="V17" s="1">
        <f t="shared" si="6"/>
        <v>750</v>
      </c>
      <c r="W17" s="1">
        <f t="shared" si="6"/>
        <v>750</v>
      </c>
    </row>
    <row r="18" spans="1:23" ht="16" thickBot="1" x14ac:dyDescent="0.25">
      <c r="A18" s="59">
        <v>15</v>
      </c>
      <c r="B18" t="s">
        <v>136</v>
      </c>
      <c r="C18" s="322"/>
      <c r="D18" s="10"/>
      <c r="E18" s="10">
        <v>1790</v>
      </c>
      <c r="G18" t="s">
        <v>159</v>
      </c>
      <c r="H18" s="1">
        <v>2400</v>
      </c>
      <c r="I18" s="1">
        <f t="shared" si="0"/>
        <v>38400</v>
      </c>
      <c r="K18" t="s">
        <v>137</v>
      </c>
      <c r="L18" s="52">
        <f>L6*0.035</f>
        <v>450.80000000000007</v>
      </c>
      <c r="M18" s="52">
        <f t="shared" ref="M18:W18" si="7">M6*0.035</f>
        <v>676.2</v>
      </c>
      <c r="N18" s="52">
        <f t="shared" si="7"/>
        <v>811.44</v>
      </c>
      <c r="O18" s="52">
        <f t="shared" si="7"/>
        <v>901.60000000000014</v>
      </c>
      <c r="P18" s="52">
        <f t="shared" si="7"/>
        <v>901.60000000000014</v>
      </c>
      <c r="Q18" s="52">
        <f t="shared" si="7"/>
        <v>901.60000000000014</v>
      </c>
      <c r="R18" s="52">
        <f t="shared" si="7"/>
        <v>901.60000000000014</v>
      </c>
      <c r="S18" s="52">
        <f t="shared" si="7"/>
        <v>901.60000000000014</v>
      </c>
      <c r="T18" s="52">
        <f t="shared" si="7"/>
        <v>901.60000000000014</v>
      </c>
      <c r="U18" s="52">
        <f t="shared" si="7"/>
        <v>901.60000000000014</v>
      </c>
      <c r="V18" s="52">
        <f t="shared" si="7"/>
        <v>901.60000000000014</v>
      </c>
      <c r="W18" s="52">
        <f t="shared" si="7"/>
        <v>901.60000000000014</v>
      </c>
    </row>
    <row r="19" spans="1:23" x14ac:dyDescent="0.2">
      <c r="A19" s="59">
        <v>16</v>
      </c>
      <c r="B19" t="s">
        <v>136</v>
      </c>
      <c r="C19" s="322"/>
      <c r="D19" s="10"/>
      <c r="E19" s="10">
        <v>1790</v>
      </c>
      <c r="G19" t="s">
        <v>160</v>
      </c>
      <c r="H19" s="1">
        <v>200</v>
      </c>
      <c r="I19" s="1">
        <f t="shared" si="0"/>
        <v>3200</v>
      </c>
      <c r="K19" t="s">
        <v>9</v>
      </c>
      <c r="L19" s="1">
        <f>SUM(L13:L18)</f>
        <v>6238.8</v>
      </c>
      <c r="M19" s="1">
        <f t="shared" ref="M19:W19" si="8">SUM(M13:M18)</f>
        <v>7108.2</v>
      </c>
      <c r="N19" s="1">
        <f t="shared" si="8"/>
        <v>7629.84</v>
      </c>
      <c r="O19" s="1">
        <f t="shared" si="8"/>
        <v>7977.6</v>
      </c>
      <c r="P19" s="1">
        <f t="shared" si="8"/>
        <v>7977.6</v>
      </c>
      <c r="Q19" s="1">
        <f t="shared" si="8"/>
        <v>7977.6</v>
      </c>
      <c r="R19" s="1">
        <f t="shared" si="8"/>
        <v>7977.6</v>
      </c>
      <c r="S19" s="1">
        <f t="shared" si="8"/>
        <v>7977.6</v>
      </c>
      <c r="T19" s="1">
        <f t="shared" si="8"/>
        <v>7977.6</v>
      </c>
      <c r="U19" s="1">
        <f t="shared" si="8"/>
        <v>7977.6</v>
      </c>
      <c r="V19" s="1">
        <f t="shared" si="8"/>
        <v>7977.6</v>
      </c>
      <c r="W19" s="272">
        <f t="shared" si="8"/>
        <v>7977.6</v>
      </c>
    </row>
    <row r="20" spans="1:23" x14ac:dyDescent="0.2">
      <c r="B20"/>
      <c r="C20" s="322"/>
      <c r="D20" s="10">
        <f>SUM(D4:D19)</f>
        <v>0</v>
      </c>
      <c r="E20" s="10">
        <f>SUM(E4:E19)</f>
        <v>25760</v>
      </c>
      <c r="G20" t="s">
        <v>158</v>
      </c>
      <c r="H20" s="1">
        <v>2000</v>
      </c>
      <c r="I20" s="1">
        <f t="shared" si="0"/>
        <v>32000</v>
      </c>
      <c r="L20" s="1"/>
      <c r="M20" s="1"/>
      <c r="N20" s="1"/>
      <c r="O20" s="1"/>
      <c r="P20" s="1"/>
      <c r="Q20" s="1"/>
      <c r="R20" s="1"/>
      <c r="S20" s="1"/>
      <c r="T20" s="1"/>
      <c r="U20" s="1"/>
      <c r="V20" s="1"/>
      <c r="W20" s="1"/>
    </row>
    <row r="21" spans="1:23" x14ac:dyDescent="0.2">
      <c r="B21" t="s">
        <v>140</v>
      </c>
      <c r="C21"/>
      <c r="D21" s="1">
        <f>D20*12</f>
        <v>0</v>
      </c>
      <c r="E21" s="1">
        <f>E20*12</f>
        <v>309120</v>
      </c>
      <c r="G21" t="s">
        <v>162</v>
      </c>
      <c r="H21" s="1">
        <v>750</v>
      </c>
      <c r="I21" s="1">
        <f t="shared" si="0"/>
        <v>12000</v>
      </c>
      <c r="K21" t="s">
        <v>75</v>
      </c>
      <c r="L21" s="1">
        <f>L10-L19</f>
        <v>6641.2</v>
      </c>
      <c r="M21" s="1">
        <f t="shared" ref="M21:W21" si="9">M10-M19</f>
        <v>12211.8</v>
      </c>
      <c r="N21" s="1">
        <f t="shared" si="9"/>
        <v>15554.16</v>
      </c>
      <c r="O21" s="1">
        <f t="shared" si="9"/>
        <v>17782.400000000001</v>
      </c>
      <c r="P21" s="1">
        <f t="shared" si="9"/>
        <v>17782.400000000001</v>
      </c>
      <c r="Q21" s="1">
        <f t="shared" si="9"/>
        <v>17782.400000000001</v>
      </c>
      <c r="R21" s="1">
        <f t="shared" si="9"/>
        <v>17782.400000000001</v>
      </c>
      <c r="S21" s="1">
        <f t="shared" si="9"/>
        <v>17782.400000000001</v>
      </c>
      <c r="T21" s="1">
        <f t="shared" si="9"/>
        <v>17782.400000000001</v>
      </c>
      <c r="U21" s="1">
        <f t="shared" si="9"/>
        <v>17782.400000000001</v>
      </c>
      <c r="V21" s="1">
        <f t="shared" si="9"/>
        <v>17782.400000000001</v>
      </c>
      <c r="W21" s="1">
        <f t="shared" si="9"/>
        <v>17782.400000000001</v>
      </c>
    </row>
    <row r="22" spans="1:23" ht="16" x14ac:dyDescent="0.2">
      <c r="B22" s="9" t="s">
        <v>85</v>
      </c>
      <c r="C22" s="9"/>
      <c r="D22" s="1"/>
      <c r="E22" s="1"/>
      <c r="G22" t="s">
        <v>163</v>
      </c>
      <c r="H22" s="1">
        <v>500</v>
      </c>
      <c r="I22" s="1">
        <f t="shared" si="0"/>
        <v>8000</v>
      </c>
      <c r="L22" s="1"/>
      <c r="M22" s="1"/>
      <c r="N22" s="1"/>
      <c r="O22" s="1"/>
      <c r="P22" s="1"/>
      <c r="Q22" s="1"/>
      <c r="R22" s="1"/>
      <c r="S22" s="1"/>
      <c r="T22" s="1"/>
      <c r="U22" s="1"/>
      <c r="V22" s="1"/>
      <c r="W22" s="1"/>
    </row>
    <row r="23" spans="1:23" x14ac:dyDescent="0.2">
      <c r="B23" t="s">
        <v>138</v>
      </c>
      <c r="C23"/>
      <c r="D23" s="1"/>
      <c r="E23" s="1">
        <f>E21*0.05</f>
        <v>15456</v>
      </c>
      <c r="G23" t="s">
        <v>164</v>
      </c>
      <c r="H23" s="1">
        <v>250</v>
      </c>
      <c r="I23" s="1">
        <f t="shared" si="0"/>
        <v>4000</v>
      </c>
      <c r="L23" s="1"/>
      <c r="M23" s="1"/>
      <c r="N23" s="1"/>
      <c r="O23" s="1"/>
      <c r="P23" s="1"/>
      <c r="Q23" s="1"/>
      <c r="R23" s="1"/>
      <c r="S23" s="1"/>
      <c r="T23" s="1"/>
      <c r="U23" s="1"/>
      <c r="V23" s="1"/>
      <c r="W23" s="1"/>
    </row>
    <row r="24" spans="1:23" x14ac:dyDescent="0.2">
      <c r="B24" t="s">
        <v>428</v>
      </c>
      <c r="C24"/>
      <c r="D24" s="1"/>
      <c r="E24" s="1">
        <v>10000</v>
      </c>
      <c r="G24" t="s">
        <v>165</v>
      </c>
      <c r="H24" s="1">
        <v>200</v>
      </c>
      <c r="I24" s="1">
        <f t="shared" si="0"/>
        <v>3200</v>
      </c>
      <c r="L24" s="1"/>
      <c r="M24" s="1"/>
      <c r="N24" s="1"/>
      <c r="O24" s="1"/>
      <c r="P24" s="1"/>
      <c r="Q24" s="1"/>
      <c r="R24" s="1"/>
      <c r="S24" s="1"/>
      <c r="T24" s="1"/>
      <c r="U24" s="1"/>
      <c r="V24" s="1"/>
      <c r="W24" s="1"/>
    </row>
    <row r="25" spans="1:23" x14ac:dyDescent="0.2">
      <c r="B25" t="s">
        <v>139</v>
      </c>
      <c r="C25"/>
      <c r="D25" s="1"/>
      <c r="E25" s="1">
        <f>E21*0.1</f>
        <v>30912</v>
      </c>
      <c r="G25" t="s">
        <v>166</v>
      </c>
      <c r="H25" s="1">
        <v>1200</v>
      </c>
      <c r="I25" s="1">
        <f t="shared" si="0"/>
        <v>19200</v>
      </c>
      <c r="L25" s="1"/>
      <c r="M25" s="1"/>
      <c r="N25" s="1"/>
      <c r="O25" s="1"/>
      <c r="P25" s="1"/>
      <c r="Q25" s="1"/>
      <c r="R25" s="1"/>
      <c r="S25" s="1"/>
      <c r="T25" s="1"/>
      <c r="U25" s="1"/>
      <c r="V25" s="1"/>
      <c r="W25" s="1"/>
    </row>
    <row r="26" spans="1:23" x14ac:dyDescent="0.2">
      <c r="B26" t="s">
        <v>86</v>
      </c>
      <c r="C26"/>
      <c r="D26" s="1"/>
      <c r="E26" s="1">
        <v>9000</v>
      </c>
      <c r="G26" t="s">
        <v>167</v>
      </c>
      <c r="H26" s="1">
        <v>2250</v>
      </c>
      <c r="I26" s="1">
        <f t="shared" si="0"/>
        <v>36000</v>
      </c>
      <c r="L26" s="1"/>
      <c r="M26" s="1"/>
      <c r="N26" s="1"/>
      <c r="O26" s="1"/>
      <c r="P26" s="1"/>
      <c r="Q26" s="1"/>
      <c r="R26" s="1"/>
      <c r="S26" s="1"/>
      <c r="T26" s="1"/>
      <c r="U26" s="1"/>
      <c r="V26" s="1"/>
      <c r="W26" s="1"/>
    </row>
    <row r="27" spans="1:23" x14ac:dyDescent="0.2">
      <c r="B27" t="s">
        <v>83</v>
      </c>
      <c r="C27"/>
      <c r="D27" s="1"/>
      <c r="E27" s="1">
        <v>20000</v>
      </c>
      <c r="G27" t="s">
        <v>168</v>
      </c>
      <c r="H27" s="1">
        <v>1500</v>
      </c>
      <c r="I27" s="1">
        <f t="shared" si="0"/>
        <v>24000</v>
      </c>
      <c r="L27" s="1"/>
      <c r="M27" s="1"/>
      <c r="N27" s="1"/>
      <c r="O27" s="1"/>
      <c r="P27" s="1"/>
      <c r="Q27" s="1"/>
      <c r="R27" s="1"/>
      <c r="S27" s="1"/>
      <c r="T27" s="1"/>
      <c r="U27" s="1"/>
      <c r="V27" s="1"/>
      <c r="W27" s="1"/>
    </row>
    <row r="28" spans="1:23" x14ac:dyDescent="0.2">
      <c r="B28" t="s">
        <v>137</v>
      </c>
      <c r="C28"/>
      <c r="D28" s="1"/>
      <c r="E28" s="1">
        <f>E21*0.035</f>
        <v>10819.2</v>
      </c>
      <c r="G28" t="s">
        <v>173</v>
      </c>
      <c r="H28" s="1"/>
      <c r="I28" s="2">
        <f>SUM(I8:I27)*0.1</f>
        <v>31080</v>
      </c>
      <c r="L28" s="1"/>
      <c r="M28" s="1"/>
      <c r="N28" s="1"/>
      <c r="O28" s="1"/>
      <c r="P28" s="1"/>
      <c r="Q28" s="1"/>
      <c r="R28" s="1"/>
      <c r="S28" s="1"/>
      <c r="T28" s="1"/>
      <c r="U28" s="1"/>
      <c r="V28" s="1"/>
      <c r="W28" s="1"/>
    </row>
    <row r="29" spans="1:23" x14ac:dyDescent="0.2">
      <c r="B29" t="s">
        <v>87</v>
      </c>
      <c r="C29"/>
      <c r="D29" s="1"/>
      <c r="E29" s="1">
        <v>15000</v>
      </c>
      <c r="O29" s="5"/>
      <c r="P29" s="251"/>
    </row>
    <row r="30" spans="1:23" ht="16" x14ac:dyDescent="0.2">
      <c r="B30" t="s">
        <v>14</v>
      </c>
      <c r="C30"/>
      <c r="D30" s="1"/>
      <c r="E30" s="1">
        <f>SUM(E23:E29)</f>
        <v>111187.2</v>
      </c>
      <c r="F30" s="3">
        <f>E30/E21</f>
        <v>0.3596894409937888</v>
      </c>
      <c r="I30" s="323">
        <f>SUM(I8:I28)+I6</f>
        <v>366880</v>
      </c>
      <c r="O30" s="5"/>
      <c r="P30" s="1"/>
    </row>
    <row r="31" spans="1:23" x14ac:dyDescent="0.2">
      <c r="B31"/>
      <c r="C31"/>
      <c r="D31" s="1"/>
      <c r="E31" s="1"/>
      <c r="O31" s="5"/>
      <c r="P31" s="251"/>
    </row>
    <row r="32" spans="1:23" x14ac:dyDescent="0.2">
      <c r="B32" t="s">
        <v>75</v>
      </c>
      <c r="C32"/>
      <c r="D32" s="8"/>
      <c r="E32" s="8">
        <f>E21-E30</f>
        <v>197932.79999999999</v>
      </c>
    </row>
    <row r="33" spans="2:16" x14ac:dyDescent="0.2">
      <c r="B33" t="s">
        <v>146</v>
      </c>
      <c r="C33"/>
      <c r="D33" s="8"/>
      <c r="E33" s="8">
        <f>E32/0.065</f>
        <v>3045119.9999999995</v>
      </c>
    </row>
    <row r="34" spans="2:16" x14ac:dyDescent="0.2">
      <c r="B34"/>
      <c r="C34"/>
      <c r="D34" s="1"/>
      <c r="E34" s="1"/>
      <c r="O34" s="5"/>
      <c r="P34" s="1"/>
    </row>
    <row r="35" spans="2:16" x14ac:dyDescent="0.2">
      <c r="B35"/>
      <c r="C35"/>
      <c r="D35" s="1"/>
      <c r="E35" s="1"/>
      <c r="O35" s="5"/>
      <c r="P35" s="1"/>
    </row>
    <row r="36" spans="2:16" ht="16" x14ac:dyDescent="0.2">
      <c r="B36" s="9" t="s">
        <v>362</v>
      </c>
      <c r="C36" s="60">
        <v>1400000</v>
      </c>
      <c r="O36" s="5"/>
      <c r="P36" s="251"/>
    </row>
    <row r="37" spans="2:16" x14ac:dyDescent="0.2">
      <c r="B37"/>
      <c r="C37"/>
      <c r="P37" s="2"/>
    </row>
    <row r="38" spans="2:16" ht="16" x14ac:dyDescent="0.2">
      <c r="B38" s="9" t="s">
        <v>89</v>
      </c>
      <c r="C38" s="2">
        <f>I30</f>
        <v>366880</v>
      </c>
    </row>
    <row r="39" spans="2:16" x14ac:dyDescent="0.2">
      <c r="B39"/>
      <c r="C39"/>
      <c r="K39" s="1"/>
    </row>
    <row r="40" spans="2:16" ht="16" x14ac:dyDescent="0.2">
      <c r="B40" s="9" t="s">
        <v>366</v>
      </c>
      <c r="C40"/>
      <c r="K40" s="1"/>
    </row>
    <row r="41" spans="2:16" x14ac:dyDescent="0.2">
      <c r="B41" t="s">
        <v>183</v>
      </c>
      <c r="C41" s="1">
        <f>(C36*0.05)-50000</f>
        <v>20000</v>
      </c>
      <c r="F41" s="253"/>
      <c r="K41" s="1"/>
    </row>
    <row r="42" spans="2:16" x14ac:dyDescent="0.2">
      <c r="B42" t="s">
        <v>364</v>
      </c>
      <c r="F42" s="254"/>
      <c r="K42" s="1"/>
      <c r="L42" s="1"/>
      <c r="M42" s="1"/>
    </row>
    <row r="43" spans="2:16" x14ac:dyDescent="0.2">
      <c r="B43" t="s">
        <v>84</v>
      </c>
      <c r="C43" s="1">
        <f>1052*9</f>
        <v>9468</v>
      </c>
      <c r="F43" s="255"/>
      <c r="K43" s="1"/>
      <c r="L43" s="1"/>
      <c r="M43" s="1"/>
    </row>
    <row r="44" spans="2:16" x14ac:dyDescent="0.2">
      <c r="B44" t="s">
        <v>363</v>
      </c>
      <c r="C44" s="1">
        <f>14000</f>
        <v>14000</v>
      </c>
      <c r="L44" s="1"/>
      <c r="M44" s="1"/>
    </row>
    <row r="45" spans="2:16" x14ac:dyDescent="0.2">
      <c r="B45" t="s">
        <v>365</v>
      </c>
      <c r="C45" s="1">
        <f>1500+(8*585)</f>
        <v>6180</v>
      </c>
      <c r="K45" s="310"/>
      <c r="L45" s="1"/>
      <c r="M45" s="1"/>
    </row>
    <row r="46" spans="2:16" x14ac:dyDescent="0.2">
      <c r="B46"/>
      <c r="C46" s="257">
        <f>SUM(C41:C45)</f>
        <v>49648</v>
      </c>
      <c r="E46" s="252"/>
      <c r="K46" s="310"/>
      <c r="L46" s="1"/>
      <c r="M46" s="1"/>
    </row>
    <row r="47" spans="2:16" x14ac:dyDescent="0.2">
      <c r="B47"/>
      <c r="C47"/>
      <c r="E47" s="253"/>
      <c r="K47" s="310"/>
    </row>
    <row r="48" spans="2:16" x14ac:dyDescent="0.2">
      <c r="B48" s="5" t="s">
        <v>367</v>
      </c>
      <c r="C48" s="257">
        <f>C36+C38+C46</f>
        <v>1816528</v>
      </c>
      <c r="E48" s="254"/>
      <c r="K48" s="310"/>
      <c r="L48" s="311"/>
      <c r="M48" s="311"/>
      <c r="N48" s="314"/>
      <c r="O48" s="315"/>
    </row>
    <row r="49" spans="2:15" x14ac:dyDescent="0.2">
      <c r="B49"/>
      <c r="C49"/>
      <c r="F49" s="3"/>
      <c r="K49" s="310"/>
      <c r="L49" s="311"/>
      <c r="M49" s="311"/>
      <c r="N49" s="314"/>
      <c r="O49" s="315"/>
    </row>
    <row r="50" spans="2:15" x14ac:dyDescent="0.2">
      <c r="B50" t="s">
        <v>112</v>
      </c>
      <c r="C50" s="1">
        <v>3000000</v>
      </c>
      <c r="D50" t="s">
        <v>373</v>
      </c>
      <c r="K50" s="310"/>
      <c r="L50" s="311"/>
      <c r="M50" s="311"/>
      <c r="N50" s="314"/>
      <c r="O50" s="315"/>
    </row>
    <row r="51" spans="2:15" x14ac:dyDescent="0.2">
      <c r="B51" t="s">
        <v>369</v>
      </c>
      <c r="C51" s="1">
        <f>C50*0.65</f>
        <v>1950000</v>
      </c>
      <c r="D51" t="s">
        <v>374</v>
      </c>
      <c r="E51" s="2">
        <f>(C36+C38)*0.15</f>
        <v>265032</v>
      </c>
      <c r="K51" s="310"/>
      <c r="L51" s="311"/>
      <c r="M51" s="311"/>
      <c r="N51" s="314"/>
      <c r="O51" s="315"/>
    </row>
    <row r="52" spans="2:15" x14ac:dyDescent="0.2">
      <c r="B52" t="s">
        <v>371</v>
      </c>
      <c r="C52" s="1">
        <f>(C36+C38)*0.85</f>
        <v>1501848</v>
      </c>
      <c r="D52" t="s">
        <v>183</v>
      </c>
      <c r="E52" s="2">
        <f>C41+C42</f>
        <v>20000</v>
      </c>
      <c r="K52" s="310"/>
      <c r="L52" s="311"/>
      <c r="M52" s="311"/>
      <c r="N52" s="314"/>
      <c r="O52" s="315"/>
    </row>
    <row r="53" spans="2:15" x14ac:dyDescent="0.2">
      <c r="B53" t="s">
        <v>370</v>
      </c>
      <c r="C53" s="1">
        <f>(C51*0.98)-C52</f>
        <v>409152</v>
      </c>
      <c r="E53" s="2">
        <f>SUM(E51:E52)</f>
        <v>285032</v>
      </c>
      <c r="F53" s="274"/>
      <c r="K53" s="310"/>
      <c r="L53" s="311"/>
      <c r="M53" s="311"/>
      <c r="N53" s="314"/>
      <c r="O53" s="315"/>
    </row>
    <row r="54" spans="2:15" x14ac:dyDescent="0.2">
      <c r="B54"/>
      <c r="C54"/>
      <c r="K54" s="310"/>
      <c r="L54" s="311"/>
      <c r="M54" s="311"/>
      <c r="N54" s="314"/>
      <c r="O54" s="315"/>
    </row>
    <row r="55" spans="2:15" x14ac:dyDescent="0.2">
      <c r="B55" t="s">
        <v>368</v>
      </c>
      <c r="C55" s="1">
        <f>C53-E57</f>
        <v>124120</v>
      </c>
      <c r="E55" s="2"/>
      <c r="K55" s="310"/>
      <c r="L55" s="311"/>
      <c r="M55" s="311"/>
      <c r="N55" s="314"/>
      <c r="O55" s="315"/>
    </row>
    <row r="56" spans="2:15" x14ac:dyDescent="0.2">
      <c r="B56"/>
      <c r="C56"/>
      <c r="K56" s="310"/>
      <c r="L56" s="256"/>
      <c r="M56" s="256"/>
      <c r="N56" s="252"/>
      <c r="O56" s="253"/>
    </row>
    <row r="57" spans="2:15" x14ac:dyDescent="0.2">
      <c r="B57" s="258" t="s">
        <v>372</v>
      </c>
      <c r="C57" s="259">
        <f>C50-C48</f>
        <v>1183472</v>
      </c>
      <c r="D57" t="s">
        <v>376</v>
      </c>
      <c r="E57" s="2">
        <f>E53</f>
        <v>285032</v>
      </c>
      <c r="K57" s="254"/>
      <c r="L57" s="256"/>
      <c r="M57" s="256"/>
      <c r="N57" s="252"/>
      <c r="O57" s="253"/>
    </row>
    <row r="58" spans="2:15" x14ac:dyDescent="0.2">
      <c r="C58" s="1">
        <f>C57/16</f>
        <v>73967</v>
      </c>
      <c r="D58" s="1"/>
      <c r="K58" s="254"/>
      <c r="L58" s="256"/>
      <c r="M58" s="256"/>
      <c r="N58" s="252"/>
      <c r="O58" s="253"/>
    </row>
    <row r="59" spans="2:15" x14ac:dyDescent="0.2">
      <c r="D59" s="1"/>
      <c r="J59" s="254"/>
      <c r="K59" s="256"/>
      <c r="L59" s="256"/>
      <c r="M59" s="252"/>
      <c r="N59" s="253"/>
    </row>
    <row r="60" spans="2:15" x14ac:dyDescent="0.2">
      <c r="D60" s="1"/>
      <c r="J60" s="254"/>
      <c r="K60" s="311"/>
      <c r="L60" s="311"/>
      <c r="M60" s="314"/>
      <c r="N60" s="315"/>
    </row>
    <row r="61" spans="2:15" x14ac:dyDescent="0.2">
      <c r="D61" s="1"/>
      <c r="F61" s="1"/>
      <c r="H61" s="254"/>
      <c r="I61" s="254"/>
      <c r="J61" s="310"/>
      <c r="K61" s="311"/>
      <c r="L61" s="311"/>
      <c r="M61" s="314"/>
      <c r="N61" s="315"/>
    </row>
    <row r="62" spans="2:15" x14ac:dyDescent="0.2">
      <c r="D62" s="1"/>
      <c r="F62" s="1"/>
      <c r="H62" s="255"/>
      <c r="I62" s="255"/>
      <c r="J62" s="310"/>
      <c r="K62" s="311"/>
      <c r="L62" s="311"/>
      <c r="M62" s="314"/>
      <c r="N62" s="315"/>
    </row>
    <row r="63" spans="2:15" x14ac:dyDescent="0.2">
      <c r="D63" s="1"/>
      <c r="H63" s="255"/>
      <c r="J63" s="310"/>
      <c r="K63" s="311"/>
      <c r="L63" s="311"/>
      <c r="M63" s="314"/>
      <c r="N63" s="315"/>
    </row>
    <row r="64" spans="2:15" x14ac:dyDescent="0.2">
      <c r="E64" s="1"/>
      <c r="F64" s="2"/>
      <c r="H64" s="253"/>
      <c r="J64" s="310"/>
      <c r="K64" s="311"/>
      <c r="L64" s="311"/>
      <c r="M64" s="314"/>
      <c r="N64" s="315"/>
    </row>
    <row r="65" spans="4:14" x14ac:dyDescent="0.2">
      <c r="D65" s="1"/>
      <c r="G65" s="1"/>
      <c r="H65" s="254"/>
      <c r="I65" s="254"/>
      <c r="J65" s="310"/>
      <c r="K65" s="311"/>
      <c r="L65" s="311"/>
      <c r="M65" s="314"/>
      <c r="N65" s="315"/>
    </row>
    <row r="66" spans="4:14" x14ac:dyDescent="0.2">
      <c r="D66" s="1"/>
      <c r="G66" s="1"/>
      <c r="H66" s="255"/>
      <c r="I66" s="255"/>
      <c r="J66" s="310"/>
      <c r="K66" s="311"/>
      <c r="L66" s="311"/>
      <c r="M66" s="314"/>
      <c r="N66" s="315"/>
    </row>
    <row r="67" spans="4:14" x14ac:dyDescent="0.2">
      <c r="D67" s="1"/>
      <c r="G67" s="1"/>
      <c r="H67" s="255"/>
      <c r="J67" s="310"/>
      <c r="K67" s="311"/>
      <c r="L67" s="311"/>
      <c r="M67" s="314"/>
      <c r="N67" s="315"/>
    </row>
    <row r="68" spans="4:14" x14ac:dyDescent="0.2">
      <c r="D68" s="1"/>
      <c r="G68" s="1"/>
      <c r="H68" s="253"/>
      <c r="J68" s="310"/>
      <c r="K68" s="311"/>
      <c r="L68" s="311"/>
      <c r="M68" s="314"/>
      <c r="N68" s="315"/>
    </row>
    <row r="69" spans="4:14" x14ac:dyDescent="0.2">
      <c r="D69" s="1"/>
      <c r="H69" s="254"/>
      <c r="I69" s="254"/>
      <c r="J69" s="310"/>
      <c r="K69" s="311"/>
      <c r="L69" s="311"/>
      <c r="M69" s="314"/>
      <c r="N69" s="315"/>
    </row>
    <row r="70" spans="4:14" x14ac:dyDescent="0.2">
      <c r="D70" s="1"/>
      <c r="H70" s="255"/>
      <c r="I70" s="255"/>
      <c r="J70" s="310"/>
      <c r="K70" s="311"/>
      <c r="L70" s="311"/>
      <c r="M70" s="314"/>
      <c r="N70" s="315"/>
    </row>
    <row r="71" spans="4:14" x14ac:dyDescent="0.2">
      <c r="D71" s="1"/>
      <c r="H71" s="255"/>
      <c r="J71" s="310"/>
      <c r="K71" s="311"/>
      <c r="L71" s="311"/>
      <c r="M71" s="314"/>
      <c r="N71" s="315"/>
    </row>
    <row r="72" spans="4:14" x14ac:dyDescent="0.2">
      <c r="D72" s="1"/>
      <c r="H72" s="253"/>
      <c r="J72" s="310"/>
      <c r="K72" s="311"/>
      <c r="L72" s="311"/>
      <c r="M72" s="314"/>
      <c r="N72" s="315"/>
    </row>
    <row r="73" spans="4:14" x14ac:dyDescent="0.2">
      <c r="D73" s="1"/>
      <c r="H73" s="254"/>
      <c r="I73" s="254"/>
      <c r="J73" s="310"/>
      <c r="K73" s="311"/>
      <c r="L73" s="311"/>
      <c r="M73" s="314"/>
      <c r="N73" s="315"/>
    </row>
    <row r="74" spans="4:14" x14ac:dyDescent="0.2">
      <c r="D74" s="1"/>
      <c r="H74" s="255"/>
      <c r="I74" s="255"/>
      <c r="J74" s="310"/>
      <c r="K74" s="311"/>
      <c r="L74" s="311"/>
      <c r="M74" s="314"/>
      <c r="N74" s="315"/>
    </row>
    <row r="75" spans="4:14" x14ac:dyDescent="0.2">
      <c r="D75" s="1"/>
      <c r="H75" s="255"/>
      <c r="J75" s="310"/>
      <c r="K75" s="311"/>
      <c r="L75" s="311"/>
      <c r="M75" s="314"/>
      <c r="N75" s="315"/>
    </row>
    <row r="76" spans="4:14" x14ac:dyDescent="0.2">
      <c r="D76" s="1"/>
      <c r="H76" s="253"/>
      <c r="J76" s="310"/>
      <c r="K76" s="311"/>
      <c r="L76" s="311"/>
      <c r="M76" s="314"/>
      <c r="N76" s="315"/>
    </row>
    <row r="77" spans="4:14" x14ac:dyDescent="0.2">
      <c r="D77" s="1"/>
      <c r="H77" s="254"/>
      <c r="I77" s="254"/>
      <c r="J77" s="310"/>
      <c r="K77" s="311"/>
      <c r="L77" s="311"/>
      <c r="M77" s="314"/>
      <c r="N77" s="315"/>
    </row>
    <row r="78" spans="4:14" x14ac:dyDescent="0.2">
      <c r="D78" s="1"/>
      <c r="H78" s="255"/>
      <c r="I78" s="255"/>
      <c r="J78" s="310"/>
      <c r="K78" s="311"/>
      <c r="L78" s="311"/>
      <c r="M78" s="314"/>
      <c r="N78" s="315"/>
    </row>
    <row r="79" spans="4:14" x14ac:dyDescent="0.2">
      <c r="D79" s="1"/>
      <c r="H79" s="255"/>
      <c r="J79" s="310"/>
      <c r="K79" s="311"/>
      <c r="L79" s="311"/>
      <c r="M79" s="314"/>
      <c r="N79" s="315"/>
    </row>
    <row r="80" spans="4:14" x14ac:dyDescent="0.2">
      <c r="D80" s="1"/>
      <c r="H80" s="253"/>
      <c r="J80" s="310"/>
      <c r="K80" s="311"/>
      <c r="L80" s="311"/>
      <c r="M80" s="314"/>
      <c r="N80" s="315"/>
    </row>
    <row r="81" spans="4:14" x14ac:dyDescent="0.2">
      <c r="D81" s="1"/>
      <c r="H81" s="254"/>
      <c r="I81" s="254"/>
      <c r="J81" s="310"/>
      <c r="K81" s="311"/>
      <c r="L81" s="311"/>
      <c r="M81" s="314"/>
      <c r="N81" s="315"/>
    </row>
    <row r="82" spans="4:14" x14ac:dyDescent="0.2">
      <c r="H82" s="255"/>
      <c r="I82" s="255"/>
      <c r="J82" s="310"/>
      <c r="K82" s="311"/>
      <c r="L82" s="311"/>
      <c r="M82" s="314"/>
      <c r="N82" s="315"/>
    </row>
    <row r="83" spans="4:14" x14ac:dyDescent="0.2">
      <c r="H83" s="255"/>
      <c r="J83" s="310"/>
      <c r="K83" s="311"/>
      <c r="L83" s="311"/>
      <c r="M83" s="314"/>
      <c r="N83" s="315"/>
    </row>
    <row r="84" spans="4:14" x14ac:dyDescent="0.2">
      <c r="H84" s="253"/>
      <c r="J84" s="310"/>
      <c r="K84" s="311"/>
      <c r="L84" s="311"/>
      <c r="M84" s="314"/>
      <c r="N84" s="315"/>
    </row>
    <row r="85" spans="4:14" x14ac:dyDescent="0.2">
      <c r="H85" s="254"/>
      <c r="I85" s="254"/>
      <c r="J85" s="310"/>
      <c r="K85" s="311"/>
      <c r="L85" s="311"/>
      <c r="M85" s="314"/>
      <c r="N85" s="315"/>
    </row>
    <row r="86" spans="4:14" x14ac:dyDescent="0.2">
      <c r="H86" s="255"/>
      <c r="I86" s="255"/>
      <c r="J86" s="310"/>
      <c r="K86" s="311"/>
      <c r="L86" s="311"/>
      <c r="M86" s="314"/>
      <c r="N86" s="315"/>
    </row>
    <row r="87" spans="4:14" x14ac:dyDescent="0.2">
      <c r="H87" s="255"/>
      <c r="J87" s="310"/>
      <c r="K87" s="311"/>
      <c r="L87" s="311"/>
      <c r="M87" s="314"/>
      <c r="N87" s="315"/>
    </row>
    <row r="88" spans="4:14" x14ac:dyDescent="0.2">
      <c r="H88" s="253"/>
      <c r="J88" s="310"/>
      <c r="K88" s="311"/>
      <c r="L88" s="311"/>
      <c r="M88" s="314"/>
      <c r="N88" s="315"/>
    </row>
    <row r="89" spans="4:14" x14ac:dyDescent="0.2">
      <c r="H89" s="254"/>
      <c r="I89" s="254"/>
      <c r="J89" s="310"/>
      <c r="K89" s="311"/>
      <c r="L89" s="311"/>
      <c r="M89" s="314"/>
      <c r="N89" s="315"/>
    </row>
    <row r="90" spans="4:14" x14ac:dyDescent="0.2">
      <c r="H90" s="255"/>
      <c r="I90" s="255"/>
      <c r="J90" s="310"/>
      <c r="K90" s="311"/>
      <c r="L90" s="311"/>
      <c r="M90" s="314"/>
      <c r="N90" s="315"/>
    </row>
    <row r="91" spans="4:14" x14ac:dyDescent="0.2">
      <c r="H91" s="255"/>
      <c r="J91" s="310"/>
      <c r="K91" s="311"/>
      <c r="L91" s="311"/>
      <c r="M91" s="314"/>
      <c r="N91" s="315"/>
    </row>
    <row r="92" spans="4:14" x14ac:dyDescent="0.2">
      <c r="H92" s="253"/>
      <c r="J92" s="310"/>
      <c r="K92" s="311"/>
      <c r="L92" s="311"/>
      <c r="M92" s="314"/>
      <c r="N92" s="315"/>
    </row>
    <row r="93" spans="4:14" x14ac:dyDescent="0.2">
      <c r="H93" s="254"/>
      <c r="I93" s="254"/>
      <c r="J93" s="310"/>
      <c r="K93" s="311"/>
      <c r="L93" s="311"/>
      <c r="M93" s="314"/>
      <c r="N93" s="315"/>
    </row>
    <row r="94" spans="4:14" x14ac:dyDescent="0.2">
      <c r="H94" s="255"/>
      <c r="I94" s="255"/>
      <c r="J94" s="310"/>
      <c r="K94" s="311"/>
      <c r="L94" s="311"/>
      <c r="M94" s="314"/>
      <c r="N94" s="315"/>
    </row>
    <row r="95" spans="4:14" x14ac:dyDescent="0.2">
      <c r="H95" s="255"/>
      <c r="J95" s="310"/>
      <c r="K95" s="311"/>
      <c r="L95" s="311"/>
      <c r="M95" s="314"/>
      <c r="N95" s="315"/>
    </row>
    <row r="96" spans="4:14" x14ac:dyDescent="0.2">
      <c r="H96" s="253"/>
      <c r="J96" s="310"/>
      <c r="K96" s="311"/>
      <c r="L96" s="311"/>
      <c r="M96" s="314"/>
    </row>
    <row r="97" spans="8:13" x14ac:dyDescent="0.2">
      <c r="H97" s="254"/>
      <c r="K97" s="311"/>
      <c r="L97" s="311"/>
      <c r="M97" s="314"/>
    </row>
    <row r="98" spans="8:13" x14ac:dyDescent="0.2">
      <c r="H98" s="255"/>
      <c r="K98" s="311"/>
      <c r="L98" s="311"/>
      <c r="M98" s="314"/>
    </row>
    <row r="99" spans="8:13" x14ac:dyDescent="0.2">
      <c r="H99" s="255"/>
      <c r="K99" s="311"/>
      <c r="L99" s="311"/>
      <c r="M99" s="314"/>
    </row>
    <row r="100" spans="8:13" x14ac:dyDescent="0.2">
      <c r="M100" s="251"/>
    </row>
  </sheetData>
  <mergeCells count="63">
    <mergeCell ref="M84:M87"/>
    <mergeCell ref="N84:N87"/>
    <mergeCell ref="J85:J88"/>
    <mergeCell ref="K88:K91"/>
    <mergeCell ref="L88:L91"/>
    <mergeCell ref="M88:M91"/>
    <mergeCell ref="N88:N91"/>
    <mergeCell ref="J89:J92"/>
    <mergeCell ref="K92:K95"/>
    <mergeCell ref="L92:L95"/>
    <mergeCell ref="M92:M95"/>
    <mergeCell ref="N92:N95"/>
    <mergeCell ref="J93:J96"/>
    <mergeCell ref="K96:K99"/>
    <mergeCell ref="L96:L99"/>
    <mergeCell ref="M96:M99"/>
    <mergeCell ref="L72:L75"/>
    <mergeCell ref="M72:M75"/>
    <mergeCell ref="N72:N75"/>
    <mergeCell ref="J73:J76"/>
    <mergeCell ref="K76:K79"/>
    <mergeCell ref="L76:L79"/>
    <mergeCell ref="M76:M79"/>
    <mergeCell ref="N76:N79"/>
    <mergeCell ref="J77:J80"/>
    <mergeCell ref="K80:K83"/>
    <mergeCell ref="L80:L83"/>
    <mergeCell ref="M80:M83"/>
    <mergeCell ref="N80:N83"/>
    <mergeCell ref="J81:J84"/>
    <mergeCell ref="K84:K87"/>
    <mergeCell ref="L84:L87"/>
    <mergeCell ref="K60:K63"/>
    <mergeCell ref="L60:L63"/>
    <mergeCell ref="M60:M63"/>
    <mergeCell ref="N60:N63"/>
    <mergeCell ref="J61:J64"/>
    <mergeCell ref="K64:K67"/>
    <mergeCell ref="L64:L67"/>
    <mergeCell ref="M64:M67"/>
    <mergeCell ref="N64:N67"/>
    <mergeCell ref="J65:J68"/>
    <mergeCell ref="K68:K71"/>
    <mergeCell ref="L68:L71"/>
    <mergeCell ref="M68:M71"/>
    <mergeCell ref="N68:N71"/>
    <mergeCell ref="J69:J72"/>
    <mergeCell ref="K72:K75"/>
    <mergeCell ref="K45:K48"/>
    <mergeCell ref="L48:L51"/>
    <mergeCell ref="M48:M51"/>
    <mergeCell ref="N48:N51"/>
    <mergeCell ref="O48:O51"/>
    <mergeCell ref="K49:K52"/>
    <mergeCell ref="L52:L55"/>
    <mergeCell ref="M52:M55"/>
    <mergeCell ref="N52:N55"/>
    <mergeCell ref="O52:O55"/>
    <mergeCell ref="K53:K56"/>
    <mergeCell ref="B1:H1"/>
    <mergeCell ref="B2:D2"/>
    <mergeCell ref="F2:H2"/>
    <mergeCell ref="K3:W3"/>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11C93-C47C-A441-BB98-12CA09D5C7AB}">
  <dimension ref="A1:M160"/>
  <sheetViews>
    <sheetView zoomScale="160" zoomScaleNormal="160" workbookViewId="0">
      <selection activeCell="D13" sqref="D13"/>
    </sheetView>
  </sheetViews>
  <sheetFormatPr baseColWidth="10" defaultColWidth="10.83203125" defaultRowHeight="15" x14ac:dyDescent="0.2"/>
  <cols>
    <col min="1" max="1" width="11" bestFit="1" customWidth="1"/>
    <col min="2" max="2" width="17" bestFit="1" customWidth="1"/>
    <col min="3" max="3" width="21" bestFit="1" customWidth="1"/>
    <col min="4" max="4" width="13.83203125" bestFit="1" customWidth="1"/>
    <col min="5" max="5" width="14" bestFit="1" customWidth="1"/>
    <col min="6" max="6" width="12.1640625" bestFit="1" customWidth="1"/>
    <col min="7" max="7" width="12.33203125" bestFit="1" customWidth="1"/>
    <col min="8" max="8" width="15.5" customWidth="1"/>
    <col min="9" max="9" width="11.1640625" bestFit="1" customWidth="1"/>
    <col min="10" max="10" width="30.33203125" bestFit="1" customWidth="1"/>
    <col min="11" max="11" width="8.6640625" bestFit="1" customWidth="1"/>
    <col min="12" max="12" width="12.1640625" bestFit="1" customWidth="1"/>
    <col min="13" max="24" width="11" bestFit="1" customWidth="1"/>
  </cols>
  <sheetData>
    <row r="1" spans="1:10" x14ac:dyDescent="0.2">
      <c r="B1" s="319" t="s">
        <v>378</v>
      </c>
      <c r="C1" s="319"/>
      <c r="D1" s="319"/>
      <c r="E1" s="319"/>
      <c r="F1" s="319"/>
      <c r="I1" t="s">
        <v>149</v>
      </c>
      <c r="J1" t="s">
        <v>9</v>
      </c>
    </row>
    <row r="2" spans="1:10" x14ac:dyDescent="0.2">
      <c r="C2" s="90" t="s">
        <v>176</v>
      </c>
      <c r="D2" s="89" t="s">
        <v>177</v>
      </c>
      <c r="E2" s="59" t="s">
        <v>174</v>
      </c>
      <c r="F2" s="1">
        <v>1650</v>
      </c>
      <c r="H2" t="s">
        <v>392</v>
      </c>
      <c r="I2" s="2">
        <f>J2/10</f>
        <v>1500</v>
      </c>
      <c r="J2" s="1">
        <v>15000</v>
      </c>
    </row>
    <row r="3" spans="1:10" x14ac:dyDescent="0.2">
      <c r="A3" s="59">
        <v>1</v>
      </c>
      <c r="B3" t="s">
        <v>174</v>
      </c>
      <c r="C3" s="91" t="s">
        <v>182</v>
      </c>
      <c r="D3" s="1">
        <v>1500</v>
      </c>
      <c r="E3" t="s">
        <v>377</v>
      </c>
      <c r="F3" s="1">
        <v>2500</v>
      </c>
      <c r="H3" t="s">
        <v>393</v>
      </c>
      <c r="I3" s="2">
        <f t="shared" ref="I3:I5" si="0">J3/10</f>
        <v>500</v>
      </c>
      <c r="J3" s="1">
        <v>5000</v>
      </c>
    </row>
    <row r="4" spans="1:10" x14ac:dyDescent="0.2">
      <c r="A4" s="59">
        <v>2</v>
      </c>
      <c r="B4" t="s">
        <v>174</v>
      </c>
      <c r="C4" s="91" t="s">
        <v>182</v>
      </c>
      <c r="D4" s="1">
        <v>1500</v>
      </c>
      <c r="H4" t="s">
        <v>151</v>
      </c>
      <c r="I4" s="2">
        <f t="shared" si="0"/>
        <v>3750</v>
      </c>
      <c r="J4" s="1">
        <f>30*1250</f>
        <v>37500</v>
      </c>
    </row>
    <row r="5" spans="1:10" ht="16" thickBot="1" x14ac:dyDescent="0.25">
      <c r="A5" s="59">
        <v>3</v>
      </c>
      <c r="B5" t="s">
        <v>174</v>
      </c>
      <c r="C5" s="91" t="s">
        <v>182</v>
      </c>
      <c r="D5" s="1">
        <v>1500</v>
      </c>
      <c r="H5" t="s">
        <v>383</v>
      </c>
      <c r="I5" s="266">
        <f t="shared" si="0"/>
        <v>500</v>
      </c>
      <c r="J5" s="52">
        <v>5000</v>
      </c>
    </row>
    <row r="6" spans="1:10" x14ac:dyDescent="0.2">
      <c r="A6" s="59">
        <v>4</v>
      </c>
      <c r="B6" t="s">
        <v>174</v>
      </c>
      <c r="C6" s="91" t="s">
        <v>182</v>
      </c>
      <c r="D6" s="1">
        <v>1500</v>
      </c>
      <c r="H6" s="1" t="s">
        <v>9</v>
      </c>
      <c r="I6" s="1">
        <f>SUM(I2:I5)</f>
        <v>6250</v>
      </c>
      <c r="J6" s="1">
        <f>SUM(J2:J5)</f>
        <v>62500</v>
      </c>
    </row>
    <row r="7" spans="1:10" x14ac:dyDescent="0.2">
      <c r="A7" s="59">
        <v>5</v>
      </c>
      <c r="B7" t="s">
        <v>174</v>
      </c>
      <c r="C7" s="91" t="s">
        <v>182</v>
      </c>
      <c r="D7" s="1">
        <v>1500</v>
      </c>
    </row>
    <row r="8" spans="1:10" ht="19" x14ac:dyDescent="0.25">
      <c r="A8" s="59">
        <v>6</v>
      </c>
      <c r="B8" t="s">
        <v>174</v>
      </c>
      <c r="C8" s="91" t="s">
        <v>182</v>
      </c>
      <c r="D8" s="1">
        <v>1500</v>
      </c>
      <c r="H8" s="313" t="s">
        <v>386</v>
      </c>
      <c r="I8" s="313"/>
      <c r="J8" s="313"/>
    </row>
    <row r="9" spans="1:10" x14ac:dyDescent="0.2">
      <c r="A9" s="59">
        <v>7</v>
      </c>
      <c r="B9" t="s">
        <v>174</v>
      </c>
      <c r="C9" s="91" t="s">
        <v>182</v>
      </c>
      <c r="D9" s="1">
        <v>1500</v>
      </c>
      <c r="H9" t="s">
        <v>394</v>
      </c>
      <c r="I9" s="1">
        <v>1250</v>
      </c>
      <c r="J9" s="1">
        <f>I9*10</f>
        <v>12500</v>
      </c>
    </row>
    <row r="10" spans="1:10" x14ac:dyDescent="0.2">
      <c r="A10" s="59">
        <v>8</v>
      </c>
      <c r="B10" t="s">
        <v>174</v>
      </c>
      <c r="C10" s="91" t="s">
        <v>182</v>
      </c>
      <c r="D10" s="1">
        <v>1500</v>
      </c>
      <c r="H10" t="s">
        <v>154</v>
      </c>
      <c r="I10" s="1">
        <v>500</v>
      </c>
      <c r="J10" s="1">
        <f>I10*10</f>
        <v>5000</v>
      </c>
    </row>
    <row r="11" spans="1:10" x14ac:dyDescent="0.2">
      <c r="A11" s="59">
        <v>9</v>
      </c>
      <c r="B11" t="s">
        <v>379</v>
      </c>
      <c r="C11" s="91" t="s">
        <v>182</v>
      </c>
      <c r="D11" s="1">
        <v>2250</v>
      </c>
      <c r="H11" t="s">
        <v>155</v>
      </c>
      <c r="I11" s="1">
        <v>3500</v>
      </c>
      <c r="J11" s="1">
        <f>I11*10</f>
        <v>35000</v>
      </c>
    </row>
    <row r="12" spans="1:10" ht="16" thickBot="1" x14ac:dyDescent="0.25">
      <c r="A12" s="59">
        <v>10</v>
      </c>
      <c r="B12" t="s">
        <v>379</v>
      </c>
      <c r="C12" s="261" t="s">
        <v>182</v>
      </c>
      <c r="D12" s="52">
        <v>2250</v>
      </c>
      <c r="H12" t="s">
        <v>403</v>
      </c>
      <c r="I12" s="1">
        <v>1250</v>
      </c>
      <c r="J12" s="1">
        <f>I12*10</f>
        <v>12500</v>
      </c>
    </row>
    <row r="13" spans="1:10" x14ac:dyDescent="0.2">
      <c r="C13" s="91" t="s">
        <v>175</v>
      </c>
      <c r="D13" s="2">
        <f>SUM(D3:D12)</f>
        <v>16500</v>
      </c>
      <c r="H13" t="s">
        <v>395</v>
      </c>
      <c r="I13" s="1">
        <v>800</v>
      </c>
      <c r="J13" s="1">
        <f>I13*10</f>
        <v>8000</v>
      </c>
    </row>
    <row r="14" spans="1:10" x14ac:dyDescent="0.2">
      <c r="C14" s="91" t="s">
        <v>140</v>
      </c>
      <c r="D14" s="2">
        <f>D13*12</f>
        <v>198000</v>
      </c>
      <c r="H14" t="s">
        <v>211</v>
      </c>
      <c r="I14" s="1">
        <v>1500</v>
      </c>
      <c r="J14" s="1">
        <f t="shared" ref="J14:J16" si="1">I14*10</f>
        <v>15000</v>
      </c>
    </row>
    <row r="15" spans="1:10" x14ac:dyDescent="0.2">
      <c r="H15" t="s">
        <v>381</v>
      </c>
      <c r="I15" s="1">
        <v>2000</v>
      </c>
      <c r="J15" s="1">
        <f>I15*4</f>
        <v>8000</v>
      </c>
    </row>
    <row r="16" spans="1:10" ht="16" x14ac:dyDescent="0.2">
      <c r="B16" s="82" t="s">
        <v>85</v>
      </c>
      <c r="C16" s="92" t="s">
        <v>123</v>
      </c>
      <c r="H16" t="s">
        <v>402</v>
      </c>
      <c r="I16" s="1">
        <v>1000</v>
      </c>
      <c r="J16" s="1">
        <f t="shared" si="1"/>
        <v>10000</v>
      </c>
    </row>
    <row r="17" spans="2:10" x14ac:dyDescent="0.2">
      <c r="B17" t="s">
        <v>138</v>
      </c>
      <c r="C17" s="1">
        <f>D14*0.05</f>
        <v>9900</v>
      </c>
      <c r="H17" t="s">
        <v>148</v>
      </c>
      <c r="I17" s="1">
        <v>2000</v>
      </c>
      <c r="J17" s="1">
        <f>I17*10</f>
        <v>20000</v>
      </c>
    </row>
    <row r="18" spans="2:10" x14ac:dyDescent="0.2">
      <c r="B18" t="s">
        <v>139</v>
      </c>
      <c r="C18" s="1">
        <f>D14*0.05</f>
        <v>9900</v>
      </c>
      <c r="H18" t="s">
        <v>168</v>
      </c>
      <c r="I18" s="1">
        <v>1000</v>
      </c>
      <c r="J18" s="1">
        <f>I18*10</f>
        <v>10000</v>
      </c>
    </row>
    <row r="19" spans="2:10" x14ac:dyDescent="0.2">
      <c r="B19" t="s">
        <v>10</v>
      </c>
      <c r="C19" s="1"/>
      <c r="H19" t="s">
        <v>156</v>
      </c>
      <c r="I19" s="1">
        <v>500</v>
      </c>
      <c r="J19" s="1">
        <f>I19*10</f>
        <v>5000</v>
      </c>
    </row>
    <row r="20" spans="2:10" ht="16" thickBot="1" x14ac:dyDescent="0.25">
      <c r="B20" t="s">
        <v>178</v>
      </c>
      <c r="C20" s="1">
        <v>6000</v>
      </c>
      <c r="H20" t="s">
        <v>167</v>
      </c>
      <c r="I20" s="52">
        <f>4750*5.5/10</f>
        <v>2612.5</v>
      </c>
      <c r="J20" s="52">
        <f>I20*10</f>
        <v>26125</v>
      </c>
    </row>
    <row r="21" spans="2:10" x14ac:dyDescent="0.2">
      <c r="B21" t="s">
        <v>83</v>
      </c>
      <c r="C21" s="1">
        <v>15000</v>
      </c>
      <c r="I21" s="1">
        <f>SUM(I9:I20)</f>
        <v>17912.5</v>
      </c>
      <c r="J21" s="1">
        <f>SUM(J9:J20)</f>
        <v>167125</v>
      </c>
    </row>
    <row r="22" spans="2:10" x14ac:dyDescent="0.2">
      <c r="B22" t="s">
        <v>137</v>
      </c>
      <c r="C22" s="1">
        <f>D14*0.05</f>
        <v>9900</v>
      </c>
      <c r="I22" s="1"/>
      <c r="J22" s="1"/>
    </row>
    <row r="23" spans="2:10" ht="19" x14ac:dyDescent="0.25">
      <c r="B23" t="s">
        <v>87</v>
      </c>
      <c r="C23" s="1">
        <v>15000</v>
      </c>
      <c r="H23" s="313" t="s">
        <v>384</v>
      </c>
      <c r="I23" s="313"/>
      <c r="J23" s="313"/>
    </row>
    <row r="24" spans="2:10" x14ac:dyDescent="0.2">
      <c r="B24" t="s">
        <v>14</v>
      </c>
      <c r="C24" s="1">
        <f>SUM(C17:C23)</f>
        <v>65700</v>
      </c>
      <c r="H24" t="s">
        <v>158</v>
      </c>
      <c r="I24" s="1">
        <v>2250</v>
      </c>
      <c r="J24" s="1">
        <f>I24*10</f>
        <v>22500</v>
      </c>
    </row>
    <row r="25" spans="2:10" x14ac:dyDescent="0.2">
      <c r="C25" s="1"/>
      <c r="H25" t="s">
        <v>162</v>
      </c>
      <c r="I25" s="1">
        <v>750</v>
      </c>
      <c r="J25" s="1">
        <f>I25*10</f>
        <v>7500</v>
      </c>
    </row>
    <row r="26" spans="2:10" x14ac:dyDescent="0.2">
      <c r="H26" t="s">
        <v>163</v>
      </c>
      <c r="I26" s="1">
        <v>500</v>
      </c>
      <c r="J26" s="1">
        <f>I26*10</f>
        <v>5000</v>
      </c>
    </row>
    <row r="27" spans="2:10" ht="16" thickBot="1" x14ac:dyDescent="0.25">
      <c r="B27" t="s">
        <v>75</v>
      </c>
      <c r="C27" s="8">
        <f>D14-C24</f>
        <v>132300</v>
      </c>
      <c r="H27" t="s">
        <v>388</v>
      </c>
      <c r="I27" s="52">
        <v>1000</v>
      </c>
      <c r="J27" s="52">
        <f>I27*10</f>
        <v>10000</v>
      </c>
    </row>
    <row r="28" spans="2:10" x14ac:dyDescent="0.2">
      <c r="B28" t="s">
        <v>380</v>
      </c>
      <c r="C28" s="8">
        <f>C27/0.06</f>
        <v>2205000</v>
      </c>
      <c r="I28" s="2">
        <f>SUM(I24:I27)</f>
        <v>4500</v>
      </c>
      <c r="J28" s="2">
        <f>SUM(J24:J27)</f>
        <v>45000</v>
      </c>
    </row>
    <row r="29" spans="2:10" x14ac:dyDescent="0.2">
      <c r="C29" s="1"/>
      <c r="D29" s="1"/>
      <c r="I29" s="1"/>
    </row>
    <row r="30" spans="2:10" ht="19" x14ac:dyDescent="0.25">
      <c r="C30" s="1"/>
      <c r="D30" s="1"/>
      <c r="H30" s="320" t="s">
        <v>385</v>
      </c>
      <c r="I30" s="320"/>
      <c r="J30" s="320"/>
    </row>
    <row r="31" spans="2:10" x14ac:dyDescent="0.2">
      <c r="C31" s="1"/>
      <c r="D31" s="1"/>
      <c r="H31" t="s">
        <v>157</v>
      </c>
      <c r="I31" s="1">
        <v>350</v>
      </c>
      <c r="J31" s="1">
        <f>I31*10</f>
        <v>3500</v>
      </c>
    </row>
    <row r="32" spans="2:10" x14ac:dyDescent="0.2">
      <c r="B32" t="s">
        <v>88</v>
      </c>
      <c r="C32" s="1">
        <v>1125000</v>
      </c>
      <c r="D32" s="1"/>
      <c r="H32" t="s">
        <v>390</v>
      </c>
      <c r="I32" s="1">
        <v>650</v>
      </c>
      <c r="J32" s="1">
        <f>I32*10</f>
        <v>6500</v>
      </c>
    </row>
    <row r="33" spans="2:13" x14ac:dyDescent="0.2">
      <c r="B33" t="s">
        <v>89</v>
      </c>
      <c r="C33" s="1">
        <f>J48</f>
        <v>353787.5</v>
      </c>
      <c r="D33" s="1"/>
      <c r="H33" t="s">
        <v>159</v>
      </c>
      <c r="I33" s="1">
        <v>1000</v>
      </c>
      <c r="J33" s="1">
        <f>I33*10</f>
        <v>10000</v>
      </c>
    </row>
    <row r="34" spans="2:13" x14ac:dyDescent="0.2">
      <c r="B34" t="s">
        <v>401</v>
      </c>
      <c r="C34" s="1">
        <v>30000</v>
      </c>
      <c r="D34" s="1"/>
      <c r="H34" t="s">
        <v>389</v>
      </c>
      <c r="I34" s="1">
        <v>1250</v>
      </c>
      <c r="J34" s="1">
        <f>I34*10</f>
        <v>12500</v>
      </c>
    </row>
    <row r="35" spans="2:13" ht="16" thickBot="1" x14ac:dyDescent="0.25">
      <c r="B35" t="s">
        <v>90</v>
      </c>
      <c r="C35" s="1">
        <f>C33+C32+C34</f>
        <v>1508787.5</v>
      </c>
      <c r="D35" s="1"/>
      <c r="H35" t="s">
        <v>391</v>
      </c>
      <c r="I35" s="52">
        <v>100</v>
      </c>
      <c r="J35" s="52">
        <f>I35*10</f>
        <v>1000</v>
      </c>
    </row>
    <row r="36" spans="2:13" x14ac:dyDescent="0.2">
      <c r="C36" s="1"/>
      <c r="D36" s="1"/>
      <c r="I36" s="2">
        <f>SUM(I31:I35)</f>
        <v>3350</v>
      </c>
      <c r="J36" s="2">
        <f>SUM(J31:J35)</f>
        <v>33500</v>
      </c>
    </row>
    <row r="37" spans="2:13" ht="16" thickBot="1" x14ac:dyDescent="0.25">
      <c r="B37" t="s">
        <v>124</v>
      </c>
      <c r="C37" s="1">
        <f>C27/0.06</f>
        <v>2205000</v>
      </c>
      <c r="D37" s="1"/>
      <c r="I37" s="1"/>
      <c r="J37" s="2"/>
    </row>
    <row r="38" spans="2:13" ht="19" x14ac:dyDescent="0.25">
      <c r="B38" t="s">
        <v>125</v>
      </c>
      <c r="C38" s="3">
        <f>C35/C37</f>
        <v>0.68425736961451245</v>
      </c>
      <c r="D38" s="1"/>
      <c r="H38" s="313" t="s">
        <v>387</v>
      </c>
      <c r="I38" s="313"/>
      <c r="J38" s="313"/>
      <c r="K38" s="316" t="s">
        <v>396</v>
      </c>
      <c r="L38" s="317"/>
      <c r="M38" s="318"/>
    </row>
    <row r="39" spans="2:13" ht="19" x14ac:dyDescent="0.25">
      <c r="C39" s="1"/>
      <c r="D39" s="1"/>
      <c r="H39" t="s">
        <v>160</v>
      </c>
      <c r="I39" s="1">
        <v>200</v>
      </c>
      <c r="J39" s="1">
        <f>I39*10</f>
        <v>2000</v>
      </c>
      <c r="K39" s="263"/>
      <c r="L39" s="262" t="s">
        <v>9</v>
      </c>
      <c r="M39" s="264" t="s">
        <v>397</v>
      </c>
    </row>
    <row r="40" spans="2:13" x14ac:dyDescent="0.2">
      <c r="B40" t="s">
        <v>180</v>
      </c>
      <c r="C40" s="1">
        <f>C35*0.15</f>
        <v>226318.125</v>
      </c>
      <c r="D40" s="1"/>
      <c r="H40" t="s">
        <v>164</v>
      </c>
      <c r="I40" s="1">
        <v>500</v>
      </c>
      <c r="J40" s="1">
        <f>I40*10</f>
        <v>5000</v>
      </c>
      <c r="K40" s="79" t="s">
        <v>15</v>
      </c>
      <c r="L40" s="260">
        <f>(J48-J46)*0.75</f>
        <v>241218.75</v>
      </c>
      <c r="M40" s="80">
        <f>L40/10</f>
        <v>24121.875</v>
      </c>
    </row>
    <row r="41" spans="2:13" ht="16" thickBot="1" x14ac:dyDescent="0.25">
      <c r="B41" t="s">
        <v>399</v>
      </c>
      <c r="C41" s="1">
        <f>C35*0.85</f>
        <v>1282469.375</v>
      </c>
      <c r="D41" s="1"/>
      <c r="H41" t="s">
        <v>382</v>
      </c>
      <c r="I41" s="52">
        <v>650</v>
      </c>
      <c r="J41" s="52">
        <f>I41*10</f>
        <v>6500</v>
      </c>
      <c r="K41" s="79" t="s">
        <v>216</v>
      </c>
      <c r="L41" s="260">
        <f>L40/3</f>
        <v>80406.25</v>
      </c>
      <c r="M41" s="80">
        <f>L41/10</f>
        <v>8040.625</v>
      </c>
    </row>
    <row r="42" spans="2:13" ht="16" thickBot="1" x14ac:dyDescent="0.25">
      <c r="D42" s="1"/>
      <c r="I42" s="2">
        <f>SUM(I39:I41)</f>
        <v>1350</v>
      </c>
      <c r="J42" s="2">
        <f>SUM(J39:J41)</f>
        <v>13500</v>
      </c>
      <c r="K42" s="81" t="s">
        <v>398</v>
      </c>
      <c r="L42" s="52">
        <f>J46</f>
        <v>32162.5</v>
      </c>
      <c r="M42" s="265">
        <f>L42/10</f>
        <v>3216.25</v>
      </c>
    </row>
    <row r="43" spans="2:13" x14ac:dyDescent="0.2">
      <c r="C43" s="1"/>
      <c r="D43" s="1"/>
      <c r="F43" s="1"/>
    </row>
    <row r="44" spans="2:13" x14ac:dyDescent="0.2">
      <c r="B44" t="s">
        <v>144</v>
      </c>
      <c r="C44" s="1">
        <f>(C37*0.7)-C41</f>
        <v>261030.625</v>
      </c>
      <c r="D44" s="1"/>
      <c r="F44" s="1"/>
      <c r="H44" t="s">
        <v>9</v>
      </c>
      <c r="I44" s="2">
        <f>I6+I21+I28+I36+I42</f>
        <v>33362.5</v>
      </c>
      <c r="J44" s="2">
        <f>J48-J46</f>
        <v>321625</v>
      </c>
    </row>
    <row r="45" spans="2:13" x14ac:dyDescent="0.2">
      <c r="B45" t="s">
        <v>400</v>
      </c>
      <c r="C45" s="1">
        <f>C44-C40</f>
        <v>34712.5</v>
      </c>
      <c r="D45" s="1"/>
      <c r="F45" s="1"/>
    </row>
    <row r="46" spans="2:13" x14ac:dyDescent="0.2">
      <c r="D46" s="1"/>
      <c r="F46" s="1"/>
      <c r="H46" t="s">
        <v>173</v>
      </c>
      <c r="I46" s="2"/>
      <c r="J46" s="2">
        <f>(J6+J21+J28+J42+J36)*0.1</f>
        <v>32162.5</v>
      </c>
    </row>
    <row r="47" spans="2:13" x14ac:dyDescent="0.2">
      <c r="B47" t="s">
        <v>147</v>
      </c>
      <c r="C47" s="1">
        <f>C37-C35</f>
        <v>696212.5</v>
      </c>
      <c r="D47" s="1"/>
      <c r="F47" s="1"/>
    </row>
    <row r="48" spans="2:13" x14ac:dyDescent="0.2">
      <c r="C48" s="1"/>
      <c r="D48" s="1"/>
      <c r="F48" s="1"/>
      <c r="J48" s="2">
        <f>J46+J42+J36+J28+J21+J6</f>
        <v>353787.5</v>
      </c>
    </row>
    <row r="49" spans="2:10" x14ac:dyDescent="0.2">
      <c r="C49" s="1"/>
      <c r="D49" s="1"/>
      <c r="F49" s="1"/>
    </row>
    <row r="50" spans="2:10" x14ac:dyDescent="0.2">
      <c r="C50" s="1"/>
      <c r="D50" s="1"/>
      <c r="F50" s="1"/>
      <c r="I50" s="1"/>
    </row>
    <row r="51" spans="2:10" x14ac:dyDescent="0.2">
      <c r="C51" s="1"/>
      <c r="D51" s="1"/>
      <c r="F51" s="1"/>
      <c r="J51" s="1"/>
    </row>
    <row r="52" spans="2:10" x14ac:dyDescent="0.2">
      <c r="C52" s="1"/>
      <c r="D52" s="1"/>
      <c r="F52" s="1"/>
    </row>
    <row r="53" spans="2:10" x14ac:dyDescent="0.2">
      <c r="C53" s="1"/>
      <c r="D53" s="1"/>
      <c r="F53" s="1"/>
    </row>
    <row r="54" spans="2:10" x14ac:dyDescent="0.2">
      <c r="B54" s="1"/>
      <c r="C54" s="1"/>
      <c r="D54" s="1"/>
      <c r="F54" s="1"/>
    </row>
    <row r="55" spans="2:10" x14ac:dyDescent="0.2">
      <c r="C55" s="1"/>
      <c r="D55" s="1"/>
      <c r="F55" s="1"/>
    </row>
    <row r="56" spans="2:10" x14ac:dyDescent="0.2">
      <c r="C56" s="1"/>
      <c r="D56" s="1"/>
      <c r="F56" s="1"/>
    </row>
    <row r="57" spans="2:10" x14ac:dyDescent="0.2">
      <c r="C57" s="1"/>
      <c r="D57" s="1"/>
      <c r="F57" s="1"/>
    </row>
    <row r="58" spans="2:10" x14ac:dyDescent="0.2">
      <c r="C58" s="1"/>
      <c r="D58" s="1"/>
      <c r="F58" s="1"/>
    </row>
    <row r="59" spans="2:10" x14ac:dyDescent="0.2">
      <c r="C59" s="1"/>
      <c r="D59" s="1"/>
      <c r="F59" s="1"/>
    </row>
    <row r="60" spans="2:10" x14ac:dyDescent="0.2">
      <c r="C60" s="1"/>
      <c r="D60" s="1"/>
      <c r="F60" s="1"/>
    </row>
    <row r="61" spans="2:10" x14ac:dyDescent="0.2">
      <c r="C61" s="1"/>
      <c r="D61" s="1"/>
      <c r="F61" s="1"/>
    </row>
    <row r="62" spans="2:10" x14ac:dyDescent="0.2">
      <c r="C62" s="1"/>
      <c r="D62" s="1"/>
      <c r="F62" s="1"/>
    </row>
    <row r="63" spans="2:10" x14ac:dyDescent="0.2">
      <c r="C63" s="1"/>
      <c r="D63" s="1"/>
      <c r="F63" s="1"/>
    </row>
    <row r="64" spans="2:10" x14ac:dyDescent="0.2">
      <c r="C64" s="1"/>
      <c r="D64" s="1"/>
      <c r="F64" s="1"/>
    </row>
    <row r="65" spans="3:6" x14ac:dyDescent="0.2">
      <c r="C65" s="1"/>
      <c r="D65" s="1"/>
      <c r="F65" s="1"/>
    </row>
    <row r="66" spans="3:6" x14ac:dyDescent="0.2">
      <c r="C66" s="1"/>
      <c r="D66" s="1"/>
      <c r="F66" s="1"/>
    </row>
    <row r="67" spans="3:6" x14ac:dyDescent="0.2">
      <c r="C67" s="1"/>
      <c r="D67" s="1"/>
      <c r="F67" s="1"/>
    </row>
    <row r="68" spans="3:6" x14ac:dyDescent="0.2">
      <c r="C68" s="1"/>
      <c r="D68" s="1"/>
    </row>
    <row r="69" spans="3:6" x14ac:dyDescent="0.2">
      <c r="C69" s="1"/>
      <c r="D69" s="1"/>
    </row>
    <row r="70" spans="3:6" x14ac:dyDescent="0.2">
      <c r="C70" s="1"/>
      <c r="D70" s="1"/>
      <c r="F70" s="1"/>
    </row>
    <row r="71" spans="3:6" x14ac:dyDescent="0.2">
      <c r="C71" s="1"/>
      <c r="D71" s="1"/>
    </row>
    <row r="72" spans="3:6" x14ac:dyDescent="0.2">
      <c r="C72" s="1"/>
      <c r="D72" s="1"/>
    </row>
    <row r="73" spans="3:6" x14ac:dyDescent="0.2">
      <c r="C73" s="1"/>
      <c r="D73" s="1"/>
    </row>
    <row r="74" spans="3:6" x14ac:dyDescent="0.2">
      <c r="C74" s="1"/>
      <c r="D74" s="1"/>
    </row>
    <row r="75" spans="3:6" x14ac:dyDescent="0.2">
      <c r="C75" s="1"/>
      <c r="D75" s="1"/>
    </row>
    <row r="76" spans="3:6" x14ac:dyDescent="0.2">
      <c r="C76" s="1"/>
      <c r="D76" s="1"/>
    </row>
    <row r="77" spans="3:6" x14ac:dyDescent="0.2">
      <c r="C77" s="1"/>
      <c r="D77" s="1"/>
    </row>
    <row r="78" spans="3:6" x14ac:dyDescent="0.2">
      <c r="C78" s="1"/>
      <c r="D78" s="1"/>
    </row>
    <row r="79" spans="3:6" x14ac:dyDescent="0.2">
      <c r="C79" s="1"/>
      <c r="D79" s="1"/>
    </row>
    <row r="80" spans="3:6" x14ac:dyDescent="0.2">
      <c r="C80" s="1"/>
      <c r="D80" s="1"/>
    </row>
    <row r="81" spans="3:4" x14ac:dyDescent="0.2">
      <c r="C81" s="1"/>
      <c r="D81" s="1"/>
    </row>
    <row r="82" spans="3:4" x14ac:dyDescent="0.2">
      <c r="C82" s="1"/>
      <c r="D82" s="1"/>
    </row>
    <row r="83" spans="3:4" x14ac:dyDescent="0.2">
      <c r="C83" s="1"/>
      <c r="D83" s="1"/>
    </row>
    <row r="84" spans="3:4" x14ac:dyDescent="0.2">
      <c r="C84" s="1"/>
      <c r="D84" s="1"/>
    </row>
    <row r="85" spans="3:4" x14ac:dyDescent="0.2">
      <c r="C85" s="1"/>
      <c r="D85" s="1"/>
    </row>
    <row r="86" spans="3:4" x14ac:dyDescent="0.2">
      <c r="C86" s="1"/>
      <c r="D86" s="1"/>
    </row>
    <row r="87" spans="3:4" x14ac:dyDescent="0.2">
      <c r="C87" s="1"/>
      <c r="D87" s="1"/>
    </row>
    <row r="88" spans="3:4" x14ac:dyDescent="0.2">
      <c r="C88" s="1"/>
      <c r="D88" s="1"/>
    </row>
    <row r="89" spans="3:4" x14ac:dyDescent="0.2">
      <c r="C89" s="1"/>
      <c r="D89" s="1"/>
    </row>
    <row r="90" spans="3:4" x14ac:dyDescent="0.2">
      <c r="C90" s="1"/>
      <c r="D90" s="1"/>
    </row>
    <row r="91" spans="3:4" x14ac:dyDescent="0.2">
      <c r="C91" s="1"/>
      <c r="D91" s="1"/>
    </row>
    <row r="92" spans="3:4" x14ac:dyDescent="0.2">
      <c r="C92" s="1"/>
      <c r="D92" s="1"/>
    </row>
    <row r="93" spans="3:4" x14ac:dyDescent="0.2">
      <c r="C93" s="1"/>
      <c r="D93" s="1"/>
    </row>
    <row r="94" spans="3:4" x14ac:dyDescent="0.2">
      <c r="C94" s="1"/>
      <c r="D94" s="1"/>
    </row>
    <row r="95" spans="3:4" x14ac:dyDescent="0.2">
      <c r="C95" s="1"/>
      <c r="D95" s="1"/>
    </row>
    <row r="96" spans="3:4" x14ac:dyDescent="0.2">
      <c r="C96" s="1"/>
      <c r="D96" s="1"/>
    </row>
    <row r="97" spans="3:4" x14ac:dyDescent="0.2">
      <c r="C97" s="1"/>
      <c r="D97" s="1"/>
    </row>
    <row r="98" spans="3:4" x14ac:dyDescent="0.2">
      <c r="C98" s="1"/>
      <c r="D98" s="1"/>
    </row>
    <row r="99" spans="3:4" x14ac:dyDescent="0.2">
      <c r="C99" s="1"/>
      <c r="D99" s="1"/>
    </row>
    <row r="100" spans="3:4" x14ac:dyDescent="0.2">
      <c r="C100" s="1"/>
      <c r="D100" s="1"/>
    </row>
    <row r="101" spans="3:4" x14ac:dyDescent="0.2">
      <c r="C101" s="1"/>
      <c r="D101" s="1"/>
    </row>
    <row r="102" spans="3:4" x14ac:dyDescent="0.2">
      <c r="C102" s="1"/>
      <c r="D102" s="1"/>
    </row>
    <row r="103" spans="3:4" x14ac:dyDescent="0.2">
      <c r="C103" s="1"/>
      <c r="D103" s="1"/>
    </row>
    <row r="104" spans="3:4" x14ac:dyDescent="0.2">
      <c r="C104" s="1"/>
      <c r="D104" s="1"/>
    </row>
    <row r="105" spans="3:4" x14ac:dyDescent="0.2">
      <c r="C105" s="1"/>
      <c r="D105" s="1"/>
    </row>
    <row r="106" spans="3:4" x14ac:dyDescent="0.2">
      <c r="C106" s="1"/>
      <c r="D106" s="1"/>
    </row>
    <row r="107" spans="3:4" x14ac:dyDescent="0.2">
      <c r="C107" s="1"/>
      <c r="D107" s="1"/>
    </row>
    <row r="108" spans="3:4" x14ac:dyDescent="0.2">
      <c r="C108" s="1"/>
      <c r="D108" s="1"/>
    </row>
    <row r="109" spans="3:4" x14ac:dyDescent="0.2">
      <c r="C109" s="1"/>
      <c r="D109" s="1"/>
    </row>
    <row r="110" spans="3:4" x14ac:dyDescent="0.2">
      <c r="C110" s="1"/>
      <c r="D110" s="1"/>
    </row>
    <row r="111" spans="3:4" x14ac:dyDescent="0.2">
      <c r="C111" s="1"/>
      <c r="D111" s="1"/>
    </row>
    <row r="112" spans="3:4" x14ac:dyDescent="0.2">
      <c r="C112" s="1"/>
      <c r="D112" s="1"/>
    </row>
    <row r="113" spans="3:4" x14ac:dyDescent="0.2">
      <c r="C113" s="1"/>
      <c r="D113" s="1"/>
    </row>
    <row r="114" spans="3:4" x14ac:dyDescent="0.2">
      <c r="C114" s="1"/>
      <c r="D114" s="1"/>
    </row>
    <row r="115" spans="3:4" x14ac:dyDescent="0.2">
      <c r="C115" s="1"/>
      <c r="D115" s="1"/>
    </row>
    <row r="116" spans="3:4" x14ac:dyDescent="0.2">
      <c r="C116" s="1"/>
      <c r="D116" s="1"/>
    </row>
    <row r="117" spans="3:4" x14ac:dyDescent="0.2">
      <c r="C117" s="1"/>
      <c r="D117" s="1"/>
    </row>
    <row r="118" spans="3:4" x14ac:dyDescent="0.2">
      <c r="C118" s="1"/>
      <c r="D118" s="1"/>
    </row>
    <row r="119" spans="3:4" x14ac:dyDescent="0.2">
      <c r="C119" s="1"/>
      <c r="D119" s="1"/>
    </row>
    <row r="120" spans="3:4" x14ac:dyDescent="0.2">
      <c r="C120" s="1"/>
      <c r="D120" s="1"/>
    </row>
    <row r="121" spans="3:4" x14ac:dyDescent="0.2">
      <c r="C121" s="1"/>
      <c r="D121" s="1"/>
    </row>
    <row r="122" spans="3:4" x14ac:dyDescent="0.2">
      <c r="C122" s="1"/>
      <c r="D122" s="1"/>
    </row>
    <row r="123" spans="3:4" x14ac:dyDescent="0.2">
      <c r="C123" s="1"/>
      <c r="D123" s="1"/>
    </row>
    <row r="124" spans="3:4" x14ac:dyDescent="0.2">
      <c r="C124" s="1"/>
      <c r="D124" s="1"/>
    </row>
    <row r="125" spans="3:4" x14ac:dyDescent="0.2">
      <c r="C125" s="1"/>
      <c r="D125" s="1"/>
    </row>
    <row r="126" spans="3:4" x14ac:dyDescent="0.2">
      <c r="C126" s="1"/>
      <c r="D126" s="1"/>
    </row>
    <row r="127" spans="3:4" x14ac:dyDescent="0.2">
      <c r="C127" s="1"/>
      <c r="D127" s="1"/>
    </row>
    <row r="128" spans="3:4" x14ac:dyDescent="0.2">
      <c r="C128" s="1"/>
      <c r="D128" s="1"/>
    </row>
    <row r="129" spans="3:4" x14ac:dyDescent="0.2">
      <c r="C129" s="1"/>
      <c r="D129" s="1"/>
    </row>
    <row r="130" spans="3:4" x14ac:dyDescent="0.2">
      <c r="C130" s="1"/>
      <c r="D130" s="1"/>
    </row>
    <row r="131" spans="3:4" x14ac:dyDescent="0.2">
      <c r="C131" s="1"/>
      <c r="D131" s="1"/>
    </row>
    <row r="132" spans="3:4" x14ac:dyDescent="0.2">
      <c r="C132" s="1"/>
      <c r="D132" s="1"/>
    </row>
    <row r="133" spans="3:4" x14ac:dyDescent="0.2">
      <c r="C133" s="1"/>
      <c r="D133" s="1"/>
    </row>
    <row r="134" spans="3:4" x14ac:dyDescent="0.2">
      <c r="C134" s="1"/>
      <c r="D134" s="1"/>
    </row>
    <row r="135" spans="3:4" x14ac:dyDescent="0.2">
      <c r="C135" s="1"/>
      <c r="D135" s="1"/>
    </row>
    <row r="136" spans="3:4" x14ac:dyDescent="0.2">
      <c r="C136" s="1"/>
      <c r="D136" s="1"/>
    </row>
    <row r="137" spans="3:4" x14ac:dyDescent="0.2">
      <c r="C137" s="1"/>
      <c r="D137" s="1"/>
    </row>
    <row r="138" spans="3:4" x14ac:dyDescent="0.2">
      <c r="C138" s="1"/>
      <c r="D138" s="1"/>
    </row>
    <row r="139" spans="3:4" x14ac:dyDescent="0.2">
      <c r="C139" s="1"/>
      <c r="D139" s="1"/>
    </row>
    <row r="140" spans="3:4" x14ac:dyDescent="0.2">
      <c r="C140" s="1"/>
      <c r="D140" s="1"/>
    </row>
    <row r="141" spans="3:4" x14ac:dyDescent="0.2">
      <c r="C141" s="1"/>
      <c r="D141" s="1"/>
    </row>
    <row r="142" spans="3:4" x14ac:dyDescent="0.2">
      <c r="C142" s="1"/>
      <c r="D142" s="1"/>
    </row>
    <row r="143" spans="3:4" x14ac:dyDescent="0.2">
      <c r="C143" s="1"/>
      <c r="D143" s="1"/>
    </row>
    <row r="144" spans="3:4" x14ac:dyDescent="0.2">
      <c r="C144" s="1"/>
      <c r="D144" s="1"/>
    </row>
    <row r="145" spans="3:4" x14ac:dyDescent="0.2">
      <c r="C145" s="1"/>
      <c r="D145" s="1"/>
    </row>
    <row r="146" spans="3:4" x14ac:dyDescent="0.2">
      <c r="C146" s="1"/>
      <c r="D146" s="1"/>
    </row>
    <row r="147" spans="3:4" x14ac:dyDescent="0.2">
      <c r="C147" s="1"/>
      <c r="D147" s="1"/>
    </row>
    <row r="148" spans="3:4" x14ac:dyDescent="0.2">
      <c r="C148" s="1"/>
      <c r="D148" s="1"/>
    </row>
    <row r="149" spans="3:4" x14ac:dyDescent="0.2">
      <c r="C149" s="1"/>
      <c r="D149" s="1"/>
    </row>
    <row r="150" spans="3:4" x14ac:dyDescent="0.2">
      <c r="C150" s="1"/>
      <c r="D150" s="1"/>
    </row>
    <row r="151" spans="3:4" x14ac:dyDescent="0.2">
      <c r="C151" s="1"/>
      <c r="D151" s="1"/>
    </row>
    <row r="152" spans="3:4" x14ac:dyDescent="0.2">
      <c r="C152" s="1"/>
      <c r="D152" s="1"/>
    </row>
    <row r="153" spans="3:4" x14ac:dyDescent="0.2">
      <c r="C153" s="1"/>
      <c r="D153" s="1"/>
    </row>
    <row r="154" spans="3:4" x14ac:dyDescent="0.2">
      <c r="C154" s="1"/>
      <c r="D154" s="1"/>
    </row>
    <row r="155" spans="3:4" x14ac:dyDescent="0.2">
      <c r="C155" s="1"/>
      <c r="D155" s="1"/>
    </row>
    <row r="156" spans="3:4" x14ac:dyDescent="0.2">
      <c r="C156" s="1"/>
      <c r="D156" s="1"/>
    </row>
    <row r="157" spans="3:4" x14ac:dyDescent="0.2">
      <c r="C157" s="1"/>
      <c r="D157" s="1"/>
    </row>
    <row r="158" spans="3:4" x14ac:dyDescent="0.2">
      <c r="C158" s="1"/>
      <c r="D158" s="1"/>
    </row>
    <row r="159" spans="3:4" x14ac:dyDescent="0.2">
      <c r="C159" s="1"/>
      <c r="D159" s="1"/>
    </row>
    <row r="160" spans="3:4" x14ac:dyDescent="0.2">
      <c r="C160" s="1"/>
      <c r="D160" s="1"/>
    </row>
  </sheetData>
  <mergeCells count="6">
    <mergeCell ref="K38:M38"/>
    <mergeCell ref="B1:F1"/>
    <mergeCell ref="H8:J8"/>
    <mergeCell ref="H23:J23"/>
    <mergeCell ref="H30:J30"/>
    <mergeCell ref="H38:J38"/>
  </mergeCells>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9E5F2-C6D9-3E40-86C9-6EC440B87635}">
  <dimension ref="A1:U51"/>
  <sheetViews>
    <sheetView zoomScale="140" zoomScaleNormal="140" workbookViewId="0">
      <selection activeCell="H34" sqref="H34"/>
    </sheetView>
  </sheetViews>
  <sheetFormatPr baseColWidth="10" defaultColWidth="10.83203125" defaultRowHeight="15" x14ac:dyDescent="0.2"/>
  <cols>
    <col min="1" max="1" width="26.6640625" bestFit="1" customWidth="1"/>
    <col min="2" max="2" width="12.1640625" bestFit="1" customWidth="1"/>
    <col min="3" max="3" width="13.1640625" bestFit="1" customWidth="1"/>
    <col min="4" max="4" width="17" bestFit="1" customWidth="1"/>
    <col min="5" max="5" width="13.6640625" bestFit="1" customWidth="1"/>
    <col min="6" max="6" width="12.1640625" bestFit="1" customWidth="1"/>
    <col min="7" max="7" width="11.1640625" bestFit="1" customWidth="1"/>
    <col min="8" max="9" width="12.1640625" bestFit="1" customWidth="1"/>
    <col min="10" max="10" width="16.33203125" customWidth="1"/>
    <col min="11" max="11" width="21.5" customWidth="1"/>
    <col min="12" max="12" width="16.33203125" customWidth="1"/>
    <col min="13" max="13" width="16.5" customWidth="1"/>
    <col min="14" max="14" width="13.6640625" bestFit="1" customWidth="1"/>
    <col min="15" max="15" width="11.1640625" bestFit="1" customWidth="1"/>
  </cols>
  <sheetData>
    <row r="1" spans="1:21" x14ac:dyDescent="0.2">
      <c r="A1" s="321" t="s">
        <v>93</v>
      </c>
      <c r="B1" s="321"/>
      <c r="C1" s="321"/>
      <c r="D1" s="321"/>
      <c r="E1" s="321"/>
      <c r="F1" s="321"/>
      <c r="G1" s="105"/>
      <c r="H1" s="105"/>
      <c r="I1" s="105"/>
      <c r="J1" s="321" t="s">
        <v>93</v>
      </c>
      <c r="K1" s="321"/>
      <c r="L1" s="321"/>
      <c r="M1" s="321"/>
      <c r="N1" s="321"/>
      <c r="O1" s="321"/>
      <c r="P1" s="105"/>
      <c r="Q1" s="105"/>
      <c r="R1" s="105"/>
      <c r="S1" s="105"/>
      <c r="T1" s="105"/>
      <c r="U1" s="105"/>
    </row>
    <row r="2" spans="1:21" x14ac:dyDescent="0.2">
      <c r="A2" s="105"/>
      <c r="B2" s="105"/>
      <c r="C2" s="105"/>
      <c r="D2" s="105"/>
      <c r="E2" s="105"/>
      <c r="F2" s="105" t="s">
        <v>207</v>
      </c>
      <c r="G2" s="105"/>
      <c r="H2" s="105"/>
      <c r="I2" s="105"/>
      <c r="J2" s="105"/>
      <c r="K2" s="105"/>
      <c r="L2" s="105"/>
      <c r="M2" s="105"/>
      <c r="N2" s="105"/>
      <c r="O2" s="105" t="s">
        <v>207</v>
      </c>
      <c r="P2" s="105"/>
      <c r="Q2" s="105"/>
      <c r="R2" s="105"/>
      <c r="S2" s="105"/>
      <c r="T2" s="105"/>
      <c r="U2" s="105"/>
    </row>
    <row r="3" spans="1:21" x14ac:dyDescent="0.2">
      <c r="A3" s="105" t="s">
        <v>199</v>
      </c>
      <c r="B3" s="105" t="s">
        <v>106</v>
      </c>
      <c r="C3" s="105">
        <v>275</v>
      </c>
      <c r="D3" s="105" t="s">
        <v>108</v>
      </c>
      <c r="E3" s="106">
        <v>0.6</v>
      </c>
      <c r="F3" s="105">
        <f>9*4*5</f>
        <v>180</v>
      </c>
      <c r="G3" s="105"/>
      <c r="H3" s="105"/>
      <c r="I3" s="105"/>
      <c r="J3" s="105" t="s">
        <v>199</v>
      </c>
      <c r="K3" s="105" t="s">
        <v>106</v>
      </c>
      <c r="L3" s="105">
        <v>275</v>
      </c>
      <c r="M3" s="105" t="s">
        <v>108</v>
      </c>
      <c r="N3" s="106">
        <v>0.6</v>
      </c>
      <c r="O3" s="105">
        <f>9*4*5</f>
        <v>180</v>
      </c>
      <c r="P3" s="105"/>
      <c r="Q3" s="105"/>
      <c r="R3" s="105"/>
      <c r="S3" s="105"/>
      <c r="T3" s="106"/>
      <c r="U3" s="105"/>
    </row>
    <row r="4" spans="1:21" x14ac:dyDescent="0.2">
      <c r="A4" s="105"/>
      <c r="B4" s="105" t="s">
        <v>107</v>
      </c>
      <c r="C4" s="105">
        <v>425</v>
      </c>
      <c r="D4" s="105" t="s">
        <v>109</v>
      </c>
      <c r="E4" s="106">
        <v>0.9</v>
      </c>
      <c r="F4" s="105">
        <f>36*2</f>
        <v>72</v>
      </c>
      <c r="G4" s="105"/>
      <c r="H4" s="105"/>
      <c r="I4" s="105"/>
      <c r="J4" s="105"/>
      <c r="K4" s="105" t="s">
        <v>107</v>
      </c>
      <c r="L4" s="105">
        <v>425</v>
      </c>
      <c r="M4" s="105" t="s">
        <v>109</v>
      </c>
      <c r="N4" s="106">
        <v>0.9</v>
      </c>
      <c r="O4" s="105">
        <f>36*2</f>
        <v>72</v>
      </c>
      <c r="P4" s="105"/>
      <c r="Q4" s="105"/>
      <c r="R4" s="105"/>
      <c r="S4" s="105"/>
      <c r="T4" s="106"/>
      <c r="U4" s="105"/>
    </row>
    <row r="5" spans="1:21" x14ac:dyDescent="0.2">
      <c r="A5" s="105"/>
      <c r="B5" s="105"/>
      <c r="C5" s="105"/>
      <c r="D5" s="105"/>
      <c r="E5" s="106"/>
      <c r="F5" s="105"/>
      <c r="G5" s="105"/>
      <c r="H5" s="105"/>
      <c r="I5" s="105"/>
      <c r="J5" s="105"/>
      <c r="K5" s="105"/>
      <c r="L5" s="105"/>
      <c r="M5" s="105"/>
      <c r="N5" s="106"/>
      <c r="O5" s="105"/>
      <c r="P5" s="105"/>
      <c r="Q5" s="105"/>
      <c r="R5" s="105"/>
      <c r="S5" s="105"/>
      <c r="T5" s="106"/>
      <c r="U5" s="105"/>
    </row>
    <row r="6" spans="1:21" x14ac:dyDescent="0.2">
      <c r="A6" s="105" t="s">
        <v>200</v>
      </c>
      <c r="B6" s="105" t="s">
        <v>106</v>
      </c>
      <c r="C6" s="105">
        <v>200</v>
      </c>
      <c r="D6" s="105" t="s">
        <v>108</v>
      </c>
      <c r="E6" s="106">
        <v>0.25</v>
      </c>
      <c r="F6" s="105">
        <f>16*5</f>
        <v>80</v>
      </c>
      <c r="G6" s="105"/>
      <c r="H6" s="105"/>
      <c r="I6" s="105"/>
      <c r="J6" s="105" t="s">
        <v>200</v>
      </c>
      <c r="K6" s="105" t="s">
        <v>106</v>
      </c>
      <c r="L6" s="105">
        <v>200</v>
      </c>
      <c r="M6" s="105" t="s">
        <v>108</v>
      </c>
      <c r="N6" s="106">
        <v>0.25</v>
      </c>
      <c r="O6" s="105">
        <f>16*5</f>
        <v>80</v>
      </c>
      <c r="P6" s="105"/>
      <c r="Q6" s="105"/>
      <c r="R6" s="105"/>
      <c r="S6" s="105"/>
      <c r="T6" s="106"/>
      <c r="U6" s="105"/>
    </row>
    <row r="7" spans="1:21" x14ac:dyDescent="0.2">
      <c r="A7" s="105"/>
      <c r="B7" s="105" t="s">
        <v>107</v>
      </c>
      <c r="C7" s="105">
        <v>300</v>
      </c>
      <c r="D7" s="105" t="s">
        <v>109</v>
      </c>
      <c r="E7" s="106">
        <v>0.5</v>
      </c>
      <c r="F7" s="105">
        <f>16*2</f>
        <v>32</v>
      </c>
      <c r="G7" s="105"/>
      <c r="H7" s="105"/>
      <c r="I7" s="105"/>
      <c r="J7" s="105"/>
      <c r="K7" s="105" t="s">
        <v>107</v>
      </c>
      <c r="L7" s="105">
        <v>300</v>
      </c>
      <c r="M7" s="105" t="s">
        <v>109</v>
      </c>
      <c r="N7" s="106">
        <v>0.5</v>
      </c>
      <c r="O7" s="105">
        <f>16*2</f>
        <v>32</v>
      </c>
      <c r="P7" s="105"/>
      <c r="Q7" s="105"/>
      <c r="R7" s="105"/>
      <c r="S7" s="105"/>
      <c r="T7" s="106"/>
      <c r="U7" s="105"/>
    </row>
    <row r="8" spans="1:21" x14ac:dyDescent="0.2">
      <c r="A8" s="105"/>
      <c r="B8" s="105"/>
      <c r="C8" s="105"/>
      <c r="D8" s="105"/>
      <c r="E8" s="106"/>
      <c r="F8" s="105"/>
      <c r="G8" s="105"/>
      <c r="H8" s="105"/>
      <c r="I8" s="105"/>
      <c r="J8" s="105"/>
      <c r="K8" s="105"/>
      <c r="L8" s="105"/>
      <c r="M8" s="105"/>
      <c r="N8" s="106"/>
      <c r="O8" s="105"/>
      <c r="P8" s="105"/>
      <c r="Q8" s="105"/>
      <c r="R8" s="105"/>
      <c r="S8" s="105"/>
      <c r="T8" s="106"/>
      <c r="U8" s="105"/>
    </row>
    <row r="9" spans="1:21" x14ac:dyDescent="0.2">
      <c r="A9" s="105" t="s">
        <v>201</v>
      </c>
      <c r="B9" s="105" t="s">
        <v>106</v>
      </c>
      <c r="C9" s="105">
        <v>375</v>
      </c>
      <c r="D9" s="105" t="s">
        <v>108</v>
      </c>
      <c r="E9" s="106">
        <v>0.6</v>
      </c>
      <c r="F9" s="105">
        <v>180</v>
      </c>
      <c r="G9" s="105"/>
      <c r="H9" s="105"/>
      <c r="I9" s="105"/>
      <c r="J9" s="105" t="s">
        <v>203</v>
      </c>
      <c r="K9" s="105" t="s">
        <v>106</v>
      </c>
      <c r="L9" s="105">
        <v>750</v>
      </c>
      <c r="M9" s="105" t="s">
        <v>108</v>
      </c>
      <c r="N9" s="106">
        <v>0.6</v>
      </c>
      <c r="O9" s="105">
        <v>180</v>
      </c>
      <c r="P9" s="105"/>
      <c r="Q9" s="105"/>
      <c r="R9" s="105"/>
      <c r="S9" s="105"/>
      <c r="T9" s="106"/>
      <c r="U9" s="105"/>
    </row>
    <row r="10" spans="1:21" x14ac:dyDescent="0.2">
      <c r="A10" s="105"/>
      <c r="B10" s="105" t="s">
        <v>107</v>
      </c>
      <c r="C10" s="105">
        <v>500</v>
      </c>
      <c r="D10" s="105" t="s">
        <v>109</v>
      </c>
      <c r="E10" s="106">
        <v>0.9</v>
      </c>
      <c r="F10" s="105">
        <v>72</v>
      </c>
      <c r="G10" s="105"/>
      <c r="H10" s="105"/>
      <c r="I10" s="105"/>
      <c r="J10" s="105"/>
      <c r="K10" s="105" t="s">
        <v>107</v>
      </c>
      <c r="L10" s="105">
        <v>1150</v>
      </c>
      <c r="M10" s="105" t="s">
        <v>109</v>
      </c>
      <c r="N10" s="106">
        <v>0.9</v>
      </c>
      <c r="O10" s="105">
        <v>72</v>
      </c>
      <c r="P10" s="105"/>
      <c r="Q10" s="105"/>
      <c r="R10" s="105"/>
      <c r="S10" s="105"/>
      <c r="T10" s="106"/>
      <c r="U10" s="105"/>
    </row>
    <row r="11" spans="1:21" x14ac:dyDescent="0.2">
      <c r="A11" s="105"/>
      <c r="B11" s="105"/>
      <c r="C11" s="105"/>
      <c r="D11" s="105"/>
      <c r="E11" s="106"/>
      <c r="F11" s="105"/>
      <c r="G11" s="105"/>
      <c r="H11" s="105"/>
      <c r="I11" s="105"/>
      <c r="J11" s="105"/>
      <c r="K11" s="105"/>
      <c r="L11" s="105"/>
      <c r="M11" s="105"/>
      <c r="N11" s="106"/>
      <c r="O11" s="105"/>
      <c r="P11" s="105"/>
      <c r="Q11" s="105"/>
      <c r="R11" s="105"/>
      <c r="S11" s="105"/>
      <c r="T11" s="106"/>
      <c r="U11" s="105"/>
    </row>
    <row r="12" spans="1:21" x14ac:dyDescent="0.2">
      <c r="A12" s="105" t="s">
        <v>202</v>
      </c>
      <c r="B12" s="105" t="s">
        <v>106</v>
      </c>
      <c r="C12" s="105">
        <v>275</v>
      </c>
      <c r="D12" s="105" t="s">
        <v>108</v>
      </c>
      <c r="E12" s="106">
        <v>0.25</v>
      </c>
      <c r="F12" s="105">
        <v>80</v>
      </c>
      <c r="G12" s="105"/>
      <c r="H12" s="105"/>
      <c r="I12" s="105"/>
      <c r="J12" s="105" t="s">
        <v>204</v>
      </c>
      <c r="K12" s="105" t="s">
        <v>106</v>
      </c>
      <c r="L12" s="105">
        <v>550</v>
      </c>
      <c r="M12" s="105" t="s">
        <v>108</v>
      </c>
      <c r="N12" s="106">
        <v>0.25</v>
      </c>
      <c r="O12" s="105">
        <v>80</v>
      </c>
      <c r="P12" s="105"/>
      <c r="Q12" s="105"/>
      <c r="R12" s="105"/>
      <c r="S12" s="105"/>
      <c r="T12" s="106"/>
      <c r="U12" s="105"/>
    </row>
    <row r="13" spans="1:21" x14ac:dyDescent="0.2">
      <c r="A13" s="105"/>
      <c r="B13" s="105" t="s">
        <v>107</v>
      </c>
      <c r="C13" s="105">
        <v>400</v>
      </c>
      <c r="D13" s="105" t="s">
        <v>109</v>
      </c>
      <c r="E13" s="106">
        <v>0.9</v>
      </c>
      <c r="F13" s="105">
        <v>32</v>
      </c>
      <c r="G13" s="105"/>
      <c r="H13" s="105"/>
      <c r="I13" s="105"/>
      <c r="J13" s="105"/>
      <c r="K13" s="105" t="s">
        <v>107</v>
      </c>
      <c r="L13" s="105">
        <v>650</v>
      </c>
      <c r="M13" s="105" t="s">
        <v>109</v>
      </c>
      <c r="N13" s="106">
        <v>0.9</v>
      </c>
      <c r="O13" s="105">
        <v>32</v>
      </c>
      <c r="P13" s="105"/>
      <c r="Q13" s="105"/>
      <c r="R13" s="105"/>
      <c r="S13" s="105"/>
      <c r="T13" s="106"/>
      <c r="U13" s="105"/>
    </row>
    <row r="14" spans="1:21" x14ac:dyDescent="0.2">
      <c r="A14" s="105"/>
      <c r="B14" s="105"/>
      <c r="C14" s="105"/>
      <c r="D14" s="105"/>
      <c r="E14" s="105"/>
      <c r="F14" s="105"/>
      <c r="G14" s="105"/>
      <c r="H14" s="105"/>
      <c r="I14" s="107"/>
      <c r="J14" s="105"/>
      <c r="K14" s="105"/>
      <c r="L14" s="105"/>
      <c r="M14" s="105"/>
      <c r="N14" s="105"/>
      <c r="O14" s="105"/>
      <c r="P14" s="105"/>
      <c r="Q14" s="105"/>
      <c r="R14" s="107"/>
      <c r="S14" s="105"/>
      <c r="T14" s="105"/>
      <c r="U14" s="105"/>
    </row>
    <row r="15" spans="1:21" x14ac:dyDescent="0.2">
      <c r="A15" s="105"/>
      <c r="B15" s="105"/>
      <c r="C15" s="105"/>
      <c r="D15" s="105"/>
      <c r="E15" s="105"/>
      <c r="F15" s="105"/>
      <c r="G15" s="105"/>
      <c r="H15" s="105"/>
      <c r="I15" s="105"/>
      <c r="J15" s="105"/>
      <c r="K15" s="105"/>
      <c r="L15" s="105"/>
      <c r="M15" s="105"/>
      <c r="N15" s="105"/>
      <c r="O15" s="105"/>
      <c r="P15" s="105"/>
      <c r="Q15" s="105"/>
      <c r="R15" s="105"/>
      <c r="S15" s="105"/>
      <c r="T15" s="105"/>
      <c r="U15" s="105"/>
    </row>
    <row r="16" spans="1:21" x14ac:dyDescent="0.2">
      <c r="A16" s="105" t="s">
        <v>94</v>
      </c>
      <c r="B16" s="105" t="s">
        <v>95</v>
      </c>
      <c r="C16" s="105" t="s">
        <v>96</v>
      </c>
      <c r="D16" s="105" t="s">
        <v>97</v>
      </c>
      <c r="E16" s="105" t="s">
        <v>98</v>
      </c>
      <c r="F16" s="105" t="s">
        <v>103</v>
      </c>
      <c r="G16" s="105"/>
      <c r="H16" s="107"/>
      <c r="I16" s="107"/>
      <c r="J16" s="105" t="s">
        <v>94</v>
      </c>
      <c r="K16" s="105" t="s">
        <v>184</v>
      </c>
      <c r="L16" s="105" t="s">
        <v>185</v>
      </c>
      <c r="M16" s="105" t="s">
        <v>186</v>
      </c>
      <c r="N16" s="105" t="s">
        <v>103</v>
      </c>
      <c r="P16" s="105"/>
      <c r="Q16" s="107"/>
      <c r="R16" s="107"/>
      <c r="S16" s="105"/>
      <c r="T16" s="105"/>
      <c r="U16" s="105"/>
    </row>
    <row r="17" spans="1:21" x14ac:dyDescent="0.2">
      <c r="A17" s="105" t="s">
        <v>205</v>
      </c>
      <c r="B17" s="107">
        <v>18000</v>
      </c>
      <c r="C17" s="107">
        <f>($C$4*$E$4*$F$4)+($C$3*$E$3*$F$3)</f>
        <v>57240</v>
      </c>
      <c r="D17" s="107">
        <f>($C$9*$E$9*$F$9)+($C$10*$E$10*$F$10)</f>
        <v>72900</v>
      </c>
      <c r="E17" s="107">
        <f>($C$9*$E$9*$F$9)+($C$10*$E$10*$F$10)</f>
        <v>72900</v>
      </c>
      <c r="F17" s="107">
        <f>SUM(C17:E17)</f>
        <v>203040</v>
      </c>
      <c r="G17" s="105"/>
      <c r="H17" s="107"/>
      <c r="I17" s="105"/>
      <c r="J17" s="105" t="s">
        <v>208</v>
      </c>
      <c r="K17" s="107">
        <f>(L3*N3*O3)+(L4*N4*O4)</f>
        <v>57240</v>
      </c>
      <c r="L17" s="107">
        <v>57240</v>
      </c>
      <c r="M17" s="107">
        <f>(L9*N9*O9)+(L10*N10*O10)</f>
        <v>155520</v>
      </c>
      <c r="N17" s="107">
        <f>SUM(K17:M17)</f>
        <v>270000</v>
      </c>
      <c r="P17" s="105"/>
      <c r="Q17" s="107"/>
      <c r="R17" s="105"/>
      <c r="S17" s="105"/>
      <c r="T17" s="105"/>
      <c r="U17" s="105"/>
    </row>
    <row r="18" spans="1:21" x14ac:dyDescent="0.2">
      <c r="A18" s="105" t="s">
        <v>206</v>
      </c>
      <c r="B18" s="107" t="s">
        <v>187</v>
      </c>
      <c r="C18" s="107">
        <f>($C$6*$E$6*$F$6)+($C$7*$E$7*$F$7)</f>
        <v>8800</v>
      </c>
      <c r="D18" s="107">
        <f>(C12*E12*F12)+(400*0.9*32)</f>
        <v>17020</v>
      </c>
      <c r="E18" s="107">
        <v>17020</v>
      </c>
      <c r="F18" s="107">
        <f>SUM(C18:E18)</f>
        <v>42840</v>
      </c>
      <c r="G18" s="105"/>
      <c r="H18" s="105"/>
      <c r="I18" s="105"/>
      <c r="J18" s="105" t="s">
        <v>209</v>
      </c>
      <c r="K18" s="107">
        <f>(L6*N6*O6)+(L7*N7*O7)</f>
        <v>8800</v>
      </c>
      <c r="L18" s="107">
        <v>8800</v>
      </c>
      <c r="M18" s="107">
        <f>(L12*N12*O12)+(L13*N13*O13)</f>
        <v>29720</v>
      </c>
      <c r="N18" s="107">
        <f>SUM(K18:M18)</f>
        <v>47320</v>
      </c>
      <c r="P18" s="105"/>
      <c r="Q18" s="105"/>
      <c r="R18" s="105"/>
      <c r="S18" s="105"/>
      <c r="T18" s="105"/>
      <c r="U18" s="105"/>
    </row>
    <row r="19" spans="1:21" x14ac:dyDescent="0.2">
      <c r="A19" s="105"/>
      <c r="B19" s="107">
        <v>18000</v>
      </c>
      <c r="C19" s="107">
        <f>SUM(C17:C18)</f>
        <v>66040</v>
      </c>
      <c r="D19" s="107">
        <f t="shared" ref="D19:F19" si="0">SUM(D17:D18)</f>
        <v>89920</v>
      </c>
      <c r="E19" s="107">
        <f t="shared" si="0"/>
        <v>89920</v>
      </c>
      <c r="F19" s="107">
        <f t="shared" si="0"/>
        <v>245880</v>
      </c>
      <c r="G19" s="105"/>
      <c r="H19" s="107"/>
      <c r="I19" s="105"/>
      <c r="J19" s="105"/>
      <c r="K19" s="107">
        <f>SUM(K17:K18)</f>
        <v>66040</v>
      </c>
      <c r="L19" s="107">
        <f t="shared" ref="L19:M19" si="1">SUM(L17:L18)</f>
        <v>66040</v>
      </c>
      <c r="M19" s="107">
        <f t="shared" si="1"/>
        <v>185240</v>
      </c>
      <c r="N19" s="107">
        <f>SUM(N17:N18)</f>
        <v>317320</v>
      </c>
      <c r="P19" s="105"/>
      <c r="Q19" s="107"/>
      <c r="R19" s="105"/>
      <c r="S19" s="105"/>
      <c r="T19" s="105"/>
      <c r="U19" s="105"/>
    </row>
    <row r="20" spans="1:21" x14ac:dyDescent="0.2">
      <c r="A20" s="105"/>
      <c r="B20" s="105"/>
      <c r="C20" s="105"/>
      <c r="D20" s="105"/>
      <c r="E20" s="105"/>
      <c r="F20" s="105"/>
      <c r="G20" s="105"/>
      <c r="H20" s="105"/>
      <c r="I20" s="105"/>
      <c r="J20" s="105"/>
      <c r="K20" s="105"/>
      <c r="L20" s="105"/>
      <c r="M20" s="105"/>
      <c r="N20" s="105"/>
      <c r="O20" s="105"/>
      <c r="P20" s="105"/>
      <c r="Q20" s="105"/>
      <c r="R20" s="105"/>
      <c r="S20" s="105"/>
      <c r="T20" s="105"/>
      <c r="U20" s="105"/>
    </row>
    <row r="21" spans="1:21" x14ac:dyDescent="0.2">
      <c r="A21" s="105" t="s">
        <v>104</v>
      </c>
      <c r="B21" s="107">
        <f>E21/12</f>
        <v>20490</v>
      </c>
      <c r="C21" s="105"/>
      <c r="D21" s="105" t="s">
        <v>105</v>
      </c>
      <c r="E21" s="107">
        <f>F19</f>
        <v>245880</v>
      </c>
      <c r="F21" s="105"/>
      <c r="G21" s="105"/>
      <c r="H21" s="105"/>
      <c r="I21" s="105"/>
      <c r="J21" s="105" t="s">
        <v>104</v>
      </c>
      <c r="K21" s="107">
        <f>N19/12</f>
        <v>26443.333333333332</v>
      </c>
      <c r="L21" s="105"/>
      <c r="M21" s="105" t="s">
        <v>105</v>
      </c>
      <c r="N21" s="107">
        <f>N19</f>
        <v>317320</v>
      </c>
      <c r="O21" s="105"/>
      <c r="P21" s="105"/>
      <c r="Q21" s="105"/>
      <c r="R21" s="105"/>
      <c r="S21" s="105"/>
      <c r="T21" s="105"/>
      <c r="U21" s="105"/>
    </row>
    <row r="22" spans="1:21" x14ac:dyDescent="0.2">
      <c r="A22" s="105"/>
      <c r="B22" s="105"/>
      <c r="C22" s="105"/>
      <c r="D22" s="105"/>
      <c r="E22" s="105"/>
      <c r="F22" s="105"/>
      <c r="G22" s="107"/>
      <c r="H22" s="108"/>
      <c r="I22" s="105"/>
      <c r="J22" s="105"/>
      <c r="K22" s="105"/>
      <c r="L22" s="105"/>
      <c r="M22" s="105"/>
      <c r="N22" s="105"/>
      <c r="O22" s="105"/>
      <c r="P22" s="107"/>
      <c r="Q22" s="108"/>
      <c r="R22" s="105"/>
      <c r="S22" s="105"/>
      <c r="T22" s="105"/>
      <c r="U22" s="105"/>
    </row>
    <row r="23" spans="1:21" x14ac:dyDescent="0.2">
      <c r="A23" s="105" t="s">
        <v>99</v>
      </c>
      <c r="B23" s="105"/>
      <c r="C23" s="105"/>
      <c r="D23" s="105" t="s">
        <v>110</v>
      </c>
      <c r="E23" s="105"/>
      <c r="F23" s="105"/>
      <c r="G23" s="105"/>
      <c r="H23" s="107"/>
      <c r="I23" s="105"/>
      <c r="J23" s="105" t="s">
        <v>99</v>
      </c>
      <c r="K23" s="105"/>
      <c r="L23" s="105"/>
      <c r="M23" s="105" t="s">
        <v>110</v>
      </c>
      <c r="N23" s="105"/>
      <c r="O23" s="105"/>
      <c r="P23" s="105"/>
      <c r="Q23" s="107"/>
      <c r="R23" s="105"/>
      <c r="S23" s="105"/>
      <c r="T23" s="105"/>
      <c r="U23" s="105"/>
    </row>
    <row r="24" spans="1:21" x14ac:dyDescent="0.2">
      <c r="A24" s="105" t="s">
        <v>100</v>
      </c>
      <c r="B24" s="107">
        <v>8250</v>
      </c>
      <c r="C24" s="105"/>
      <c r="D24" s="105" t="s">
        <v>100</v>
      </c>
      <c r="E24" s="107">
        <f>B24*12</f>
        <v>99000</v>
      </c>
      <c r="F24" s="105"/>
      <c r="G24" s="105"/>
      <c r="H24" s="107"/>
      <c r="I24" s="105"/>
      <c r="J24" s="105" t="s">
        <v>100</v>
      </c>
      <c r="K24" s="107">
        <v>7200</v>
      </c>
      <c r="L24" s="105"/>
      <c r="M24" s="105" t="s">
        <v>100</v>
      </c>
      <c r="N24" s="107">
        <f>K24*12</f>
        <v>86400</v>
      </c>
      <c r="O24" s="105"/>
      <c r="P24" s="105"/>
      <c r="Q24" s="107"/>
      <c r="R24" s="105"/>
      <c r="S24" s="105"/>
      <c r="T24" s="105"/>
      <c r="U24" s="105"/>
    </row>
    <row r="25" spans="1:21" x14ac:dyDescent="0.2">
      <c r="A25" s="105" t="s">
        <v>10</v>
      </c>
      <c r="B25" s="107">
        <v>1200</v>
      </c>
      <c r="C25" s="105"/>
      <c r="D25" s="105" t="s">
        <v>10</v>
      </c>
      <c r="E25" s="107">
        <f t="shared" ref="E25:E29" si="2">B25*12</f>
        <v>14400</v>
      </c>
      <c r="F25" s="105"/>
      <c r="G25" s="105"/>
      <c r="H25" s="107"/>
      <c r="I25" s="105"/>
      <c r="J25" s="105" t="s">
        <v>10</v>
      </c>
      <c r="K25" s="107">
        <v>1200</v>
      </c>
      <c r="L25" s="105"/>
      <c r="M25" s="105" t="s">
        <v>10</v>
      </c>
      <c r="N25" s="107">
        <f t="shared" ref="N25:N29" si="3">K25*12</f>
        <v>14400</v>
      </c>
      <c r="O25" s="105"/>
      <c r="P25" s="105"/>
      <c r="Q25" s="107"/>
      <c r="R25" s="105"/>
      <c r="S25" s="105"/>
      <c r="T25" s="105"/>
      <c r="U25" s="105"/>
    </row>
    <row r="26" spans="1:21" x14ac:dyDescent="0.2">
      <c r="A26" s="105" t="s">
        <v>11</v>
      </c>
      <c r="B26" s="107">
        <v>120</v>
      </c>
      <c r="C26" s="105"/>
      <c r="D26" s="105" t="s">
        <v>11</v>
      </c>
      <c r="E26" s="107">
        <f t="shared" si="2"/>
        <v>1440</v>
      </c>
      <c r="F26" s="105"/>
      <c r="G26" s="105"/>
      <c r="H26" s="107"/>
      <c r="I26" s="105"/>
      <c r="J26" s="105" t="s">
        <v>11</v>
      </c>
      <c r="K26" s="107">
        <v>120</v>
      </c>
      <c r="L26" s="105"/>
      <c r="M26" s="105" t="s">
        <v>11</v>
      </c>
      <c r="N26" s="107">
        <f t="shared" si="3"/>
        <v>1440</v>
      </c>
      <c r="O26" s="105"/>
      <c r="P26" s="105"/>
      <c r="Q26" s="107"/>
      <c r="R26" s="105"/>
      <c r="S26" s="105"/>
      <c r="T26" s="105"/>
      <c r="U26" s="105"/>
    </row>
    <row r="27" spans="1:21" x14ac:dyDescent="0.2">
      <c r="A27" s="105" t="s">
        <v>101</v>
      </c>
      <c r="B27" s="107">
        <v>150</v>
      </c>
      <c r="C27" s="105"/>
      <c r="D27" s="105" t="s">
        <v>101</v>
      </c>
      <c r="E27" s="107">
        <f t="shared" si="2"/>
        <v>1800</v>
      </c>
      <c r="F27" s="105"/>
      <c r="G27" s="105"/>
      <c r="H27" s="107"/>
      <c r="I27" s="105"/>
      <c r="J27" s="105" t="s">
        <v>101</v>
      </c>
      <c r="K27" s="107">
        <v>150</v>
      </c>
      <c r="L27" s="105"/>
      <c r="M27" s="105" t="s">
        <v>101</v>
      </c>
      <c r="N27" s="107">
        <f t="shared" si="3"/>
        <v>1800</v>
      </c>
      <c r="O27" s="105"/>
      <c r="P27" s="105"/>
      <c r="Q27" s="107"/>
      <c r="R27" s="105"/>
      <c r="S27" s="105"/>
      <c r="T27" s="105"/>
      <c r="U27" s="105"/>
    </row>
    <row r="28" spans="1:21" x14ac:dyDescent="0.2">
      <c r="A28" s="105" t="s">
        <v>102</v>
      </c>
      <c r="B28" s="107">
        <v>0</v>
      </c>
      <c r="C28" s="105"/>
      <c r="D28" s="105" t="s">
        <v>102</v>
      </c>
      <c r="E28" s="107">
        <f t="shared" si="2"/>
        <v>0</v>
      </c>
      <c r="F28" s="105"/>
      <c r="G28" s="105"/>
      <c r="H28" s="107"/>
      <c r="I28" s="105"/>
      <c r="J28" s="105" t="s">
        <v>102</v>
      </c>
      <c r="K28" s="107">
        <v>0</v>
      </c>
      <c r="L28" s="105"/>
      <c r="M28" s="105" t="s">
        <v>102</v>
      </c>
      <c r="N28" s="107">
        <f t="shared" si="3"/>
        <v>0</v>
      </c>
      <c r="O28" s="105"/>
      <c r="P28" s="105"/>
      <c r="Q28" s="107"/>
      <c r="R28" s="105"/>
      <c r="S28" s="105"/>
      <c r="T28" s="105"/>
      <c r="U28" s="105"/>
    </row>
    <row r="29" spans="1:21" x14ac:dyDescent="0.2">
      <c r="A29" s="105" t="s">
        <v>40</v>
      </c>
      <c r="B29" s="107">
        <v>250</v>
      </c>
      <c r="C29" s="105"/>
      <c r="D29" s="105" t="s">
        <v>40</v>
      </c>
      <c r="E29" s="107">
        <f t="shared" si="2"/>
        <v>3000</v>
      </c>
      <c r="F29" s="105"/>
      <c r="G29" s="105"/>
      <c r="H29" s="107"/>
      <c r="I29" s="105"/>
      <c r="J29" s="105" t="s">
        <v>40</v>
      </c>
      <c r="K29" s="107">
        <v>250</v>
      </c>
      <c r="L29" s="105"/>
      <c r="M29" s="105" t="s">
        <v>40</v>
      </c>
      <c r="N29" s="107">
        <f t="shared" si="3"/>
        <v>3000</v>
      </c>
      <c r="O29" s="105"/>
      <c r="P29" s="105"/>
      <c r="Q29" s="107"/>
      <c r="R29" s="105"/>
      <c r="S29" s="105"/>
      <c r="T29" s="105"/>
      <c r="U29" s="105"/>
    </row>
    <row r="30" spans="1:21" x14ac:dyDescent="0.2">
      <c r="A30" s="105" t="s">
        <v>9</v>
      </c>
      <c r="B30" s="107">
        <v>10647</v>
      </c>
      <c r="C30" s="105"/>
      <c r="D30" s="105"/>
      <c r="E30" s="107">
        <f>SUM(E24:E29)</f>
        <v>119640</v>
      </c>
      <c r="F30" s="105"/>
      <c r="G30" s="105"/>
      <c r="H30" s="107"/>
      <c r="I30" s="105"/>
      <c r="J30" s="105" t="s">
        <v>9</v>
      </c>
      <c r="K30" s="107">
        <f>SUM(K24:K29)</f>
        <v>8920</v>
      </c>
      <c r="L30" s="105"/>
      <c r="M30" s="105"/>
      <c r="N30" s="107">
        <f>SUM(N24:N29)</f>
        <v>107040</v>
      </c>
      <c r="O30" s="105"/>
      <c r="P30" s="105"/>
      <c r="Q30" s="107"/>
      <c r="R30" s="105"/>
      <c r="S30" s="105"/>
      <c r="T30" s="105"/>
      <c r="U30" s="105"/>
    </row>
    <row r="31" spans="1:21" x14ac:dyDescent="0.2">
      <c r="A31" s="105"/>
      <c r="B31" s="105"/>
      <c r="C31" s="105"/>
      <c r="D31" s="105"/>
      <c r="E31" s="105"/>
      <c r="F31" s="105"/>
      <c r="G31" s="105"/>
      <c r="H31" s="107"/>
      <c r="I31" s="105"/>
      <c r="J31" s="105"/>
      <c r="K31" s="105"/>
      <c r="L31" s="105"/>
      <c r="M31" s="105"/>
      <c r="N31" s="105"/>
      <c r="O31" s="105"/>
      <c r="P31" s="105"/>
      <c r="Q31" s="107"/>
      <c r="R31" s="105"/>
      <c r="S31" s="105"/>
      <c r="T31" s="105"/>
      <c r="U31" s="105"/>
    </row>
    <row r="32" spans="1:21" x14ac:dyDescent="0.2">
      <c r="A32" s="105"/>
      <c r="B32" s="105"/>
      <c r="C32" s="105"/>
      <c r="D32" s="109" t="s">
        <v>13</v>
      </c>
      <c r="E32" s="110">
        <f>E21-E30</f>
        <v>126240</v>
      </c>
      <c r="F32" s="107">
        <f>E32/12</f>
        <v>10520</v>
      </c>
      <c r="G32" s="105"/>
      <c r="H32" s="107"/>
      <c r="I32" s="105"/>
      <c r="J32" s="105"/>
      <c r="K32" s="105"/>
      <c r="L32" s="105"/>
      <c r="M32" s="109" t="s">
        <v>13</v>
      </c>
      <c r="N32" s="110">
        <f>N21-N30</f>
        <v>210280</v>
      </c>
      <c r="O32" s="107">
        <f>N32/12</f>
        <v>17523.333333333332</v>
      </c>
      <c r="P32" s="105"/>
      <c r="Q32" s="107"/>
      <c r="R32" s="105"/>
      <c r="S32" s="105"/>
      <c r="T32" s="105"/>
      <c r="U32" s="105"/>
    </row>
    <row r="33" spans="1:21" x14ac:dyDescent="0.2">
      <c r="A33" s="105"/>
      <c r="B33" s="105"/>
      <c r="C33" s="105"/>
      <c r="D33" s="105" t="s">
        <v>111</v>
      </c>
      <c r="E33" s="108"/>
      <c r="F33" s="105"/>
      <c r="G33" s="105"/>
      <c r="H33" s="107"/>
      <c r="I33" s="105"/>
      <c r="J33" s="105"/>
      <c r="K33" s="105"/>
      <c r="L33" s="105"/>
      <c r="M33" s="105" t="s">
        <v>111</v>
      </c>
      <c r="N33" s="108"/>
      <c r="O33" s="105"/>
      <c r="P33" s="105"/>
      <c r="Q33" s="107"/>
      <c r="R33" s="105"/>
      <c r="S33" s="105"/>
      <c r="T33" s="105"/>
      <c r="U33" s="105"/>
    </row>
    <row r="34" spans="1:21" x14ac:dyDescent="0.2">
      <c r="A34" s="105"/>
      <c r="B34" s="105"/>
      <c r="C34" s="105"/>
      <c r="D34" s="109" t="s">
        <v>112</v>
      </c>
      <c r="E34" s="110">
        <v>1500000</v>
      </c>
      <c r="F34" s="105"/>
      <c r="G34" s="105"/>
      <c r="H34" s="105"/>
      <c r="I34" s="105"/>
      <c r="J34" s="105"/>
      <c r="K34" s="105"/>
      <c r="L34" s="105"/>
      <c r="M34" s="109" t="s">
        <v>112</v>
      </c>
      <c r="N34" s="110">
        <v>2000000</v>
      </c>
      <c r="O34" s="105"/>
      <c r="P34" s="105"/>
      <c r="Q34" s="105"/>
      <c r="R34" s="105"/>
      <c r="S34" s="105"/>
      <c r="T34" s="105"/>
      <c r="U34" s="105"/>
    </row>
    <row r="35" spans="1:21" x14ac:dyDescent="0.2">
      <c r="A35" s="105"/>
      <c r="B35" s="105"/>
      <c r="C35" s="105"/>
      <c r="D35" s="105"/>
      <c r="E35" s="105"/>
      <c r="F35" s="105"/>
      <c r="G35" s="105"/>
      <c r="H35" s="105"/>
      <c r="I35" s="105"/>
      <c r="J35" s="105"/>
      <c r="K35" s="105"/>
      <c r="L35" s="105"/>
      <c r="M35" s="105"/>
      <c r="N35" s="105"/>
      <c r="O35" s="105"/>
      <c r="P35" s="105"/>
      <c r="Q35" s="105"/>
      <c r="R35" s="105"/>
      <c r="S35" s="105"/>
      <c r="T35" s="105"/>
      <c r="U35" s="105"/>
    </row>
    <row r="36" spans="1:21" x14ac:dyDescent="0.2">
      <c r="A36" s="105" t="s">
        <v>179</v>
      </c>
      <c r="B36" s="105"/>
      <c r="C36" s="105"/>
      <c r="D36" s="105"/>
      <c r="E36" s="105"/>
      <c r="F36" s="105"/>
      <c r="G36" s="105"/>
      <c r="H36" s="105"/>
      <c r="I36" s="105"/>
      <c r="J36" s="105" t="s">
        <v>179</v>
      </c>
      <c r="K36" s="105"/>
      <c r="L36" s="105"/>
      <c r="M36" s="105"/>
      <c r="N36" s="105"/>
      <c r="O36" s="105"/>
      <c r="P36" s="105"/>
      <c r="Q36" s="105"/>
      <c r="R36" s="105"/>
      <c r="S36" s="105"/>
      <c r="T36" s="105"/>
      <c r="U36" s="105"/>
    </row>
    <row r="37" spans="1:21" x14ac:dyDescent="0.2">
      <c r="A37" s="105" t="s">
        <v>180</v>
      </c>
      <c r="B37" s="107">
        <v>53750</v>
      </c>
      <c r="C37" s="105"/>
      <c r="D37" s="105"/>
      <c r="E37" s="105"/>
      <c r="F37" s="105"/>
      <c r="G37" s="105"/>
      <c r="H37" s="105"/>
      <c r="I37" s="105"/>
      <c r="J37" s="105" t="s">
        <v>180</v>
      </c>
      <c r="K37" s="107">
        <v>160000</v>
      </c>
      <c r="L37" s="105"/>
      <c r="M37" s="105"/>
      <c r="N37" s="105"/>
      <c r="O37" s="105"/>
      <c r="P37" s="105"/>
      <c r="Q37" s="105"/>
      <c r="R37" s="105"/>
      <c r="S37" s="105"/>
      <c r="T37" s="105"/>
      <c r="U37" s="105"/>
    </row>
    <row r="38" spans="1:21" x14ac:dyDescent="0.2">
      <c r="A38" s="105" t="s">
        <v>143</v>
      </c>
      <c r="B38" s="107">
        <v>29373</v>
      </c>
      <c r="C38" s="105"/>
      <c r="D38" s="105"/>
      <c r="E38" s="105"/>
      <c r="F38" s="105"/>
      <c r="G38" s="105"/>
      <c r="H38" s="105"/>
      <c r="I38" s="105"/>
      <c r="J38" s="105" t="s">
        <v>143</v>
      </c>
      <c r="K38" s="107">
        <v>10000</v>
      </c>
      <c r="L38" s="105"/>
      <c r="M38" s="105"/>
      <c r="N38" s="105"/>
      <c r="O38" s="105"/>
      <c r="P38" s="105"/>
      <c r="Q38" s="105"/>
      <c r="R38" s="105"/>
      <c r="S38" s="105"/>
      <c r="T38" s="105"/>
      <c r="U38" s="105"/>
    </row>
    <row r="39" spans="1:21" x14ac:dyDescent="0.2">
      <c r="A39" s="107" t="s">
        <v>188</v>
      </c>
      <c r="B39" s="107">
        <v>3004</v>
      </c>
      <c r="C39" s="105"/>
      <c r="D39" s="105"/>
      <c r="E39" s="105"/>
      <c r="F39" s="105"/>
      <c r="G39" s="105"/>
      <c r="H39" s="105"/>
      <c r="I39" s="105"/>
      <c r="J39" s="107" t="s">
        <v>188</v>
      </c>
      <c r="K39" s="107" t="s">
        <v>189</v>
      </c>
      <c r="L39" s="105"/>
      <c r="M39" s="105"/>
      <c r="N39" s="105"/>
      <c r="O39" s="105"/>
      <c r="P39" s="105"/>
      <c r="Q39" s="105"/>
      <c r="R39" s="105"/>
      <c r="S39" s="105"/>
      <c r="T39" s="105"/>
      <c r="U39" s="105"/>
    </row>
    <row r="40" spans="1:21" x14ac:dyDescent="0.2">
      <c r="A40" s="105"/>
      <c r="B40" s="105"/>
      <c r="C40" s="105"/>
      <c r="D40" s="107"/>
      <c r="E40" s="107"/>
      <c r="F40" s="105"/>
      <c r="G40" s="105"/>
      <c r="H40" s="105"/>
      <c r="I40" s="105"/>
      <c r="J40" s="105"/>
      <c r="K40" s="105"/>
      <c r="L40" s="105"/>
      <c r="M40" s="107"/>
      <c r="N40" s="107"/>
      <c r="O40" s="105"/>
      <c r="P40" s="105"/>
      <c r="Q40" s="105"/>
      <c r="R40" s="105"/>
      <c r="S40" s="105"/>
      <c r="T40" s="105"/>
      <c r="U40" s="105"/>
    </row>
    <row r="41" spans="1:21" x14ac:dyDescent="0.2">
      <c r="A41" s="107" t="s">
        <v>190</v>
      </c>
      <c r="B41" s="105"/>
      <c r="C41" s="107"/>
      <c r="D41" s="107"/>
      <c r="E41" s="105"/>
      <c r="F41" s="105"/>
      <c r="G41" s="105"/>
      <c r="H41" s="105"/>
      <c r="I41" s="105"/>
      <c r="J41" s="107" t="s">
        <v>190</v>
      </c>
      <c r="K41" s="105"/>
      <c r="L41" s="107"/>
      <c r="M41" s="107"/>
      <c r="N41" s="105"/>
      <c r="O41" s="105"/>
      <c r="P41" s="105"/>
      <c r="Q41" s="105"/>
      <c r="R41" s="105"/>
      <c r="S41" s="105"/>
      <c r="T41" s="105"/>
      <c r="U41" s="105"/>
    </row>
    <row r="42" spans="1:21" x14ac:dyDescent="0.2">
      <c r="A42" s="107" t="s">
        <v>191</v>
      </c>
      <c r="B42" s="105">
        <v>1001.66</v>
      </c>
      <c r="C42" s="107"/>
      <c r="D42" s="107"/>
      <c r="E42" s="105"/>
      <c r="F42" s="105"/>
      <c r="G42" s="105"/>
      <c r="H42" s="105"/>
      <c r="I42" s="105"/>
      <c r="J42" s="107" t="s">
        <v>191</v>
      </c>
      <c r="K42" s="105">
        <v>0</v>
      </c>
      <c r="L42" s="107"/>
      <c r="M42" s="107"/>
      <c r="N42" s="105"/>
      <c r="O42" s="105"/>
      <c r="P42" s="105"/>
      <c r="Q42" s="105"/>
      <c r="R42" s="105"/>
      <c r="S42" s="105"/>
      <c r="T42" s="105"/>
      <c r="U42" s="105"/>
    </row>
    <row r="43" spans="1:21" x14ac:dyDescent="0.2">
      <c r="A43" s="107" t="s">
        <v>191</v>
      </c>
      <c r="B43" s="107">
        <v>3359.63</v>
      </c>
      <c r="C43" s="107"/>
      <c r="D43" s="105"/>
      <c r="E43" s="105"/>
      <c r="F43" s="105"/>
      <c r="G43" s="105"/>
      <c r="H43" s="105"/>
      <c r="I43" s="105"/>
      <c r="J43" s="107" t="s">
        <v>191</v>
      </c>
      <c r="K43" s="107" t="s">
        <v>189</v>
      </c>
      <c r="L43" s="107"/>
      <c r="M43" s="105"/>
      <c r="N43" s="105"/>
      <c r="O43" s="105"/>
      <c r="P43" s="105"/>
      <c r="Q43" s="105"/>
      <c r="R43" s="105"/>
      <c r="S43" s="105"/>
      <c r="T43" s="105"/>
      <c r="U43" s="105"/>
    </row>
    <row r="44" spans="1:21" x14ac:dyDescent="0.2">
      <c r="A44" s="107" t="s">
        <v>192</v>
      </c>
      <c r="B44" s="107">
        <v>10705.44</v>
      </c>
      <c r="C44" s="105"/>
      <c r="D44" s="105"/>
      <c r="E44" s="105"/>
      <c r="F44" s="105"/>
      <c r="G44" s="105"/>
      <c r="H44" s="105"/>
      <c r="I44" s="105"/>
      <c r="J44" s="107" t="s">
        <v>192</v>
      </c>
      <c r="K44" s="107" t="s">
        <v>189</v>
      </c>
      <c r="L44" s="105"/>
      <c r="M44" s="105"/>
      <c r="N44" s="105"/>
      <c r="O44" s="105"/>
      <c r="P44" s="105"/>
      <c r="Q44" s="105"/>
      <c r="R44" s="105"/>
      <c r="S44" s="105"/>
      <c r="T44" s="105"/>
      <c r="U44" s="105"/>
    </row>
    <row r="45" spans="1:21" x14ac:dyDescent="0.2">
      <c r="A45" s="107"/>
      <c r="B45" s="107"/>
      <c r="C45" s="107"/>
      <c r="D45" s="107"/>
      <c r="E45" s="105"/>
      <c r="F45" s="105"/>
      <c r="G45" s="105"/>
      <c r="H45" s="105"/>
      <c r="I45" s="105"/>
      <c r="J45" s="107"/>
      <c r="K45" s="107"/>
      <c r="L45" s="107"/>
      <c r="M45" s="107"/>
      <c r="N45" s="105"/>
      <c r="O45" s="105"/>
      <c r="P45" s="105"/>
      <c r="Q45" s="105"/>
      <c r="R45" s="105"/>
      <c r="S45" s="105"/>
      <c r="T45" s="105"/>
      <c r="U45" s="105"/>
    </row>
    <row r="46" spans="1:21" x14ac:dyDescent="0.2">
      <c r="A46" s="107" t="s">
        <v>193</v>
      </c>
      <c r="B46" s="105"/>
      <c r="C46" s="107"/>
      <c r="D46" s="107"/>
      <c r="E46" s="105"/>
      <c r="F46" s="105"/>
      <c r="G46" s="105"/>
      <c r="H46" s="105"/>
      <c r="I46" s="105"/>
      <c r="J46" s="107" t="s">
        <v>193</v>
      </c>
      <c r="K46" s="107" t="s">
        <v>189</v>
      </c>
      <c r="L46" s="107"/>
      <c r="M46" s="107"/>
      <c r="N46" s="105"/>
      <c r="O46" s="105"/>
      <c r="P46" s="105"/>
      <c r="Q46" s="105"/>
      <c r="R46" s="105"/>
      <c r="S46" s="105"/>
      <c r="T46" s="105"/>
      <c r="U46" s="105"/>
    </row>
    <row r="47" spans="1:21" x14ac:dyDescent="0.2">
      <c r="A47" s="107" t="s">
        <v>194</v>
      </c>
      <c r="B47" s="107">
        <v>648.09</v>
      </c>
      <c r="C47" s="107">
        <v>1069.18</v>
      </c>
      <c r="D47" s="107"/>
      <c r="E47" s="105"/>
      <c r="F47" s="105"/>
      <c r="G47" s="105"/>
      <c r="H47" s="105"/>
      <c r="I47" s="105"/>
      <c r="J47" s="107" t="s">
        <v>194</v>
      </c>
      <c r="K47" s="107" t="s">
        <v>189</v>
      </c>
      <c r="L47" s="107" t="s">
        <v>195</v>
      </c>
      <c r="M47" s="107"/>
      <c r="N47" s="105"/>
      <c r="O47" s="105"/>
      <c r="P47" s="105"/>
      <c r="Q47" s="105"/>
      <c r="R47" s="105"/>
      <c r="S47" s="105"/>
      <c r="T47" s="105"/>
      <c r="U47" s="105"/>
    </row>
    <row r="48" spans="1:21" x14ac:dyDescent="0.2">
      <c r="A48" s="107" t="s">
        <v>196</v>
      </c>
      <c r="B48" s="107">
        <v>3640.91</v>
      </c>
      <c r="C48" s="107"/>
      <c r="D48" s="107"/>
      <c r="E48" s="105"/>
      <c r="F48" s="105"/>
      <c r="G48" s="105"/>
      <c r="H48" s="105"/>
      <c r="I48" s="105"/>
      <c r="J48" s="107" t="s">
        <v>196</v>
      </c>
      <c r="K48" s="107" t="s">
        <v>189</v>
      </c>
      <c r="L48" s="107"/>
      <c r="M48" s="107"/>
      <c r="N48" s="105"/>
      <c r="O48" s="105"/>
      <c r="P48" s="105"/>
      <c r="Q48" s="105"/>
      <c r="R48" s="105"/>
      <c r="S48" s="105"/>
      <c r="T48" s="105"/>
      <c r="U48" s="105"/>
    </row>
    <row r="49" spans="1:21" x14ac:dyDescent="0.2">
      <c r="A49" s="107" t="s">
        <v>197</v>
      </c>
      <c r="B49" s="107">
        <v>5000</v>
      </c>
      <c r="C49" s="105"/>
      <c r="D49" s="105"/>
      <c r="E49" s="105"/>
      <c r="F49" s="105"/>
      <c r="G49" s="105"/>
      <c r="H49" s="105"/>
      <c r="I49" s="105"/>
      <c r="J49" s="107" t="s">
        <v>197</v>
      </c>
      <c r="K49" s="107" t="s">
        <v>189</v>
      </c>
      <c r="L49" s="105"/>
      <c r="M49" s="105"/>
      <c r="N49" s="105"/>
      <c r="O49" s="105"/>
      <c r="P49" s="105"/>
      <c r="Q49" s="105"/>
      <c r="R49" s="105"/>
      <c r="S49" s="105"/>
      <c r="T49" s="105"/>
      <c r="U49" s="105"/>
    </row>
    <row r="50" spans="1:21" x14ac:dyDescent="0.2">
      <c r="A50" s="108"/>
      <c r="B50" s="107"/>
      <c r="C50" s="105"/>
      <c r="D50" s="105"/>
      <c r="E50" s="105"/>
      <c r="F50" s="105"/>
      <c r="G50" s="105"/>
      <c r="H50" s="105"/>
      <c r="I50" s="105"/>
      <c r="J50" s="108"/>
      <c r="K50" s="107"/>
      <c r="L50" s="105"/>
      <c r="M50" s="105"/>
      <c r="N50" s="105"/>
      <c r="O50" s="105"/>
      <c r="P50" s="105"/>
      <c r="Q50" s="105"/>
      <c r="R50" s="105"/>
      <c r="S50" s="105"/>
      <c r="T50" s="105"/>
      <c r="U50" s="105"/>
    </row>
    <row r="51" spans="1:21" x14ac:dyDescent="0.2">
      <c r="A51" s="107" t="s">
        <v>198</v>
      </c>
      <c r="B51" s="107">
        <v>110482.73</v>
      </c>
      <c r="C51" s="105"/>
      <c r="D51" s="105"/>
      <c r="E51" s="105"/>
      <c r="F51" s="105"/>
      <c r="G51" s="105"/>
      <c r="H51" s="105"/>
      <c r="I51" s="105"/>
      <c r="J51" s="107" t="s">
        <v>198</v>
      </c>
      <c r="K51" s="107">
        <v>170000</v>
      </c>
      <c r="L51" s="105"/>
      <c r="M51" s="105"/>
      <c r="N51" s="105"/>
      <c r="O51" s="105"/>
      <c r="P51" s="105"/>
      <c r="Q51" s="105"/>
      <c r="R51" s="105"/>
      <c r="S51" s="105"/>
      <c r="T51" s="105"/>
      <c r="U51" s="105"/>
    </row>
  </sheetData>
  <mergeCells count="2">
    <mergeCell ref="A1:F1"/>
    <mergeCell ref="J1:O1"/>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57E1D-F179-3149-9817-FF9E720EE14D}">
  <dimension ref="A1:W146"/>
  <sheetViews>
    <sheetView workbookViewId="0">
      <selection sqref="A1:K146"/>
    </sheetView>
  </sheetViews>
  <sheetFormatPr baseColWidth="10" defaultColWidth="10.83203125" defaultRowHeight="15" x14ac:dyDescent="0.2"/>
  <cols>
    <col min="1" max="1" width="19" bestFit="1" customWidth="1"/>
    <col min="2" max="2" width="14.83203125" bestFit="1" customWidth="1"/>
    <col min="3" max="5" width="12.1640625" bestFit="1" customWidth="1"/>
    <col min="7" max="7" width="19" bestFit="1" customWidth="1"/>
    <col min="8" max="8" width="14.83203125" bestFit="1" customWidth="1"/>
    <col min="9" max="11" width="12.1640625" bestFit="1" customWidth="1"/>
    <col min="13" max="13" width="19" bestFit="1" customWidth="1"/>
    <col min="14" max="14" width="14.83203125" bestFit="1" customWidth="1"/>
    <col min="15" max="17" width="12.1640625" bestFit="1" customWidth="1"/>
    <col min="19" max="19" width="19" bestFit="1" customWidth="1"/>
    <col min="20" max="20" width="14.83203125" bestFit="1" customWidth="1"/>
    <col min="21" max="23" width="12.1640625" bestFit="1" customWidth="1"/>
  </cols>
  <sheetData>
    <row r="1" spans="1:23" ht="19" x14ac:dyDescent="0.25">
      <c r="A1" s="6" t="s">
        <v>18</v>
      </c>
      <c r="B1" s="6"/>
      <c r="C1" s="6"/>
      <c r="D1" s="6"/>
      <c r="E1" s="6"/>
      <c r="F1" s="6"/>
      <c r="G1" s="6" t="s">
        <v>19</v>
      </c>
      <c r="H1" s="6"/>
      <c r="I1" s="6"/>
      <c r="J1" s="6"/>
      <c r="K1" s="6"/>
      <c r="L1" s="6"/>
      <c r="M1" s="6" t="s">
        <v>20</v>
      </c>
      <c r="N1" s="6"/>
      <c r="O1" s="6"/>
      <c r="P1" s="6"/>
      <c r="Q1" s="6"/>
      <c r="S1" s="6" t="s">
        <v>21</v>
      </c>
      <c r="T1" s="6"/>
    </row>
    <row r="2" spans="1:23" ht="19" x14ac:dyDescent="0.25">
      <c r="A2" s="6"/>
      <c r="B2" s="6"/>
      <c r="C2" s="6"/>
      <c r="D2" s="6"/>
      <c r="E2" s="6"/>
      <c r="F2" s="6"/>
      <c r="G2" s="6"/>
      <c r="H2" s="6"/>
      <c r="I2" s="6"/>
      <c r="J2" s="6"/>
      <c r="K2" s="6"/>
      <c r="L2" s="6"/>
      <c r="M2" s="6"/>
      <c r="N2" s="6"/>
      <c r="O2" s="6"/>
      <c r="P2" s="6"/>
      <c r="Q2" s="6"/>
      <c r="S2" s="6"/>
      <c r="T2" s="6"/>
    </row>
    <row r="3" spans="1:23" ht="19" x14ac:dyDescent="0.25">
      <c r="A3" s="4" t="s">
        <v>22</v>
      </c>
      <c r="B3" s="4">
        <v>85000</v>
      </c>
      <c r="C3" s="4"/>
      <c r="D3" s="4"/>
      <c r="E3" s="4"/>
      <c r="F3" s="4"/>
      <c r="G3" s="4" t="s">
        <v>22</v>
      </c>
      <c r="H3" s="4">
        <v>50000</v>
      </c>
      <c r="I3" s="4"/>
      <c r="J3" s="4"/>
      <c r="K3" s="4"/>
      <c r="L3" s="4"/>
      <c r="M3" s="4" t="s">
        <v>22</v>
      </c>
      <c r="N3" s="4">
        <v>25000</v>
      </c>
      <c r="O3" s="4"/>
      <c r="P3" s="4"/>
      <c r="Q3" s="4"/>
      <c r="S3" s="4" t="s">
        <v>22</v>
      </c>
      <c r="T3" s="4">
        <v>60000</v>
      </c>
    </row>
    <row r="4" spans="1:23" ht="19" x14ac:dyDescent="0.25">
      <c r="A4" s="4" t="s">
        <v>23</v>
      </c>
      <c r="B4" s="4">
        <v>2330.15</v>
      </c>
      <c r="C4" s="4"/>
      <c r="D4" s="4"/>
      <c r="E4" s="4"/>
      <c r="F4" s="4"/>
      <c r="G4" s="4" t="s">
        <v>23</v>
      </c>
      <c r="H4" s="4">
        <v>1667</v>
      </c>
      <c r="I4" s="4"/>
      <c r="J4" s="4"/>
      <c r="K4" s="4"/>
      <c r="L4" s="4"/>
      <c r="M4" s="4" t="s">
        <v>23</v>
      </c>
      <c r="N4" s="4">
        <v>1375</v>
      </c>
      <c r="O4" s="4"/>
      <c r="P4" s="4"/>
      <c r="Q4" s="4"/>
      <c r="S4" s="4" t="s">
        <v>23</v>
      </c>
      <c r="T4" s="4">
        <v>2642</v>
      </c>
    </row>
    <row r="5" spans="1:23" ht="19" x14ac:dyDescent="0.25">
      <c r="A5" s="6" t="s">
        <v>2</v>
      </c>
      <c r="B5" s="11">
        <v>0.31415999999999999</v>
      </c>
      <c r="C5" s="6"/>
      <c r="D5" s="6"/>
      <c r="E5" s="6"/>
      <c r="F5" s="6"/>
      <c r="G5" s="6" t="s">
        <v>2</v>
      </c>
      <c r="H5" s="7">
        <v>0.3916</v>
      </c>
      <c r="I5" s="6"/>
      <c r="J5" s="6"/>
      <c r="K5" s="6"/>
      <c r="L5" s="6"/>
      <c r="M5" s="6" t="s">
        <v>2</v>
      </c>
      <c r="N5" s="11">
        <v>0.51432</v>
      </c>
      <c r="O5" s="6"/>
      <c r="P5" s="6"/>
      <c r="Q5" s="6"/>
      <c r="S5" s="6" t="s">
        <v>2</v>
      </c>
      <c r="T5" s="11">
        <v>0.51266999999999996</v>
      </c>
    </row>
    <row r="6" spans="1:23" ht="19" x14ac:dyDescent="0.25">
      <c r="A6" s="6"/>
      <c r="B6" s="6"/>
      <c r="C6" s="6"/>
      <c r="D6" s="6"/>
      <c r="E6" s="6"/>
      <c r="F6" s="6"/>
      <c r="G6" s="6"/>
      <c r="H6" s="6"/>
      <c r="I6" s="6"/>
      <c r="J6" s="6"/>
      <c r="K6" s="6"/>
      <c r="L6" s="6"/>
      <c r="M6" s="6"/>
      <c r="N6" s="6"/>
      <c r="O6" s="6"/>
      <c r="P6" s="6"/>
      <c r="Q6" s="6"/>
    </row>
    <row r="7" spans="1:23" x14ac:dyDescent="0.2">
      <c r="A7" t="s">
        <v>16</v>
      </c>
      <c r="B7" t="s">
        <v>24</v>
      </c>
      <c r="C7" t="s">
        <v>25</v>
      </c>
      <c r="D7" t="s">
        <v>26</v>
      </c>
      <c r="E7" t="s">
        <v>27</v>
      </c>
      <c r="G7" t="s">
        <v>16</v>
      </c>
      <c r="H7" t="s">
        <v>24</v>
      </c>
      <c r="I7" t="s">
        <v>25</v>
      </c>
      <c r="J7" t="s">
        <v>26</v>
      </c>
      <c r="K7" t="s">
        <v>27</v>
      </c>
      <c r="M7" t="s">
        <v>16</v>
      </c>
      <c r="N7" t="s">
        <v>24</v>
      </c>
      <c r="O7" t="s">
        <v>25</v>
      </c>
      <c r="P7" t="s">
        <v>26</v>
      </c>
      <c r="Q7" t="s">
        <v>27</v>
      </c>
      <c r="S7" t="s">
        <v>16</v>
      </c>
      <c r="T7" t="s">
        <v>24</v>
      </c>
      <c r="U7" t="s">
        <v>25</v>
      </c>
      <c r="V7" t="s">
        <v>26</v>
      </c>
      <c r="W7" t="s">
        <v>27</v>
      </c>
    </row>
    <row r="8" spans="1:23" ht="16" x14ac:dyDescent="0.2">
      <c r="A8" s="12">
        <v>44927</v>
      </c>
      <c r="B8" s="13">
        <v>85000</v>
      </c>
      <c r="C8" s="13">
        <v>2225.3000000000002</v>
      </c>
      <c r="D8" s="13">
        <v>104.85</v>
      </c>
      <c r="E8" s="13">
        <v>84895.15</v>
      </c>
      <c r="G8" s="12">
        <v>44927</v>
      </c>
      <c r="H8" s="13">
        <v>50000</v>
      </c>
      <c r="I8" s="13">
        <v>1631.67</v>
      </c>
      <c r="J8" s="13">
        <v>35.35</v>
      </c>
      <c r="K8" s="13">
        <v>49964.65</v>
      </c>
      <c r="M8" s="12">
        <v>44927</v>
      </c>
      <c r="N8" s="13">
        <v>25000</v>
      </c>
      <c r="O8" s="13">
        <v>1071.5</v>
      </c>
      <c r="P8" s="13">
        <v>303.51</v>
      </c>
      <c r="Q8" s="13">
        <v>24696.49</v>
      </c>
      <c r="S8" s="12">
        <v>44927</v>
      </c>
      <c r="T8" s="13">
        <v>60000</v>
      </c>
      <c r="U8" s="13">
        <v>2563.35</v>
      </c>
      <c r="V8" s="13">
        <v>78.66</v>
      </c>
      <c r="W8" s="13">
        <v>59921.34</v>
      </c>
    </row>
    <row r="9" spans="1:23" ht="16" x14ac:dyDescent="0.2">
      <c r="A9" s="12">
        <v>44958</v>
      </c>
      <c r="B9" s="13">
        <v>84895.15</v>
      </c>
      <c r="C9" s="13">
        <v>2222.56</v>
      </c>
      <c r="D9" s="13">
        <v>107.59</v>
      </c>
      <c r="E9" s="13">
        <v>84787.56</v>
      </c>
      <c r="G9" s="12">
        <v>44958</v>
      </c>
      <c r="H9" s="13">
        <v>49964.65</v>
      </c>
      <c r="I9" s="13">
        <v>1630.51</v>
      </c>
      <c r="J9" s="13">
        <v>36.5</v>
      </c>
      <c r="K9" s="13">
        <v>49928.14</v>
      </c>
      <c r="M9" s="12">
        <v>44958</v>
      </c>
      <c r="N9" s="13">
        <v>24696.49</v>
      </c>
      <c r="O9" s="13">
        <v>1058.49</v>
      </c>
      <c r="P9" s="13">
        <v>316.52</v>
      </c>
      <c r="Q9" s="13">
        <v>24379.98</v>
      </c>
      <c r="S9" s="12">
        <v>44958</v>
      </c>
      <c r="T9" s="13">
        <v>59921.34</v>
      </c>
      <c r="U9" s="13">
        <v>2559.9899999999998</v>
      </c>
      <c r="V9" s="13">
        <v>82.02</v>
      </c>
      <c r="W9" s="13">
        <v>59839.32</v>
      </c>
    </row>
    <row r="10" spans="1:23" ht="16" x14ac:dyDescent="0.2">
      <c r="A10" s="12">
        <v>44986</v>
      </c>
      <c r="B10" s="13">
        <v>84787.56</v>
      </c>
      <c r="C10" s="13">
        <v>2219.7399999999998</v>
      </c>
      <c r="D10" s="13">
        <v>110.41</v>
      </c>
      <c r="E10" s="13">
        <v>84677.15</v>
      </c>
      <c r="G10" s="12">
        <v>44986</v>
      </c>
      <c r="H10" s="13">
        <v>49928.14</v>
      </c>
      <c r="I10" s="13">
        <v>1629.32</v>
      </c>
      <c r="J10" s="13">
        <v>37.700000000000003</v>
      </c>
      <c r="K10" s="13">
        <v>49890.45</v>
      </c>
      <c r="M10" s="12">
        <v>44986</v>
      </c>
      <c r="N10" s="13">
        <v>24379.98</v>
      </c>
      <c r="O10" s="13">
        <v>1044.93</v>
      </c>
      <c r="P10" s="13">
        <v>330.08</v>
      </c>
      <c r="Q10" s="13">
        <v>24049.9</v>
      </c>
      <c r="S10" s="12">
        <v>44986</v>
      </c>
      <c r="T10" s="13">
        <v>59839.32</v>
      </c>
      <c r="U10" s="13">
        <v>2556.4899999999998</v>
      </c>
      <c r="V10" s="13">
        <v>85.53</v>
      </c>
      <c r="W10" s="13">
        <v>59753.79</v>
      </c>
    </row>
    <row r="11" spans="1:23" ht="16" x14ac:dyDescent="0.2">
      <c r="A11" s="12">
        <v>45017</v>
      </c>
      <c r="B11" s="13">
        <v>84677.15</v>
      </c>
      <c r="C11" s="13">
        <v>2216.85</v>
      </c>
      <c r="D11" s="13">
        <v>113.3</v>
      </c>
      <c r="E11" s="13">
        <v>84563.85</v>
      </c>
      <c r="G11" s="12">
        <v>45017</v>
      </c>
      <c r="H11" s="13">
        <v>49890.45</v>
      </c>
      <c r="I11" s="13">
        <v>1628.09</v>
      </c>
      <c r="J11" s="13">
        <v>38.93</v>
      </c>
      <c r="K11" s="13">
        <v>49851.519999999997</v>
      </c>
      <c r="M11" s="12">
        <v>45017</v>
      </c>
      <c r="N11" s="13">
        <v>24049.9</v>
      </c>
      <c r="O11" s="13">
        <v>1030.78</v>
      </c>
      <c r="P11" s="13">
        <v>344.23</v>
      </c>
      <c r="Q11" s="13">
        <v>23705.67</v>
      </c>
      <c r="S11" s="12">
        <v>45017</v>
      </c>
      <c r="T11" s="13">
        <v>59753.79</v>
      </c>
      <c r="U11" s="13">
        <v>2552.83</v>
      </c>
      <c r="V11" s="13">
        <v>89.18</v>
      </c>
      <c r="W11" s="13">
        <v>59664.61</v>
      </c>
    </row>
    <row r="12" spans="1:23" ht="16" x14ac:dyDescent="0.2">
      <c r="A12" s="12">
        <v>45047</v>
      </c>
      <c r="B12" s="13">
        <v>84563.85</v>
      </c>
      <c r="C12" s="13">
        <v>2213.88</v>
      </c>
      <c r="D12" s="13">
        <v>116.27</v>
      </c>
      <c r="E12" s="13">
        <v>84447.59</v>
      </c>
      <c r="G12" s="12">
        <v>45047</v>
      </c>
      <c r="H12" s="13">
        <v>49851.519999999997</v>
      </c>
      <c r="I12" s="13">
        <v>1626.82</v>
      </c>
      <c r="J12" s="13">
        <v>40.200000000000003</v>
      </c>
      <c r="K12" s="13">
        <v>49811.33</v>
      </c>
      <c r="M12" s="12">
        <v>45047</v>
      </c>
      <c r="N12" s="13">
        <v>23705.67</v>
      </c>
      <c r="O12" s="13">
        <v>1016.02</v>
      </c>
      <c r="P12" s="13">
        <v>358.98</v>
      </c>
      <c r="Q12" s="13">
        <v>23346.69</v>
      </c>
      <c r="S12" s="12">
        <v>45047</v>
      </c>
      <c r="T12" s="13">
        <v>59664.61</v>
      </c>
      <c r="U12" s="13">
        <v>2549.02</v>
      </c>
      <c r="V12" s="13">
        <v>92.99</v>
      </c>
      <c r="W12" s="13">
        <v>59571.62</v>
      </c>
    </row>
    <row r="13" spans="1:23" ht="16" x14ac:dyDescent="0.2">
      <c r="A13" s="12">
        <v>45078</v>
      </c>
      <c r="B13" s="13">
        <v>84447.59</v>
      </c>
      <c r="C13" s="13">
        <v>2210.84</v>
      </c>
      <c r="D13" s="13">
        <v>119.31</v>
      </c>
      <c r="E13" s="13">
        <v>84328.28</v>
      </c>
      <c r="G13" s="12">
        <v>45078</v>
      </c>
      <c r="H13" s="13">
        <v>49811.33</v>
      </c>
      <c r="I13" s="13">
        <v>1625.51</v>
      </c>
      <c r="J13" s="13">
        <v>41.51</v>
      </c>
      <c r="K13" s="13">
        <v>49769.82</v>
      </c>
      <c r="M13" s="12">
        <v>45078</v>
      </c>
      <c r="N13" s="13">
        <v>23346.69</v>
      </c>
      <c r="O13" s="13">
        <v>1000.64</v>
      </c>
      <c r="P13" s="13">
        <v>374.37</v>
      </c>
      <c r="Q13" s="13">
        <v>22972.32</v>
      </c>
      <c r="S13" s="12">
        <v>45078</v>
      </c>
      <c r="T13" s="13">
        <v>59571.62</v>
      </c>
      <c r="U13" s="13">
        <v>2545.0500000000002</v>
      </c>
      <c r="V13" s="13">
        <v>96.96</v>
      </c>
      <c r="W13" s="13">
        <v>59474.66</v>
      </c>
    </row>
    <row r="14" spans="1:23" ht="16" x14ac:dyDescent="0.2">
      <c r="A14" s="12">
        <v>45108</v>
      </c>
      <c r="B14" s="13">
        <v>84328.28</v>
      </c>
      <c r="C14" s="13">
        <v>2207.71</v>
      </c>
      <c r="D14" s="13">
        <v>122.43</v>
      </c>
      <c r="E14" s="13">
        <v>84205.84</v>
      </c>
      <c r="G14" s="12">
        <v>45108</v>
      </c>
      <c r="H14" s="13">
        <v>49769.82</v>
      </c>
      <c r="I14" s="13">
        <v>1624.16</v>
      </c>
      <c r="J14" s="13">
        <v>42.86</v>
      </c>
      <c r="K14" s="13">
        <v>49726.95</v>
      </c>
      <c r="M14" s="12">
        <v>45108</v>
      </c>
      <c r="N14" s="13">
        <v>22972.32</v>
      </c>
      <c r="O14" s="13">
        <v>984.59</v>
      </c>
      <c r="P14" s="13">
        <v>390.41</v>
      </c>
      <c r="Q14" s="13">
        <v>22581.91</v>
      </c>
      <c r="S14" s="12">
        <v>45108</v>
      </c>
      <c r="T14" s="13">
        <v>59474.66</v>
      </c>
      <c r="U14" s="13">
        <v>2540.91</v>
      </c>
      <c r="V14" s="13">
        <v>101.1</v>
      </c>
      <c r="W14" s="13">
        <v>59373.55</v>
      </c>
    </row>
    <row r="15" spans="1:23" ht="16" x14ac:dyDescent="0.2">
      <c r="A15" s="12">
        <v>45139</v>
      </c>
      <c r="B15" s="13">
        <v>84205.84</v>
      </c>
      <c r="C15" s="13">
        <v>2204.5100000000002</v>
      </c>
      <c r="D15" s="13">
        <v>125.64</v>
      </c>
      <c r="E15" s="13">
        <v>84080.2</v>
      </c>
      <c r="G15" s="12">
        <v>45139</v>
      </c>
      <c r="H15" s="13">
        <v>49726.95</v>
      </c>
      <c r="I15" s="13">
        <v>1622.76</v>
      </c>
      <c r="J15" s="13">
        <v>44.26</v>
      </c>
      <c r="K15" s="13">
        <v>49682.69</v>
      </c>
      <c r="M15" s="12">
        <v>45139</v>
      </c>
      <c r="N15" s="13">
        <v>22581.91</v>
      </c>
      <c r="O15" s="13">
        <v>967.86</v>
      </c>
      <c r="P15" s="13">
        <v>407.15</v>
      </c>
      <c r="Q15" s="13">
        <v>22174.76</v>
      </c>
      <c r="S15" s="12">
        <v>45139</v>
      </c>
      <c r="T15" s="13">
        <v>59373.55</v>
      </c>
      <c r="U15" s="13">
        <v>2536.59</v>
      </c>
      <c r="V15" s="13">
        <v>105.42</v>
      </c>
      <c r="W15" s="13">
        <v>59268.13</v>
      </c>
    </row>
    <row r="16" spans="1:23" ht="16" x14ac:dyDescent="0.2">
      <c r="A16" s="12">
        <v>45170</v>
      </c>
      <c r="B16" s="13">
        <v>84080.2</v>
      </c>
      <c r="C16" s="13">
        <v>2201.2199999999998</v>
      </c>
      <c r="D16" s="13">
        <v>128.93</v>
      </c>
      <c r="E16" s="13">
        <v>83951.28</v>
      </c>
      <c r="G16" s="12">
        <v>45170</v>
      </c>
      <c r="H16" s="13">
        <v>49682.69</v>
      </c>
      <c r="I16" s="13">
        <v>1621.31</v>
      </c>
      <c r="J16" s="13">
        <v>45.71</v>
      </c>
      <c r="K16" s="13">
        <v>49636.99</v>
      </c>
      <c r="M16" s="12">
        <v>45170</v>
      </c>
      <c r="N16" s="13">
        <v>22174.76</v>
      </c>
      <c r="O16" s="13">
        <v>950.41</v>
      </c>
      <c r="P16" s="13">
        <v>424.6</v>
      </c>
      <c r="Q16" s="13">
        <v>21750.16</v>
      </c>
      <c r="S16" s="12">
        <v>45170</v>
      </c>
      <c r="T16" s="13">
        <v>59268.13</v>
      </c>
      <c r="U16" s="13">
        <v>2532.08</v>
      </c>
      <c r="V16" s="13">
        <v>109.93</v>
      </c>
      <c r="W16" s="13">
        <v>59158.2</v>
      </c>
    </row>
    <row r="17" spans="1:23" ht="16" x14ac:dyDescent="0.2">
      <c r="A17" s="12">
        <v>45200</v>
      </c>
      <c r="B17" s="13">
        <v>83951.28</v>
      </c>
      <c r="C17" s="13">
        <v>2197.84</v>
      </c>
      <c r="D17" s="13">
        <v>132.30000000000001</v>
      </c>
      <c r="E17" s="13">
        <v>83818.97</v>
      </c>
      <c r="G17" s="12">
        <v>45200</v>
      </c>
      <c r="H17" s="13">
        <v>49636.99</v>
      </c>
      <c r="I17" s="13">
        <v>1619.82</v>
      </c>
      <c r="J17" s="13">
        <v>47.2</v>
      </c>
      <c r="K17" s="13">
        <v>49589.79</v>
      </c>
      <c r="M17" s="12">
        <v>45200</v>
      </c>
      <c r="N17" s="13">
        <v>21750.16</v>
      </c>
      <c r="O17" s="13">
        <v>932.21</v>
      </c>
      <c r="P17" s="13">
        <v>442.79</v>
      </c>
      <c r="Q17" s="13">
        <v>21307.37</v>
      </c>
      <c r="S17" s="12">
        <v>45200</v>
      </c>
      <c r="T17" s="13">
        <v>59158.2</v>
      </c>
      <c r="U17" s="13">
        <v>2527.39</v>
      </c>
      <c r="V17" s="13">
        <v>114.62</v>
      </c>
      <c r="W17" s="13">
        <v>59043.58</v>
      </c>
    </row>
    <row r="18" spans="1:23" ht="16" x14ac:dyDescent="0.2">
      <c r="A18" s="12">
        <v>45231</v>
      </c>
      <c r="B18" s="13">
        <v>83818.97</v>
      </c>
      <c r="C18" s="13">
        <v>2194.38</v>
      </c>
      <c r="D18" s="13">
        <v>135.77000000000001</v>
      </c>
      <c r="E18" s="13">
        <v>83683.210000000006</v>
      </c>
      <c r="G18" s="12">
        <v>45231</v>
      </c>
      <c r="H18" s="13">
        <v>49589.79</v>
      </c>
      <c r="I18" s="13">
        <v>1618.28</v>
      </c>
      <c r="J18" s="13">
        <v>48.74</v>
      </c>
      <c r="K18" s="13">
        <v>49541.05</v>
      </c>
      <c r="M18" s="12">
        <v>45231</v>
      </c>
      <c r="N18" s="13">
        <v>21307.37</v>
      </c>
      <c r="O18" s="13">
        <v>913.23</v>
      </c>
      <c r="P18" s="13">
        <v>461.77</v>
      </c>
      <c r="Q18" s="13">
        <v>20845.59</v>
      </c>
      <c r="S18" s="12">
        <v>45231</v>
      </c>
      <c r="T18" s="13">
        <v>59043.58</v>
      </c>
      <c r="U18" s="13">
        <v>2522.4899999999998</v>
      </c>
      <c r="V18" s="13">
        <v>119.52</v>
      </c>
      <c r="W18" s="13">
        <v>58924.05</v>
      </c>
    </row>
    <row r="19" spans="1:23" ht="16" x14ac:dyDescent="0.2">
      <c r="A19" s="12">
        <v>45261</v>
      </c>
      <c r="B19" s="13">
        <v>83683.210000000006</v>
      </c>
      <c r="C19" s="13">
        <v>2190.83</v>
      </c>
      <c r="D19" s="13">
        <v>139.32</v>
      </c>
      <c r="E19" s="13">
        <v>83543.89</v>
      </c>
      <c r="G19" s="12">
        <v>45261</v>
      </c>
      <c r="H19" s="13">
        <v>49541.05</v>
      </c>
      <c r="I19" s="13">
        <v>1616.69</v>
      </c>
      <c r="J19" s="13">
        <v>50.33</v>
      </c>
      <c r="K19" s="13">
        <v>49490.720000000001</v>
      </c>
      <c r="M19" s="12">
        <v>45261</v>
      </c>
      <c r="N19" s="13">
        <v>20845.59</v>
      </c>
      <c r="O19" s="13">
        <v>893.44</v>
      </c>
      <c r="P19" s="13">
        <v>481.56</v>
      </c>
      <c r="Q19" s="13">
        <v>20364.03</v>
      </c>
      <c r="S19" s="12">
        <v>45261</v>
      </c>
      <c r="T19" s="13">
        <v>58924.05</v>
      </c>
      <c r="U19" s="13">
        <v>2517.38</v>
      </c>
      <c r="V19" s="13">
        <v>124.63</v>
      </c>
      <c r="W19" s="13">
        <v>58799.43</v>
      </c>
    </row>
    <row r="20" spans="1:23" ht="16" x14ac:dyDescent="0.2">
      <c r="A20" s="12"/>
      <c r="B20" s="13"/>
      <c r="C20" s="13">
        <f>SUM(C8:C19)</f>
        <v>26505.660000000003</v>
      </c>
      <c r="D20" s="13">
        <f>SUM(D8:D19)</f>
        <v>1456.12</v>
      </c>
      <c r="E20" s="13"/>
      <c r="G20" s="12"/>
      <c r="H20" s="13"/>
      <c r="I20" s="13">
        <f>SUM(I8:I19)</f>
        <v>19494.939999999999</v>
      </c>
      <c r="J20" s="13">
        <f>SUM(J8:J19)</f>
        <v>509.28999999999996</v>
      </c>
      <c r="K20" s="13"/>
      <c r="M20" s="12"/>
      <c r="N20" s="13"/>
      <c r="O20" s="13">
        <f>SUM(O8:O19)</f>
        <v>11864.1</v>
      </c>
      <c r="P20" s="13">
        <f>SUM(P8:P19)</f>
        <v>4635.97</v>
      </c>
      <c r="Q20" s="13"/>
      <c r="S20" s="12"/>
      <c r="T20" s="13"/>
      <c r="U20" s="13">
        <f>SUM(U8:U19)</f>
        <v>30503.569999999996</v>
      </c>
      <c r="V20" s="13">
        <f>SUM(V8:V19)</f>
        <v>1200.56</v>
      </c>
      <c r="W20" s="13"/>
    </row>
    <row r="21" spans="1:23" ht="16" x14ac:dyDescent="0.2">
      <c r="A21" s="14" t="s">
        <v>28</v>
      </c>
      <c r="G21" s="14" t="s">
        <v>28</v>
      </c>
      <c r="M21" s="14" t="s">
        <v>28</v>
      </c>
      <c r="S21" s="14" t="s">
        <v>28</v>
      </c>
    </row>
    <row r="22" spans="1:23" ht="16" x14ac:dyDescent="0.2">
      <c r="A22" s="12">
        <v>45292</v>
      </c>
      <c r="B22" s="13">
        <v>83543.89</v>
      </c>
      <c r="C22" s="13">
        <v>2187.1799999999998</v>
      </c>
      <c r="D22" s="13">
        <v>142.97</v>
      </c>
      <c r="E22" s="13">
        <v>83400.92</v>
      </c>
      <c r="G22" s="12">
        <v>45292</v>
      </c>
      <c r="H22" s="13">
        <v>49490.720000000001</v>
      </c>
      <c r="I22" s="13">
        <v>1615.05</v>
      </c>
      <c r="J22" s="13">
        <v>51.97</v>
      </c>
      <c r="K22" s="13">
        <v>49438.75</v>
      </c>
      <c r="M22" s="14">
        <v>13</v>
      </c>
      <c r="N22" s="13">
        <v>20364.03</v>
      </c>
      <c r="O22" s="13">
        <v>872.8</v>
      </c>
      <c r="P22" s="13">
        <v>502.2</v>
      </c>
      <c r="Q22" s="13">
        <v>19861.830000000002</v>
      </c>
      <c r="S22" s="14">
        <v>13</v>
      </c>
      <c r="T22" s="13">
        <v>58799.43</v>
      </c>
      <c r="U22" s="13">
        <v>2512.06</v>
      </c>
      <c r="V22" s="13">
        <v>129.94999999999999</v>
      </c>
      <c r="W22" s="13">
        <v>58669.47</v>
      </c>
    </row>
    <row r="23" spans="1:23" ht="16" x14ac:dyDescent="0.2">
      <c r="A23" s="12">
        <v>45323</v>
      </c>
      <c r="B23" s="13">
        <v>83400.92</v>
      </c>
      <c r="C23" s="13">
        <v>2183.44</v>
      </c>
      <c r="D23" s="13">
        <v>146.71</v>
      </c>
      <c r="E23" s="13">
        <v>83254.210000000006</v>
      </c>
      <c r="G23" s="12">
        <v>45323</v>
      </c>
      <c r="H23" s="13">
        <v>49438.75</v>
      </c>
      <c r="I23" s="13">
        <v>1613.35</v>
      </c>
      <c r="J23" s="13">
        <v>53.67</v>
      </c>
      <c r="K23" s="13">
        <v>49385.09</v>
      </c>
      <c r="M23" s="14">
        <v>14</v>
      </c>
      <c r="N23" s="13">
        <v>19861.830000000002</v>
      </c>
      <c r="O23" s="13">
        <v>851.28</v>
      </c>
      <c r="P23" s="13">
        <v>523.73</v>
      </c>
      <c r="Q23" s="13">
        <v>19338.099999999999</v>
      </c>
      <c r="S23" s="14">
        <v>14</v>
      </c>
      <c r="T23" s="13">
        <v>58669.47</v>
      </c>
      <c r="U23" s="13">
        <v>2506.5100000000002</v>
      </c>
      <c r="V23" s="13">
        <v>135.5</v>
      </c>
      <c r="W23" s="13">
        <v>58533.97</v>
      </c>
    </row>
    <row r="24" spans="1:23" ht="16" x14ac:dyDescent="0.2">
      <c r="A24" s="12">
        <v>45352</v>
      </c>
      <c r="B24" s="13">
        <v>83254.210000000006</v>
      </c>
      <c r="C24" s="13">
        <v>2179.6</v>
      </c>
      <c r="D24" s="13">
        <v>150.55000000000001</v>
      </c>
      <c r="E24" s="13">
        <v>83103.649999999994</v>
      </c>
      <c r="G24" s="12">
        <v>45352</v>
      </c>
      <c r="H24" s="13">
        <v>49385.09</v>
      </c>
      <c r="I24" s="13">
        <v>1611.6</v>
      </c>
      <c r="J24" s="13">
        <v>55.42</v>
      </c>
      <c r="K24" s="13">
        <v>49329.67</v>
      </c>
      <c r="M24" s="14">
        <v>15</v>
      </c>
      <c r="N24" s="13">
        <v>19338.099999999999</v>
      </c>
      <c r="O24" s="13">
        <v>828.83</v>
      </c>
      <c r="P24" s="13">
        <v>546.17999999999995</v>
      </c>
      <c r="Q24" s="13">
        <v>18791.919999999998</v>
      </c>
      <c r="S24" s="14">
        <v>15</v>
      </c>
      <c r="T24" s="13">
        <v>58533.97</v>
      </c>
      <c r="U24" s="13">
        <v>2500.7199999999998</v>
      </c>
      <c r="V24" s="13">
        <v>141.29</v>
      </c>
      <c r="W24" s="13">
        <v>58392.68</v>
      </c>
    </row>
    <row r="25" spans="1:23" ht="16" x14ac:dyDescent="0.2">
      <c r="A25" s="12">
        <v>45383</v>
      </c>
      <c r="B25" s="13">
        <v>83103.649999999994</v>
      </c>
      <c r="C25" s="13">
        <v>2175.65</v>
      </c>
      <c r="D25" s="13">
        <v>154.49</v>
      </c>
      <c r="E25" s="13">
        <v>82949.16</v>
      </c>
      <c r="G25" s="12">
        <v>45383</v>
      </c>
      <c r="H25" s="13">
        <v>49329.67</v>
      </c>
      <c r="I25" s="13">
        <v>1609.79</v>
      </c>
      <c r="J25" s="13">
        <v>57.23</v>
      </c>
      <c r="K25" s="13">
        <v>49272.44</v>
      </c>
      <c r="M25" s="14">
        <v>16</v>
      </c>
      <c r="N25" s="13">
        <v>18791.919999999998</v>
      </c>
      <c r="O25" s="13">
        <v>805.42</v>
      </c>
      <c r="P25" s="13">
        <v>569.59</v>
      </c>
      <c r="Q25" s="13">
        <v>18222.34</v>
      </c>
      <c r="S25" s="14">
        <v>16</v>
      </c>
      <c r="T25" s="13">
        <v>58392.68</v>
      </c>
      <c r="U25" s="13">
        <v>2494.6799999999998</v>
      </c>
      <c r="V25" s="13">
        <v>147.33000000000001</v>
      </c>
      <c r="W25" s="13">
        <v>58245.35</v>
      </c>
    </row>
    <row r="26" spans="1:23" ht="16" x14ac:dyDescent="0.2">
      <c r="A26" s="12">
        <v>45413</v>
      </c>
      <c r="B26" s="13">
        <v>82949.16</v>
      </c>
      <c r="C26" s="13">
        <v>2171.61</v>
      </c>
      <c r="D26" s="13">
        <v>158.54</v>
      </c>
      <c r="E26" s="13">
        <v>82790.62</v>
      </c>
      <c r="G26" s="12">
        <v>45413</v>
      </c>
      <c r="H26" s="13">
        <v>49272.44</v>
      </c>
      <c r="I26" s="13">
        <v>1607.92</v>
      </c>
      <c r="J26" s="13">
        <v>59.09</v>
      </c>
      <c r="K26" s="13">
        <v>49213.35</v>
      </c>
      <c r="M26" s="14">
        <v>17</v>
      </c>
      <c r="N26" s="13">
        <v>18222.34</v>
      </c>
      <c r="O26" s="13">
        <v>781.01</v>
      </c>
      <c r="P26" s="13">
        <v>594</v>
      </c>
      <c r="Q26" s="13">
        <v>17628.34</v>
      </c>
      <c r="S26" s="14">
        <v>17</v>
      </c>
      <c r="T26" s="13">
        <v>58245.35</v>
      </c>
      <c r="U26" s="13">
        <v>2488.39</v>
      </c>
      <c r="V26" s="13">
        <v>153.62</v>
      </c>
      <c r="W26" s="13">
        <v>58091.72</v>
      </c>
    </row>
    <row r="27" spans="1:23" ht="16" x14ac:dyDescent="0.2">
      <c r="A27" s="12">
        <v>45444</v>
      </c>
      <c r="B27" s="13">
        <v>82790.62</v>
      </c>
      <c r="C27" s="13">
        <v>2167.46</v>
      </c>
      <c r="D27" s="13">
        <v>162.69</v>
      </c>
      <c r="E27" s="13">
        <v>82627.929999999993</v>
      </c>
      <c r="G27" s="12">
        <v>45444</v>
      </c>
      <c r="H27" s="13">
        <v>49213.35</v>
      </c>
      <c r="I27" s="13">
        <v>1606</v>
      </c>
      <c r="J27" s="13">
        <v>61.02</v>
      </c>
      <c r="K27" s="13">
        <v>49152.33</v>
      </c>
      <c r="M27" s="14">
        <v>18</v>
      </c>
      <c r="N27" s="13">
        <v>17628.34</v>
      </c>
      <c r="O27" s="13">
        <v>755.55</v>
      </c>
      <c r="P27" s="13">
        <v>619.46</v>
      </c>
      <c r="Q27" s="13">
        <v>17008.88</v>
      </c>
      <c r="S27" s="14">
        <v>18</v>
      </c>
      <c r="T27" s="13">
        <v>58091.72</v>
      </c>
      <c r="U27" s="13">
        <v>2481.8200000000002</v>
      </c>
      <c r="V27" s="13">
        <v>160.19</v>
      </c>
      <c r="W27" s="13">
        <v>57931.53</v>
      </c>
    </row>
    <row r="28" spans="1:23" ht="16" x14ac:dyDescent="0.2">
      <c r="A28" s="12">
        <v>45474</v>
      </c>
      <c r="B28" s="13">
        <v>82627.929999999993</v>
      </c>
      <c r="C28" s="13">
        <v>2163.1999999999998</v>
      </c>
      <c r="D28" s="13">
        <v>166.95</v>
      </c>
      <c r="E28" s="13">
        <v>82460.98</v>
      </c>
      <c r="G28" s="12">
        <v>45474</v>
      </c>
      <c r="H28" s="13">
        <v>49152.33</v>
      </c>
      <c r="I28" s="13">
        <v>1604</v>
      </c>
      <c r="J28" s="13">
        <v>63.01</v>
      </c>
      <c r="K28" s="13">
        <v>49089.31</v>
      </c>
      <c r="M28" s="14">
        <v>19</v>
      </c>
      <c r="N28" s="13">
        <v>17008.88</v>
      </c>
      <c r="O28" s="13">
        <v>729</v>
      </c>
      <c r="P28" s="13">
        <v>646.01</v>
      </c>
      <c r="Q28" s="13">
        <v>16362.88</v>
      </c>
      <c r="S28" s="14">
        <v>19</v>
      </c>
      <c r="T28" s="13">
        <v>57931.53</v>
      </c>
      <c r="U28" s="13">
        <v>2474.98</v>
      </c>
      <c r="V28" s="13">
        <v>167.03</v>
      </c>
      <c r="W28" s="13">
        <v>57764.5</v>
      </c>
    </row>
    <row r="29" spans="1:23" ht="16" x14ac:dyDescent="0.2">
      <c r="A29" s="12">
        <v>45505</v>
      </c>
      <c r="B29" s="13">
        <v>82460.98</v>
      </c>
      <c r="C29" s="13">
        <v>2158.83</v>
      </c>
      <c r="D29" s="13">
        <v>171.32</v>
      </c>
      <c r="E29" s="13">
        <v>82289.67</v>
      </c>
      <c r="G29" s="12">
        <v>45505</v>
      </c>
      <c r="H29" s="13">
        <v>49089.31</v>
      </c>
      <c r="I29" s="13">
        <v>1601.95</v>
      </c>
      <c r="J29" s="13">
        <v>65.069999999999993</v>
      </c>
      <c r="K29" s="13">
        <v>49024.24</v>
      </c>
      <c r="M29" s="14">
        <v>20</v>
      </c>
      <c r="N29" s="13">
        <v>16362.88</v>
      </c>
      <c r="O29" s="13">
        <v>701.31</v>
      </c>
      <c r="P29" s="13">
        <v>673.69</v>
      </c>
      <c r="Q29" s="13">
        <v>15689.18</v>
      </c>
      <c r="S29" s="14">
        <v>20</v>
      </c>
      <c r="T29" s="13">
        <v>57764.5</v>
      </c>
      <c r="U29" s="13">
        <v>2467.84</v>
      </c>
      <c r="V29" s="13">
        <v>174.17</v>
      </c>
      <c r="W29" s="13">
        <v>57590.34</v>
      </c>
    </row>
    <row r="30" spans="1:23" ht="16" x14ac:dyDescent="0.2">
      <c r="A30" s="12">
        <v>45536</v>
      </c>
      <c r="B30" s="13">
        <v>82289.67</v>
      </c>
      <c r="C30" s="13">
        <v>2154.34</v>
      </c>
      <c r="D30" s="13">
        <v>175.8</v>
      </c>
      <c r="E30" s="13">
        <v>82113.86</v>
      </c>
      <c r="G30" s="12">
        <v>45536</v>
      </c>
      <c r="H30" s="13">
        <v>49024.24</v>
      </c>
      <c r="I30" s="13">
        <v>1599.82</v>
      </c>
      <c r="J30" s="13">
        <v>67.19</v>
      </c>
      <c r="K30" s="13">
        <v>48957.05</v>
      </c>
      <c r="M30" s="14">
        <v>21</v>
      </c>
      <c r="N30" s="13">
        <v>15689.18</v>
      </c>
      <c r="O30" s="13">
        <v>672.44</v>
      </c>
      <c r="P30" s="13">
        <v>702.57</v>
      </c>
      <c r="Q30" s="13">
        <v>14986.61</v>
      </c>
      <c r="S30" s="14">
        <v>21</v>
      </c>
      <c r="T30" s="13">
        <v>57590.34</v>
      </c>
      <c r="U30" s="13">
        <v>2460.4</v>
      </c>
      <c r="V30" s="13">
        <v>181.61</v>
      </c>
      <c r="W30" s="13">
        <v>57408.73</v>
      </c>
    </row>
    <row r="31" spans="1:23" ht="16" x14ac:dyDescent="0.2">
      <c r="A31" s="12">
        <v>45566</v>
      </c>
      <c r="B31" s="13">
        <v>82113.86</v>
      </c>
      <c r="C31" s="13">
        <v>2149.7399999999998</v>
      </c>
      <c r="D31" s="13">
        <v>180.41</v>
      </c>
      <c r="E31" s="13">
        <v>81933.45</v>
      </c>
      <c r="G31" s="12">
        <v>45566</v>
      </c>
      <c r="H31" s="13">
        <v>48957.05</v>
      </c>
      <c r="I31" s="13">
        <v>1597.63</v>
      </c>
      <c r="J31" s="13">
        <v>69.39</v>
      </c>
      <c r="K31" s="13">
        <v>48887.66</v>
      </c>
      <c r="M31" s="14">
        <v>22</v>
      </c>
      <c r="N31" s="13">
        <v>14986.61</v>
      </c>
      <c r="O31" s="13">
        <v>642.33000000000004</v>
      </c>
      <c r="P31" s="13">
        <v>732.68</v>
      </c>
      <c r="Q31" s="13">
        <v>14253.93</v>
      </c>
      <c r="S31" s="14">
        <v>22</v>
      </c>
      <c r="T31" s="13">
        <v>57408.73</v>
      </c>
      <c r="U31" s="13">
        <v>2452.64</v>
      </c>
      <c r="V31" s="13">
        <v>189.37</v>
      </c>
      <c r="W31" s="13">
        <v>57219.360000000001</v>
      </c>
    </row>
    <row r="32" spans="1:23" ht="16" x14ac:dyDescent="0.2">
      <c r="A32" s="12">
        <v>45597</v>
      </c>
      <c r="B32" s="13">
        <v>81933.45</v>
      </c>
      <c r="C32" s="13">
        <v>2145.02</v>
      </c>
      <c r="D32" s="13">
        <v>185.13</v>
      </c>
      <c r="E32" s="13">
        <v>81748.320000000007</v>
      </c>
      <c r="G32" s="12">
        <v>45597</v>
      </c>
      <c r="H32" s="13">
        <v>48887.66</v>
      </c>
      <c r="I32" s="13">
        <v>1595.37</v>
      </c>
      <c r="J32" s="13">
        <v>71.650000000000006</v>
      </c>
      <c r="K32" s="13">
        <v>48816.01</v>
      </c>
      <c r="M32" s="14">
        <v>23</v>
      </c>
      <c r="N32" s="13">
        <v>14253.93</v>
      </c>
      <c r="O32" s="13">
        <v>610.91999999999996</v>
      </c>
      <c r="P32" s="13">
        <v>764.08</v>
      </c>
      <c r="Q32" s="13">
        <v>13489.85</v>
      </c>
      <c r="S32" s="14">
        <v>23</v>
      </c>
      <c r="T32" s="13">
        <v>57219.360000000001</v>
      </c>
      <c r="U32" s="13">
        <v>2444.5500000000002</v>
      </c>
      <c r="V32" s="13">
        <v>197.46</v>
      </c>
      <c r="W32" s="13">
        <v>57021.9</v>
      </c>
    </row>
    <row r="33" spans="1:23" ht="16" x14ac:dyDescent="0.2">
      <c r="A33" s="12">
        <v>45627</v>
      </c>
      <c r="B33" s="13">
        <v>81748.320000000007</v>
      </c>
      <c r="C33" s="13">
        <v>2140.17</v>
      </c>
      <c r="D33" s="13">
        <v>189.98</v>
      </c>
      <c r="E33" s="13">
        <v>81558.350000000006</v>
      </c>
      <c r="G33" s="12">
        <v>45627</v>
      </c>
      <c r="H33" s="13">
        <v>48816.01</v>
      </c>
      <c r="I33" s="13">
        <v>1593.03</v>
      </c>
      <c r="J33" s="13">
        <v>73.989999999999995</v>
      </c>
      <c r="K33" s="13">
        <v>48742.02</v>
      </c>
      <c r="M33" s="14">
        <v>24</v>
      </c>
      <c r="N33" s="13">
        <v>13489.85</v>
      </c>
      <c r="O33" s="13">
        <v>578.16999999999996</v>
      </c>
      <c r="P33" s="13">
        <v>796.83</v>
      </c>
      <c r="Q33" s="13">
        <v>12693.02</v>
      </c>
      <c r="S33" s="14">
        <v>24</v>
      </c>
      <c r="T33" s="13">
        <v>57021.9</v>
      </c>
      <c r="U33" s="13">
        <v>2436.12</v>
      </c>
      <c r="V33" s="13">
        <v>205.89</v>
      </c>
      <c r="W33" s="13">
        <v>56816.01</v>
      </c>
    </row>
    <row r="34" spans="1:23" ht="16" x14ac:dyDescent="0.2">
      <c r="A34" s="14"/>
      <c r="B34" s="13"/>
      <c r="C34" s="13">
        <f>SUM(C22:C33)</f>
        <v>25976.240000000005</v>
      </c>
      <c r="D34" s="13">
        <f>SUM(D22:D33)</f>
        <v>1985.54</v>
      </c>
      <c r="E34" s="13"/>
      <c r="G34" s="14"/>
      <c r="H34" s="13"/>
      <c r="I34" s="13">
        <f>SUM(I22:I33)</f>
        <v>19255.509999999998</v>
      </c>
      <c r="J34" s="13">
        <f>SUM(J22:J33)</f>
        <v>748.69999999999993</v>
      </c>
      <c r="K34" s="13"/>
      <c r="M34" s="14"/>
      <c r="N34" s="13"/>
      <c r="O34" s="13">
        <f>SUM(O22:O33)</f>
        <v>8829.0600000000013</v>
      </c>
      <c r="P34" s="13">
        <f>SUM(P22:P33)</f>
        <v>7671.02</v>
      </c>
      <c r="Q34" s="13"/>
      <c r="S34" s="14"/>
      <c r="T34" s="13"/>
      <c r="U34" s="13">
        <f>SUM(U22:U33)</f>
        <v>29720.71</v>
      </c>
      <c r="V34" s="13">
        <f>SUM(V22:V33)</f>
        <v>1983.4099999999999</v>
      </c>
      <c r="W34" s="13"/>
    </row>
    <row r="35" spans="1:23" ht="16" x14ac:dyDescent="0.2">
      <c r="A35" s="14" t="s">
        <v>29</v>
      </c>
      <c r="G35" s="14" t="s">
        <v>29</v>
      </c>
      <c r="M35" s="14" t="s">
        <v>29</v>
      </c>
      <c r="S35" s="14" t="s">
        <v>29</v>
      </c>
    </row>
    <row r="36" spans="1:23" ht="16" x14ac:dyDescent="0.2">
      <c r="A36" s="12">
        <v>45658</v>
      </c>
      <c r="B36" s="13">
        <v>81558.350000000006</v>
      </c>
      <c r="C36" s="13">
        <v>2135.1999999999998</v>
      </c>
      <c r="D36" s="13">
        <v>194.95</v>
      </c>
      <c r="E36" s="13">
        <v>81363.399999999994</v>
      </c>
      <c r="G36" s="12">
        <v>45658</v>
      </c>
      <c r="H36" s="13">
        <v>48742.02</v>
      </c>
      <c r="I36" s="13">
        <v>1590.61</v>
      </c>
      <c r="J36" s="13">
        <v>76.400000000000006</v>
      </c>
      <c r="K36" s="13">
        <v>48665.62</v>
      </c>
      <c r="M36" s="14">
        <v>25</v>
      </c>
      <c r="N36" s="13">
        <v>12693.02</v>
      </c>
      <c r="O36" s="13">
        <v>544.02</v>
      </c>
      <c r="P36" s="13">
        <v>830.98</v>
      </c>
      <c r="Q36" s="13">
        <v>11862.03</v>
      </c>
      <c r="S36" s="14">
        <v>25</v>
      </c>
      <c r="T36" s="13">
        <v>56816.01</v>
      </c>
      <c r="U36" s="13">
        <v>2427.3200000000002</v>
      </c>
      <c r="V36" s="13">
        <v>214.69</v>
      </c>
      <c r="W36" s="13">
        <v>56601.32</v>
      </c>
    </row>
    <row r="37" spans="1:23" ht="16" x14ac:dyDescent="0.2">
      <c r="A37" s="12">
        <v>45689</v>
      </c>
      <c r="B37" s="13">
        <v>81363.399999999994</v>
      </c>
      <c r="C37" s="13">
        <v>2130.09</v>
      </c>
      <c r="D37" s="13">
        <v>200.05</v>
      </c>
      <c r="E37" s="13">
        <v>81163.350000000006</v>
      </c>
      <c r="G37" s="12">
        <v>45689</v>
      </c>
      <c r="H37" s="13">
        <v>48665.62</v>
      </c>
      <c r="I37" s="13">
        <v>1588.12</v>
      </c>
      <c r="J37" s="13">
        <v>78.900000000000006</v>
      </c>
      <c r="K37" s="13">
        <v>48586.73</v>
      </c>
      <c r="M37" s="14">
        <v>26</v>
      </c>
      <c r="N37" s="13">
        <v>11862.03</v>
      </c>
      <c r="O37" s="13">
        <v>508.41</v>
      </c>
      <c r="P37" s="13">
        <v>866.6</v>
      </c>
      <c r="Q37" s="13">
        <v>10995.43</v>
      </c>
      <c r="S37" s="14">
        <v>26</v>
      </c>
      <c r="T37" s="13">
        <v>56601.32</v>
      </c>
      <c r="U37" s="13">
        <v>2418.15</v>
      </c>
      <c r="V37" s="13">
        <v>223.86</v>
      </c>
      <c r="W37" s="13">
        <v>56377.46</v>
      </c>
    </row>
    <row r="38" spans="1:23" ht="16" x14ac:dyDescent="0.2">
      <c r="A38" s="12">
        <v>45717</v>
      </c>
      <c r="B38" s="13">
        <v>81163.350000000006</v>
      </c>
      <c r="C38" s="13">
        <v>2124.86</v>
      </c>
      <c r="D38" s="13">
        <v>205.29</v>
      </c>
      <c r="E38" s="13">
        <v>80958.05</v>
      </c>
      <c r="G38" s="12">
        <v>45717</v>
      </c>
      <c r="H38" s="13">
        <v>48586.73</v>
      </c>
      <c r="I38" s="13">
        <v>1585.55</v>
      </c>
      <c r="J38" s="13">
        <v>81.47</v>
      </c>
      <c r="K38" s="13">
        <v>48505.25</v>
      </c>
      <c r="M38" s="14">
        <v>27</v>
      </c>
      <c r="N38" s="13">
        <v>10995.43</v>
      </c>
      <c r="O38" s="13">
        <v>471.26</v>
      </c>
      <c r="P38" s="13">
        <v>903.74</v>
      </c>
      <c r="Q38" s="13">
        <v>10091.69</v>
      </c>
      <c r="S38" s="14">
        <v>27</v>
      </c>
      <c r="T38" s="13">
        <v>56377.46</v>
      </c>
      <c r="U38" s="13">
        <v>2408.59</v>
      </c>
      <c r="V38" s="13">
        <v>233.43</v>
      </c>
      <c r="W38" s="13">
        <v>56144.04</v>
      </c>
    </row>
    <row r="39" spans="1:23" ht="16" x14ac:dyDescent="0.2">
      <c r="A39" s="12">
        <v>45748</v>
      </c>
      <c r="B39" s="13">
        <v>80958.05</v>
      </c>
      <c r="C39" s="13">
        <v>2119.48</v>
      </c>
      <c r="D39" s="13">
        <v>210.67</v>
      </c>
      <c r="E39" s="13">
        <v>80747.39</v>
      </c>
      <c r="G39" s="12">
        <v>45748</v>
      </c>
      <c r="H39" s="13">
        <v>48505.25</v>
      </c>
      <c r="I39" s="13">
        <v>1582.89</v>
      </c>
      <c r="J39" s="13">
        <v>84.13</v>
      </c>
      <c r="K39" s="13">
        <v>48421.120000000003</v>
      </c>
      <c r="M39" s="14">
        <v>28</v>
      </c>
      <c r="N39" s="13">
        <v>10091.69</v>
      </c>
      <c r="O39" s="13">
        <v>432.53</v>
      </c>
      <c r="P39" s="13">
        <v>942.48</v>
      </c>
      <c r="Q39" s="13">
        <v>9149.2099999999991</v>
      </c>
      <c r="S39" s="14">
        <v>28</v>
      </c>
      <c r="T39" s="13">
        <v>56144.04</v>
      </c>
      <c r="U39" s="13">
        <v>2398.61</v>
      </c>
      <c r="V39" s="13">
        <v>243.4</v>
      </c>
      <c r="W39" s="13">
        <v>55900.639999999999</v>
      </c>
    </row>
    <row r="40" spans="1:23" ht="16" x14ac:dyDescent="0.2">
      <c r="A40" s="12">
        <v>45778</v>
      </c>
      <c r="B40" s="13">
        <v>80747.39</v>
      </c>
      <c r="C40" s="13">
        <v>2113.9699999999998</v>
      </c>
      <c r="D40" s="13">
        <v>216.18</v>
      </c>
      <c r="E40" s="13">
        <v>80531.210000000006</v>
      </c>
      <c r="G40" s="12">
        <v>45778</v>
      </c>
      <c r="H40" s="13">
        <v>48421.120000000003</v>
      </c>
      <c r="I40" s="13">
        <v>1580.14</v>
      </c>
      <c r="J40" s="13">
        <v>86.88</v>
      </c>
      <c r="K40" s="13">
        <v>48334.25</v>
      </c>
      <c r="M40" s="14">
        <v>29</v>
      </c>
      <c r="N40" s="13">
        <v>9149.2099999999991</v>
      </c>
      <c r="O40" s="13">
        <v>392.14</v>
      </c>
      <c r="P40" s="13">
        <v>982.87</v>
      </c>
      <c r="Q40" s="13">
        <v>8166.34</v>
      </c>
      <c r="S40" s="14">
        <v>29</v>
      </c>
      <c r="T40" s="13">
        <v>55900.639999999999</v>
      </c>
      <c r="U40" s="13">
        <v>2388.2199999999998</v>
      </c>
      <c r="V40" s="13">
        <v>253.8</v>
      </c>
      <c r="W40" s="13">
        <v>55646.84</v>
      </c>
    </row>
    <row r="41" spans="1:23" ht="16" x14ac:dyDescent="0.2">
      <c r="A41" s="12">
        <v>45809</v>
      </c>
      <c r="B41" s="13">
        <v>80531.210000000006</v>
      </c>
      <c r="C41" s="13">
        <v>2108.31</v>
      </c>
      <c r="D41" s="13">
        <v>221.84</v>
      </c>
      <c r="E41" s="13">
        <v>80309.37</v>
      </c>
      <c r="G41" s="12">
        <v>45809</v>
      </c>
      <c r="H41" s="13">
        <v>48334.25</v>
      </c>
      <c r="I41" s="13">
        <v>1577.31</v>
      </c>
      <c r="J41" s="13">
        <v>89.71</v>
      </c>
      <c r="K41" s="13">
        <v>48244.54</v>
      </c>
      <c r="M41" s="14">
        <v>30</v>
      </c>
      <c r="N41" s="13">
        <v>8166.34</v>
      </c>
      <c r="O41" s="13">
        <v>350.01</v>
      </c>
      <c r="P41" s="13">
        <v>1025</v>
      </c>
      <c r="Q41" s="13">
        <v>7141.34</v>
      </c>
      <c r="S41" s="14">
        <v>30</v>
      </c>
      <c r="T41" s="13">
        <v>55646.84</v>
      </c>
      <c r="U41" s="13">
        <v>2377.37</v>
      </c>
      <c r="V41" s="13">
        <v>264.64</v>
      </c>
      <c r="W41" s="13">
        <v>55382.2</v>
      </c>
    </row>
    <row r="42" spans="1:23" ht="16" x14ac:dyDescent="0.2">
      <c r="A42" s="12">
        <v>45839</v>
      </c>
      <c r="B42" s="13">
        <v>80309.37</v>
      </c>
      <c r="C42" s="13">
        <v>2102.5</v>
      </c>
      <c r="D42" s="13">
        <v>227.65</v>
      </c>
      <c r="E42" s="13">
        <v>80081.72</v>
      </c>
      <c r="G42" s="12">
        <v>45839</v>
      </c>
      <c r="H42" s="13">
        <v>48244.54</v>
      </c>
      <c r="I42" s="13">
        <v>1574.38</v>
      </c>
      <c r="J42" s="13">
        <v>92.64</v>
      </c>
      <c r="K42" s="13">
        <v>48151.9</v>
      </c>
      <c r="M42" s="14">
        <v>31</v>
      </c>
      <c r="N42" s="13">
        <v>7141.34</v>
      </c>
      <c r="O42" s="13">
        <v>306.08</v>
      </c>
      <c r="P42" s="13">
        <v>1068.93</v>
      </c>
      <c r="Q42" s="13">
        <v>6072.41</v>
      </c>
      <c r="S42" s="14">
        <v>31</v>
      </c>
      <c r="T42" s="13">
        <v>55382.2</v>
      </c>
      <c r="U42" s="13">
        <v>2366.0700000000002</v>
      </c>
      <c r="V42" s="13">
        <v>275.94</v>
      </c>
      <c r="W42" s="13">
        <v>55106.26</v>
      </c>
    </row>
    <row r="43" spans="1:23" ht="16" x14ac:dyDescent="0.2">
      <c r="A43" s="12">
        <v>45870</v>
      </c>
      <c r="B43" s="13">
        <v>80081.72</v>
      </c>
      <c r="C43" s="13">
        <v>2096.54</v>
      </c>
      <c r="D43" s="13">
        <v>233.61</v>
      </c>
      <c r="E43" s="13">
        <v>79848.11</v>
      </c>
      <c r="G43" s="12">
        <v>45870</v>
      </c>
      <c r="H43" s="13">
        <v>48151.9</v>
      </c>
      <c r="I43" s="13">
        <v>1571.36</v>
      </c>
      <c r="J43" s="13">
        <v>95.66</v>
      </c>
      <c r="K43" s="13">
        <v>48056.24</v>
      </c>
      <c r="M43" s="14">
        <v>32</v>
      </c>
      <c r="N43" s="13">
        <v>6072.41</v>
      </c>
      <c r="O43" s="13">
        <v>260.26</v>
      </c>
      <c r="P43" s="13">
        <v>1114.74</v>
      </c>
      <c r="Q43" s="13">
        <v>4957.67</v>
      </c>
      <c r="S43" s="14">
        <v>32</v>
      </c>
      <c r="T43" s="13">
        <v>55106.26</v>
      </c>
      <c r="U43" s="13">
        <v>2354.2800000000002</v>
      </c>
      <c r="V43" s="13">
        <v>287.73</v>
      </c>
      <c r="W43" s="13">
        <v>54818.52</v>
      </c>
    </row>
    <row r="44" spans="1:23" ht="16" x14ac:dyDescent="0.2">
      <c r="A44" s="12">
        <v>45901</v>
      </c>
      <c r="B44" s="13">
        <v>79848.11</v>
      </c>
      <c r="C44" s="13">
        <v>2090.42</v>
      </c>
      <c r="D44" s="13">
        <v>239.72</v>
      </c>
      <c r="E44" s="13">
        <v>79608.39</v>
      </c>
      <c r="G44" s="12">
        <v>45901</v>
      </c>
      <c r="H44" s="13">
        <v>48056.24</v>
      </c>
      <c r="I44" s="13">
        <v>1568.24</v>
      </c>
      <c r="J44" s="13">
        <v>98.78</v>
      </c>
      <c r="K44" s="13">
        <v>47957.46</v>
      </c>
      <c r="M44" s="14">
        <v>33</v>
      </c>
      <c r="N44" s="13">
        <v>4957.67</v>
      </c>
      <c r="O44" s="13">
        <v>212.49</v>
      </c>
      <c r="P44" s="13">
        <v>1162.52</v>
      </c>
      <c r="Q44" s="13">
        <v>3795.15</v>
      </c>
      <c r="S44" s="14">
        <v>33</v>
      </c>
      <c r="T44" s="13">
        <v>54818.52</v>
      </c>
      <c r="U44" s="13">
        <v>2341.98</v>
      </c>
      <c r="V44" s="13">
        <v>300.02999999999997</v>
      </c>
      <c r="W44" s="13">
        <v>54518.5</v>
      </c>
    </row>
    <row r="45" spans="1:23" ht="16" x14ac:dyDescent="0.2">
      <c r="A45" s="12">
        <v>45931</v>
      </c>
      <c r="B45" s="13">
        <v>79608.39</v>
      </c>
      <c r="C45" s="13">
        <v>2084.15</v>
      </c>
      <c r="D45" s="13">
        <v>246</v>
      </c>
      <c r="E45" s="13">
        <v>79362.39</v>
      </c>
      <c r="G45" s="12">
        <v>45931</v>
      </c>
      <c r="H45" s="13">
        <v>47957.46</v>
      </c>
      <c r="I45" s="13">
        <v>1565.01</v>
      </c>
      <c r="J45" s="13">
        <v>102.01</v>
      </c>
      <c r="K45" s="13">
        <v>47855.45</v>
      </c>
      <c r="M45" s="14">
        <v>34</v>
      </c>
      <c r="N45" s="13">
        <v>3795.15</v>
      </c>
      <c r="O45" s="13">
        <v>162.66</v>
      </c>
      <c r="P45" s="13">
        <v>1212.3499999999999</v>
      </c>
      <c r="Q45" s="13">
        <v>2582.8000000000002</v>
      </c>
      <c r="S45" s="14">
        <v>34</v>
      </c>
      <c r="T45" s="13">
        <v>54518.5</v>
      </c>
      <c r="U45" s="13">
        <v>2329.17</v>
      </c>
      <c r="V45" s="13">
        <v>312.83999999999997</v>
      </c>
      <c r="W45" s="13">
        <v>54205.65</v>
      </c>
    </row>
    <row r="46" spans="1:23" ht="16" x14ac:dyDescent="0.2">
      <c r="A46" s="12">
        <v>45962</v>
      </c>
      <c r="B46" s="13">
        <v>79362.39</v>
      </c>
      <c r="C46" s="13">
        <v>2077.71</v>
      </c>
      <c r="D46" s="13">
        <v>252.44</v>
      </c>
      <c r="E46" s="13">
        <v>79109.95</v>
      </c>
      <c r="G46" s="12">
        <v>45962</v>
      </c>
      <c r="H46" s="13">
        <v>47855.45</v>
      </c>
      <c r="I46" s="13">
        <v>1561.68</v>
      </c>
      <c r="J46" s="13">
        <v>105.33</v>
      </c>
      <c r="K46" s="13">
        <v>47750.12</v>
      </c>
      <c r="M46" s="14">
        <v>35</v>
      </c>
      <c r="N46" s="13">
        <v>2582.8000000000002</v>
      </c>
      <c r="O46" s="13">
        <v>110.7</v>
      </c>
      <c r="P46" s="13">
        <v>1264.31</v>
      </c>
      <c r="Q46" s="13">
        <v>1318.5</v>
      </c>
      <c r="S46" s="14">
        <v>35</v>
      </c>
      <c r="T46" s="13">
        <v>54205.65</v>
      </c>
      <c r="U46" s="13">
        <v>2315.8000000000002</v>
      </c>
      <c r="V46" s="13">
        <v>326.20999999999998</v>
      </c>
      <c r="W46" s="13">
        <v>53879.44</v>
      </c>
    </row>
    <row r="47" spans="1:23" ht="16" x14ac:dyDescent="0.2">
      <c r="A47" s="12">
        <v>45992</v>
      </c>
      <c r="B47" s="13">
        <v>79109.95</v>
      </c>
      <c r="C47" s="13">
        <v>2071.1</v>
      </c>
      <c r="D47" s="13">
        <v>259.05</v>
      </c>
      <c r="E47" s="13">
        <v>78850.899999999994</v>
      </c>
      <c r="G47" s="12">
        <v>45992</v>
      </c>
      <c r="H47" s="13">
        <v>47750.12</v>
      </c>
      <c r="I47" s="13">
        <v>1558.25</v>
      </c>
      <c r="J47" s="13">
        <v>108.77</v>
      </c>
      <c r="K47" s="13">
        <v>47641.35</v>
      </c>
      <c r="M47" s="14">
        <v>36</v>
      </c>
      <c r="N47" s="13">
        <v>1318.5</v>
      </c>
      <c r="O47" s="13">
        <v>56.51</v>
      </c>
      <c r="P47" s="13">
        <v>1318.5</v>
      </c>
      <c r="Q47" s="13">
        <v>0</v>
      </c>
      <c r="S47" s="14">
        <v>36</v>
      </c>
      <c r="T47" s="13">
        <v>53879.44</v>
      </c>
      <c r="U47" s="13">
        <v>2301.86</v>
      </c>
      <c r="V47" s="13">
        <v>340.15</v>
      </c>
      <c r="W47" s="13">
        <v>53539.3</v>
      </c>
    </row>
    <row r="48" spans="1:23" ht="16" x14ac:dyDescent="0.2">
      <c r="A48" s="14"/>
      <c r="B48" s="13"/>
      <c r="C48" s="13">
        <f>SUM(C36:C47)</f>
        <v>25254.329999999994</v>
      </c>
      <c r="D48" s="13">
        <f>SUM(D36:D47)</f>
        <v>2707.4500000000003</v>
      </c>
      <c r="E48" s="13"/>
      <c r="G48" s="14"/>
      <c r="H48" s="13"/>
      <c r="I48" s="13">
        <f>SUM(I36:I47)</f>
        <v>18903.54</v>
      </c>
      <c r="J48" s="13">
        <f>SUM(J36:J47)</f>
        <v>1100.68</v>
      </c>
      <c r="K48" s="13"/>
      <c r="M48" s="14"/>
      <c r="N48" s="13"/>
      <c r="O48" s="13">
        <f>SUM(O36:O47)</f>
        <v>3807.0699999999997</v>
      </c>
      <c r="P48" s="13">
        <f>SUM(P36:P47)</f>
        <v>12693.02</v>
      </c>
      <c r="Q48" s="13"/>
      <c r="S48" s="14"/>
      <c r="T48" s="13"/>
      <c r="U48" s="13">
        <f>SUM(U36:U47)</f>
        <v>28427.419999999995</v>
      </c>
      <c r="V48" s="13">
        <f>SUM(V36:V47)</f>
        <v>3276.7200000000007</v>
      </c>
      <c r="W48" s="13"/>
    </row>
    <row r="49" spans="1:23" ht="16" x14ac:dyDescent="0.2">
      <c r="A49" s="14" t="s">
        <v>30</v>
      </c>
      <c r="G49" s="14" t="s">
        <v>30</v>
      </c>
      <c r="S49" s="14" t="s">
        <v>30</v>
      </c>
    </row>
    <row r="50" spans="1:23" ht="16" x14ac:dyDescent="0.2">
      <c r="A50" s="14">
        <v>37</v>
      </c>
      <c r="B50" s="13">
        <v>78850.899999999994</v>
      </c>
      <c r="C50" s="13">
        <v>2064.3200000000002</v>
      </c>
      <c r="D50" s="13">
        <v>265.83</v>
      </c>
      <c r="E50" s="13">
        <v>78585.070000000007</v>
      </c>
      <c r="G50" s="14">
        <v>37</v>
      </c>
      <c r="H50" s="13">
        <v>47641.35</v>
      </c>
      <c r="I50" s="13">
        <v>1554.7</v>
      </c>
      <c r="J50" s="13">
        <v>112.32</v>
      </c>
      <c r="K50" s="13">
        <v>47529.02</v>
      </c>
      <c r="S50" s="14">
        <v>37</v>
      </c>
      <c r="T50" s="13">
        <v>53539.3</v>
      </c>
      <c r="U50" s="13">
        <v>2287.33</v>
      </c>
      <c r="V50" s="13">
        <v>354.68</v>
      </c>
      <c r="W50" s="13">
        <v>53184.62</v>
      </c>
    </row>
    <row r="51" spans="1:23" ht="16" x14ac:dyDescent="0.2">
      <c r="A51" s="14">
        <v>38</v>
      </c>
      <c r="B51" s="13">
        <v>78585.070000000007</v>
      </c>
      <c r="C51" s="13">
        <v>2057.36</v>
      </c>
      <c r="D51" s="13">
        <v>272.79000000000002</v>
      </c>
      <c r="E51" s="13">
        <v>78312.28</v>
      </c>
      <c r="G51" s="14">
        <v>38</v>
      </c>
      <c r="H51" s="13">
        <v>47529.02</v>
      </c>
      <c r="I51" s="13">
        <v>1551.03</v>
      </c>
      <c r="J51" s="13">
        <v>115.99</v>
      </c>
      <c r="K51" s="13">
        <v>47413.04</v>
      </c>
      <c r="S51" s="14">
        <v>38</v>
      </c>
      <c r="T51" s="13">
        <v>53184.62</v>
      </c>
      <c r="U51" s="13">
        <v>2272.1799999999998</v>
      </c>
      <c r="V51" s="13">
        <v>369.83</v>
      </c>
      <c r="W51" s="13">
        <v>52814.79</v>
      </c>
    </row>
    <row r="52" spans="1:23" ht="16" x14ac:dyDescent="0.2">
      <c r="A52" s="14">
        <v>39</v>
      </c>
      <c r="B52" s="13">
        <v>78312.28</v>
      </c>
      <c r="C52" s="13">
        <v>2050.2199999999998</v>
      </c>
      <c r="D52" s="13">
        <v>279.93</v>
      </c>
      <c r="E52" s="13">
        <v>78032.34</v>
      </c>
      <c r="G52" s="14">
        <v>39</v>
      </c>
      <c r="H52" s="13">
        <v>47413.04</v>
      </c>
      <c r="I52" s="13">
        <v>1547.25</v>
      </c>
      <c r="J52" s="13">
        <v>119.77</v>
      </c>
      <c r="K52" s="13">
        <v>47293.26</v>
      </c>
      <c r="S52" s="14">
        <v>39</v>
      </c>
      <c r="T52" s="13">
        <v>52814.79</v>
      </c>
      <c r="U52" s="13">
        <v>2256.38</v>
      </c>
      <c r="V52" s="13">
        <v>385.63</v>
      </c>
      <c r="W52" s="13">
        <v>52429.16</v>
      </c>
    </row>
    <row r="53" spans="1:23" ht="16" x14ac:dyDescent="0.2">
      <c r="A53" s="14">
        <v>40</v>
      </c>
      <c r="B53" s="13">
        <v>78032.34</v>
      </c>
      <c r="C53" s="13">
        <v>2042.89</v>
      </c>
      <c r="D53" s="13">
        <v>287.26</v>
      </c>
      <c r="E53" s="13">
        <v>77745.08</v>
      </c>
      <c r="G53" s="14">
        <v>40</v>
      </c>
      <c r="H53" s="13">
        <v>47293.26</v>
      </c>
      <c r="I53" s="13">
        <v>1543.34</v>
      </c>
      <c r="J53" s="13">
        <v>123.68</v>
      </c>
      <c r="K53" s="13">
        <v>47169.58</v>
      </c>
      <c r="S53" s="14">
        <v>40</v>
      </c>
      <c r="T53" s="13">
        <v>52429.16</v>
      </c>
      <c r="U53" s="13">
        <v>2239.9</v>
      </c>
      <c r="V53" s="13">
        <v>402.11</v>
      </c>
      <c r="W53" s="13">
        <v>52027.05</v>
      </c>
    </row>
    <row r="54" spans="1:23" ht="16" x14ac:dyDescent="0.2">
      <c r="A54" s="14">
        <v>41</v>
      </c>
      <c r="B54" s="13">
        <v>77745.08</v>
      </c>
      <c r="C54" s="13">
        <v>2035.37</v>
      </c>
      <c r="D54" s="13">
        <v>294.77999999999997</v>
      </c>
      <c r="E54" s="13">
        <v>77450.3</v>
      </c>
      <c r="G54" s="14">
        <v>41</v>
      </c>
      <c r="H54" s="13">
        <v>47169.58</v>
      </c>
      <c r="I54" s="13">
        <v>1539.3</v>
      </c>
      <c r="J54" s="13">
        <v>127.72</v>
      </c>
      <c r="K54" s="13">
        <v>47041.87</v>
      </c>
      <c r="S54" s="14">
        <v>41</v>
      </c>
      <c r="T54" s="13">
        <v>52027.05</v>
      </c>
      <c r="U54" s="13">
        <v>2222.73</v>
      </c>
      <c r="V54" s="13">
        <v>419.29</v>
      </c>
      <c r="W54" s="13">
        <v>51607.76</v>
      </c>
    </row>
    <row r="55" spans="1:23" ht="16" x14ac:dyDescent="0.2">
      <c r="A55" s="14">
        <v>42</v>
      </c>
      <c r="B55" s="13">
        <v>77450.3</v>
      </c>
      <c r="C55" s="13">
        <v>2027.65</v>
      </c>
      <c r="D55" s="13">
        <v>302.5</v>
      </c>
      <c r="E55" s="13">
        <v>77147.8</v>
      </c>
      <c r="G55" s="14">
        <v>42</v>
      </c>
      <c r="H55" s="13">
        <v>47041.87</v>
      </c>
      <c r="I55" s="13">
        <v>1535.13</v>
      </c>
      <c r="J55" s="13">
        <v>131.88</v>
      </c>
      <c r="K55" s="13">
        <v>46909.98</v>
      </c>
      <c r="S55" s="14">
        <v>42</v>
      </c>
      <c r="T55" s="13">
        <v>51607.76</v>
      </c>
      <c r="U55" s="13">
        <v>2204.81</v>
      </c>
      <c r="V55" s="13">
        <v>437.2</v>
      </c>
      <c r="W55" s="13">
        <v>51170.559999999998</v>
      </c>
    </row>
    <row r="56" spans="1:23" ht="16" x14ac:dyDescent="0.2">
      <c r="A56" s="14">
        <v>43</v>
      </c>
      <c r="B56" s="13">
        <v>77147.8</v>
      </c>
      <c r="C56" s="13">
        <v>2019.73</v>
      </c>
      <c r="D56" s="13">
        <v>310.42</v>
      </c>
      <c r="E56" s="13">
        <v>76837.39</v>
      </c>
      <c r="G56" s="14">
        <v>43</v>
      </c>
      <c r="H56" s="13">
        <v>46909.98</v>
      </c>
      <c r="I56" s="13">
        <v>1530.83</v>
      </c>
      <c r="J56" s="13">
        <v>136.19</v>
      </c>
      <c r="K56" s="13">
        <v>46773.79</v>
      </c>
      <c r="S56" s="14">
        <v>43</v>
      </c>
      <c r="T56" s="13">
        <v>51170.559999999998</v>
      </c>
      <c r="U56" s="13">
        <v>2186.13</v>
      </c>
      <c r="V56" s="13">
        <v>455.88</v>
      </c>
      <c r="W56" s="13">
        <v>50714.69</v>
      </c>
    </row>
    <row r="57" spans="1:23" ht="16" x14ac:dyDescent="0.2">
      <c r="A57" s="14">
        <v>44</v>
      </c>
      <c r="B57" s="13">
        <v>76837.39</v>
      </c>
      <c r="C57" s="13">
        <v>2011.6</v>
      </c>
      <c r="D57" s="13">
        <v>318.54000000000002</v>
      </c>
      <c r="E57" s="13">
        <v>76518.84</v>
      </c>
      <c r="G57" s="14">
        <v>44</v>
      </c>
      <c r="H57" s="13">
        <v>46773.79</v>
      </c>
      <c r="I57" s="13">
        <v>1526.38</v>
      </c>
      <c r="J57" s="13">
        <v>140.63</v>
      </c>
      <c r="K57" s="13">
        <v>46633.16</v>
      </c>
      <c r="S57" s="14">
        <v>44</v>
      </c>
      <c r="T57" s="13">
        <v>50714.69</v>
      </c>
      <c r="U57" s="13">
        <v>2166.66</v>
      </c>
      <c r="V57" s="13">
        <v>475.35</v>
      </c>
      <c r="W57" s="13">
        <v>50239.34</v>
      </c>
    </row>
    <row r="58" spans="1:23" ht="16" x14ac:dyDescent="0.2">
      <c r="A58" s="14">
        <v>45</v>
      </c>
      <c r="B58" s="13">
        <v>76518.84</v>
      </c>
      <c r="C58" s="13">
        <v>2003.26</v>
      </c>
      <c r="D58" s="13">
        <v>326.88</v>
      </c>
      <c r="E58" s="13">
        <v>76191.960000000006</v>
      </c>
      <c r="G58" s="14">
        <v>45</v>
      </c>
      <c r="H58" s="13">
        <v>46633.16</v>
      </c>
      <c r="I58" s="13">
        <v>1521.8</v>
      </c>
      <c r="J58" s="13">
        <v>145.22</v>
      </c>
      <c r="K58" s="13">
        <v>46487.94</v>
      </c>
      <c r="S58" s="14">
        <v>45</v>
      </c>
      <c r="T58" s="13">
        <v>50239.34</v>
      </c>
      <c r="U58" s="13">
        <v>2146.35</v>
      </c>
      <c r="V58" s="13">
        <v>495.66</v>
      </c>
      <c r="W58" s="13">
        <v>49743.67</v>
      </c>
    </row>
    <row r="59" spans="1:23" ht="16" x14ac:dyDescent="0.2">
      <c r="A59" s="14">
        <v>46</v>
      </c>
      <c r="B59" s="13">
        <v>76191.960000000006</v>
      </c>
      <c r="C59" s="13">
        <v>1994.71</v>
      </c>
      <c r="D59" s="13">
        <v>335.44</v>
      </c>
      <c r="E59" s="13">
        <v>75856.52</v>
      </c>
      <c r="G59" s="14">
        <v>46</v>
      </c>
      <c r="H59" s="13">
        <v>46487.94</v>
      </c>
      <c r="I59" s="13">
        <v>1517.06</v>
      </c>
      <c r="J59" s="13">
        <v>149.96</v>
      </c>
      <c r="K59" s="13">
        <v>46337.97</v>
      </c>
      <c r="S59" s="14">
        <v>46</v>
      </c>
      <c r="T59" s="13">
        <v>49743.67</v>
      </c>
      <c r="U59" s="13">
        <v>2125.17</v>
      </c>
      <c r="V59" s="13">
        <v>516.84</v>
      </c>
      <c r="W59" s="13">
        <v>49226.84</v>
      </c>
    </row>
    <row r="60" spans="1:23" ht="16" x14ac:dyDescent="0.2">
      <c r="A60" s="14">
        <v>47</v>
      </c>
      <c r="B60" s="13">
        <v>75856.52</v>
      </c>
      <c r="C60" s="13">
        <v>1985.92</v>
      </c>
      <c r="D60" s="13">
        <v>344.22</v>
      </c>
      <c r="E60" s="13">
        <v>75512.289999999994</v>
      </c>
      <c r="G60" s="14">
        <v>47</v>
      </c>
      <c r="H60" s="13">
        <v>46337.97</v>
      </c>
      <c r="I60" s="13">
        <v>1512.16</v>
      </c>
      <c r="J60" s="13">
        <v>154.86000000000001</v>
      </c>
      <c r="K60" s="13">
        <v>46183.12</v>
      </c>
      <c r="S60" s="14">
        <v>47</v>
      </c>
      <c r="T60" s="13">
        <v>49226.84</v>
      </c>
      <c r="U60" s="13">
        <v>2103.09</v>
      </c>
      <c r="V60" s="13">
        <v>538.91999999999996</v>
      </c>
      <c r="W60" s="13">
        <v>48687.92</v>
      </c>
    </row>
    <row r="61" spans="1:23" ht="17" customHeight="1" x14ac:dyDescent="0.2">
      <c r="A61" s="14">
        <v>48</v>
      </c>
      <c r="B61" s="13">
        <v>75512.289999999994</v>
      </c>
      <c r="C61" s="13">
        <v>1976.91</v>
      </c>
      <c r="D61" s="13">
        <v>353.24</v>
      </c>
      <c r="E61" s="13">
        <v>75159.06</v>
      </c>
      <c r="G61" s="14">
        <v>48</v>
      </c>
      <c r="H61" s="13">
        <v>46183.12</v>
      </c>
      <c r="I61" s="13">
        <v>1507.11</v>
      </c>
      <c r="J61" s="13">
        <v>159.91</v>
      </c>
      <c r="K61" s="13">
        <v>46023.21</v>
      </c>
      <c r="S61" s="14">
        <v>48</v>
      </c>
      <c r="T61" s="13">
        <v>48687.92</v>
      </c>
      <c r="U61" s="13">
        <v>2080.0700000000002</v>
      </c>
      <c r="V61" s="13">
        <v>561.94000000000005</v>
      </c>
      <c r="W61" s="13">
        <v>48125.98</v>
      </c>
    </row>
    <row r="62" spans="1:23" ht="17" customHeight="1" x14ac:dyDescent="0.2">
      <c r="A62" s="14"/>
      <c r="B62" s="13"/>
      <c r="C62" s="13">
        <f>SUM(C50:C61)</f>
        <v>24269.94</v>
      </c>
      <c r="D62" s="13">
        <f>SUM(D50:D61)</f>
        <v>3691.83</v>
      </c>
      <c r="E62" s="13"/>
      <c r="G62" s="14"/>
      <c r="H62" s="13"/>
      <c r="I62" s="13">
        <f>SUM(I50:I61)</f>
        <v>18386.09</v>
      </c>
      <c r="J62" s="13">
        <f>SUM(J50:J61)</f>
        <v>1618.1299999999999</v>
      </c>
      <c r="K62" s="13"/>
      <c r="S62" s="14"/>
      <c r="T62" s="13"/>
      <c r="U62" s="13">
        <f>SUM(U50:U61)</f>
        <v>26290.799999999999</v>
      </c>
      <c r="V62" s="13">
        <f>SUM(V50:V61)</f>
        <v>5413.33</v>
      </c>
      <c r="W62" s="13"/>
    </row>
    <row r="63" spans="1:23" ht="16" x14ac:dyDescent="0.2">
      <c r="A63" s="14" t="s">
        <v>31</v>
      </c>
      <c r="G63" s="14" t="s">
        <v>31</v>
      </c>
      <c r="S63" s="14" t="s">
        <v>31</v>
      </c>
    </row>
    <row r="64" spans="1:23" ht="16" x14ac:dyDescent="0.2">
      <c r="A64" s="14">
        <v>49</v>
      </c>
      <c r="B64" s="13">
        <v>75159.06</v>
      </c>
      <c r="C64" s="13">
        <v>1967.66</v>
      </c>
      <c r="D64" s="13">
        <v>362.48</v>
      </c>
      <c r="E64" s="13">
        <v>74796.570000000007</v>
      </c>
      <c r="G64" s="14">
        <v>49</v>
      </c>
      <c r="H64" s="13">
        <v>46023.21</v>
      </c>
      <c r="I64" s="13">
        <v>1501.89</v>
      </c>
      <c r="J64" s="13">
        <v>165.13</v>
      </c>
      <c r="K64" s="13">
        <v>45858.080000000002</v>
      </c>
      <c r="S64" s="14">
        <v>49</v>
      </c>
      <c r="T64" s="13">
        <v>48125.98</v>
      </c>
      <c r="U64" s="13">
        <v>2056.06</v>
      </c>
      <c r="V64" s="13">
        <v>585.95000000000005</v>
      </c>
      <c r="W64" s="13">
        <v>47540.03</v>
      </c>
    </row>
    <row r="65" spans="1:23" ht="16" x14ac:dyDescent="0.2">
      <c r="A65" s="14">
        <v>50</v>
      </c>
      <c r="B65" s="13">
        <v>74796.570000000007</v>
      </c>
      <c r="C65" s="13">
        <v>1958.17</v>
      </c>
      <c r="D65" s="13">
        <v>371.97</v>
      </c>
      <c r="E65" s="13">
        <v>74424.600000000006</v>
      </c>
      <c r="G65" s="14">
        <v>50</v>
      </c>
      <c r="H65" s="13">
        <v>45858.080000000002</v>
      </c>
      <c r="I65" s="13">
        <v>1496.5</v>
      </c>
      <c r="J65" s="13">
        <v>170.52</v>
      </c>
      <c r="K65" s="13">
        <v>45687.57</v>
      </c>
      <c r="S65" s="14">
        <v>50</v>
      </c>
      <c r="T65" s="13">
        <v>47540.03</v>
      </c>
      <c r="U65" s="13">
        <v>2031.03</v>
      </c>
      <c r="V65" s="13">
        <v>610.98</v>
      </c>
      <c r="W65" s="13">
        <v>46929.05</v>
      </c>
    </row>
    <row r="66" spans="1:23" ht="16" x14ac:dyDescent="0.2">
      <c r="A66" s="14">
        <v>51</v>
      </c>
      <c r="B66" s="13">
        <v>74424.600000000006</v>
      </c>
      <c r="C66" s="13">
        <v>1948.44</v>
      </c>
      <c r="D66" s="13">
        <v>381.71</v>
      </c>
      <c r="E66" s="13">
        <v>74042.89</v>
      </c>
      <c r="G66" s="14">
        <v>51</v>
      </c>
      <c r="H66" s="13">
        <v>45687.57</v>
      </c>
      <c r="I66" s="13">
        <v>1490.94</v>
      </c>
      <c r="J66" s="13">
        <v>176.08</v>
      </c>
      <c r="K66" s="13">
        <v>45511.49</v>
      </c>
      <c r="S66" s="14">
        <v>51</v>
      </c>
      <c r="T66" s="13">
        <v>46929.05</v>
      </c>
      <c r="U66" s="13">
        <v>2004.93</v>
      </c>
      <c r="V66" s="13">
        <v>637.08000000000004</v>
      </c>
      <c r="W66" s="13">
        <v>46291.96</v>
      </c>
    </row>
    <row r="67" spans="1:23" ht="16" x14ac:dyDescent="0.2">
      <c r="A67" s="14">
        <v>52</v>
      </c>
      <c r="B67" s="13">
        <v>74042.89</v>
      </c>
      <c r="C67" s="13">
        <v>1938.44</v>
      </c>
      <c r="D67" s="13">
        <v>391.7</v>
      </c>
      <c r="E67" s="13">
        <v>73651.179999999993</v>
      </c>
      <c r="G67" s="14">
        <v>52</v>
      </c>
      <c r="H67" s="13">
        <v>45511.49</v>
      </c>
      <c r="I67" s="13">
        <v>1485.19</v>
      </c>
      <c r="J67" s="13">
        <v>181.83</v>
      </c>
      <c r="K67" s="13">
        <v>45329.66</v>
      </c>
      <c r="S67" s="14">
        <v>52</v>
      </c>
      <c r="T67" s="13">
        <v>46291.96</v>
      </c>
      <c r="U67" s="13">
        <v>1977.71</v>
      </c>
      <c r="V67" s="13">
        <v>664.3</v>
      </c>
      <c r="W67" s="13">
        <v>45627.66</v>
      </c>
    </row>
    <row r="68" spans="1:23" ht="16" x14ac:dyDescent="0.2">
      <c r="A68" s="14">
        <v>53</v>
      </c>
      <c r="B68" s="13">
        <v>73651.179999999993</v>
      </c>
      <c r="C68" s="13">
        <v>1928.19</v>
      </c>
      <c r="D68" s="13">
        <v>401.96</v>
      </c>
      <c r="E68" s="13">
        <v>73249.22</v>
      </c>
      <c r="G68" s="14">
        <v>53</v>
      </c>
      <c r="H68" s="13">
        <v>45329.66</v>
      </c>
      <c r="I68" s="13">
        <v>1479.26</v>
      </c>
      <c r="J68" s="13">
        <v>187.76</v>
      </c>
      <c r="K68" s="13">
        <v>45141.9</v>
      </c>
      <c r="S68" s="14">
        <v>53</v>
      </c>
      <c r="T68" s="13">
        <v>45627.66</v>
      </c>
      <c r="U68" s="13">
        <v>1949.33</v>
      </c>
      <c r="V68" s="13">
        <v>692.68</v>
      </c>
      <c r="W68" s="13">
        <v>44934.98</v>
      </c>
    </row>
    <row r="69" spans="1:23" ht="16" x14ac:dyDescent="0.2">
      <c r="A69" s="14">
        <v>54</v>
      </c>
      <c r="B69" s="13">
        <v>73249.22</v>
      </c>
      <c r="C69" s="13">
        <v>1917.66</v>
      </c>
      <c r="D69" s="13">
        <v>412.48</v>
      </c>
      <c r="E69" s="13">
        <v>72836.740000000005</v>
      </c>
      <c r="G69" s="14">
        <v>54</v>
      </c>
      <c r="H69" s="13">
        <v>45141.9</v>
      </c>
      <c r="I69" s="13">
        <v>1473.13</v>
      </c>
      <c r="J69" s="13">
        <v>193.89</v>
      </c>
      <c r="K69" s="13">
        <v>44948.01</v>
      </c>
      <c r="S69" s="14">
        <v>54</v>
      </c>
      <c r="T69" s="13">
        <v>44934.98</v>
      </c>
      <c r="U69" s="13">
        <v>1919.73</v>
      </c>
      <c r="V69" s="13">
        <v>722.28</v>
      </c>
      <c r="W69" s="13">
        <v>44212.7</v>
      </c>
    </row>
    <row r="70" spans="1:23" ht="16" x14ac:dyDescent="0.2">
      <c r="A70" s="14">
        <v>55</v>
      </c>
      <c r="B70" s="13">
        <v>72836.740000000005</v>
      </c>
      <c r="C70" s="13">
        <v>1906.87</v>
      </c>
      <c r="D70" s="13">
        <v>423.28</v>
      </c>
      <c r="E70" s="13">
        <v>72413.460000000006</v>
      </c>
      <c r="G70" s="14">
        <v>55</v>
      </c>
      <c r="H70" s="13">
        <v>44948.01</v>
      </c>
      <c r="I70" s="13">
        <v>1466.8</v>
      </c>
      <c r="J70" s="13">
        <v>200.21</v>
      </c>
      <c r="K70" s="13">
        <v>44747.8</v>
      </c>
      <c r="S70" s="14">
        <v>55</v>
      </c>
      <c r="T70" s="13">
        <v>44212.7</v>
      </c>
      <c r="U70" s="13">
        <v>1888.88</v>
      </c>
      <c r="V70" s="13">
        <v>753.13</v>
      </c>
      <c r="W70" s="13">
        <v>43459.57</v>
      </c>
    </row>
    <row r="71" spans="1:23" ht="16" x14ac:dyDescent="0.2">
      <c r="A71" s="14">
        <v>56</v>
      </c>
      <c r="B71" s="13">
        <v>72413.460000000006</v>
      </c>
      <c r="C71" s="13">
        <v>1895.78</v>
      </c>
      <c r="D71" s="13">
        <v>434.36</v>
      </c>
      <c r="E71" s="13">
        <v>71979.100000000006</v>
      </c>
      <c r="G71" s="14">
        <v>56</v>
      </c>
      <c r="H71" s="13">
        <v>44747.8</v>
      </c>
      <c r="I71" s="13">
        <v>1460.27</v>
      </c>
      <c r="J71" s="13">
        <v>206.75</v>
      </c>
      <c r="K71" s="13">
        <v>44541.05</v>
      </c>
      <c r="S71" s="14">
        <v>56</v>
      </c>
      <c r="T71" s="13">
        <v>43459.57</v>
      </c>
      <c r="U71" s="13">
        <v>1856.7</v>
      </c>
      <c r="V71" s="13">
        <v>785.31</v>
      </c>
      <c r="W71" s="13">
        <v>42674.26</v>
      </c>
    </row>
    <row r="72" spans="1:23" ht="16" x14ac:dyDescent="0.2">
      <c r="A72" s="14">
        <v>57</v>
      </c>
      <c r="B72" s="13">
        <v>71979.100000000006</v>
      </c>
      <c r="C72" s="13">
        <v>1884.41</v>
      </c>
      <c r="D72" s="13">
        <v>445.73</v>
      </c>
      <c r="E72" s="13">
        <v>71533.36</v>
      </c>
      <c r="G72" s="14">
        <v>57</v>
      </c>
      <c r="H72" s="13">
        <v>44541.05</v>
      </c>
      <c r="I72" s="13">
        <v>1453.52</v>
      </c>
      <c r="J72" s="13">
        <v>213.49</v>
      </c>
      <c r="K72" s="13">
        <v>44327.56</v>
      </c>
      <c r="S72" s="14">
        <v>57</v>
      </c>
      <c r="T72" s="13">
        <v>42674.26</v>
      </c>
      <c r="U72" s="13">
        <v>1823.15</v>
      </c>
      <c r="V72" s="13">
        <v>818.86</v>
      </c>
      <c r="W72" s="13">
        <v>41855.4</v>
      </c>
    </row>
    <row r="73" spans="1:23" ht="16" x14ac:dyDescent="0.2">
      <c r="A73" s="14">
        <v>58</v>
      </c>
      <c r="B73" s="13">
        <v>71533.36</v>
      </c>
      <c r="C73" s="13">
        <v>1872.74</v>
      </c>
      <c r="D73" s="13">
        <v>457.4</v>
      </c>
      <c r="E73" s="13">
        <v>71075.960000000006</v>
      </c>
      <c r="G73" s="14">
        <v>58</v>
      </c>
      <c r="H73" s="13">
        <v>44327.56</v>
      </c>
      <c r="I73" s="13">
        <v>1446.56</v>
      </c>
      <c r="J73" s="13">
        <v>220.46</v>
      </c>
      <c r="K73" s="13">
        <v>44107.1</v>
      </c>
      <c r="S73" s="14">
        <v>58</v>
      </c>
      <c r="T73" s="13">
        <v>41855.4</v>
      </c>
      <c r="U73" s="13">
        <v>1788.17</v>
      </c>
      <c r="V73" s="13">
        <v>853.84</v>
      </c>
      <c r="W73" s="13">
        <v>41001.550000000003</v>
      </c>
    </row>
    <row r="74" spans="1:23" ht="16" x14ac:dyDescent="0.2">
      <c r="A74" s="14">
        <v>59</v>
      </c>
      <c r="B74" s="13">
        <v>71075.960000000006</v>
      </c>
      <c r="C74" s="13">
        <v>1860.77</v>
      </c>
      <c r="D74" s="13">
        <v>469.38</v>
      </c>
      <c r="E74" s="13">
        <v>70606.58</v>
      </c>
      <c r="G74" s="14">
        <v>59</v>
      </c>
      <c r="H74" s="13">
        <v>44107.1</v>
      </c>
      <c r="I74" s="13">
        <v>1439.36</v>
      </c>
      <c r="J74" s="13">
        <v>227.66</v>
      </c>
      <c r="K74" s="13">
        <v>43879.44</v>
      </c>
      <c r="S74" s="14">
        <v>59</v>
      </c>
      <c r="T74" s="13">
        <v>41001.550000000003</v>
      </c>
      <c r="U74" s="13">
        <v>1751.69</v>
      </c>
      <c r="V74" s="13">
        <v>890.32</v>
      </c>
      <c r="W74" s="13">
        <v>40111.230000000003</v>
      </c>
    </row>
    <row r="75" spans="1:23" ht="16" x14ac:dyDescent="0.2">
      <c r="A75" s="14">
        <v>60</v>
      </c>
      <c r="B75" s="13">
        <v>70606.58</v>
      </c>
      <c r="C75" s="13">
        <v>1848.48</v>
      </c>
      <c r="D75" s="13">
        <v>481.67</v>
      </c>
      <c r="E75" s="13">
        <v>70124.91</v>
      </c>
      <c r="G75" s="14">
        <v>60</v>
      </c>
      <c r="H75" s="13">
        <v>43879.44</v>
      </c>
      <c r="I75" s="13">
        <v>1431.93</v>
      </c>
      <c r="J75" s="13">
        <v>235.09</v>
      </c>
      <c r="K75" s="13">
        <v>43644.35</v>
      </c>
      <c r="S75" s="14">
        <v>60</v>
      </c>
      <c r="T75" s="13">
        <v>40111.230000000003</v>
      </c>
      <c r="U75" s="13">
        <v>1713.65</v>
      </c>
      <c r="V75" s="13">
        <v>928.36</v>
      </c>
      <c r="W75" s="13">
        <v>39182.870000000003</v>
      </c>
    </row>
    <row r="76" spans="1:23" ht="16" x14ac:dyDescent="0.2">
      <c r="A76" s="14"/>
      <c r="B76" s="13"/>
      <c r="C76" s="13">
        <f>SUM(C64:C75)</f>
        <v>22927.610000000004</v>
      </c>
      <c r="D76" s="13">
        <f>SUM(D64:D75)</f>
        <v>5034.12</v>
      </c>
      <c r="E76" s="13"/>
      <c r="G76" s="14"/>
      <c r="H76" s="13"/>
      <c r="I76" s="13">
        <f>SUM(I64:I75)</f>
        <v>17625.349999999999</v>
      </c>
      <c r="J76" s="13">
        <f>SUM(J64:J75)</f>
        <v>2378.8700000000003</v>
      </c>
      <c r="K76" s="13"/>
      <c r="S76" s="14"/>
      <c r="T76" s="13"/>
      <c r="U76" s="13">
        <f>SUM(U64:U75)</f>
        <v>22761.030000000002</v>
      </c>
      <c r="V76" s="13">
        <f>SUM(V64:V75)</f>
        <v>8943.09</v>
      </c>
      <c r="W76" s="13"/>
    </row>
    <row r="77" spans="1:23" ht="16" x14ac:dyDescent="0.2">
      <c r="A77" s="14" t="s">
        <v>32</v>
      </c>
      <c r="G77" s="14" t="s">
        <v>32</v>
      </c>
      <c r="S77" s="14" t="s">
        <v>32</v>
      </c>
    </row>
    <row r="78" spans="1:23" ht="16" x14ac:dyDescent="0.2">
      <c r="A78" s="14">
        <v>61</v>
      </c>
      <c r="B78" s="13">
        <v>70124.91</v>
      </c>
      <c r="C78" s="13">
        <v>1835.87</v>
      </c>
      <c r="D78" s="13">
        <v>494.28</v>
      </c>
      <c r="E78" s="13">
        <v>69630.63</v>
      </c>
      <c r="G78" s="14">
        <v>61</v>
      </c>
      <c r="H78" s="13">
        <v>43644.35</v>
      </c>
      <c r="I78" s="13">
        <v>1424.26</v>
      </c>
      <c r="J78" s="13">
        <v>242.76</v>
      </c>
      <c r="K78" s="13">
        <v>43401.599999999999</v>
      </c>
      <c r="S78" s="14">
        <v>61</v>
      </c>
      <c r="T78" s="13">
        <v>39182.870000000003</v>
      </c>
      <c r="U78" s="13">
        <v>1673.99</v>
      </c>
      <c r="V78" s="13">
        <v>968.02</v>
      </c>
      <c r="W78" s="13">
        <v>38214.85</v>
      </c>
    </row>
    <row r="79" spans="1:23" ht="16" x14ac:dyDescent="0.2">
      <c r="A79" s="14">
        <v>62</v>
      </c>
      <c r="B79" s="13">
        <v>69630.63</v>
      </c>
      <c r="C79" s="13">
        <v>1822.93</v>
      </c>
      <c r="D79" s="13">
        <v>507.22</v>
      </c>
      <c r="E79" s="13">
        <v>69123.42</v>
      </c>
      <c r="G79" s="14">
        <v>62</v>
      </c>
      <c r="H79" s="13">
        <v>43401.599999999999</v>
      </c>
      <c r="I79" s="13">
        <v>1416.34</v>
      </c>
      <c r="J79" s="13">
        <v>250.68</v>
      </c>
      <c r="K79" s="13">
        <v>43150.92</v>
      </c>
      <c r="S79" s="14">
        <v>62</v>
      </c>
      <c r="T79" s="13">
        <v>38214.85</v>
      </c>
      <c r="U79" s="13">
        <v>1632.63</v>
      </c>
      <c r="V79" s="13">
        <v>1009.38</v>
      </c>
      <c r="W79" s="13">
        <v>37205.47</v>
      </c>
    </row>
    <row r="80" spans="1:23" ht="16" x14ac:dyDescent="0.2">
      <c r="A80" s="14">
        <v>63</v>
      </c>
      <c r="B80" s="13">
        <v>69123.42</v>
      </c>
      <c r="C80" s="13">
        <v>1809.65</v>
      </c>
      <c r="D80" s="13">
        <v>520.5</v>
      </c>
      <c r="E80" s="13">
        <v>68602.92</v>
      </c>
      <c r="G80" s="14">
        <v>63</v>
      </c>
      <c r="H80" s="13">
        <v>43150.92</v>
      </c>
      <c r="I80" s="13">
        <v>1408.16</v>
      </c>
      <c r="J80" s="13">
        <v>258.86</v>
      </c>
      <c r="K80" s="13">
        <v>42892.06</v>
      </c>
      <c r="S80" s="14">
        <v>63</v>
      </c>
      <c r="T80" s="13">
        <v>37205.47</v>
      </c>
      <c r="U80" s="13">
        <v>1589.51</v>
      </c>
      <c r="V80" s="13">
        <v>1052.5</v>
      </c>
      <c r="W80" s="13">
        <v>36152.97</v>
      </c>
    </row>
    <row r="81" spans="1:23" ht="16" x14ac:dyDescent="0.2">
      <c r="A81" s="14">
        <v>64</v>
      </c>
      <c r="B81" s="13">
        <v>68602.92</v>
      </c>
      <c r="C81" s="13">
        <v>1796.02</v>
      </c>
      <c r="D81" s="13">
        <v>534.12</v>
      </c>
      <c r="E81" s="13">
        <v>68068.800000000003</v>
      </c>
      <c r="G81" s="14">
        <v>64</v>
      </c>
      <c r="H81" s="13">
        <v>42892.06</v>
      </c>
      <c r="I81" s="13">
        <v>1399.71</v>
      </c>
      <c r="J81" s="13">
        <v>267.31</v>
      </c>
      <c r="K81" s="13">
        <v>42624.75</v>
      </c>
      <c r="S81" s="14">
        <v>64</v>
      </c>
      <c r="T81" s="13">
        <v>36152.97</v>
      </c>
      <c r="U81" s="13">
        <v>1544.55</v>
      </c>
      <c r="V81" s="13">
        <v>1097.47</v>
      </c>
      <c r="W81" s="13">
        <v>35055.51</v>
      </c>
    </row>
    <row r="82" spans="1:23" ht="16" x14ac:dyDescent="0.2">
      <c r="A82" s="14">
        <v>65</v>
      </c>
      <c r="B82" s="13">
        <v>68068.800000000003</v>
      </c>
      <c r="C82" s="13">
        <v>1782.04</v>
      </c>
      <c r="D82" s="13">
        <v>548.11</v>
      </c>
      <c r="E82" s="13">
        <v>67520.69</v>
      </c>
      <c r="G82" s="14">
        <v>65</v>
      </c>
      <c r="H82" s="13">
        <v>42624.75</v>
      </c>
      <c r="I82" s="13">
        <v>1390.99</v>
      </c>
      <c r="J82" s="13">
        <v>276.02999999999997</v>
      </c>
      <c r="K82" s="13">
        <v>42348.72</v>
      </c>
      <c r="S82" s="14">
        <v>65</v>
      </c>
      <c r="T82" s="13">
        <v>35055.51</v>
      </c>
      <c r="U82" s="13">
        <v>1497.66</v>
      </c>
      <c r="V82" s="13">
        <v>1144.3499999999999</v>
      </c>
      <c r="W82" s="13">
        <v>33911.15</v>
      </c>
    </row>
    <row r="83" spans="1:23" ht="16" x14ac:dyDescent="0.2">
      <c r="A83" s="14">
        <v>66</v>
      </c>
      <c r="B83" s="13">
        <v>67520.69</v>
      </c>
      <c r="C83" s="13">
        <v>1767.69</v>
      </c>
      <c r="D83" s="13">
        <v>562.46</v>
      </c>
      <c r="E83" s="13">
        <v>66958.240000000005</v>
      </c>
      <c r="G83" s="14">
        <v>66</v>
      </c>
      <c r="H83" s="13">
        <v>42348.72</v>
      </c>
      <c r="I83" s="13">
        <v>1381.98</v>
      </c>
      <c r="J83" s="13">
        <v>285.04000000000002</v>
      </c>
      <c r="K83" s="13">
        <v>42063.68</v>
      </c>
      <c r="S83" s="14">
        <v>66</v>
      </c>
      <c r="T83" s="13">
        <v>33911.15</v>
      </c>
      <c r="U83" s="13">
        <v>1448.77</v>
      </c>
      <c r="V83" s="13">
        <v>1193.24</v>
      </c>
      <c r="W83" s="13">
        <v>32717.91</v>
      </c>
    </row>
    <row r="84" spans="1:23" ht="16" x14ac:dyDescent="0.2">
      <c r="A84" s="14">
        <v>67</v>
      </c>
      <c r="B84" s="13">
        <v>66958.240000000005</v>
      </c>
      <c r="C84" s="13">
        <v>1752.97</v>
      </c>
      <c r="D84" s="13">
        <v>577.17999999999995</v>
      </c>
      <c r="E84" s="13">
        <v>66381.05</v>
      </c>
      <c r="G84" s="14">
        <v>67</v>
      </c>
      <c r="H84" s="13">
        <v>42063.68</v>
      </c>
      <c r="I84" s="13">
        <v>1372.68</v>
      </c>
      <c r="J84" s="13">
        <v>294.33999999999997</v>
      </c>
      <c r="K84" s="13">
        <v>41769.339999999997</v>
      </c>
      <c r="S84" s="14">
        <v>67</v>
      </c>
      <c r="T84" s="13">
        <v>32717.91</v>
      </c>
      <c r="U84" s="13">
        <v>1397.79</v>
      </c>
      <c r="V84" s="13">
        <v>1244.22</v>
      </c>
      <c r="W84" s="13">
        <v>31473.69</v>
      </c>
    </row>
    <row r="85" spans="1:23" ht="16" x14ac:dyDescent="0.2">
      <c r="A85" s="14">
        <v>68</v>
      </c>
      <c r="B85" s="13">
        <v>66381.05</v>
      </c>
      <c r="C85" s="13">
        <v>1737.86</v>
      </c>
      <c r="D85" s="13">
        <v>592.29</v>
      </c>
      <c r="E85" s="13">
        <v>65788.759999999995</v>
      </c>
      <c r="G85" s="14">
        <v>68</v>
      </c>
      <c r="H85" s="13">
        <v>41769.339999999997</v>
      </c>
      <c r="I85" s="13">
        <v>1363.07</v>
      </c>
      <c r="J85" s="13">
        <v>303.94</v>
      </c>
      <c r="K85" s="13">
        <v>41465.4</v>
      </c>
      <c r="S85" s="14">
        <v>68</v>
      </c>
      <c r="T85" s="13">
        <v>31473.69</v>
      </c>
      <c r="U85" s="13">
        <v>1344.63</v>
      </c>
      <c r="V85" s="13">
        <v>1297.3800000000001</v>
      </c>
      <c r="W85" s="13">
        <v>30176.31</v>
      </c>
    </row>
    <row r="86" spans="1:23" ht="16" x14ac:dyDescent="0.2">
      <c r="A86" s="14">
        <v>69</v>
      </c>
      <c r="B86" s="13">
        <v>65788.759999999995</v>
      </c>
      <c r="C86" s="13">
        <v>1722.35</v>
      </c>
      <c r="D86" s="13">
        <v>607.79999999999995</v>
      </c>
      <c r="E86" s="13">
        <v>65180.97</v>
      </c>
      <c r="G86" s="14">
        <v>69</v>
      </c>
      <c r="H86" s="13">
        <v>41465.4</v>
      </c>
      <c r="I86" s="13">
        <v>1353.15</v>
      </c>
      <c r="J86" s="13">
        <v>313.86</v>
      </c>
      <c r="K86" s="13">
        <v>41151.54</v>
      </c>
      <c r="S86" s="14">
        <v>69</v>
      </c>
      <c r="T86" s="13">
        <v>30176.31</v>
      </c>
      <c r="U86" s="13">
        <v>1289.21</v>
      </c>
      <c r="V86" s="13">
        <v>1352.8</v>
      </c>
      <c r="W86" s="13">
        <v>28823.51</v>
      </c>
    </row>
    <row r="87" spans="1:23" ht="16" x14ac:dyDescent="0.2">
      <c r="A87" s="14">
        <v>70</v>
      </c>
      <c r="B87" s="13">
        <v>65180.97</v>
      </c>
      <c r="C87" s="13">
        <v>1706.44</v>
      </c>
      <c r="D87" s="13">
        <v>623.71</v>
      </c>
      <c r="E87" s="13">
        <v>64557.26</v>
      </c>
      <c r="G87" s="14">
        <v>70</v>
      </c>
      <c r="H87" s="13">
        <v>41151.54</v>
      </c>
      <c r="I87" s="13">
        <v>1342.91</v>
      </c>
      <c r="J87" s="13">
        <v>324.11</v>
      </c>
      <c r="K87" s="13">
        <v>40827.43</v>
      </c>
      <c r="S87" s="14">
        <v>70</v>
      </c>
      <c r="T87" s="13">
        <v>28823.51</v>
      </c>
      <c r="U87" s="13">
        <v>1231.4100000000001</v>
      </c>
      <c r="V87" s="13">
        <v>1410.6</v>
      </c>
      <c r="W87" s="13">
        <v>27412.91</v>
      </c>
    </row>
    <row r="88" spans="1:23" ht="16" x14ac:dyDescent="0.2">
      <c r="A88" s="14">
        <v>71</v>
      </c>
      <c r="B88" s="13">
        <v>64557.26</v>
      </c>
      <c r="C88" s="13">
        <v>1690.11</v>
      </c>
      <c r="D88" s="13">
        <v>640.04</v>
      </c>
      <c r="E88" s="13">
        <v>63917.22</v>
      </c>
      <c r="G88" s="14">
        <v>71</v>
      </c>
      <c r="H88" s="13">
        <v>40827.43</v>
      </c>
      <c r="I88" s="13">
        <v>1332.34</v>
      </c>
      <c r="J88" s="13">
        <v>334.68</v>
      </c>
      <c r="K88" s="13">
        <v>40492.75</v>
      </c>
      <c r="S88" s="14">
        <v>71</v>
      </c>
      <c r="T88" s="13">
        <v>27412.91</v>
      </c>
      <c r="U88" s="13">
        <v>1171.1500000000001</v>
      </c>
      <c r="V88" s="13">
        <v>1470.86</v>
      </c>
      <c r="W88" s="13">
        <v>25942.05</v>
      </c>
    </row>
    <row r="89" spans="1:23" ht="16" x14ac:dyDescent="0.2">
      <c r="A89" s="14">
        <v>72</v>
      </c>
      <c r="B89" s="13">
        <v>63917.22</v>
      </c>
      <c r="C89" s="13">
        <v>1673.35</v>
      </c>
      <c r="D89" s="13">
        <v>656.79</v>
      </c>
      <c r="E89" s="13">
        <v>63260.42</v>
      </c>
      <c r="G89" s="14">
        <v>72</v>
      </c>
      <c r="H89" s="13">
        <v>40492.75</v>
      </c>
      <c r="I89" s="13">
        <v>1321.41</v>
      </c>
      <c r="J89" s="13">
        <v>345.6</v>
      </c>
      <c r="K89" s="13">
        <v>40147.14</v>
      </c>
      <c r="S89" s="14">
        <v>72</v>
      </c>
      <c r="T89" s="13">
        <v>25942.05</v>
      </c>
      <c r="U89" s="13">
        <v>1108.31</v>
      </c>
      <c r="V89" s="13">
        <v>1533.7</v>
      </c>
      <c r="W89" s="13">
        <v>24408.35</v>
      </c>
    </row>
    <row r="90" spans="1:23" ht="16" x14ac:dyDescent="0.2">
      <c r="A90" s="14"/>
      <c r="B90" s="13"/>
      <c r="C90" s="13">
        <f>SUM(C78:C89)</f>
        <v>21097.280000000002</v>
      </c>
      <c r="D90" s="13">
        <f>SUM(D78:D89)</f>
        <v>6864.5</v>
      </c>
      <c r="E90" s="13"/>
      <c r="G90" s="14"/>
      <c r="H90" s="13"/>
      <c r="I90" s="13">
        <f>SUM(I78:I89)</f>
        <v>16507</v>
      </c>
      <c r="J90" s="13">
        <f>SUM(J78:J89)</f>
        <v>3497.2099999999996</v>
      </c>
      <c r="K90" s="13"/>
      <c r="S90" s="14"/>
      <c r="T90" s="13"/>
      <c r="U90" s="13">
        <f>SUM(U78:U89)</f>
        <v>16929.61</v>
      </c>
      <c r="V90" s="13">
        <f>SUM(V78:V89)</f>
        <v>14774.52</v>
      </c>
      <c r="W90" s="13"/>
    </row>
    <row r="91" spans="1:23" ht="16" x14ac:dyDescent="0.2">
      <c r="A91" s="14" t="s">
        <v>33</v>
      </c>
      <c r="G91" s="14" t="s">
        <v>33</v>
      </c>
      <c r="S91" s="14" t="s">
        <v>33</v>
      </c>
    </row>
    <row r="92" spans="1:23" ht="16" x14ac:dyDescent="0.2">
      <c r="A92" s="14">
        <v>73</v>
      </c>
      <c r="B92" s="13">
        <v>63260.42</v>
      </c>
      <c r="C92" s="13">
        <v>1656.16</v>
      </c>
      <c r="D92" s="13">
        <v>673.99</v>
      </c>
      <c r="E92" s="13">
        <v>62586.43</v>
      </c>
      <c r="G92" s="14">
        <v>73</v>
      </c>
      <c r="H92" s="13">
        <v>40147.14</v>
      </c>
      <c r="I92" s="13">
        <v>1310.1400000000001</v>
      </c>
      <c r="J92" s="13">
        <v>356.88</v>
      </c>
      <c r="K92" s="13">
        <v>39790.26</v>
      </c>
      <c r="S92" s="14">
        <v>73</v>
      </c>
      <c r="T92" s="13">
        <v>24408.35</v>
      </c>
      <c r="U92" s="13">
        <v>1042.79</v>
      </c>
      <c r="V92" s="13">
        <v>1599.23</v>
      </c>
      <c r="W92" s="13">
        <v>22809.119999999999</v>
      </c>
    </row>
    <row r="93" spans="1:23" ht="16" x14ac:dyDescent="0.2">
      <c r="A93" s="14">
        <v>74</v>
      </c>
      <c r="B93" s="13">
        <v>62586.43</v>
      </c>
      <c r="C93" s="13">
        <v>1638.51</v>
      </c>
      <c r="D93" s="13">
        <v>691.63</v>
      </c>
      <c r="E93" s="13">
        <v>61894.8</v>
      </c>
      <c r="G93" s="14">
        <v>74</v>
      </c>
      <c r="H93" s="13">
        <v>39790.26</v>
      </c>
      <c r="I93" s="13">
        <v>1298.49</v>
      </c>
      <c r="J93" s="13">
        <v>368.53</v>
      </c>
      <c r="K93" s="13">
        <v>39421.730000000003</v>
      </c>
      <c r="S93" s="14">
        <v>74</v>
      </c>
      <c r="T93" s="13">
        <v>22809.119999999999</v>
      </c>
      <c r="U93" s="13">
        <v>974.46</v>
      </c>
      <c r="V93" s="13">
        <v>1667.55</v>
      </c>
      <c r="W93" s="13">
        <v>21141.57</v>
      </c>
    </row>
    <row r="94" spans="1:23" ht="16" x14ac:dyDescent="0.2">
      <c r="A94" s="14">
        <v>75</v>
      </c>
      <c r="B94" s="13">
        <v>61894.8</v>
      </c>
      <c r="C94" s="13">
        <v>1620.41</v>
      </c>
      <c r="D94" s="13">
        <v>709.74</v>
      </c>
      <c r="E94" s="13">
        <v>61185.06</v>
      </c>
      <c r="G94" s="14">
        <v>75</v>
      </c>
      <c r="H94" s="13">
        <v>39421.730000000003</v>
      </c>
      <c r="I94" s="13">
        <v>1286.46</v>
      </c>
      <c r="J94" s="13">
        <v>380.56</v>
      </c>
      <c r="K94" s="13">
        <v>39041.18</v>
      </c>
      <c r="S94" s="14">
        <v>75</v>
      </c>
      <c r="T94" s="13">
        <v>21141.57</v>
      </c>
      <c r="U94" s="13">
        <v>903.22</v>
      </c>
      <c r="V94" s="13">
        <v>1738.79</v>
      </c>
      <c r="W94" s="13">
        <v>19402.78</v>
      </c>
    </row>
    <row r="95" spans="1:23" ht="16" x14ac:dyDescent="0.2">
      <c r="A95" s="14">
        <v>76</v>
      </c>
      <c r="B95" s="13">
        <v>61185.06</v>
      </c>
      <c r="C95" s="13">
        <v>1601.82</v>
      </c>
      <c r="D95" s="13">
        <v>728.32</v>
      </c>
      <c r="E95" s="13">
        <v>60456.73</v>
      </c>
      <c r="G95" s="14">
        <v>76</v>
      </c>
      <c r="H95" s="13">
        <v>39041.18</v>
      </c>
      <c r="I95" s="13">
        <v>1274.04</v>
      </c>
      <c r="J95" s="13">
        <v>392.97</v>
      </c>
      <c r="K95" s="13">
        <v>38648.199999999997</v>
      </c>
      <c r="S95" s="14">
        <v>76</v>
      </c>
      <c r="T95" s="13">
        <v>19402.78</v>
      </c>
      <c r="U95" s="13">
        <v>828.94</v>
      </c>
      <c r="V95" s="13">
        <v>1813.08</v>
      </c>
      <c r="W95" s="13">
        <v>17589.71</v>
      </c>
    </row>
    <row r="96" spans="1:23" ht="16" x14ac:dyDescent="0.2">
      <c r="A96" s="14">
        <v>77</v>
      </c>
      <c r="B96" s="13">
        <v>60456.73</v>
      </c>
      <c r="C96" s="13">
        <v>1582.76</v>
      </c>
      <c r="D96" s="13">
        <v>747.39</v>
      </c>
      <c r="E96" s="13">
        <v>59709.34</v>
      </c>
      <c r="G96" s="14">
        <v>77</v>
      </c>
      <c r="H96" s="13">
        <v>38648.199999999997</v>
      </c>
      <c r="I96" s="13">
        <v>1261.22</v>
      </c>
      <c r="J96" s="13">
        <v>405.8</v>
      </c>
      <c r="K96" s="13">
        <v>38242.400000000001</v>
      </c>
      <c r="S96" s="14">
        <v>77</v>
      </c>
      <c r="T96" s="13">
        <v>17589.71</v>
      </c>
      <c r="U96" s="13">
        <v>751.48</v>
      </c>
      <c r="V96" s="13">
        <v>1890.53</v>
      </c>
      <c r="W96" s="13">
        <v>15699.17</v>
      </c>
    </row>
    <row r="97" spans="1:23" ht="16" x14ac:dyDescent="0.2">
      <c r="A97" s="14">
        <v>78</v>
      </c>
      <c r="B97" s="13">
        <v>59709.34</v>
      </c>
      <c r="C97" s="13">
        <v>1563.19</v>
      </c>
      <c r="D97" s="13">
        <v>766.96</v>
      </c>
      <c r="E97" s="13">
        <v>58942.39</v>
      </c>
      <c r="G97" s="14">
        <v>78</v>
      </c>
      <c r="H97" s="13">
        <v>38242.400000000001</v>
      </c>
      <c r="I97" s="13">
        <v>1247.98</v>
      </c>
      <c r="J97" s="13">
        <v>419.04</v>
      </c>
      <c r="K97" s="13">
        <v>37823.360000000001</v>
      </c>
      <c r="S97" s="14">
        <v>78</v>
      </c>
      <c r="T97" s="13">
        <v>15699.17</v>
      </c>
      <c r="U97" s="13">
        <v>670.71</v>
      </c>
      <c r="V97" s="13">
        <v>1971.3</v>
      </c>
      <c r="W97" s="13">
        <v>13727.87</v>
      </c>
    </row>
    <row r="98" spans="1:23" ht="16" x14ac:dyDescent="0.2">
      <c r="A98" s="14">
        <v>79</v>
      </c>
      <c r="B98" s="13">
        <v>58942.39</v>
      </c>
      <c r="C98" s="13">
        <v>1543.11</v>
      </c>
      <c r="D98" s="13">
        <v>787.04</v>
      </c>
      <c r="E98" s="13">
        <v>58155.35</v>
      </c>
      <c r="G98" s="14">
        <v>79</v>
      </c>
      <c r="H98" s="13">
        <v>37823.360000000001</v>
      </c>
      <c r="I98" s="13">
        <v>1234.3</v>
      </c>
      <c r="J98" s="13">
        <v>432.72</v>
      </c>
      <c r="K98" s="13">
        <v>37390.65</v>
      </c>
      <c r="S98" s="14">
        <v>79</v>
      </c>
      <c r="T98" s="13">
        <v>13727.87</v>
      </c>
      <c r="U98" s="13">
        <v>586.49</v>
      </c>
      <c r="V98" s="13">
        <v>2055.52</v>
      </c>
      <c r="W98" s="13">
        <v>11672.35</v>
      </c>
    </row>
    <row r="99" spans="1:23" ht="16" x14ac:dyDescent="0.2">
      <c r="A99" s="14">
        <v>80</v>
      </c>
      <c r="B99" s="13">
        <v>58155.35</v>
      </c>
      <c r="C99" s="13">
        <v>1522.51</v>
      </c>
      <c r="D99" s="13">
        <v>807.64</v>
      </c>
      <c r="E99" s="13">
        <v>57347.71</v>
      </c>
      <c r="G99" s="14">
        <v>80</v>
      </c>
      <c r="H99" s="13">
        <v>37390.65</v>
      </c>
      <c r="I99" s="13">
        <v>1220.18</v>
      </c>
      <c r="J99" s="13">
        <v>446.84</v>
      </c>
      <c r="K99" s="13">
        <v>36943.81</v>
      </c>
      <c r="S99" s="14">
        <v>80</v>
      </c>
      <c r="T99" s="13">
        <v>11672.35</v>
      </c>
      <c r="U99" s="13">
        <v>498.67</v>
      </c>
      <c r="V99" s="13">
        <v>2143.34</v>
      </c>
      <c r="W99" s="13">
        <v>9529.01</v>
      </c>
    </row>
    <row r="100" spans="1:23" ht="16" x14ac:dyDescent="0.2">
      <c r="A100" s="14">
        <v>81</v>
      </c>
      <c r="B100" s="13">
        <v>57347.71</v>
      </c>
      <c r="C100" s="13">
        <v>1501.36</v>
      </c>
      <c r="D100" s="13">
        <v>828.78</v>
      </c>
      <c r="E100" s="13">
        <v>56518.93</v>
      </c>
      <c r="G100" s="14">
        <v>81</v>
      </c>
      <c r="H100" s="13">
        <v>36943.81</v>
      </c>
      <c r="I100" s="13">
        <v>1205.5999999999999</v>
      </c>
      <c r="J100" s="13">
        <v>461.42</v>
      </c>
      <c r="K100" s="13">
        <v>36482.39</v>
      </c>
      <c r="S100" s="14">
        <v>81</v>
      </c>
      <c r="T100" s="13">
        <v>9529.01</v>
      </c>
      <c r="U100" s="13">
        <v>407.1</v>
      </c>
      <c r="V100" s="13">
        <v>2234.91</v>
      </c>
      <c r="W100" s="13">
        <v>7294.1</v>
      </c>
    </row>
    <row r="101" spans="1:23" ht="16" x14ac:dyDescent="0.2">
      <c r="A101" s="14">
        <v>82</v>
      </c>
      <c r="B101" s="13">
        <v>56518.93</v>
      </c>
      <c r="C101" s="13">
        <v>1479.67</v>
      </c>
      <c r="D101" s="13">
        <v>850.48</v>
      </c>
      <c r="E101" s="13">
        <v>55668.44</v>
      </c>
      <c r="G101" s="14">
        <v>82</v>
      </c>
      <c r="H101" s="13">
        <v>36482.39</v>
      </c>
      <c r="I101" s="13">
        <v>1190.54</v>
      </c>
      <c r="J101" s="13">
        <v>476.48</v>
      </c>
      <c r="K101" s="13">
        <v>36005.919999999998</v>
      </c>
      <c r="S101" s="14">
        <v>82</v>
      </c>
      <c r="T101" s="13">
        <v>7294.1</v>
      </c>
      <c r="U101" s="13">
        <v>311.62</v>
      </c>
      <c r="V101" s="13">
        <v>2330.39</v>
      </c>
      <c r="W101" s="13">
        <v>4963.71</v>
      </c>
    </row>
    <row r="102" spans="1:23" ht="16" x14ac:dyDescent="0.2">
      <c r="A102" s="14">
        <v>83</v>
      </c>
      <c r="B102" s="13">
        <v>55668.44</v>
      </c>
      <c r="C102" s="13">
        <v>1457.4</v>
      </c>
      <c r="D102" s="13">
        <v>872.75</v>
      </c>
      <c r="E102" s="13">
        <v>54795.7</v>
      </c>
      <c r="G102" s="14">
        <v>83</v>
      </c>
      <c r="H102" s="13">
        <v>36005.919999999998</v>
      </c>
      <c r="I102" s="13">
        <v>1174.99</v>
      </c>
      <c r="J102" s="13">
        <v>492.02</v>
      </c>
      <c r="K102" s="13">
        <v>35513.89</v>
      </c>
      <c r="S102" s="14">
        <v>83</v>
      </c>
      <c r="T102" s="13">
        <v>4963.71</v>
      </c>
      <c r="U102" s="13">
        <v>212.06</v>
      </c>
      <c r="V102" s="13">
        <v>2429.9499999999998</v>
      </c>
      <c r="W102" s="13">
        <v>2533.7600000000002</v>
      </c>
    </row>
    <row r="103" spans="1:23" ht="16" x14ac:dyDescent="0.2">
      <c r="A103" s="14">
        <v>84</v>
      </c>
      <c r="B103" s="13">
        <v>54795.7</v>
      </c>
      <c r="C103" s="13">
        <v>1434.55</v>
      </c>
      <c r="D103" s="13">
        <v>895.6</v>
      </c>
      <c r="E103" s="13">
        <v>53900.1</v>
      </c>
      <c r="G103" s="14">
        <v>84</v>
      </c>
      <c r="H103" s="13">
        <v>35513.89</v>
      </c>
      <c r="I103" s="13">
        <v>1158.94</v>
      </c>
      <c r="J103" s="13">
        <v>508.08</v>
      </c>
      <c r="K103" s="13">
        <v>35005.81</v>
      </c>
      <c r="S103" s="14">
        <v>84</v>
      </c>
      <c r="T103" s="13">
        <v>2533.7600000000002</v>
      </c>
      <c r="U103" s="13">
        <v>108.25</v>
      </c>
      <c r="V103" s="13">
        <v>2533.7600000000002</v>
      </c>
      <c r="W103" s="13">
        <v>0</v>
      </c>
    </row>
    <row r="104" spans="1:23" ht="16" x14ac:dyDescent="0.2">
      <c r="A104" s="14"/>
      <c r="B104" s="13"/>
      <c r="C104" s="13">
        <f>SUM(C92:C103)</f>
        <v>18601.45</v>
      </c>
      <c r="D104" s="13">
        <f>SUM(D92:D103)</f>
        <v>9360.32</v>
      </c>
      <c r="E104" s="13"/>
      <c r="G104" s="14"/>
      <c r="H104" s="13"/>
      <c r="I104" s="13">
        <f>SUM(I92:I103)</f>
        <v>14862.880000000001</v>
      </c>
      <c r="J104" s="13">
        <f>SUM(J92:J103)</f>
        <v>5141.34</v>
      </c>
      <c r="K104" s="13"/>
      <c r="S104" s="14"/>
      <c r="T104" s="13"/>
      <c r="U104" s="13">
        <f>SUM(U92:U103)</f>
        <v>7295.7900000000009</v>
      </c>
      <c r="V104" s="13">
        <f>SUM(V92:V103)</f>
        <v>24408.35</v>
      </c>
      <c r="W104" s="13"/>
    </row>
    <row r="105" spans="1:23" ht="16" x14ac:dyDescent="0.2">
      <c r="A105" s="14" t="s">
        <v>34</v>
      </c>
      <c r="G105" s="14" t="s">
        <v>34</v>
      </c>
    </row>
    <row r="106" spans="1:23" ht="16" x14ac:dyDescent="0.2">
      <c r="A106" s="14">
        <v>85</v>
      </c>
      <c r="B106" s="13">
        <v>53900.1</v>
      </c>
      <c r="C106" s="13">
        <v>1411.1</v>
      </c>
      <c r="D106" s="13">
        <v>919.04</v>
      </c>
      <c r="E106" s="13">
        <v>52981.06</v>
      </c>
      <c r="G106" s="14">
        <v>85</v>
      </c>
      <c r="H106" s="13">
        <v>35005.81</v>
      </c>
      <c r="I106" s="13">
        <v>1142.3599999999999</v>
      </c>
      <c r="J106" s="13">
        <v>524.66</v>
      </c>
      <c r="K106" s="13">
        <v>34481.15</v>
      </c>
    </row>
    <row r="107" spans="1:23" ht="16" x14ac:dyDescent="0.2">
      <c r="A107" s="14">
        <v>86</v>
      </c>
      <c r="B107" s="13">
        <v>52981.06</v>
      </c>
      <c r="C107" s="13">
        <v>1387.04</v>
      </c>
      <c r="D107" s="13">
        <v>943.1</v>
      </c>
      <c r="E107" s="13">
        <v>52037.95</v>
      </c>
      <c r="G107" s="14">
        <v>86</v>
      </c>
      <c r="H107" s="13">
        <v>34481.15</v>
      </c>
      <c r="I107" s="13">
        <v>1125.23</v>
      </c>
      <c r="J107" s="13">
        <v>541.78</v>
      </c>
      <c r="K107" s="13">
        <v>33939.370000000003</v>
      </c>
    </row>
    <row r="108" spans="1:23" ht="16" x14ac:dyDescent="0.2">
      <c r="A108" s="14">
        <v>87</v>
      </c>
      <c r="B108" s="13">
        <v>52037.95</v>
      </c>
      <c r="C108" s="13">
        <v>1362.35</v>
      </c>
      <c r="D108" s="13">
        <v>967.79</v>
      </c>
      <c r="E108" s="13">
        <v>51070.16</v>
      </c>
      <c r="G108" s="14">
        <v>87</v>
      </c>
      <c r="H108" s="13">
        <v>33939.370000000003</v>
      </c>
      <c r="I108" s="13">
        <v>1107.55</v>
      </c>
      <c r="J108" s="13">
        <v>559.46</v>
      </c>
      <c r="K108" s="13">
        <v>33379.9</v>
      </c>
    </row>
    <row r="109" spans="1:23" ht="16" x14ac:dyDescent="0.2">
      <c r="A109" s="14">
        <v>88</v>
      </c>
      <c r="B109" s="13">
        <v>51070.16</v>
      </c>
      <c r="C109" s="13">
        <v>1337.02</v>
      </c>
      <c r="D109" s="13">
        <v>993.13</v>
      </c>
      <c r="E109" s="13">
        <v>50077.03</v>
      </c>
      <c r="G109" s="14">
        <v>88</v>
      </c>
      <c r="H109" s="13">
        <v>33379.9</v>
      </c>
      <c r="I109" s="13">
        <v>1089.3</v>
      </c>
      <c r="J109" s="13">
        <v>577.72</v>
      </c>
      <c r="K109" s="13">
        <v>32802.18</v>
      </c>
    </row>
    <row r="110" spans="1:23" ht="16" x14ac:dyDescent="0.2">
      <c r="A110" s="14">
        <v>89</v>
      </c>
      <c r="B110" s="13">
        <v>50077.03</v>
      </c>
      <c r="C110" s="13">
        <v>1311.02</v>
      </c>
      <c r="D110" s="13">
        <v>1019.13</v>
      </c>
      <c r="E110" s="13">
        <v>49057.9</v>
      </c>
      <c r="G110" s="14">
        <v>89</v>
      </c>
      <c r="H110" s="13">
        <v>32802.18</v>
      </c>
      <c r="I110" s="13">
        <v>1070.44</v>
      </c>
      <c r="J110" s="13">
        <v>596.57000000000005</v>
      </c>
      <c r="K110" s="13">
        <v>32205.61</v>
      </c>
    </row>
    <row r="111" spans="1:23" ht="16" x14ac:dyDescent="0.2">
      <c r="A111" s="14">
        <v>90</v>
      </c>
      <c r="B111" s="13">
        <v>49057.9</v>
      </c>
      <c r="C111" s="13">
        <v>1284.3399999999999</v>
      </c>
      <c r="D111" s="13">
        <v>1045.81</v>
      </c>
      <c r="E111" s="13">
        <v>48012.09</v>
      </c>
      <c r="G111" s="14">
        <v>90</v>
      </c>
      <c r="H111" s="13">
        <v>32205.61</v>
      </c>
      <c r="I111" s="13">
        <v>1050.98</v>
      </c>
      <c r="J111" s="13">
        <v>616.04</v>
      </c>
      <c r="K111" s="13">
        <v>31589.57</v>
      </c>
    </row>
    <row r="112" spans="1:23" ht="16" x14ac:dyDescent="0.2">
      <c r="A112" s="14">
        <v>91</v>
      </c>
      <c r="B112" s="13">
        <v>48012.09</v>
      </c>
      <c r="C112" s="13">
        <v>1256.96</v>
      </c>
      <c r="D112" s="13">
        <v>1073.19</v>
      </c>
      <c r="E112" s="13">
        <v>46938.9</v>
      </c>
      <c r="G112" s="14">
        <v>91</v>
      </c>
      <c r="H112" s="13">
        <v>31589.57</v>
      </c>
      <c r="I112" s="13">
        <v>1030.8699999999999</v>
      </c>
      <c r="J112" s="13">
        <v>636.14</v>
      </c>
      <c r="K112" s="13">
        <v>30953.42</v>
      </c>
    </row>
    <row r="113" spans="1:11" ht="16" x14ac:dyDescent="0.2">
      <c r="A113" s="14">
        <v>92</v>
      </c>
      <c r="B113" s="13">
        <v>46938.9</v>
      </c>
      <c r="C113" s="13">
        <v>1228.8599999999999</v>
      </c>
      <c r="D113" s="13">
        <v>1101.29</v>
      </c>
      <c r="E113" s="13">
        <v>45837.61</v>
      </c>
      <c r="G113" s="14">
        <v>92</v>
      </c>
      <c r="H113" s="13">
        <v>30953.42</v>
      </c>
      <c r="I113" s="13">
        <v>1010.11</v>
      </c>
      <c r="J113" s="13">
        <v>656.9</v>
      </c>
      <c r="K113" s="13">
        <v>30296.52</v>
      </c>
    </row>
    <row r="114" spans="1:11" ht="16" x14ac:dyDescent="0.2">
      <c r="A114" s="14">
        <v>93</v>
      </c>
      <c r="B114" s="13">
        <v>45837.61</v>
      </c>
      <c r="C114" s="13">
        <v>1200.03</v>
      </c>
      <c r="D114" s="13">
        <v>1130.1199999999999</v>
      </c>
      <c r="E114" s="13">
        <v>44707.49</v>
      </c>
      <c r="G114" s="14">
        <v>93</v>
      </c>
      <c r="H114" s="13">
        <v>30296.52</v>
      </c>
      <c r="I114" s="13">
        <v>988.68</v>
      </c>
      <c r="J114" s="13">
        <v>678.34</v>
      </c>
      <c r="K114" s="13">
        <v>29618.18</v>
      </c>
    </row>
    <row r="115" spans="1:11" ht="16" x14ac:dyDescent="0.2">
      <c r="A115" s="14">
        <v>94</v>
      </c>
      <c r="B115" s="13">
        <v>44707.49</v>
      </c>
      <c r="C115" s="13">
        <v>1170.44</v>
      </c>
      <c r="D115" s="13">
        <v>1159.71</v>
      </c>
      <c r="E115" s="13">
        <v>43547.79</v>
      </c>
      <c r="G115" s="14">
        <v>94</v>
      </c>
      <c r="H115" s="13">
        <v>29618.18</v>
      </c>
      <c r="I115" s="13">
        <v>966.54</v>
      </c>
      <c r="J115" s="13">
        <v>700.48</v>
      </c>
      <c r="K115" s="13">
        <v>28917.7</v>
      </c>
    </row>
    <row r="116" spans="1:11" ht="16" x14ac:dyDescent="0.2">
      <c r="A116" s="14">
        <v>95</v>
      </c>
      <c r="B116" s="13">
        <v>43547.79</v>
      </c>
      <c r="C116" s="13">
        <v>1140.08</v>
      </c>
      <c r="D116" s="13">
        <v>1190.07</v>
      </c>
      <c r="E116" s="13">
        <v>42357.72</v>
      </c>
      <c r="G116" s="14">
        <v>95</v>
      </c>
      <c r="H116" s="13">
        <v>28917.7</v>
      </c>
      <c r="I116" s="13">
        <v>943.68</v>
      </c>
      <c r="J116" s="13">
        <v>723.34</v>
      </c>
      <c r="K116" s="13">
        <v>28194.36</v>
      </c>
    </row>
    <row r="117" spans="1:11" ht="16" x14ac:dyDescent="0.2">
      <c r="A117" s="14">
        <v>96</v>
      </c>
      <c r="B117" s="13">
        <v>42357.72</v>
      </c>
      <c r="C117" s="13">
        <v>1108.93</v>
      </c>
      <c r="D117" s="13">
        <v>1221.22</v>
      </c>
      <c r="E117" s="13">
        <v>41136.5</v>
      </c>
      <c r="G117" s="14">
        <v>96</v>
      </c>
      <c r="H117" s="13">
        <v>28194.36</v>
      </c>
      <c r="I117" s="13">
        <v>920.08</v>
      </c>
      <c r="J117" s="13">
        <v>746.94</v>
      </c>
      <c r="K117" s="13">
        <v>27447.42</v>
      </c>
    </row>
    <row r="118" spans="1:11" ht="16" x14ac:dyDescent="0.2">
      <c r="A118" s="14"/>
      <c r="B118" s="13"/>
      <c r="C118" s="13">
        <f>SUM(C106:C117)</f>
        <v>15198.170000000004</v>
      </c>
      <c r="D118" s="13">
        <f>SUM(D106:D117)</f>
        <v>12763.6</v>
      </c>
      <c r="E118" s="13"/>
      <c r="G118" s="14"/>
      <c r="H118" s="13"/>
      <c r="I118" s="13">
        <f>SUM(I106:I117)</f>
        <v>12445.820000000002</v>
      </c>
      <c r="J118" s="13">
        <f>SUM(J106:J117)</f>
        <v>7558.3700000000008</v>
      </c>
      <c r="K118" s="13"/>
    </row>
    <row r="119" spans="1:11" ht="16" x14ac:dyDescent="0.2">
      <c r="A119" s="14" t="s">
        <v>35</v>
      </c>
      <c r="G119" s="14" t="s">
        <v>35</v>
      </c>
    </row>
    <row r="120" spans="1:11" ht="16" x14ac:dyDescent="0.2">
      <c r="A120" s="14">
        <v>97</v>
      </c>
      <c r="B120" s="13">
        <v>41136.5</v>
      </c>
      <c r="C120" s="13">
        <v>1076.95</v>
      </c>
      <c r="D120" s="13">
        <v>1253.19</v>
      </c>
      <c r="E120" s="13">
        <v>39883.300000000003</v>
      </c>
      <c r="G120" s="14">
        <v>97</v>
      </c>
      <c r="H120" s="13">
        <v>27447.42</v>
      </c>
      <c r="I120" s="13">
        <v>895.7</v>
      </c>
      <c r="J120" s="13">
        <v>771.32</v>
      </c>
      <c r="K120" s="13">
        <v>26676.1</v>
      </c>
    </row>
    <row r="121" spans="1:11" ht="16" x14ac:dyDescent="0.2">
      <c r="A121" s="14">
        <v>98</v>
      </c>
      <c r="B121" s="13">
        <v>39883.300000000003</v>
      </c>
      <c r="C121" s="13">
        <v>1044.1400000000001</v>
      </c>
      <c r="D121" s="13">
        <v>1286</v>
      </c>
      <c r="E121" s="13">
        <v>38597.300000000003</v>
      </c>
      <c r="G121" s="14">
        <v>98</v>
      </c>
      <c r="H121" s="13">
        <v>26676.1</v>
      </c>
      <c r="I121" s="13">
        <v>870.53</v>
      </c>
      <c r="J121" s="13">
        <v>796.49</v>
      </c>
      <c r="K121" s="13">
        <v>25879.62</v>
      </c>
    </row>
    <row r="122" spans="1:11" ht="16" x14ac:dyDescent="0.2">
      <c r="A122" s="14">
        <v>99</v>
      </c>
      <c r="B122" s="13">
        <v>38597.300000000003</v>
      </c>
      <c r="C122" s="13">
        <v>1010.48</v>
      </c>
      <c r="D122" s="13">
        <v>1319.67</v>
      </c>
      <c r="E122" s="13">
        <v>37277.629999999997</v>
      </c>
      <c r="G122" s="14">
        <v>99</v>
      </c>
      <c r="H122" s="13">
        <v>25879.62</v>
      </c>
      <c r="I122" s="13">
        <v>844.54</v>
      </c>
      <c r="J122" s="13">
        <v>822.48</v>
      </c>
      <c r="K122" s="13">
        <v>25057.14</v>
      </c>
    </row>
    <row r="123" spans="1:11" ht="16" x14ac:dyDescent="0.2">
      <c r="A123" s="14">
        <v>100</v>
      </c>
      <c r="B123" s="13">
        <v>37277.629999999997</v>
      </c>
      <c r="C123" s="13">
        <v>975.93</v>
      </c>
      <c r="D123" s="13">
        <v>1354.22</v>
      </c>
      <c r="E123" s="13">
        <v>35923.410000000003</v>
      </c>
      <c r="G123" s="14">
        <v>100</v>
      </c>
      <c r="H123" s="13">
        <v>25057.14</v>
      </c>
      <c r="I123" s="13">
        <v>817.7</v>
      </c>
      <c r="J123" s="13">
        <v>849.32</v>
      </c>
      <c r="K123" s="13">
        <v>24207.82</v>
      </c>
    </row>
    <row r="124" spans="1:11" ht="16" x14ac:dyDescent="0.2">
      <c r="A124" s="14">
        <v>101</v>
      </c>
      <c r="B124" s="13">
        <v>35923.410000000003</v>
      </c>
      <c r="C124" s="13">
        <v>940.47</v>
      </c>
      <c r="D124" s="13">
        <v>1389.67</v>
      </c>
      <c r="E124" s="13">
        <v>34533.74</v>
      </c>
      <c r="G124" s="14">
        <v>101</v>
      </c>
      <c r="H124" s="13">
        <v>24207.82</v>
      </c>
      <c r="I124" s="13">
        <v>789.98</v>
      </c>
      <c r="J124" s="13">
        <v>877.04</v>
      </c>
      <c r="K124" s="13">
        <v>23330.78</v>
      </c>
    </row>
    <row r="125" spans="1:11" ht="16" x14ac:dyDescent="0.2">
      <c r="A125" s="14">
        <v>102</v>
      </c>
      <c r="B125" s="13">
        <v>34533.74</v>
      </c>
      <c r="C125" s="13">
        <v>904.09</v>
      </c>
      <c r="D125" s="13">
        <v>1426.05</v>
      </c>
      <c r="E125" s="13">
        <v>33107.68</v>
      </c>
      <c r="G125" s="14">
        <v>102</v>
      </c>
      <c r="H125" s="13">
        <v>23330.78</v>
      </c>
      <c r="I125" s="13">
        <v>761.36</v>
      </c>
      <c r="J125" s="13">
        <v>905.66</v>
      </c>
      <c r="K125" s="13">
        <v>22425.119999999999</v>
      </c>
    </row>
    <row r="126" spans="1:11" ht="16" x14ac:dyDescent="0.2">
      <c r="A126" s="14">
        <v>103</v>
      </c>
      <c r="B126" s="13">
        <v>33107.68</v>
      </c>
      <c r="C126" s="13">
        <v>866.76</v>
      </c>
      <c r="D126" s="13">
        <v>1463.39</v>
      </c>
      <c r="E126" s="13">
        <v>31644.3</v>
      </c>
      <c r="G126" s="14">
        <v>103</v>
      </c>
      <c r="H126" s="13">
        <v>22425.119999999999</v>
      </c>
      <c r="I126" s="13">
        <v>731.81</v>
      </c>
      <c r="J126" s="13">
        <v>935.21</v>
      </c>
      <c r="K126" s="13">
        <v>21489.91</v>
      </c>
    </row>
    <row r="127" spans="1:11" ht="16" x14ac:dyDescent="0.2">
      <c r="A127" s="14">
        <v>104</v>
      </c>
      <c r="B127" s="13">
        <v>31644.3</v>
      </c>
      <c r="C127" s="13">
        <v>828.45</v>
      </c>
      <c r="D127" s="13">
        <v>1501.7</v>
      </c>
      <c r="E127" s="13">
        <v>30142.6</v>
      </c>
      <c r="G127" s="14">
        <v>104</v>
      </c>
      <c r="H127" s="13">
        <v>21489.91</v>
      </c>
      <c r="I127" s="13">
        <v>701.29</v>
      </c>
      <c r="J127" s="13">
        <v>965.73</v>
      </c>
      <c r="K127" s="13">
        <v>20524.18</v>
      </c>
    </row>
    <row r="128" spans="1:11" ht="16" x14ac:dyDescent="0.2">
      <c r="A128" s="14">
        <v>105</v>
      </c>
      <c r="B128" s="13">
        <v>30142.6</v>
      </c>
      <c r="C128" s="13">
        <v>789.13</v>
      </c>
      <c r="D128" s="13">
        <v>1541.01</v>
      </c>
      <c r="E128" s="13">
        <v>28601.58</v>
      </c>
      <c r="G128" s="14">
        <v>105</v>
      </c>
      <c r="H128" s="13">
        <v>20524.18</v>
      </c>
      <c r="I128" s="13">
        <v>669.77</v>
      </c>
      <c r="J128" s="13">
        <v>997.25</v>
      </c>
      <c r="K128" s="13">
        <v>19526.939999999999</v>
      </c>
    </row>
    <row r="129" spans="1:11" ht="16" x14ac:dyDescent="0.2">
      <c r="A129" s="14">
        <v>106</v>
      </c>
      <c r="B129" s="13">
        <v>28601.58</v>
      </c>
      <c r="C129" s="13">
        <v>748.79</v>
      </c>
      <c r="D129" s="13">
        <v>1581.36</v>
      </c>
      <c r="E129" s="13">
        <v>27020.22</v>
      </c>
      <c r="G129" s="14">
        <v>106</v>
      </c>
      <c r="H129" s="13">
        <v>19526.939999999999</v>
      </c>
      <c r="I129" s="13">
        <v>637.23</v>
      </c>
      <c r="J129" s="13">
        <v>1029.79</v>
      </c>
      <c r="K129" s="13">
        <v>18497.150000000001</v>
      </c>
    </row>
    <row r="130" spans="1:11" ht="16" x14ac:dyDescent="0.2">
      <c r="A130" s="14">
        <v>107</v>
      </c>
      <c r="B130" s="13">
        <v>27020.22</v>
      </c>
      <c r="C130" s="13">
        <v>707.39</v>
      </c>
      <c r="D130" s="13">
        <v>1622.76</v>
      </c>
      <c r="E130" s="13">
        <v>25397.47</v>
      </c>
      <c r="G130" s="14">
        <v>107</v>
      </c>
      <c r="H130" s="13">
        <v>18497.150000000001</v>
      </c>
      <c r="I130" s="13">
        <v>603.62</v>
      </c>
      <c r="J130" s="13">
        <v>1063.3900000000001</v>
      </c>
      <c r="K130" s="13">
        <v>17433.75</v>
      </c>
    </row>
    <row r="131" spans="1:11" ht="16" x14ac:dyDescent="0.2">
      <c r="A131" s="14">
        <v>108</v>
      </c>
      <c r="B131" s="13">
        <v>25397.47</v>
      </c>
      <c r="C131" s="13">
        <v>664.91</v>
      </c>
      <c r="D131" s="13">
        <v>1665.24</v>
      </c>
      <c r="E131" s="13">
        <v>23732.22</v>
      </c>
      <c r="G131" s="14">
        <v>108</v>
      </c>
      <c r="H131" s="13">
        <v>17433.75</v>
      </c>
      <c r="I131" s="13">
        <v>568.91999999999996</v>
      </c>
      <c r="J131" s="13">
        <v>1098.0999999999999</v>
      </c>
      <c r="K131" s="13">
        <v>16335.66</v>
      </c>
    </row>
    <row r="132" spans="1:11" ht="16" x14ac:dyDescent="0.2">
      <c r="A132" s="14"/>
      <c r="B132" s="13"/>
      <c r="C132" s="13">
        <f>SUM(C120:C131)</f>
        <v>10557.489999999998</v>
      </c>
      <c r="D132" s="13">
        <f>SUM(D120:D131)</f>
        <v>17404.260000000002</v>
      </c>
      <c r="E132" s="13"/>
      <c r="G132" s="14"/>
      <c r="H132" s="13"/>
      <c r="I132" s="13">
        <f>SUM(I120:I131)</f>
        <v>8892.4500000000007</v>
      </c>
      <c r="J132" s="13">
        <f>SUM(J120:J131)</f>
        <v>11111.78</v>
      </c>
      <c r="K132" s="13"/>
    </row>
    <row r="133" spans="1:11" ht="16" x14ac:dyDescent="0.2">
      <c r="A133" s="14" t="s">
        <v>36</v>
      </c>
      <c r="G133" s="14" t="s">
        <v>36</v>
      </c>
    </row>
    <row r="134" spans="1:11" ht="16" x14ac:dyDescent="0.2">
      <c r="A134" s="14">
        <v>109</v>
      </c>
      <c r="B134" s="13">
        <v>23732.22</v>
      </c>
      <c r="C134" s="13">
        <v>621.30999999999995</v>
      </c>
      <c r="D134" s="13">
        <v>1708.84</v>
      </c>
      <c r="E134" s="13">
        <v>22023.39</v>
      </c>
      <c r="G134" s="14">
        <v>109</v>
      </c>
      <c r="H134" s="13">
        <v>16335.66</v>
      </c>
      <c r="I134" s="13">
        <v>533.09</v>
      </c>
      <c r="J134" s="13">
        <v>1133.93</v>
      </c>
      <c r="K134" s="13">
        <v>15201.73</v>
      </c>
    </row>
    <row r="135" spans="1:11" ht="16" x14ac:dyDescent="0.2">
      <c r="A135" s="14">
        <v>110</v>
      </c>
      <c r="B135" s="13">
        <v>22023.39</v>
      </c>
      <c r="C135" s="13">
        <v>576.57000000000005</v>
      </c>
      <c r="D135" s="13">
        <v>1753.58</v>
      </c>
      <c r="E135" s="13">
        <v>20269.810000000001</v>
      </c>
      <c r="G135" s="14">
        <v>110</v>
      </c>
      <c r="H135" s="13">
        <v>15201.73</v>
      </c>
      <c r="I135" s="13">
        <v>496.08</v>
      </c>
      <c r="J135" s="13">
        <v>1170.93</v>
      </c>
      <c r="K135" s="13">
        <v>14030.79</v>
      </c>
    </row>
    <row r="136" spans="1:11" ht="16" x14ac:dyDescent="0.2">
      <c r="A136" s="14">
        <v>111</v>
      </c>
      <c r="B136" s="13">
        <v>20269.810000000001</v>
      </c>
      <c r="C136" s="13">
        <v>530.66</v>
      </c>
      <c r="D136" s="13">
        <v>1799.48</v>
      </c>
      <c r="E136" s="13">
        <v>18470.330000000002</v>
      </c>
      <c r="G136" s="14">
        <v>111</v>
      </c>
      <c r="H136" s="13">
        <v>14030.79</v>
      </c>
      <c r="I136" s="13">
        <v>457.87</v>
      </c>
      <c r="J136" s="13">
        <v>1209.1500000000001</v>
      </c>
      <c r="K136" s="13">
        <v>12821.65</v>
      </c>
    </row>
    <row r="137" spans="1:11" ht="16" x14ac:dyDescent="0.2">
      <c r="A137" s="14">
        <v>112</v>
      </c>
      <c r="B137" s="13">
        <v>18470.330000000002</v>
      </c>
      <c r="C137" s="13">
        <v>483.55</v>
      </c>
      <c r="D137" s="13">
        <v>1846.59</v>
      </c>
      <c r="E137" s="13">
        <v>16623.73</v>
      </c>
      <c r="G137" s="14">
        <v>112</v>
      </c>
      <c r="H137" s="13">
        <v>12821.65</v>
      </c>
      <c r="I137" s="13">
        <v>418.41</v>
      </c>
      <c r="J137" s="13">
        <v>1248.5999999999999</v>
      </c>
      <c r="K137" s="13">
        <v>11573.04</v>
      </c>
    </row>
    <row r="138" spans="1:11" ht="16" x14ac:dyDescent="0.2">
      <c r="A138" s="14">
        <v>113</v>
      </c>
      <c r="B138" s="13">
        <v>16623.73</v>
      </c>
      <c r="C138" s="13">
        <v>435.21</v>
      </c>
      <c r="D138" s="13">
        <v>1894.94</v>
      </c>
      <c r="E138" s="13">
        <v>14728.79</v>
      </c>
      <c r="G138" s="14">
        <v>113</v>
      </c>
      <c r="H138" s="13">
        <v>11573.04</v>
      </c>
      <c r="I138" s="13">
        <v>377.67</v>
      </c>
      <c r="J138" s="13">
        <v>1289.3499999999999</v>
      </c>
      <c r="K138" s="13">
        <v>10283.69</v>
      </c>
    </row>
    <row r="139" spans="1:11" ht="16" x14ac:dyDescent="0.2">
      <c r="A139" s="14">
        <v>114</v>
      </c>
      <c r="B139" s="13">
        <v>14728.79</v>
      </c>
      <c r="C139" s="13">
        <v>385.6</v>
      </c>
      <c r="D139" s="13">
        <v>1944.55</v>
      </c>
      <c r="E139" s="13">
        <v>12784.25</v>
      </c>
      <c r="G139" s="14">
        <v>114</v>
      </c>
      <c r="H139" s="13">
        <v>10283.69</v>
      </c>
      <c r="I139" s="13">
        <v>335.59</v>
      </c>
      <c r="J139" s="13">
        <v>1331.43</v>
      </c>
      <c r="K139" s="13">
        <v>8952.26</v>
      </c>
    </row>
    <row r="140" spans="1:11" ht="16" x14ac:dyDescent="0.2">
      <c r="A140" s="14">
        <v>115</v>
      </c>
      <c r="B140" s="13">
        <v>12784.25</v>
      </c>
      <c r="C140" s="13">
        <v>334.69</v>
      </c>
      <c r="D140" s="13">
        <v>1995.46</v>
      </c>
      <c r="E140" s="13">
        <v>10788.79</v>
      </c>
      <c r="G140" s="14">
        <v>115</v>
      </c>
      <c r="H140" s="13">
        <v>8952.26</v>
      </c>
      <c r="I140" s="13">
        <v>292.14</v>
      </c>
      <c r="J140" s="13">
        <v>1374.88</v>
      </c>
      <c r="K140" s="13">
        <v>7577.39</v>
      </c>
    </row>
    <row r="141" spans="1:11" ht="16" x14ac:dyDescent="0.2">
      <c r="A141" s="14">
        <v>116</v>
      </c>
      <c r="B141" s="13">
        <v>10788.79</v>
      </c>
      <c r="C141" s="13">
        <v>282.45</v>
      </c>
      <c r="D141" s="13">
        <v>2047.7</v>
      </c>
      <c r="E141" s="13">
        <v>8741.09</v>
      </c>
      <c r="G141" s="14">
        <v>116</v>
      </c>
      <c r="H141" s="13">
        <v>7577.39</v>
      </c>
      <c r="I141" s="13">
        <v>247.28</v>
      </c>
      <c r="J141" s="13">
        <v>1419.74</v>
      </c>
      <c r="K141" s="13">
        <v>6157.65</v>
      </c>
    </row>
    <row r="142" spans="1:11" ht="16" x14ac:dyDescent="0.2">
      <c r="A142" s="14">
        <v>117</v>
      </c>
      <c r="B142" s="13">
        <v>8741.09</v>
      </c>
      <c r="C142" s="13">
        <v>228.84</v>
      </c>
      <c r="D142" s="13">
        <v>2101.31</v>
      </c>
      <c r="E142" s="13">
        <v>6639.79</v>
      </c>
      <c r="G142" s="14">
        <v>117</v>
      </c>
      <c r="H142" s="13">
        <v>6157.65</v>
      </c>
      <c r="I142" s="13">
        <v>200.94</v>
      </c>
      <c r="J142" s="13">
        <v>1466.07</v>
      </c>
      <c r="K142" s="13">
        <v>4691.57</v>
      </c>
    </row>
    <row r="143" spans="1:11" ht="16" x14ac:dyDescent="0.2">
      <c r="A143" s="14">
        <v>118</v>
      </c>
      <c r="B143" s="13">
        <v>6639.79</v>
      </c>
      <c r="C143" s="13">
        <v>173.83</v>
      </c>
      <c r="D143" s="13">
        <v>2156.3200000000002</v>
      </c>
      <c r="E143" s="13">
        <v>4483.47</v>
      </c>
      <c r="G143" s="14">
        <v>118</v>
      </c>
      <c r="H143" s="13">
        <v>4691.57</v>
      </c>
      <c r="I143" s="13">
        <v>153.1</v>
      </c>
      <c r="J143" s="13">
        <v>1513.92</v>
      </c>
      <c r="K143" s="13">
        <v>3177.66</v>
      </c>
    </row>
    <row r="144" spans="1:11" ht="16" x14ac:dyDescent="0.2">
      <c r="A144" s="14">
        <v>119</v>
      </c>
      <c r="B144" s="13">
        <v>4483.47</v>
      </c>
      <c r="C144" s="13">
        <v>117.38</v>
      </c>
      <c r="D144" s="13">
        <v>2212.77</v>
      </c>
      <c r="E144" s="13">
        <v>2270.6999999999998</v>
      </c>
      <c r="G144" s="14">
        <v>119</v>
      </c>
      <c r="H144" s="13">
        <v>3177.66</v>
      </c>
      <c r="I144" s="13">
        <v>103.7</v>
      </c>
      <c r="J144" s="13">
        <v>1563.32</v>
      </c>
      <c r="K144" s="13">
        <v>1614.34</v>
      </c>
    </row>
    <row r="145" spans="1:11" ht="16" x14ac:dyDescent="0.2">
      <c r="A145" s="14">
        <v>120</v>
      </c>
      <c r="B145" s="13">
        <v>2270.6999999999998</v>
      </c>
      <c r="C145" s="13">
        <v>59.45</v>
      </c>
      <c r="D145" s="13">
        <v>2270.6999999999998</v>
      </c>
      <c r="E145" s="13">
        <v>0</v>
      </c>
      <c r="G145" s="14">
        <v>120</v>
      </c>
      <c r="H145" s="13">
        <v>1614.34</v>
      </c>
      <c r="I145" s="13">
        <v>52.68</v>
      </c>
      <c r="J145" s="13">
        <v>1614.34</v>
      </c>
      <c r="K145" s="13">
        <v>0</v>
      </c>
    </row>
    <row r="146" spans="1:11" ht="16" x14ac:dyDescent="0.2">
      <c r="C146" s="13">
        <f>SUM(C134:C145)</f>
        <v>4229.54</v>
      </c>
      <c r="D146" s="13">
        <f>SUM(D134:D145)</f>
        <v>23732.240000000002</v>
      </c>
      <c r="I146" s="13">
        <f>SUM(I134:I145)</f>
        <v>3668.5499999999997</v>
      </c>
      <c r="J146" s="13">
        <f>SUM(J134:J145)</f>
        <v>16335.66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Balance Sheet</vt:lpstr>
      <vt:lpstr>PFS</vt:lpstr>
      <vt:lpstr>3408 MLK (Owned Propety)</vt:lpstr>
      <vt:lpstr>1214 E 138th Ave (Deal Anaylsis</vt:lpstr>
      <vt:lpstr>618 73rd St (Deal Analysis)</vt:lpstr>
      <vt:lpstr>1 Harmony St (Deal Anaylsis)</vt:lpstr>
      <vt:lpstr>Investor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McElwee</dc:creator>
  <cp:lastModifiedBy>Michael McElwee</cp:lastModifiedBy>
  <dcterms:created xsi:type="dcterms:W3CDTF">2022-10-08T17:52:28Z</dcterms:created>
  <dcterms:modified xsi:type="dcterms:W3CDTF">2025-06-18T17:06:08Z</dcterms:modified>
</cp:coreProperties>
</file>