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portal.sharepoint.com/sites/COSCOSpain-ISDSpain/Shared Documents/ISD Spain/IDI/PLANET/WP3/T3.1/Data_Iris4/Activity 1.2/nuevo envio/"/>
    </mc:Choice>
  </mc:AlternateContent>
  <xr:revisionPtr revIDLastSave="385" documentId="13_ncr:1_{6FF3911A-FA81-4EE4-AC68-AEE3779BC20A}" xr6:coauthVersionLast="46" xr6:coauthVersionMax="46" xr10:uidLastSave="{CC4F6584-2219-4FF0-9434-70A9E77C1643}"/>
  <bookViews>
    <workbookView xWindow="-28920" yWindow="1695" windowWidth="29040" windowHeight="15840" xr2:uid="{00000000-000D-0000-FFFF-FFFF00000000}"/>
  </bookViews>
  <sheets>
    <sheet name="ALG Port Tariff" sheetId="1" r:id="rId1"/>
    <sheet name="BCN Port Tariff" sheetId="5" r:id="rId2"/>
    <sheet name="VLC Port Tariff" sheetId="6" r:id="rId3"/>
  </sheets>
  <definedNames>
    <definedName name="_xlnm._FilterDatabase" localSheetId="0" hidden="1">'ALG Port Tariff'!$B$5:$I$5</definedName>
    <definedName name="_xlnm._FilterDatabase" localSheetId="2" hidden="1">'VLC Port Tariff'!$B$5:$I$5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6" l="1"/>
  <c r="J7" i="6"/>
  <c r="C46" i="6"/>
  <c r="C40" i="6"/>
  <c r="C39" i="6"/>
  <c r="C38" i="6"/>
  <c r="C37" i="6"/>
  <c r="C36" i="6"/>
  <c r="C35" i="6"/>
  <c r="C26" i="6"/>
  <c r="C25" i="6"/>
  <c r="E19" i="6"/>
  <c r="E18" i="6"/>
  <c r="E17" i="6"/>
  <c r="E16" i="6"/>
  <c r="D12" i="6"/>
  <c r="E12" i="6" s="1"/>
  <c r="H8" i="6"/>
  <c r="H7" i="6"/>
  <c r="C42" i="5" l="1"/>
  <c r="C41" i="5"/>
  <c r="C35" i="5"/>
  <c r="C30" i="5"/>
  <c r="C29" i="5"/>
  <c r="C28" i="5"/>
  <c r="E22" i="5"/>
  <c r="E21" i="5"/>
  <c r="E20" i="5"/>
  <c r="E19" i="5"/>
  <c r="E15" i="5"/>
  <c r="E14" i="5"/>
  <c r="E13" i="5"/>
  <c r="J8" i="5"/>
  <c r="H8" i="5"/>
  <c r="J7" i="5"/>
  <c r="H7" i="5"/>
  <c r="C34" i="1" l="1"/>
  <c r="C24" i="1"/>
  <c r="C29" i="1"/>
  <c r="J7" i="1" l="1"/>
  <c r="H7" i="1"/>
  <c r="E16" i="1"/>
  <c r="E19" i="1"/>
  <c r="E18" i="1"/>
  <c r="E17" i="1"/>
  <c r="J8" i="1" l="1"/>
  <c r="H8" i="1"/>
  <c r="D12" i="1"/>
  <c r="E12" i="1" s="1"/>
</calcChain>
</file>

<file path=xl/sharedStrings.xml><?xml version="1.0" encoding="utf-8"?>
<sst xmlns="http://schemas.openxmlformats.org/spreadsheetml/2006/main" count="163" uniqueCount="55">
  <si>
    <t>1-12</t>
  </si>
  <si>
    <t>HOURS</t>
  </si>
  <si>
    <t>APPLICATION CALLS</t>
  </si>
  <si>
    <t>GT</t>
  </si>
  <si>
    <t>EUR / CALL</t>
  </si>
  <si>
    <t>RATE</t>
  </si>
  <si>
    <t xml:space="preserve"> T1 VESSEL TAX - PORT DUES (DOCKAGE)</t>
  </si>
  <si>
    <t>BASIC TAX</t>
  </si>
  <si>
    <t>CORRECTING COEFFICIENT</t>
  </si>
  <si>
    <t>COEFFICIENT % AS PER NUMBER OF CALLS</t>
  </si>
  <si>
    <t>COEFF.</t>
  </si>
  <si>
    <t>T0 TAX FOR NAVIGATION AIDS (LIGHT DUES)</t>
  </si>
  <si>
    <t>COEFF.%</t>
  </si>
  <si>
    <t>UNIT TAX (EUR / h)</t>
  </si>
  <si>
    <t xml:space="preserve">COEFFICIENT % FOR REGULAR SERVICE </t>
  </si>
  <si>
    <t>25.001 - 100.000</t>
  </si>
  <si>
    <t>2.501 - 25.000</t>
  </si>
  <si>
    <t>&gt; 100.000</t>
  </si>
  <si>
    <t xml:space="preserve"> SHIP WASTE RECEPTION TARIFF</t>
  </si>
  <si>
    <t>&lt; 2.500</t>
  </si>
  <si>
    <t>Entrada/Salida</t>
  </si>
  <si>
    <t>REGULAR SERVICE</t>
  </si>
  <si>
    <t>OTHER SERVICE</t>
  </si>
  <si>
    <t>&lt;10600</t>
  </si>
  <si>
    <t>10601 - 25.000</t>
  </si>
  <si>
    <t>&lt;70.000</t>
  </si>
  <si>
    <t>&gt;=70.000</t>
  </si>
  <si>
    <t>&lt;7.000</t>
  </si>
  <si>
    <t>7.001 - 120.000</t>
  </si>
  <si>
    <t>&gt; 120.000</t>
  </si>
  <si>
    <t>&lt;7.500</t>
  </si>
  <si>
    <t>7.501 - 30.000</t>
  </si>
  <si>
    <t>30.001 - 100.000</t>
  </si>
  <si>
    <t>100.001 - 150.000</t>
  </si>
  <si>
    <t>150.001 - 175.000</t>
  </si>
  <si>
    <t>&gt; 175.000</t>
  </si>
  <si>
    <t>&lt;12.000</t>
  </si>
  <si>
    <t>12.001 - 19.000</t>
  </si>
  <si>
    <t>19.001 - 22.000</t>
  </si>
  <si>
    <t>22.001 - 30.000</t>
  </si>
  <si>
    <t>30.001 - 35.000</t>
  </si>
  <si>
    <t>35.001 - 49.999</t>
  </si>
  <si>
    <t>50.000 - 99.999</t>
  </si>
  <si>
    <t>≥ 100.000</t>
  </si>
  <si>
    <t>Any GT</t>
  </si>
  <si>
    <t>PILOTAGE SERVICE</t>
  </si>
  <si>
    <t>TOWING SERVICE</t>
  </si>
  <si>
    <t>MOORING SERVICE</t>
  </si>
  <si>
    <t>eg. GT</t>
  </si>
  <si>
    <t>eg.GT</t>
  </si>
  <si>
    <t>Short Sea Shipping</t>
  </si>
  <si>
    <t>Rest</t>
  </si>
  <si>
    <t>PORT AUTHORITY OF ALGECIRAS - 2022</t>
  </si>
  <si>
    <t>PORT AUTHORITY OF BARCELONA - 2022</t>
  </si>
  <si>
    <t>PORT AUTHORITY OF VALENCIA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</si>
</sst>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_-* #,##0.00\ &quot;pta&quot;_-;\-* #,##0.00\ &quot;pta&quot;_-;_-* &quot;-&quot;??\ &quot;pta&quot;_-;_-@_-"/>
    <numFmt numFmtId="165" formatCode="#,##0.00000"/>
    <numFmt numFmtId="166" formatCode="_-* #,##0.00\ [$€]_-;\-* #,##0.00\ [$€]_-;_-* &quot;-&quot;??\ [$€]_-;_-@_-"/>
    <numFmt numFmtId="167" formatCode="_-* #,##0.00\ [$€-C0A]_-;\-* #,##0.00\ [$€-C0A]_-;_-* &quot;-&quot;??\ [$€-C0A]_-;_-@_-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10" fontId="3" fillId="0" borderId="0" xfId="0" applyNumberFormat="1" applyFont="1" applyFill="1"/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167" fontId="3" fillId="0" borderId="0" xfId="2" applyNumberFormat="1" applyFont="1" applyFill="1"/>
    <xf numFmtId="0" fontId="3" fillId="0" borderId="7" xfId="0" applyFont="1" applyFill="1" applyBorder="1"/>
    <xf numFmtId="167" fontId="3" fillId="0" borderId="9" xfId="2" applyNumberFormat="1" applyFont="1" applyFill="1" applyBorder="1"/>
    <xf numFmtId="0" fontId="3" fillId="0" borderId="11" xfId="0" applyFont="1" applyFill="1" applyBorder="1"/>
    <xf numFmtId="167" fontId="3" fillId="0" borderId="12" xfId="2" applyNumberFormat="1" applyFont="1" applyFill="1" applyBorder="1"/>
    <xf numFmtId="0" fontId="3" fillId="0" borderId="14" xfId="0" applyFont="1" applyFill="1" applyBorder="1"/>
    <xf numFmtId="0" fontId="3" fillId="0" borderId="17" xfId="0" applyFont="1" applyFill="1" applyBorder="1"/>
    <xf numFmtId="167" fontId="3" fillId="0" borderId="18" xfId="2" applyNumberFormat="1" applyFont="1" applyFill="1" applyBorder="1"/>
    <xf numFmtId="0" fontId="2" fillId="0" borderId="0" xfId="0" applyFont="1" applyFill="1" applyBorder="1" applyAlignment="1">
      <alignment horizontal="center"/>
    </xf>
    <xf numFmtId="167" fontId="2" fillId="0" borderId="0" xfId="2" applyNumberFormat="1" applyFont="1" applyFill="1" applyBorder="1"/>
    <xf numFmtId="167" fontId="3" fillId="0" borderId="0" xfId="2" applyNumberFormat="1" applyFont="1" applyFill="1" applyBorder="1"/>
    <xf numFmtId="0" fontId="3" fillId="0" borderId="13" xfId="0" applyFont="1" applyFill="1" applyBorder="1" applyAlignment="1">
      <alignment horizontal="center"/>
    </xf>
    <xf numFmtId="2" fontId="3" fillId="0" borderId="14" xfId="0" applyNumberFormat="1" applyFont="1" applyFill="1" applyBorder="1"/>
    <xf numFmtId="0" fontId="3" fillId="0" borderId="0" xfId="0" applyFont="1" applyFill="1" applyAlignment="1">
      <alignment horizont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3" fillId="0" borderId="0" xfId="0" applyNumberFormat="1" applyFont="1"/>
    <xf numFmtId="165" fontId="2" fillId="0" borderId="0" xfId="0" applyNumberFormat="1" applyFont="1" applyAlignment="1">
      <alignment horizontal="center"/>
    </xf>
    <xf numFmtId="0" fontId="2" fillId="0" borderId="0" xfId="0" applyFont="1"/>
    <xf numFmtId="167" fontId="3" fillId="0" borderId="18" xfId="3" applyNumberFormat="1" applyFont="1" applyFill="1" applyBorder="1"/>
    <xf numFmtId="167" fontId="3" fillId="0" borderId="0" xfId="3" applyNumberFormat="1" applyFont="1" applyFill="1" applyBorder="1"/>
    <xf numFmtId="167" fontId="3" fillId="0" borderId="9" xfId="3" applyNumberFormat="1" applyFont="1" applyFill="1" applyBorder="1"/>
    <xf numFmtId="167" fontId="3" fillId="0" borderId="0" xfId="0" applyNumberFormat="1" applyFont="1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167" fontId="3" fillId="0" borderId="15" xfId="0" applyNumberFormat="1" applyFont="1" applyFill="1" applyBorder="1"/>
    <xf numFmtId="0" fontId="3" fillId="0" borderId="28" xfId="0" applyFont="1" applyFill="1" applyBorder="1"/>
    <xf numFmtId="0" fontId="3" fillId="0" borderId="24" xfId="0" applyFont="1" applyFill="1" applyBorder="1"/>
    <xf numFmtId="0" fontId="3" fillId="0" borderId="29" xfId="0" applyFont="1" applyFill="1" applyBorder="1"/>
    <xf numFmtId="4" fontId="3" fillId="0" borderId="5" xfId="0" applyNumberFormat="1" applyFont="1" applyFill="1" applyBorder="1"/>
    <xf numFmtId="2" fontId="3" fillId="0" borderId="0" xfId="0" applyNumberFormat="1" applyFont="1" applyFill="1"/>
    <xf numFmtId="0" fontId="3" fillId="0" borderId="19" xfId="0" applyFont="1" applyFill="1" applyBorder="1" applyAlignment="1">
      <alignment horizontal="center"/>
    </xf>
    <xf numFmtId="2" fontId="3" fillId="0" borderId="3" xfId="0" applyNumberFormat="1" applyFont="1" applyFill="1" applyBorder="1"/>
    <xf numFmtId="4" fontId="3" fillId="0" borderId="20" xfId="0" applyNumberFormat="1" applyFont="1" applyFill="1" applyBorder="1"/>
    <xf numFmtId="0" fontId="2" fillId="0" borderId="0" xfId="0" applyFont="1" applyFill="1"/>
    <xf numFmtId="0" fontId="3" fillId="0" borderId="26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67" fontId="3" fillId="0" borderId="12" xfId="3" applyNumberFormat="1" applyFont="1" applyFill="1" applyBorder="1"/>
    <xf numFmtId="167" fontId="3" fillId="0" borderId="0" xfId="0" applyNumberFormat="1" applyFont="1" applyFill="1"/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5" borderId="14" xfId="0" applyFont="1" applyFill="1" applyBorder="1"/>
    <xf numFmtId="0" fontId="3" fillId="5" borderId="14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3" fillId="5" borderId="10" xfId="0" applyFont="1" applyFill="1" applyBorder="1" applyAlignment="1">
      <alignment horizont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4" xfId="0" applyFont="1" applyBorder="1" applyAlignment="1">
      <alignment vertical="center"/>
    </xf>
    <xf numFmtId="2" fontId="3" fillId="0" borderId="14" xfId="0" applyNumberFormat="1" applyFont="1" applyBorder="1" applyAlignment="1">
      <alignment vertical="center"/>
    </xf>
    <xf numFmtId="167" fontId="2" fillId="0" borderId="0" xfId="4" applyNumberFormat="1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2" fontId="3" fillId="0" borderId="17" xfId="0" applyNumberFormat="1" applyFont="1" applyFill="1" applyBorder="1" applyAlignment="1">
      <alignment vertical="center"/>
    </xf>
    <xf numFmtId="167" fontId="3" fillId="0" borderId="18" xfId="4" applyNumberFormat="1" applyFont="1" applyFill="1" applyBorder="1" applyAlignment="1">
      <alignment vertical="center"/>
    </xf>
    <xf numFmtId="167" fontId="3" fillId="0" borderId="0" xfId="4" applyNumberFormat="1" applyFont="1" applyFill="1" applyAlignment="1">
      <alignment vertical="center"/>
    </xf>
    <xf numFmtId="10" fontId="3" fillId="0" borderId="0" xfId="0" applyNumberFormat="1" applyFont="1" applyAlignment="1">
      <alignment vertical="center"/>
    </xf>
    <xf numFmtId="0" fontId="3" fillId="0" borderId="24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2" fontId="3" fillId="0" borderId="7" xfId="0" applyNumberFormat="1" applyFont="1" applyFill="1" applyBorder="1" applyAlignment="1">
      <alignment vertical="center"/>
    </xf>
    <xf numFmtId="167" fontId="3" fillId="0" borderId="9" xfId="4" applyNumberFormat="1" applyFont="1" applyFill="1" applyBorder="1" applyAlignment="1">
      <alignment vertical="center"/>
    </xf>
    <xf numFmtId="0" fontId="3" fillId="0" borderId="29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2" fontId="3" fillId="0" borderId="11" xfId="0" applyNumberFormat="1" applyFont="1" applyFill="1" applyBorder="1" applyAlignment="1">
      <alignment vertical="center"/>
    </xf>
    <xf numFmtId="167" fontId="3" fillId="0" borderId="12" xfId="4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67" fontId="3" fillId="0" borderId="0" xfId="4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2" fillId="5" borderId="26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5" borderId="14" xfId="0" applyFont="1" applyFill="1" applyBorder="1" applyAlignment="1">
      <alignment vertical="center"/>
    </xf>
    <xf numFmtId="0" fontId="3" fillId="5" borderId="14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/>
    </xf>
    <xf numFmtId="0" fontId="3" fillId="5" borderId="34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vertical="center"/>
    </xf>
    <xf numFmtId="167" fontId="3" fillId="0" borderId="36" xfId="4" applyNumberFormat="1" applyFont="1" applyFill="1" applyBorder="1" applyAlignment="1">
      <alignment vertical="center"/>
    </xf>
    <xf numFmtId="0" fontId="3" fillId="5" borderId="21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vertical="center"/>
    </xf>
    <xf numFmtId="167" fontId="3" fillId="0" borderId="23" xfId="0" applyNumberFormat="1" applyFont="1" applyFill="1" applyBorder="1" applyAlignment="1">
      <alignment vertical="center"/>
    </xf>
    <xf numFmtId="167" fontId="3" fillId="0" borderId="15" xfId="4" applyNumberFormat="1" applyFont="1" applyFill="1" applyBorder="1" applyAlignment="1">
      <alignment vertical="center"/>
    </xf>
    <xf numFmtId="167" fontId="2" fillId="0" borderId="18" xfId="4" applyNumberFormat="1" applyFont="1" applyFill="1" applyBorder="1" applyAlignment="1">
      <alignment horizontal="center" vertical="center"/>
    </xf>
    <xf numFmtId="167" fontId="2" fillId="0" borderId="12" xfId="4" applyNumberFormat="1" applyFont="1" applyFill="1" applyBorder="1" applyAlignment="1">
      <alignment horizontal="center" vertical="center"/>
    </xf>
    <xf numFmtId="167" fontId="2" fillId="0" borderId="17" xfId="4" applyNumberFormat="1" applyFont="1" applyFill="1" applyBorder="1" applyAlignment="1">
      <alignment horizontal="center" vertical="center"/>
    </xf>
    <xf numFmtId="167" fontId="2" fillId="0" borderId="11" xfId="4" applyNumberFormat="1" applyFont="1" applyFill="1" applyBorder="1" applyAlignment="1">
      <alignment horizontal="center" vertical="center"/>
    </xf>
    <xf numFmtId="1" fontId="3" fillId="0" borderId="28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16" fontId="3" fillId="0" borderId="18" xfId="0" applyNumberFormat="1" applyFont="1" applyBorder="1" applyAlignment="1">
      <alignment horizontal="center" vertical="center"/>
    </xf>
    <xf numFmtId="1" fontId="3" fillId="0" borderId="29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16" fontId="3" fillId="0" borderId="12" xfId="0" applyNumberFormat="1" applyFont="1" applyBorder="1" applyAlignment="1">
      <alignment horizontal="center" vertical="center"/>
    </xf>
    <xf numFmtId="167" fontId="2" fillId="0" borderId="17" xfId="0" applyNumberFormat="1" applyFont="1" applyFill="1" applyBorder="1" applyAlignment="1">
      <alignment horizontal="center"/>
    </xf>
    <xf numFmtId="167" fontId="2" fillId="0" borderId="18" xfId="0" applyNumberFormat="1" applyFont="1" applyFill="1" applyBorder="1" applyAlignment="1">
      <alignment horizontal="center"/>
    </xf>
    <xf numFmtId="167" fontId="2" fillId="0" borderId="11" xfId="0" applyNumberFormat="1" applyFont="1" applyFill="1" applyBorder="1" applyAlignment="1">
      <alignment horizontal="center"/>
    </xf>
    <xf numFmtId="167" fontId="2" fillId="0" borderId="12" xfId="0" applyNumberFormat="1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right" vertical="center"/>
    </xf>
    <xf numFmtId="0" fontId="3" fillId="0" borderId="32" xfId="0" applyFont="1" applyFill="1" applyBorder="1" applyAlignment="1">
      <alignment horizontal="right" vertical="center"/>
    </xf>
    <xf numFmtId="0" fontId="3" fillId="0" borderId="29" xfId="0" applyFont="1" applyFill="1" applyBorder="1" applyAlignment="1">
      <alignment horizontal="right" vertical="center"/>
    </xf>
    <xf numFmtId="0" fontId="3" fillId="2" borderId="30" xfId="0" applyFont="1" applyFill="1" applyBorder="1" applyAlignment="1">
      <alignment horizontal="right" vertical="center"/>
    </xf>
    <xf numFmtId="167" fontId="2" fillId="0" borderId="17" xfId="2" applyNumberFormat="1" applyFont="1" applyFill="1" applyBorder="1" applyAlignment="1">
      <alignment horizontal="center"/>
    </xf>
    <xf numFmtId="16" fontId="3" fillId="0" borderId="17" xfId="0" applyNumberFormat="1" applyFont="1" applyFill="1" applyBorder="1" applyAlignment="1">
      <alignment horizontal="center"/>
    </xf>
    <xf numFmtId="16" fontId="3" fillId="0" borderId="11" xfId="0" applyNumberFormat="1" applyFont="1" applyFill="1" applyBorder="1" applyAlignment="1">
      <alignment horizontal="center"/>
    </xf>
    <xf numFmtId="167" fontId="2" fillId="0" borderId="11" xfId="2" applyNumberFormat="1" applyFont="1" applyFill="1" applyBorder="1" applyAlignment="1">
      <alignment horizontal="center"/>
    </xf>
    <xf numFmtId="167" fontId="2" fillId="0" borderId="18" xfId="2" applyNumberFormat="1" applyFont="1" applyFill="1" applyBorder="1" applyAlignment="1">
      <alignment horizontal="center"/>
    </xf>
    <xf numFmtId="167" fontId="2" fillId="0" borderId="12" xfId="2" applyNumberFormat="1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 vertical="center" wrapText="1"/>
    </xf>
    <xf numFmtId="0" fontId="3" fillId="5" borderId="42" xfId="0" applyFont="1" applyFill="1" applyBorder="1" applyAlignment="1">
      <alignment horizontal="center" vertical="center" wrapText="1"/>
    </xf>
    <xf numFmtId="1" fontId="3" fillId="0" borderId="17" xfId="0" applyNumberFormat="1" applyFont="1" applyFill="1" applyBorder="1" applyAlignment="1">
      <alignment horizontal="center"/>
    </xf>
    <xf numFmtId="1" fontId="3" fillId="0" borderId="11" xfId="0" applyNumberFormat="1" applyFont="1" applyFill="1" applyBorder="1" applyAlignment="1">
      <alignment horizontal="center"/>
    </xf>
    <xf numFmtId="0" fontId="2" fillId="0" borderId="0" xfId="0" applyFont="1" applyFill="1" applyBorder="1" applyAlignment="1"/>
    <xf numFmtId="167" fontId="3" fillId="0" borderId="15" xfId="2" applyNumberFormat="1" applyFont="1" applyFill="1" applyBorder="1"/>
    <xf numFmtId="0" fontId="3" fillId="0" borderId="14" xfId="0" applyFont="1" applyFill="1" applyBorder="1" applyAlignment="1"/>
    <xf numFmtId="0" fontId="2" fillId="4" borderId="19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4" fontId="3" fillId="5" borderId="33" xfId="0" applyNumberFormat="1" applyFont="1" applyFill="1" applyBorder="1" applyAlignment="1">
      <alignment horizontal="center" vertical="center" wrapText="1"/>
    </xf>
    <xf numFmtId="4" fontId="3" fillId="5" borderId="23" xfId="0" applyNumberFormat="1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4" fontId="3" fillId="5" borderId="18" xfId="0" applyNumberFormat="1" applyFont="1" applyFill="1" applyBorder="1" applyAlignment="1">
      <alignment horizontal="center" vertical="center" wrapText="1"/>
    </xf>
    <xf numFmtId="4" fontId="3" fillId="5" borderId="12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 wrapText="1"/>
    </xf>
    <xf numFmtId="0" fontId="3" fillId="5" borderId="38" xfId="0" applyFont="1" applyFill="1" applyBorder="1" applyAlignment="1">
      <alignment horizontal="center" vertical="center" wrapText="1"/>
    </xf>
    <xf numFmtId="0" fontId="3" fillId="5" borderId="39" xfId="0" applyFont="1" applyFill="1" applyBorder="1" applyAlignment="1">
      <alignment horizontal="center" vertical="center" wrapText="1"/>
    </xf>
    <xf numFmtId="4" fontId="3" fillId="5" borderId="40" xfId="0" applyNumberFormat="1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</cellXfs>
  <cellStyles count="5">
    <cellStyle name="Euro" xfId="1" xr:uid="{00000000-0005-0000-0000-000000000000}"/>
    <cellStyle name="Moneda" xfId="2" builtinId="4"/>
    <cellStyle name="Moneda 2" xfId="3" xr:uid="{B086C4B0-012E-4A52-B6C0-45B89914AE19}"/>
    <cellStyle name="Moneda 3" xfId="4" xr:uid="{7CF48D04-DA5E-433C-83F0-A245B75655F0}"/>
    <cellStyle name="Normal" xfId="0" builtinId="0"/>
  </cellStyles>
  <dxfs count="0"/>
  <tableStyles count="0" defaultTableStyle="TableStyleMedium2" defaultPivotStyle="PivotStyleLight16"/>
  <colors>
    <mruColors>
      <color rgb="FFE2EFDA"/>
      <color rgb="FFFFF2CC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4"/>
  <sheetViews>
    <sheetView tabSelected="1" zoomScaleNormal="100" workbookViewId="0">
      <selection activeCell="L7" sqref="L7"/>
    </sheetView>
  </sheetViews>
  <sheetFormatPr baseColWidth="10" defaultColWidth="9.140625" defaultRowHeight="12.75" x14ac:dyDescent="0.2"/>
  <cols>
    <col min="1" max="1" width="22.140625" style="20" customWidth="1"/>
    <col min="2" max="2" width="13.5703125" style="3" customWidth="1"/>
    <col min="3" max="3" width="13.140625" style="3" bestFit="1" customWidth="1"/>
    <col min="4" max="4" width="16.42578125" style="3" customWidth="1"/>
    <col min="5" max="5" width="18.140625" style="3" customWidth="1"/>
    <col min="6" max="6" width="16.5703125" style="3" customWidth="1"/>
    <col min="7" max="7" width="18.5703125" style="3" customWidth="1"/>
    <col min="8" max="8" width="13.85546875" style="6" customWidth="1"/>
    <col min="9" max="9" width="17.7109375" style="3" customWidth="1"/>
    <col min="10" max="10" width="12.85546875" style="3" customWidth="1"/>
    <col min="11" max="16384" width="9.140625" style="3"/>
  </cols>
  <sheetData>
    <row r="1" spans="1:10" ht="45.75" customHeight="1" x14ac:dyDescent="0.2">
      <c r="B1" s="160" t="s">
        <v>52</v>
      </c>
      <c r="C1" s="160"/>
      <c r="D1" s="160"/>
      <c r="E1" s="160"/>
      <c r="F1" s="160"/>
      <c r="G1" s="160"/>
      <c r="H1" s="160"/>
      <c r="I1" s="160"/>
      <c r="J1" s="160"/>
    </row>
    <row r="2" spans="1:10" ht="13.5" customHeight="1" x14ac:dyDescent="0.2">
      <c r="B2" s="21"/>
      <c r="C2" s="21"/>
      <c r="D2" s="21"/>
      <c r="E2" s="21"/>
      <c r="F2" s="21"/>
      <c r="G2" s="21"/>
      <c r="H2" s="21"/>
      <c r="I2" s="21"/>
      <c r="J2" s="21"/>
    </row>
    <row r="3" spans="1:10" ht="13.5" customHeight="1" thickBot="1" x14ac:dyDescent="0.25">
      <c r="B3" s="1"/>
      <c r="C3" s="1"/>
      <c r="D3" s="1"/>
      <c r="E3" s="1"/>
      <c r="F3" s="1"/>
      <c r="G3" s="1"/>
      <c r="H3" s="2"/>
    </row>
    <row r="4" spans="1:10" ht="15" customHeight="1" thickBot="1" x14ac:dyDescent="0.25">
      <c r="B4" s="168" t="s">
        <v>6</v>
      </c>
      <c r="C4" s="169"/>
      <c r="D4" s="169"/>
      <c r="E4" s="169"/>
      <c r="F4" s="169"/>
      <c r="G4" s="169"/>
      <c r="H4" s="169"/>
      <c r="I4" s="169"/>
      <c r="J4" s="170"/>
    </row>
    <row r="5" spans="1:10" ht="17.25" customHeight="1" thickBot="1" x14ac:dyDescent="0.25">
      <c r="B5" s="171" t="s">
        <v>49</v>
      </c>
      <c r="C5" s="161" t="s">
        <v>1</v>
      </c>
      <c r="D5" s="161" t="s">
        <v>7</v>
      </c>
      <c r="E5" s="161" t="s">
        <v>8</v>
      </c>
      <c r="F5" s="163" t="s">
        <v>2</v>
      </c>
      <c r="G5" s="165" t="s">
        <v>22</v>
      </c>
      <c r="H5" s="166"/>
      <c r="I5" s="165" t="s">
        <v>21</v>
      </c>
      <c r="J5" s="167"/>
    </row>
    <row r="6" spans="1:10" ht="40.5" customHeight="1" thickBot="1" x14ac:dyDescent="0.25">
      <c r="B6" s="172"/>
      <c r="C6" s="162"/>
      <c r="D6" s="162"/>
      <c r="E6" s="162"/>
      <c r="F6" s="164"/>
      <c r="G6" s="62" t="s">
        <v>9</v>
      </c>
      <c r="H6" s="78" t="s">
        <v>13</v>
      </c>
      <c r="I6" s="62" t="s">
        <v>14</v>
      </c>
      <c r="J6" s="79" t="s">
        <v>13</v>
      </c>
    </row>
    <row r="7" spans="1:10" x14ac:dyDescent="0.2">
      <c r="A7" s="150" t="s">
        <v>50</v>
      </c>
      <c r="B7" s="152">
        <v>140000</v>
      </c>
      <c r="C7" s="13">
        <v>1</v>
      </c>
      <c r="D7" s="13">
        <v>1.2</v>
      </c>
      <c r="E7" s="13">
        <v>0.9</v>
      </c>
      <c r="F7" s="145" t="s">
        <v>0</v>
      </c>
      <c r="G7" s="64">
        <v>1</v>
      </c>
      <c r="H7" s="144">
        <f>$B$7/100*$C$7*$D$7*$E$7*G7</f>
        <v>1512</v>
      </c>
      <c r="I7" s="64">
        <v>0.95</v>
      </c>
      <c r="J7" s="148">
        <f>$B$7/100*$C$7*$D$7*$E$7*I7</f>
        <v>1436.3999999999999</v>
      </c>
    </row>
    <row r="8" spans="1:10" ht="13.5" thickBot="1" x14ac:dyDescent="0.25">
      <c r="A8" s="151" t="s">
        <v>51</v>
      </c>
      <c r="B8" s="153">
        <v>140000</v>
      </c>
      <c r="C8" s="10">
        <v>1</v>
      </c>
      <c r="D8" s="10">
        <v>1.43</v>
      </c>
      <c r="E8" s="10">
        <v>0.9</v>
      </c>
      <c r="F8" s="146" t="s">
        <v>0</v>
      </c>
      <c r="G8" s="67">
        <v>1</v>
      </c>
      <c r="H8" s="147">
        <f>$B$8/100*$C$8*$D$8*$E$8*G8</f>
        <v>1801.8</v>
      </c>
      <c r="I8" s="67">
        <v>0.95</v>
      </c>
      <c r="J8" s="149">
        <f>$B$8/100*$C$8*$D$8*$E$8*I8</f>
        <v>1711.7099999999998</v>
      </c>
    </row>
    <row r="9" spans="1:10" ht="13.5" thickBot="1" x14ac:dyDescent="0.25">
      <c r="B9" s="2"/>
      <c r="C9" s="2"/>
      <c r="D9" s="2"/>
      <c r="E9" s="2"/>
      <c r="F9" s="2"/>
      <c r="G9" s="2"/>
      <c r="H9" s="2"/>
    </row>
    <row r="10" spans="1:10" ht="13.5" customHeight="1" thickBot="1" x14ac:dyDescent="0.25">
      <c r="B10" s="157" t="s">
        <v>11</v>
      </c>
      <c r="C10" s="158"/>
      <c r="D10" s="158"/>
      <c r="E10" s="159"/>
      <c r="F10" s="15"/>
    </row>
    <row r="11" spans="1:10" ht="13.5" thickBot="1" x14ac:dyDescent="0.25">
      <c r="A11" s="116" t="s">
        <v>3</v>
      </c>
      <c r="B11" s="60" t="s">
        <v>48</v>
      </c>
      <c r="C11" s="59" t="s">
        <v>10</v>
      </c>
      <c r="D11" s="60" t="s">
        <v>7</v>
      </c>
      <c r="E11" s="138" t="s">
        <v>4</v>
      </c>
      <c r="F11" s="2"/>
    </row>
    <row r="12" spans="1:10" ht="13.5" thickBot="1" x14ac:dyDescent="0.25">
      <c r="A12" s="120" t="s">
        <v>44</v>
      </c>
      <c r="B12" s="18">
        <v>140000</v>
      </c>
      <c r="C12" s="12">
        <v>3.5000000000000003E-2</v>
      </c>
      <c r="D12" s="19">
        <f>0.29+0.28</f>
        <v>0.57000000000000006</v>
      </c>
      <c r="E12" s="155">
        <f>B12*$C$12*$D$12</f>
        <v>2793.0000000000009</v>
      </c>
      <c r="F12" s="16"/>
    </row>
    <row r="13" spans="1:10" ht="13.5" thickBot="1" x14ac:dyDescent="0.25"/>
    <row r="14" spans="1:10" ht="13.5" thickBot="1" x14ac:dyDescent="0.25">
      <c r="B14" s="157" t="s">
        <v>18</v>
      </c>
      <c r="C14" s="158"/>
      <c r="D14" s="158"/>
      <c r="E14" s="159"/>
      <c r="F14" s="15"/>
    </row>
    <row r="15" spans="1:10" ht="13.5" thickBot="1" x14ac:dyDescent="0.25">
      <c r="A15" s="116" t="s">
        <v>3</v>
      </c>
      <c r="B15" s="60" t="s">
        <v>48</v>
      </c>
      <c r="C15" s="60" t="s">
        <v>7</v>
      </c>
      <c r="D15" s="60" t="s">
        <v>12</v>
      </c>
      <c r="E15" s="61" t="s">
        <v>5</v>
      </c>
      <c r="F15" s="2"/>
    </row>
    <row r="16" spans="1:10" x14ac:dyDescent="0.2">
      <c r="A16" s="72" t="s">
        <v>19</v>
      </c>
      <c r="B16" s="56">
        <v>2000</v>
      </c>
      <c r="C16" s="13">
        <v>80</v>
      </c>
      <c r="D16" s="13">
        <v>1</v>
      </c>
      <c r="E16" s="14">
        <f>C16*1.5*D16</f>
        <v>120</v>
      </c>
      <c r="F16" s="7"/>
      <c r="I16" s="4"/>
    </row>
    <row r="17" spans="1:9" x14ac:dyDescent="0.2">
      <c r="A17" s="73" t="s">
        <v>16</v>
      </c>
      <c r="B17" s="57">
        <v>15000</v>
      </c>
      <c r="C17" s="8">
        <v>80</v>
      </c>
      <c r="D17" s="8">
        <v>1</v>
      </c>
      <c r="E17" s="9">
        <f>C17*(B17*0.0006)*D17</f>
        <v>720</v>
      </c>
      <c r="F17" s="7"/>
      <c r="I17" s="4"/>
    </row>
    <row r="18" spans="1:9" x14ac:dyDescent="0.2">
      <c r="A18" s="73" t="s">
        <v>15</v>
      </c>
      <c r="B18" s="57">
        <v>70000</v>
      </c>
      <c r="C18" s="8">
        <v>80</v>
      </c>
      <c r="D18" s="8">
        <v>1</v>
      </c>
      <c r="E18" s="9">
        <f>C18*((B18*0.00012)+12)*D18</f>
        <v>1632</v>
      </c>
      <c r="F18" s="7"/>
    </row>
    <row r="19" spans="1:9" ht="13.5" thickBot="1" x14ac:dyDescent="0.25">
      <c r="A19" s="74" t="s">
        <v>17</v>
      </c>
      <c r="B19" s="58">
        <v>140000</v>
      </c>
      <c r="C19" s="10">
        <v>80</v>
      </c>
      <c r="D19" s="10">
        <v>1</v>
      </c>
      <c r="E19" s="11">
        <f>C19*24*D19</f>
        <v>1920</v>
      </c>
      <c r="F19" s="7"/>
    </row>
    <row r="20" spans="1:9" x14ac:dyDescent="0.2">
      <c r="B20" s="5"/>
    </row>
    <row r="21" spans="1:9" ht="13.5" thickBot="1" x14ac:dyDescent="0.25"/>
    <row r="22" spans="1:9" ht="13.5" thickBot="1" x14ac:dyDescent="0.25">
      <c r="B22" s="157" t="s">
        <v>45</v>
      </c>
      <c r="C22" s="158"/>
      <c r="D22" s="39"/>
      <c r="E22" s="154"/>
      <c r="F22" s="15"/>
    </row>
    <row r="23" spans="1:9" ht="13.5" thickBot="1" x14ac:dyDescent="0.25">
      <c r="A23" s="116" t="s">
        <v>3</v>
      </c>
      <c r="B23" s="60" t="s">
        <v>48</v>
      </c>
      <c r="C23" s="61" t="s">
        <v>20</v>
      </c>
      <c r="D23" s="2"/>
      <c r="F23" s="6"/>
      <c r="H23" s="3"/>
    </row>
    <row r="24" spans="1:9" ht="13.5" thickBot="1" x14ac:dyDescent="0.25">
      <c r="A24" s="62" t="s">
        <v>44</v>
      </c>
      <c r="B24" s="156">
        <v>140000</v>
      </c>
      <c r="C24" s="155">
        <f>195.56+0.00865*B24</f>
        <v>1406.56</v>
      </c>
      <c r="D24" s="17"/>
      <c r="F24" s="6"/>
      <c r="H24" s="3"/>
    </row>
    <row r="25" spans="1:9" x14ac:dyDescent="0.2">
      <c r="F25" s="6"/>
      <c r="H25" s="3"/>
    </row>
    <row r="26" spans="1:9" ht="13.5" thickBot="1" x14ac:dyDescent="0.25">
      <c r="F26" s="6"/>
      <c r="H26" s="3"/>
    </row>
    <row r="27" spans="1:9" ht="13.5" thickBot="1" x14ac:dyDescent="0.25">
      <c r="B27" s="157" t="s">
        <v>46</v>
      </c>
      <c r="C27" s="159"/>
      <c r="D27" s="15"/>
      <c r="F27" s="6"/>
      <c r="H27" s="3"/>
    </row>
    <row r="28" spans="1:9" ht="13.5" thickBot="1" x14ac:dyDescent="0.25">
      <c r="A28" s="116" t="s">
        <v>3</v>
      </c>
      <c r="B28" s="60" t="s">
        <v>48</v>
      </c>
      <c r="C28" s="61" t="s">
        <v>5</v>
      </c>
      <c r="D28" s="2"/>
      <c r="F28" s="6"/>
      <c r="H28" s="3"/>
    </row>
    <row r="29" spans="1:9" ht="13.5" thickBot="1" x14ac:dyDescent="0.25">
      <c r="A29" s="62" t="s">
        <v>44</v>
      </c>
      <c r="B29" s="12">
        <v>140000</v>
      </c>
      <c r="C29" s="155">
        <f>320+0.0997*B29</f>
        <v>14278</v>
      </c>
      <c r="D29" s="17"/>
      <c r="F29" s="6"/>
      <c r="G29" s="1"/>
      <c r="H29" s="3"/>
    </row>
    <row r="30" spans="1:9" x14ac:dyDescent="0.2">
      <c r="B30" s="1"/>
      <c r="C30" s="1"/>
      <c r="D30" s="1"/>
      <c r="F30" s="6"/>
      <c r="G30" s="15"/>
      <c r="H30" s="3"/>
    </row>
    <row r="31" spans="1:9" ht="13.5" thickBot="1" x14ac:dyDescent="0.25">
      <c r="F31" s="6"/>
      <c r="G31" s="24"/>
      <c r="H31" s="3"/>
    </row>
    <row r="32" spans="1:9" ht="13.5" thickBot="1" x14ac:dyDescent="0.25">
      <c r="B32" s="157" t="s">
        <v>47</v>
      </c>
      <c r="C32" s="159"/>
      <c r="D32" s="15"/>
      <c r="F32" s="6"/>
      <c r="G32" s="1"/>
      <c r="H32" s="3"/>
    </row>
    <row r="33" spans="1:8" ht="13.5" thickBot="1" x14ac:dyDescent="0.25">
      <c r="A33" s="116" t="s">
        <v>3</v>
      </c>
      <c r="B33" s="60" t="s">
        <v>48</v>
      </c>
      <c r="C33" s="61" t="s">
        <v>5</v>
      </c>
      <c r="D33" s="2"/>
      <c r="F33" s="6"/>
      <c r="H33" s="3"/>
    </row>
    <row r="34" spans="1:8" ht="13.5" thickBot="1" x14ac:dyDescent="0.25">
      <c r="A34" s="62" t="s">
        <v>44</v>
      </c>
      <c r="B34" s="12">
        <v>140000</v>
      </c>
      <c r="C34" s="40">
        <f>42+(0.004*B34)</f>
        <v>602</v>
      </c>
      <c r="D34" s="1"/>
      <c r="F34" s="6"/>
      <c r="H34" s="3"/>
    </row>
  </sheetData>
  <mergeCells count="14">
    <mergeCell ref="B22:C22"/>
    <mergeCell ref="B27:C27"/>
    <mergeCell ref="B32:C32"/>
    <mergeCell ref="B1:J1"/>
    <mergeCell ref="B14:E14"/>
    <mergeCell ref="B10:E10"/>
    <mergeCell ref="E5:E6"/>
    <mergeCell ref="F5:F6"/>
    <mergeCell ref="G5:H5"/>
    <mergeCell ref="I5:J5"/>
    <mergeCell ref="B4:J4"/>
    <mergeCell ref="B5:B6"/>
    <mergeCell ref="C5:C6"/>
    <mergeCell ref="D5:D6"/>
  </mergeCells>
  <phoneticPr fontId="0" type="noConversion"/>
  <printOptions horizontalCentered="1"/>
  <pageMargins left="0.39370078740157483" right="0.39370078740157483" top="0.59055118110236227" bottom="0.27559055118110237" header="0" footer="0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51405-821E-4BF4-9B0A-482BF49D1DD9}">
  <sheetPr>
    <pageSetUpPr fitToPage="1"/>
  </sheetPr>
  <dimension ref="A1:J46"/>
  <sheetViews>
    <sheetView zoomScaleNormal="100" workbookViewId="0">
      <selection activeCell="M15" sqref="M15"/>
    </sheetView>
  </sheetViews>
  <sheetFormatPr baseColWidth="10" defaultColWidth="11.42578125" defaultRowHeight="12.75" x14ac:dyDescent="0.2"/>
  <cols>
    <col min="1" max="1" width="22.28515625" style="70" customWidth="1"/>
    <col min="2" max="2" width="13.7109375" style="25" customWidth="1"/>
    <col min="3" max="3" width="14.42578125" style="25" bestFit="1" customWidth="1"/>
    <col min="4" max="4" width="13.140625" style="25" customWidth="1"/>
    <col min="5" max="5" width="13.28515625" style="25" customWidth="1"/>
    <col min="6" max="6" width="15.85546875" style="25" customWidth="1"/>
    <col min="7" max="7" width="13.140625" style="25" bestFit="1" customWidth="1"/>
    <col min="8" max="8" width="12.7109375" style="25" customWidth="1"/>
    <col min="9" max="9" width="13" style="25" bestFit="1" customWidth="1"/>
    <col min="10" max="10" width="12.7109375" style="25" customWidth="1"/>
    <col min="11" max="11" width="12.85546875" style="25" customWidth="1"/>
    <col min="12" max="12" width="11.42578125" style="25" customWidth="1"/>
    <col min="13" max="13" width="15.7109375" style="25" customWidth="1"/>
    <col min="14" max="16384" width="11.42578125" style="25"/>
  </cols>
  <sheetData>
    <row r="1" spans="1:10" ht="30.75" customHeight="1" x14ac:dyDescent="0.2">
      <c r="B1" s="173" t="s">
        <v>53</v>
      </c>
      <c r="C1" s="173"/>
      <c r="D1" s="173"/>
      <c r="E1" s="173"/>
      <c r="F1" s="173"/>
      <c r="G1" s="173"/>
      <c r="H1" s="173"/>
      <c r="I1" s="173"/>
      <c r="J1" s="173"/>
    </row>
    <row r="2" spans="1:10" ht="13.5" customHeight="1" x14ac:dyDescent="0.2">
      <c r="B2" s="26"/>
      <c r="C2" s="26"/>
      <c r="D2" s="26"/>
      <c r="E2" s="26"/>
      <c r="F2" s="26"/>
      <c r="G2" s="26"/>
      <c r="H2" s="26"/>
      <c r="I2" s="26"/>
      <c r="J2" s="26"/>
    </row>
    <row r="3" spans="1:10" ht="13.5" customHeight="1" thickBot="1" x14ac:dyDescent="0.25"/>
    <row r="4" spans="1:10" ht="15" customHeight="1" thickBot="1" x14ac:dyDescent="0.25">
      <c r="B4" s="168" t="s">
        <v>6</v>
      </c>
      <c r="C4" s="169"/>
      <c r="D4" s="169"/>
      <c r="E4" s="169"/>
      <c r="F4" s="169"/>
      <c r="G4" s="169"/>
      <c r="H4" s="169"/>
      <c r="I4" s="169"/>
      <c r="J4" s="170"/>
    </row>
    <row r="5" spans="1:10" ht="15" customHeight="1" thickBot="1" x14ac:dyDescent="0.25">
      <c r="B5" s="171" t="s">
        <v>49</v>
      </c>
      <c r="C5" s="174" t="s">
        <v>1</v>
      </c>
      <c r="D5" s="174" t="s">
        <v>7</v>
      </c>
      <c r="E5" s="174" t="s">
        <v>8</v>
      </c>
      <c r="F5" s="176" t="s">
        <v>2</v>
      </c>
      <c r="G5" s="165" t="s">
        <v>22</v>
      </c>
      <c r="H5" s="166"/>
      <c r="I5" s="165" t="s">
        <v>21</v>
      </c>
      <c r="J5" s="167"/>
    </row>
    <row r="6" spans="1:10" ht="51.75" customHeight="1" thickBot="1" x14ac:dyDescent="0.25">
      <c r="B6" s="172"/>
      <c r="C6" s="175"/>
      <c r="D6" s="175"/>
      <c r="E6" s="175"/>
      <c r="F6" s="177"/>
      <c r="G6" s="62" t="s">
        <v>9</v>
      </c>
      <c r="H6" s="78" t="s">
        <v>13</v>
      </c>
      <c r="I6" s="63" t="s">
        <v>14</v>
      </c>
      <c r="J6" s="79" t="s">
        <v>13</v>
      </c>
    </row>
    <row r="7" spans="1:10" x14ac:dyDescent="0.2">
      <c r="A7" s="72" t="s">
        <v>50</v>
      </c>
      <c r="B7" s="64">
        <v>140000</v>
      </c>
      <c r="C7" s="64">
        <v>1</v>
      </c>
      <c r="D7" s="65">
        <v>1.2</v>
      </c>
      <c r="E7" s="65">
        <v>1</v>
      </c>
      <c r="F7" s="66" t="s">
        <v>0</v>
      </c>
      <c r="G7" s="66">
        <v>1</v>
      </c>
      <c r="H7" s="134">
        <f>+$B$7/100*$C$7*$E$7*$D$7*G7</f>
        <v>1680</v>
      </c>
      <c r="I7" s="64">
        <v>0.95</v>
      </c>
      <c r="J7" s="135">
        <f>+$B$7/100*$C$7*$E$7*$D$7*I7</f>
        <v>1596</v>
      </c>
    </row>
    <row r="8" spans="1:10" ht="13.5" thickBot="1" x14ac:dyDescent="0.25">
      <c r="A8" s="74" t="s">
        <v>51</v>
      </c>
      <c r="B8" s="67">
        <v>140000</v>
      </c>
      <c r="C8" s="67">
        <v>1</v>
      </c>
      <c r="D8" s="68">
        <v>1.43</v>
      </c>
      <c r="E8" s="68">
        <v>1</v>
      </c>
      <c r="F8" s="69" t="s">
        <v>0</v>
      </c>
      <c r="G8" s="69">
        <v>1</v>
      </c>
      <c r="H8" s="136">
        <f>+$B$8/100*$C$8*$E$8*$D$8*G8</f>
        <v>2002</v>
      </c>
      <c r="I8" s="67">
        <v>0.95</v>
      </c>
      <c r="J8" s="137">
        <f>+$B$8/100*$C$8*$E$8*$D$8*I8</f>
        <v>1901.8999999999999</v>
      </c>
    </row>
    <row r="9" spans="1:10" x14ac:dyDescent="0.2">
      <c r="B9" s="6"/>
      <c r="C9" s="6"/>
      <c r="D9" s="6"/>
      <c r="E9" s="6"/>
      <c r="F9" s="6"/>
      <c r="G9" s="6"/>
      <c r="H9" s="28"/>
      <c r="I9" s="29"/>
      <c r="J9" s="30"/>
    </row>
    <row r="10" spans="1:10" ht="13.5" thickBot="1" x14ac:dyDescent="0.25">
      <c r="B10" s="6"/>
      <c r="C10" s="6"/>
      <c r="D10" s="6"/>
      <c r="E10" s="6"/>
      <c r="F10" s="6"/>
      <c r="G10" s="6"/>
      <c r="H10" s="28"/>
      <c r="J10" s="32"/>
    </row>
    <row r="11" spans="1:10" ht="13.5" customHeight="1" thickBot="1" x14ac:dyDescent="0.25">
      <c r="B11" s="178" t="s">
        <v>11</v>
      </c>
      <c r="C11" s="179"/>
      <c r="D11" s="179"/>
      <c r="E11" s="180"/>
      <c r="F11" s="3"/>
      <c r="G11" s="3"/>
      <c r="J11" s="31"/>
    </row>
    <row r="12" spans="1:10" ht="13.5" thickBot="1" x14ac:dyDescent="0.25">
      <c r="B12" s="60" t="s">
        <v>48</v>
      </c>
      <c r="C12" s="59" t="s">
        <v>10</v>
      </c>
      <c r="D12" s="60" t="s">
        <v>7</v>
      </c>
      <c r="E12" s="138" t="s">
        <v>4</v>
      </c>
      <c r="F12" s="3"/>
      <c r="G12" s="3"/>
    </row>
    <row r="13" spans="1:10" ht="13.5" hidden="1" thickBot="1" x14ac:dyDescent="0.25">
      <c r="B13" s="38">
        <v>91051</v>
      </c>
      <c r="C13" s="3"/>
      <c r="D13" s="3"/>
      <c r="E13" s="44">
        <f t="shared" ref="E13:E14" si="0">B13*$C$15*$D$15</f>
        <v>1816.4674500000001</v>
      </c>
      <c r="F13" s="3"/>
      <c r="G13" s="3"/>
    </row>
    <row r="14" spans="1:10" ht="13.5" hidden="1" thickBot="1" x14ac:dyDescent="0.25">
      <c r="B14" s="38">
        <v>109149</v>
      </c>
      <c r="C14" s="3"/>
      <c r="D14" s="45"/>
      <c r="E14" s="44">
        <f t="shared" si="0"/>
        <v>2177.5225499999997</v>
      </c>
      <c r="F14" s="3"/>
      <c r="G14" s="3"/>
    </row>
    <row r="15" spans="1:10" ht="13.5" thickBot="1" x14ac:dyDescent="0.25">
      <c r="B15" s="46">
        <v>140000</v>
      </c>
      <c r="C15" s="23">
        <v>3.5000000000000003E-2</v>
      </c>
      <c r="D15" s="47">
        <v>0.56999999999999995</v>
      </c>
      <c r="E15" s="48">
        <f>B15*$C$15*$D$15</f>
        <v>2793.0000000000005</v>
      </c>
      <c r="F15" s="3"/>
      <c r="G15" s="3"/>
    </row>
    <row r="16" spans="1:10" ht="13.5" thickBot="1" x14ac:dyDescent="0.25">
      <c r="B16" s="3"/>
      <c r="C16" s="3"/>
      <c r="D16" s="3"/>
      <c r="E16" s="3"/>
      <c r="F16" s="3"/>
      <c r="G16" s="3"/>
    </row>
    <row r="17" spans="1:8" ht="13.5" thickBot="1" x14ac:dyDescent="0.25">
      <c r="B17" s="157" t="s">
        <v>18</v>
      </c>
      <c r="C17" s="158"/>
      <c r="D17" s="158"/>
      <c r="E17" s="159"/>
      <c r="F17" s="3"/>
      <c r="G17" s="49"/>
      <c r="H17" s="33"/>
    </row>
    <row r="18" spans="1:8" ht="13.5" thickBot="1" x14ac:dyDescent="0.25">
      <c r="A18" s="116" t="s">
        <v>3</v>
      </c>
      <c r="B18" s="60" t="s">
        <v>48</v>
      </c>
      <c r="C18" s="60" t="s">
        <v>7</v>
      </c>
      <c r="D18" s="60" t="s">
        <v>12</v>
      </c>
      <c r="E18" s="138" t="s">
        <v>5</v>
      </c>
      <c r="F18" s="3"/>
      <c r="G18" s="6"/>
      <c r="H18" s="28"/>
    </row>
    <row r="19" spans="1:8" x14ac:dyDescent="0.2">
      <c r="A19" s="72" t="s">
        <v>19</v>
      </c>
      <c r="B19" s="56">
        <v>2000</v>
      </c>
      <c r="C19" s="50">
        <v>80</v>
      </c>
      <c r="D19" s="13">
        <v>1.1499999999999999</v>
      </c>
      <c r="E19" s="34">
        <f>C19*1.5*D19</f>
        <v>138</v>
      </c>
      <c r="F19" s="3"/>
      <c r="G19" s="51"/>
      <c r="H19" s="22"/>
    </row>
    <row r="20" spans="1:8" x14ac:dyDescent="0.2">
      <c r="A20" s="73" t="s">
        <v>16</v>
      </c>
      <c r="B20" s="57">
        <v>15000</v>
      </c>
      <c r="C20" s="52">
        <v>80</v>
      </c>
      <c r="D20" s="8">
        <v>1.1499999999999999</v>
      </c>
      <c r="E20" s="36">
        <f>B20*C20*0.0006*D20</f>
        <v>827.99999999999977</v>
      </c>
      <c r="F20" s="3"/>
      <c r="G20" s="51"/>
      <c r="H20" s="22"/>
    </row>
    <row r="21" spans="1:8" x14ac:dyDescent="0.2">
      <c r="A21" s="73" t="s">
        <v>15</v>
      </c>
      <c r="B21" s="57">
        <v>70000</v>
      </c>
      <c r="C21" s="52">
        <v>80</v>
      </c>
      <c r="D21" s="8">
        <v>1.1499999999999999</v>
      </c>
      <c r="E21" s="36">
        <f>C21*((B21*0.00012)+12)*D21</f>
        <v>1876.8</v>
      </c>
      <c r="F21" s="3"/>
      <c r="G21" s="51"/>
      <c r="H21" s="22"/>
    </row>
    <row r="22" spans="1:8" ht="13.5" thickBot="1" x14ac:dyDescent="0.25">
      <c r="A22" s="74" t="s">
        <v>17</v>
      </c>
      <c r="B22" s="58">
        <v>140000</v>
      </c>
      <c r="C22" s="53">
        <v>80</v>
      </c>
      <c r="D22" s="10">
        <v>1.1499999999999999</v>
      </c>
      <c r="E22" s="54">
        <f>C22*24*D22</f>
        <v>2208</v>
      </c>
      <c r="F22" s="3"/>
      <c r="G22" s="51"/>
      <c r="H22" s="22"/>
    </row>
    <row r="23" spans="1:8" x14ac:dyDescent="0.2">
      <c r="B23" s="3"/>
      <c r="C23" s="3"/>
      <c r="D23" s="3"/>
      <c r="E23" s="3"/>
      <c r="F23" s="3"/>
      <c r="G23" s="3"/>
    </row>
    <row r="24" spans="1:8" ht="13.5" thickBot="1" x14ac:dyDescent="0.25">
      <c r="B24" s="3"/>
      <c r="C24" s="3"/>
      <c r="D24" s="3"/>
      <c r="E24" s="3"/>
      <c r="F24" s="3"/>
      <c r="G24" s="3"/>
    </row>
    <row r="25" spans="1:8" ht="13.5" thickBot="1" x14ac:dyDescent="0.25">
      <c r="A25" s="71"/>
      <c r="B25" s="157" t="s">
        <v>45</v>
      </c>
      <c r="C25" s="158"/>
      <c r="D25" s="39"/>
      <c r="E25" s="49"/>
      <c r="F25" s="49"/>
      <c r="G25" s="49"/>
      <c r="H25" s="33"/>
    </row>
    <row r="26" spans="1:8" ht="13.5" thickBot="1" x14ac:dyDescent="0.25">
      <c r="A26" s="116" t="s">
        <v>3</v>
      </c>
      <c r="B26" s="60" t="s">
        <v>48</v>
      </c>
      <c r="C26" s="138" t="s">
        <v>20</v>
      </c>
      <c r="E26" s="6"/>
      <c r="F26" s="3"/>
      <c r="G26" s="6"/>
      <c r="H26" s="28"/>
    </row>
    <row r="27" spans="1:8" x14ac:dyDescent="0.2">
      <c r="A27" s="75" t="s">
        <v>23</v>
      </c>
      <c r="B27" s="41">
        <v>5000</v>
      </c>
      <c r="C27" s="34">
        <v>304.99</v>
      </c>
      <c r="E27" s="3"/>
      <c r="F27" s="3"/>
      <c r="G27" s="35"/>
      <c r="H27" s="37"/>
    </row>
    <row r="28" spans="1:8" x14ac:dyDescent="0.2">
      <c r="A28" s="76" t="s">
        <v>24</v>
      </c>
      <c r="B28" s="42">
        <v>15000</v>
      </c>
      <c r="C28" s="36">
        <f>102.24+(0.0191277*B28)</f>
        <v>389.15550000000002</v>
      </c>
      <c r="E28" s="3"/>
      <c r="F28" s="3"/>
      <c r="G28" s="35"/>
      <c r="H28" s="37"/>
    </row>
    <row r="29" spans="1:8" x14ac:dyDescent="0.2">
      <c r="A29" s="76" t="s">
        <v>15</v>
      </c>
      <c r="B29" s="42">
        <v>80000</v>
      </c>
      <c r="C29" s="36">
        <f>217.76+(0.0145064*B29)</f>
        <v>1378.2719999999999</v>
      </c>
      <c r="E29" s="3"/>
      <c r="F29" s="3"/>
      <c r="G29" s="35"/>
      <c r="H29" s="37"/>
    </row>
    <row r="30" spans="1:8" ht="13.5" thickBot="1" x14ac:dyDescent="0.25">
      <c r="A30" s="77" t="s">
        <v>17</v>
      </c>
      <c r="B30" s="43">
        <v>140000</v>
      </c>
      <c r="C30" s="54">
        <f>1417.88+(0.0025054*B30)</f>
        <v>1768.6360000000002</v>
      </c>
      <c r="E30" s="3"/>
      <c r="F30" s="3"/>
      <c r="G30" s="35"/>
      <c r="H30" s="37"/>
    </row>
    <row r="31" spans="1:8" x14ac:dyDescent="0.2">
      <c r="B31" s="3"/>
      <c r="C31" s="3"/>
      <c r="D31" s="3"/>
      <c r="E31" s="3"/>
      <c r="F31" s="3"/>
      <c r="G31" s="3"/>
    </row>
    <row r="32" spans="1:8" ht="13.5" thickBot="1" x14ac:dyDescent="0.25">
      <c r="B32" s="3"/>
      <c r="C32" s="3"/>
      <c r="D32" s="3"/>
      <c r="E32" s="3"/>
      <c r="F32" s="3"/>
      <c r="G32" s="3"/>
    </row>
    <row r="33" spans="1:8" ht="13.5" thickBot="1" x14ac:dyDescent="0.25">
      <c r="A33" s="71"/>
      <c r="B33" s="157" t="s">
        <v>46</v>
      </c>
      <c r="C33" s="158"/>
      <c r="D33" s="39"/>
      <c r="E33" s="49"/>
      <c r="F33" s="49"/>
      <c r="G33" s="49"/>
      <c r="H33" s="33"/>
    </row>
    <row r="34" spans="1:8" ht="13.5" thickBot="1" x14ac:dyDescent="0.25">
      <c r="A34" s="116" t="s">
        <v>3</v>
      </c>
      <c r="B34" s="60" t="s">
        <v>48</v>
      </c>
      <c r="C34" s="138" t="s">
        <v>5</v>
      </c>
      <c r="E34" s="6"/>
      <c r="F34" s="3"/>
      <c r="G34" s="6"/>
      <c r="H34" s="28"/>
    </row>
    <row r="35" spans="1:8" x14ac:dyDescent="0.2">
      <c r="A35" s="75" t="s">
        <v>25</v>
      </c>
      <c r="B35" s="41">
        <v>15000</v>
      </c>
      <c r="C35" s="34">
        <f>302.94+(0.0665*B35)</f>
        <v>1300.44</v>
      </c>
      <c r="E35" s="3"/>
      <c r="F35" s="3"/>
      <c r="G35" s="55"/>
    </row>
    <row r="36" spans="1:8" ht="13.5" thickBot="1" x14ac:dyDescent="0.25">
      <c r="A36" s="77" t="s">
        <v>26</v>
      </c>
      <c r="B36" s="43">
        <v>140000</v>
      </c>
      <c r="C36" s="54">
        <v>4957.9399999999996</v>
      </c>
      <c r="E36" s="3"/>
      <c r="F36" s="3"/>
      <c r="G36" s="55"/>
    </row>
    <row r="37" spans="1:8" x14ac:dyDescent="0.2">
      <c r="B37" s="3"/>
      <c r="C37" s="3"/>
      <c r="D37" s="3"/>
      <c r="E37" s="3"/>
      <c r="F37" s="3"/>
      <c r="G37" s="3"/>
    </row>
    <row r="38" spans="1:8" ht="13.5" thickBot="1" x14ac:dyDescent="0.25">
      <c r="B38" s="3"/>
      <c r="C38" s="3"/>
      <c r="D38" s="3"/>
      <c r="E38" s="3"/>
      <c r="F38" s="3"/>
      <c r="G38" s="3"/>
    </row>
    <row r="39" spans="1:8" ht="13.5" thickBot="1" x14ac:dyDescent="0.25">
      <c r="B39" s="157" t="s">
        <v>47</v>
      </c>
      <c r="C39" s="158"/>
      <c r="D39" s="39"/>
      <c r="E39" s="49"/>
      <c r="F39" s="49"/>
      <c r="G39" s="49"/>
    </row>
    <row r="40" spans="1:8" ht="13.5" thickBot="1" x14ac:dyDescent="0.25">
      <c r="A40" s="116" t="s">
        <v>3</v>
      </c>
      <c r="B40" s="60" t="s">
        <v>48</v>
      </c>
      <c r="C40" s="138" t="s">
        <v>5</v>
      </c>
      <c r="E40" s="6"/>
      <c r="F40" s="3"/>
      <c r="G40" s="6"/>
    </row>
    <row r="41" spans="1:8" x14ac:dyDescent="0.2">
      <c r="A41" s="75" t="s">
        <v>27</v>
      </c>
      <c r="B41" s="41">
        <v>6000</v>
      </c>
      <c r="C41" s="34">
        <f>97.08</f>
        <v>97.08</v>
      </c>
      <c r="E41" s="3"/>
      <c r="F41" s="3"/>
      <c r="G41" s="35"/>
    </row>
    <row r="42" spans="1:8" x14ac:dyDescent="0.2">
      <c r="A42" s="76" t="s">
        <v>28</v>
      </c>
      <c r="B42" s="42">
        <v>50000</v>
      </c>
      <c r="C42" s="36">
        <f>0.01387009*B42</f>
        <v>693.50450000000001</v>
      </c>
      <c r="E42" s="3"/>
      <c r="F42" s="3"/>
      <c r="G42" s="35"/>
    </row>
    <row r="43" spans="1:8" ht="13.5" thickBot="1" x14ac:dyDescent="0.25">
      <c r="A43" s="77" t="s">
        <v>29</v>
      </c>
      <c r="B43" s="43">
        <v>140000</v>
      </c>
      <c r="C43" s="54">
        <v>1664.41</v>
      </c>
      <c r="E43" s="3"/>
      <c r="F43" s="3"/>
      <c r="G43" s="35"/>
    </row>
    <row r="44" spans="1:8" x14ac:dyDescent="0.2">
      <c r="B44" s="3"/>
      <c r="C44" s="3"/>
      <c r="D44" s="3"/>
      <c r="E44" s="3"/>
      <c r="F44" s="3"/>
      <c r="G44" s="3"/>
    </row>
    <row r="45" spans="1:8" x14ac:dyDescent="0.2">
      <c r="B45" s="3"/>
      <c r="C45" s="3"/>
      <c r="D45" s="3"/>
      <c r="E45" s="3"/>
      <c r="F45" s="3"/>
      <c r="G45" s="3"/>
    </row>
    <row r="46" spans="1:8" x14ac:dyDescent="0.2">
      <c r="B46" s="3"/>
      <c r="C46" s="3"/>
      <c r="D46" s="3"/>
      <c r="E46" s="3"/>
      <c r="F46" s="3"/>
      <c r="G46" s="3"/>
    </row>
  </sheetData>
  <mergeCells count="14">
    <mergeCell ref="B11:E11"/>
    <mergeCell ref="B17:E17"/>
    <mergeCell ref="B33:C33"/>
    <mergeCell ref="B25:C25"/>
    <mergeCell ref="B39:C39"/>
    <mergeCell ref="B1:J1"/>
    <mergeCell ref="B4:J4"/>
    <mergeCell ref="B5:B6"/>
    <mergeCell ref="C5:C6"/>
    <mergeCell ref="D5:D6"/>
    <mergeCell ref="E5:E6"/>
    <mergeCell ref="F5:F6"/>
    <mergeCell ref="G5:H5"/>
    <mergeCell ref="I5:J5"/>
  </mergeCells>
  <printOptions horizontalCentered="1"/>
  <pageMargins left="0.39370078740157483" right="0.39370078740157483" top="0.59055118110236227" bottom="0.27559055118110237" header="0" footer="0"/>
  <pageSetup scale="9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D8F6-4655-49B3-85BF-9CBE2F88EE18}">
  <sheetPr>
    <pageSetUpPr fitToPage="1"/>
  </sheetPr>
  <dimension ref="A1:J49"/>
  <sheetViews>
    <sheetView zoomScaleNormal="100" workbookViewId="0">
      <selection activeCell="M19" sqref="M19"/>
    </sheetView>
  </sheetViews>
  <sheetFormatPr baseColWidth="10" defaultColWidth="9.140625" defaultRowHeight="12.75" x14ac:dyDescent="0.2"/>
  <cols>
    <col min="1" max="1" width="22.140625" style="27" customWidth="1"/>
    <col min="2" max="2" width="13.5703125" style="80" customWidth="1"/>
    <col min="3" max="3" width="14.42578125" style="80" bestFit="1" customWidth="1"/>
    <col min="4" max="4" width="16.42578125" style="80" customWidth="1"/>
    <col min="5" max="5" width="18.140625" style="80" customWidth="1"/>
    <col min="6" max="6" width="16.5703125" style="80" customWidth="1"/>
    <col min="7" max="7" width="18.5703125" style="80" customWidth="1"/>
    <col min="8" max="8" width="13.85546875" style="22" customWidth="1"/>
    <col min="9" max="9" width="17.7109375" style="80" customWidth="1"/>
    <col min="10" max="10" width="12.85546875" style="80" customWidth="1"/>
    <col min="11" max="16384" width="9.140625" style="80"/>
  </cols>
  <sheetData>
    <row r="1" spans="1:10" ht="45.75" customHeight="1" x14ac:dyDescent="0.2">
      <c r="B1" s="173" t="s">
        <v>54</v>
      </c>
      <c r="C1" s="173"/>
      <c r="D1" s="173"/>
      <c r="E1" s="173"/>
      <c r="F1" s="173"/>
      <c r="G1" s="173"/>
      <c r="H1" s="173"/>
      <c r="I1" s="173"/>
      <c r="J1" s="173"/>
    </row>
    <row r="2" spans="1:10" ht="13.5" customHeight="1" x14ac:dyDescent="0.2">
      <c r="B2" s="26"/>
      <c r="C2" s="26"/>
      <c r="D2" s="26"/>
      <c r="E2" s="26"/>
      <c r="F2" s="26"/>
      <c r="G2" s="26"/>
      <c r="H2" s="26"/>
      <c r="I2" s="26"/>
      <c r="J2" s="26"/>
    </row>
    <row r="3" spans="1:10" ht="13.5" customHeight="1" thickBot="1" x14ac:dyDescent="0.25"/>
    <row r="4" spans="1:10" ht="15" customHeight="1" thickBot="1" x14ac:dyDescent="0.25">
      <c r="B4" s="181" t="s">
        <v>6</v>
      </c>
      <c r="C4" s="182"/>
      <c r="D4" s="182"/>
      <c r="E4" s="182"/>
      <c r="F4" s="182"/>
      <c r="G4" s="182"/>
      <c r="H4" s="182"/>
      <c r="I4" s="182"/>
      <c r="J4" s="183"/>
    </row>
    <row r="5" spans="1:10" ht="17.25" customHeight="1" thickBot="1" x14ac:dyDescent="0.25">
      <c r="B5" s="184" t="s">
        <v>49</v>
      </c>
      <c r="C5" s="161" t="s">
        <v>1</v>
      </c>
      <c r="D5" s="161" t="s">
        <v>7</v>
      </c>
      <c r="E5" s="161" t="s">
        <v>8</v>
      </c>
      <c r="F5" s="163" t="s">
        <v>2</v>
      </c>
      <c r="G5" s="188" t="s">
        <v>22</v>
      </c>
      <c r="H5" s="189"/>
      <c r="I5" s="188" t="s">
        <v>21</v>
      </c>
      <c r="J5" s="190"/>
    </row>
    <row r="6" spans="1:10" ht="40.5" customHeight="1" thickBot="1" x14ac:dyDescent="0.25">
      <c r="B6" s="185"/>
      <c r="C6" s="186"/>
      <c r="D6" s="186"/>
      <c r="E6" s="186"/>
      <c r="F6" s="187"/>
      <c r="G6" s="110" t="s">
        <v>9</v>
      </c>
      <c r="H6" s="111" t="s">
        <v>13</v>
      </c>
      <c r="I6" s="110" t="s">
        <v>14</v>
      </c>
      <c r="J6" s="112" t="s">
        <v>13</v>
      </c>
    </row>
    <row r="7" spans="1:10" x14ac:dyDescent="0.2">
      <c r="A7" s="72" t="s">
        <v>50</v>
      </c>
      <c r="B7" s="128">
        <v>140000</v>
      </c>
      <c r="C7" s="129">
        <v>1</v>
      </c>
      <c r="D7" s="129">
        <v>1.2</v>
      </c>
      <c r="E7" s="129">
        <v>0.9</v>
      </c>
      <c r="F7" s="130" t="s">
        <v>0</v>
      </c>
      <c r="G7" s="81">
        <v>1</v>
      </c>
      <c r="H7" s="126">
        <f>$B$7/100*$C$7*$D$7*$E$7*G7</f>
        <v>1512</v>
      </c>
      <c r="I7" s="81">
        <v>0.95</v>
      </c>
      <c r="J7" s="124">
        <f>$B$7/100*$C$7*$D$7*$E$7*I7</f>
        <v>1436.3999999999999</v>
      </c>
    </row>
    <row r="8" spans="1:10" ht="13.5" thickBot="1" x14ac:dyDescent="0.25">
      <c r="A8" s="74" t="s">
        <v>51</v>
      </c>
      <c r="B8" s="131">
        <v>140000</v>
      </c>
      <c r="C8" s="132">
        <v>1</v>
      </c>
      <c r="D8" s="132">
        <v>1.43</v>
      </c>
      <c r="E8" s="132">
        <v>0.9</v>
      </c>
      <c r="F8" s="133" t="s">
        <v>0</v>
      </c>
      <c r="G8" s="113">
        <v>1</v>
      </c>
      <c r="H8" s="127">
        <f>$B$8/100*$C$8*$D$8*$E$8*G8</f>
        <v>1801.8</v>
      </c>
      <c r="I8" s="113">
        <v>0.95</v>
      </c>
      <c r="J8" s="125">
        <f>$B$8/100*$C$8*$D$8*$E$8*I8</f>
        <v>1711.7099999999998</v>
      </c>
    </row>
    <row r="9" spans="1:10" ht="13.5" thickBot="1" x14ac:dyDescent="0.25">
      <c r="B9" s="22"/>
      <c r="C9" s="22"/>
      <c r="D9" s="22"/>
      <c r="E9" s="22"/>
      <c r="F9" s="22"/>
      <c r="G9" s="22"/>
    </row>
    <row r="10" spans="1:10" ht="13.5" customHeight="1" thickBot="1" x14ac:dyDescent="0.25">
      <c r="B10" s="181" t="s">
        <v>11</v>
      </c>
      <c r="C10" s="182"/>
      <c r="D10" s="182"/>
      <c r="E10" s="183"/>
      <c r="F10" s="82"/>
    </row>
    <row r="11" spans="1:10" ht="13.5" thickBot="1" x14ac:dyDescent="0.25">
      <c r="A11" s="116" t="s">
        <v>3</v>
      </c>
      <c r="B11" s="60" t="s">
        <v>48</v>
      </c>
      <c r="C11" s="114" t="s">
        <v>10</v>
      </c>
      <c r="D11" s="115" t="s">
        <v>7</v>
      </c>
      <c r="E11" s="139" t="s">
        <v>4</v>
      </c>
      <c r="F11" s="22"/>
    </row>
    <row r="12" spans="1:10" ht="13.5" thickBot="1" x14ac:dyDescent="0.25">
      <c r="A12" s="74" t="s">
        <v>44</v>
      </c>
      <c r="B12" s="143">
        <v>140000</v>
      </c>
      <c r="C12" s="83">
        <v>3.5000000000000003E-2</v>
      </c>
      <c r="D12" s="84">
        <f>0.29+0.28</f>
        <v>0.57000000000000006</v>
      </c>
      <c r="E12" s="123">
        <f>B12*$C$12*$D$12</f>
        <v>2793.0000000000009</v>
      </c>
      <c r="F12" s="85"/>
    </row>
    <row r="13" spans="1:10" ht="13.5" thickBot="1" x14ac:dyDescent="0.25"/>
    <row r="14" spans="1:10" ht="13.5" thickBot="1" x14ac:dyDescent="0.25">
      <c r="B14" s="181" t="s">
        <v>18</v>
      </c>
      <c r="C14" s="182"/>
      <c r="D14" s="182"/>
      <c r="E14" s="183"/>
      <c r="F14" s="82"/>
    </row>
    <row r="15" spans="1:10" ht="13.5" thickBot="1" x14ac:dyDescent="0.25">
      <c r="A15" s="116" t="s">
        <v>3</v>
      </c>
      <c r="B15" s="60" t="s">
        <v>48</v>
      </c>
      <c r="C15" s="115" t="s">
        <v>7</v>
      </c>
      <c r="D15" s="115" t="s">
        <v>12</v>
      </c>
      <c r="E15" s="139" t="s">
        <v>5</v>
      </c>
      <c r="F15" s="22"/>
    </row>
    <row r="16" spans="1:10" x14ac:dyDescent="0.2">
      <c r="A16" s="73" t="s">
        <v>19</v>
      </c>
      <c r="B16" s="140">
        <v>2000</v>
      </c>
      <c r="C16" s="86">
        <v>80</v>
      </c>
      <c r="D16" s="87">
        <v>1</v>
      </c>
      <c r="E16" s="88">
        <f>C16*1.5*D16</f>
        <v>120</v>
      </c>
      <c r="F16" s="89"/>
      <c r="I16" s="90"/>
    </row>
    <row r="17" spans="1:9" x14ac:dyDescent="0.2">
      <c r="A17" s="73" t="s">
        <v>16</v>
      </c>
      <c r="B17" s="141">
        <v>15000</v>
      </c>
      <c r="C17" s="92">
        <v>80</v>
      </c>
      <c r="D17" s="93">
        <v>1</v>
      </c>
      <c r="E17" s="94">
        <f>B17*C17*0.0006*D17</f>
        <v>719.99999999999989</v>
      </c>
      <c r="F17" s="89"/>
      <c r="I17" s="90"/>
    </row>
    <row r="18" spans="1:9" x14ac:dyDescent="0.2">
      <c r="A18" s="73" t="s">
        <v>15</v>
      </c>
      <c r="B18" s="141">
        <v>70000</v>
      </c>
      <c r="C18" s="92">
        <v>80</v>
      </c>
      <c r="D18" s="93">
        <v>1</v>
      </c>
      <c r="E18" s="94">
        <f>C18*((B18*0.00012)+12)*D18</f>
        <v>1632</v>
      </c>
      <c r="F18" s="89"/>
    </row>
    <row r="19" spans="1:9" ht="13.5" thickBot="1" x14ac:dyDescent="0.25">
      <c r="A19" s="74" t="s">
        <v>17</v>
      </c>
      <c r="B19" s="142">
        <v>140000</v>
      </c>
      <c r="C19" s="96">
        <v>80</v>
      </c>
      <c r="D19" s="97">
        <v>1</v>
      </c>
      <c r="E19" s="98">
        <f>C19*24*D19</f>
        <v>1920</v>
      </c>
      <c r="F19" s="89"/>
    </row>
    <row r="21" spans="1:9" ht="13.5" thickBot="1" x14ac:dyDescent="0.25"/>
    <row r="22" spans="1:9" ht="13.5" thickBot="1" x14ac:dyDescent="0.25">
      <c r="B22" s="157" t="s">
        <v>45</v>
      </c>
      <c r="C22" s="159"/>
      <c r="D22" s="99"/>
      <c r="E22" s="100"/>
      <c r="F22" s="82"/>
    </row>
    <row r="23" spans="1:9" ht="13.5" thickBot="1" x14ac:dyDescent="0.25">
      <c r="A23" s="116" t="s">
        <v>3</v>
      </c>
      <c r="B23" s="60" t="s">
        <v>48</v>
      </c>
      <c r="C23" s="138" t="s">
        <v>20</v>
      </c>
      <c r="D23" s="101"/>
      <c r="E23" s="102"/>
      <c r="F23" s="22"/>
    </row>
    <row r="24" spans="1:9" x14ac:dyDescent="0.2">
      <c r="A24" s="117" t="s">
        <v>30</v>
      </c>
      <c r="B24" s="118">
        <v>5000</v>
      </c>
      <c r="C24" s="119">
        <v>235</v>
      </c>
      <c r="D24" s="103"/>
      <c r="E24" s="102"/>
      <c r="F24" s="104"/>
    </row>
    <row r="25" spans="1:9" x14ac:dyDescent="0.2">
      <c r="A25" s="73" t="s">
        <v>31</v>
      </c>
      <c r="B25" s="91">
        <v>30000</v>
      </c>
      <c r="C25" s="94">
        <f>85.53+(0.01993*B25)</f>
        <v>683.43</v>
      </c>
      <c r="D25" s="103"/>
      <c r="E25" s="102"/>
      <c r="F25" s="104"/>
    </row>
    <row r="26" spans="1:9" x14ac:dyDescent="0.2">
      <c r="A26" s="73" t="s">
        <v>32</v>
      </c>
      <c r="B26" s="91">
        <v>80000</v>
      </c>
      <c r="C26" s="94">
        <f>156.79+(0.017554*B26)</f>
        <v>1561.11</v>
      </c>
      <c r="D26" s="103"/>
      <c r="E26" s="102"/>
      <c r="F26" s="104"/>
    </row>
    <row r="27" spans="1:9" x14ac:dyDescent="0.2">
      <c r="A27" s="73" t="s">
        <v>33</v>
      </c>
      <c r="B27" s="91">
        <v>140000</v>
      </c>
      <c r="C27" s="94">
        <v>1912.2</v>
      </c>
      <c r="D27" s="103"/>
      <c r="E27" s="102"/>
      <c r="F27" s="104"/>
    </row>
    <row r="28" spans="1:9" x14ac:dyDescent="0.2">
      <c r="A28" s="73" t="s">
        <v>34</v>
      </c>
      <c r="B28" s="91">
        <v>160000</v>
      </c>
      <c r="C28" s="94">
        <v>2250</v>
      </c>
      <c r="D28" s="103"/>
      <c r="E28" s="102"/>
      <c r="F28" s="104"/>
    </row>
    <row r="29" spans="1:9" ht="13.5" thickBot="1" x14ac:dyDescent="0.25">
      <c r="A29" s="74" t="s">
        <v>35</v>
      </c>
      <c r="B29" s="95">
        <v>180000</v>
      </c>
      <c r="C29" s="98">
        <v>3440</v>
      </c>
      <c r="D29" s="103"/>
      <c r="E29" s="102"/>
      <c r="F29" s="104"/>
    </row>
    <row r="30" spans="1:9" x14ac:dyDescent="0.2">
      <c r="B30" s="105"/>
      <c r="C30" s="105"/>
      <c r="D30" s="105"/>
    </row>
    <row r="31" spans="1:9" ht="13.5" thickBot="1" x14ac:dyDescent="0.25">
      <c r="B31" s="105"/>
      <c r="C31" s="105"/>
      <c r="D31" s="105"/>
    </row>
    <row r="32" spans="1:9" ht="13.5" thickBot="1" x14ac:dyDescent="0.25">
      <c r="B32" s="157" t="s">
        <v>46</v>
      </c>
      <c r="C32" s="158"/>
      <c r="D32" s="106"/>
      <c r="E32" s="100"/>
      <c r="F32" s="82"/>
    </row>
    <row r="33" spans="1:6" ht="13.5" thickBot="1" x14ac:dyDescent="0.25">
      <c r="A33" s="116" t="s">
        <v>3</v>
      </c>
      <c r="B33" s="60" t="s">
        <v>48</v>
      </c>
      <c r="C33" s="138" t="s">
        <v>5</v>
      </c>
      <c r="D33" s="101"/>
      <c r="E33" s="107"/>
      <c r="F33" s="22"/>
    </row>
    <row r="34" spans="1:6" x14ac:dyDescent="0.2">
      <c r="A34" s="117" t="s">
        <v>36</v>
      </c>
      <c r="B34" s="118">
        <v>10000</v>
      </c>
      <c r="C34" s="119">
        <v>1000</v>
      </c>
      <c r="D34" s="103"/>
      <c r="E34" s="107"/>
      <c r="F34" s="104"/>
    </row>
    <row r="35" spans="1:6" x14ac:dyDescent="0.2">
      <c r="A35" s="73" t="s">
        <v>37</v>
      </c>
      <c r="B35" s="91">
        <v>15000</v>
      </c>
      <c r="C35" s="94">
        <f>850+0.0935*B35</f>
        <v>2252.5</v>
      </c>
      <c r="D35" s="103"/>
      <c r="E35" s="107"/>
      <c r="F35" s="104"/>
    </row>
    <row r="36" spans="1:6" x14ac:dyDescent="0.2">
      <c r="A36" s="73" t="s">
        <v>38</v>
      </c>
      <c r="B36" s="91">
        <v>20000</v>
      </c>
      <c r="C36" s="94">
        <f>850+0.1115*B36</f>
        <v>3080</v>
      </c>
      <c r="D36" s="103"/>
      <c r="E36" s="107"/>
      <c r="F36" s="104"/>
    </row>
    <row r="37" spans="1:6" x14ac:dyDescent="0.2">
      <c r="A37" s="73" t="s">
        <v>39</v>
      </c>
      <c r="B37" s="91">
        <v>25000</v>
      </c>
      <c r="C37" s="94">
        <f>850+0.1248*B37</f>
        <v>3970</v>
      </c>
      <c r="D37" s="103"/>
      <c r="E37" s="107"/>
      <c r="F37" s="104"/>
    </row>
    <row r="38" spans="1:6" x14ac:dyDescent="0.2">
      <c r="A38" s="73" t="s">
        <v>40</v>
      </c>
      <c r="B38" s="91">
        <v>33000</v>
      </c>
      <c r="C38" s="94">
        <f>850+0.1299*B38</f>
        <v>5136.7</v>
      </c>
      <c r="D38" s="103"/>
      <c r="E38" s="107"/>
      <c r="F38" s="104"/>
    </row>
    <row r="39" spans="1:6" x14ac:dyDescent="0.2">
      <c r="A39" s="73" t="s">
        <v>41</v>
      </c>
      <c r="B39" s="91">
        <v>45000</v>
      </c>
      <c r="C39" s="94">
        <f>850+0.1385*B39</f>
        <v>7082.5000000000009</v>
      </c>
      <c r="D39" s="103"/>
      <c r="E39" s="107"/>
      <c r="F39" s="104"/>
    </row>
    <row r="40" spans="1:6" x14ac:dyDescent="0.2">
      <c r="A40" s="73" t="s">
        <v>42</v>
      </c>
      <c r="B40" s="91">
        <v>80000</v>
      </c>
      <c r="C40" s="94">
        <f>1267+0.135*B40</f>
        <v>12067</v>
      </c>
      <c r="D40" s="103"/>
      <c r="E40" s="107"/>
      <c r="F40" s="104"/>
    </row>
    <row r="41" spans="1:6" ht="13.5" thickBot="1" x14ac:dyDescent="0.25">
      <c r="A41" s="74" t="s">
        <v>43</v>
      </c>
      <c r="B41" s="95">
        <v>140000</v>
      </c>
      <c r="C41" s="98">
        <v>15000</v>
      </c>
      <c r="D41" s="103"/>
      <c r="E41" s="107"/>
      <c r="F41" s="104"/>
    </row>
    <row r="42" spans="1:6" x14ac:dyDescent="0.2">
      <c r="B42" s="105"/>
      <c r="C42" s="105"/>
      <c r="D42" s="105"/>
    </row>
    <row r="43" spans="1:6" ht="13.5" thickBot="1" x14ac:dyDescent="0.25">
      <c r="B43" s="105"/>
      <c r="C43" s="105"/>
      <c r="D43" s="105"/>
    </row>
    <row r="44" spans="1:6" ht="13.5" thickBot="1" x14ac:dyDescent="0.25">
      <c r="B44" s="157" t="s">
        <v>47</v>
      </c>
      <c r="C44" s="158"/>
      <c r="D44" s="108"/>
      <c r="E44" s="109"/>
      <c r="F44" s="82"/>
    </row>
    <row r="45" spans="1:6" ht="13.5" thickBot="1" x14ac:dyDescent="0.25">
      <c r="A45" s="116" t="s">
        <v>3</v>
      </c>
      <c r="B45" s="60" t="s">
        <v>48</v>
      </c>
      <c r="C45" s="138" t="s">
        <v>5</v>
      </c>
      <c r="D45" s="101"/>
      <c r="F45" s="22"/>
    </row>
    <row r="46" spans="1:6" ht="13.5" thickBot="1" x14ac:dyDescent="0.25">
      <c r="A46" s="120" t="s">
        <v>44</v>
      </c>
      <c r="B46" s="121">
        <v>140000</v>
      </c>
      <c r="C46" s="122">
        <f>6.8194+11.0507*(B46/1000)</f>
        <v>1553.9174000000003</v>
      </c>
      <c r="D46" s="103"/>
    </row>
    <row r="47" spans="1:6" x14ac:dyDescent="0.2">
      <c r="B47" s="105"/>
      <c r="C47" s="105"/>
      <c r="D47" s="105"/>
    </row>
    <row r="48" spans="1:6" x14ac:dyDescent="0.2">
      <c r="B48" s="105"/>
      <c r="C48" s="105"/>
      <c r="D48" s="105"/>
    </row>
    <row r="49" spans="2:4" x14ac:dyDescent="0.2">
      <c r="B49" s="105"/>
      <c r="C49" s="105"/>
      <c r="D49" s="105"/>
    </row>
  </sheetData>
  <mergeCells count="14">
    <mergeCell ref="B10:E10"/>
    <mergeCell ref="B14:E14"/>
    <mergeCell ref="B32:C32"/>
    <mergeCell ref="B44:C44"/>
    <mergeCell ref="B22:C22"/>
    <mergeCell ref="B1:J1"/>
    <mergeCell ref="B4:J4"/>
    <mergeCell ref="B5:B6"/>
    <mergeCell ref="C5:C6"/>
    <mergeCell ref="D5:D6"/>
    <mergeCell ref="E5:E6"/>
    <mergeCell ref="F5:F6"/>
    <mergeCell ref="G5:H5"/>
    <mergeCell ref="I5:J5"/>
  </mergeCells>
  <printOptions horizontalCentered="1"/>
  <pageMargins left="0.39370078740157483" right="0.39370078740157483" top="0.59055118110236227" bottom="0.27559055118110237" header="0" footer="0"/>
  <pageSetup scale="86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fde698c-d7d8-406c-9bcb-a124b2b07ac0">
      <Terms xmlns="http://schemas.microsoft.com/office/infopath/2007/PartnerControls"/>
    </lcf76f155ced4ddcb4097134ff3c332f>
    <TaxCatchAll xmlns="044c181d-d4b3-4cef-943f-9cc55ce0026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370494AFF3B04D9F7216B1D19E1D17" ma:contentTypeVersion="16" ma:contentTypeDescription="Create a new document." ma:contentTypeScope="" ma:versionID="9690aa573449cc7f05a5d7bd4edadadc">
  <xsd:schema xmlns:xsd="http://www.w3.org/2001/XMLSchema" xmlns:xs="http://www.w3.org/2001/XMLSchema" xmlns:p="http://schemas.microsoft.com/office/2006/metadata/properties" xmlns:ns2="7fde698c-d7d8-406c-9bcb-a124b2b07ac0" xmlns:ns3="044c181d-d4b3-4cef-943f-9cc55ce00269" targetNamespace="http://schemas.microsoft.com/office/2006/metadata/properties" ma:root="true" ma:fieldsID="fde9bea09439fc616a99eee9cd493ad0" ns2:_="" ns3:_="">
    <xsd:import namespace="7fde698c-d7d8-406c-9bcb-a124b2b07ac0"/>
    <xsd:import namespace="044c181d-d4b3-4cef-943f-9cc55ce002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de698c-d7d8-406c-9bcb-a124b2b07a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7d3ae16-01f3-4e34-b70f-161bf76553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c181d-d4b3-4cef-943f-9cc55ce0026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9ea65b7-ced1-4cb7-aadc-04480399210d}" ma:internalName="TaxCatchAll" ma:showField="CatchAllData" ma:web="044c181d-d4b3-4cef-943f-9cc55ce0026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720E04-C2BF-43E0-BC5B-32D43E16244A}">
  <ds:schemaRefs>
    <ds:schemaRef ds:uri="http://schemas.microsoft.com/office/2006/metadata/properties"/>
    <ds:schemaRef ds:uri="http://schemas.microsoft.com/office/infopath/2007/PartnerControls"/>
    <ds:schemaRef ds:uri="7fde698c-d7d8-406c-9bcb-a124b2b07ac0"/>
    <ds:schemaRef ds:uri="044c181d-d4b3-4cef-943f-9cc55ce00269"/>
  </ds:schemaRefs>
</ds:datastoreItem>
</file>

<file path=customXml/itemProps2.xml><?xml version="1.0" encoding="utf-8"?>
<ds:datastoreItem xmlns:ds="http://schemas.openxmlformats.org/officeDocument/2006/customXml" ds:itemID="{92FF8FAA-0682-445B-81ED-33C726B38C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de698c-d7d8-406c-9bcb-a124b2b07ac0"/>
    <ds:schemaRef ds:uri="044c181d-d4b3-4cef-943f-9cc55ce002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FB3B0E-D2CF-4C38-9679-49A90B143F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ALG Port Tariff</vt:lpstr>
      <vt:lpstr>BCN Port Tariff</vt:lpstr>
      <vt:lpstr>VLC Port Tariff</vt:lpstr>
    </vt:vector>
  </TitlesOfParts>
  <Company>cosco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puertda</dc:creator>
  <cp:lastModifiedBy>Ana Isabel Mayor</cp:lastModifiedBy>
  <cp:lastPrinted>2016-04-07T16:04:04Z</cp:lastPrinted>
  <dcterms:created xsi:type="dcterms:W3CDTF">2006-12-11T11:01:44Z</dcterms:created>
  <dcterms:modified xsi:type="dcterms:W3CDTF">2022-07-28T09:30:19Z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0x010100A0370494AFF3B04D9F7216B1D19E1D17</vt:lpwstr>
  </property>
  <property fmtid="{D5CDD505-2E9C-101B-9397-08002B2CF9AE}" pid="4" name="MediaServiceImageTags">
    <vt:lpwstr/>
  </property>
</Properties>
</file>