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ysim5g\tests\"/>
    </mc:Choice>
  </mc:AlternateContent>
  <xr:revisionPtr revIDLastSave="0" documentId="13_ncr:1_{638DB506-2B8C-45D6-8AAC-2E2EFD15B538}" xr6:coauthVersionLast="41" xr6:coauthVersionMax="41" xr10:uidLastSave="{00000000-0000-0000-0000-000000000000}"/>
  <bookViews>
    <workbookView xWindow="-120" yWindow="-120" windowWidth="24240" windowHeight="176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0" i="1" l="1"/>
  <c r="A70" i="1"/>
  <c r="C69" i="1"/>
  <c r="A69" i="1"/>
  <c r="C59" i="1"/>
  <c r="P7" i="1" l="1"/>
  <c r="S7" i="1" s="1"/>
  <c r="P6" i="1"/>
  <c r="S6" i="1" s="1"/>
  <c r="P4" i="1"/>
  <c r="S4" i="1" s="1"/>
  <c r="P5" i="1"/>
  <c r="S5" i="1" s="1"/>
  <c r="I38" i="1" l="1"/>
  <c r="I39" i="1"/>
  <c r="Q39" i="1" s="1"/>
  <c r="K8" i="1"/>
  <c r="K18" i="1"/>
  <c r="K17" i="1"/>
  <c r="K16" i="1"/>
  <c r="K15" i="1"/>
  <c r="K14" i="1"/>
  <c r="K13" i="1"/>
  <c r="K12" i="1"/>
  <c r="K11" i="1"/>
  <c r="K10" i="1"/>
  <c r="K9" i="1"/>
  <c r="K7" i="1"/>
  <c r="K6" i="1"/>
  <c r="K5" i="1"/>
  <c r="K4" i="1"/>
  <c r="K39" i="1" l="1"/>
  <c r="C62" i="1"/>
  <c r="C68" i="1"/>
  <c r="A68" i="1"/>
  <c r="B67" i="1"/>
  <c r="C67" i="1" s="1"/>
  <c r="D67" i="1" s="1"/>
  <c r="A67" i="1"/>
  <c r="C66" i="1"/>
  <c r="B66" i="1"/>
  <c r="A66" i="1"/>
  <c r="C65" i="1"/>
  <c r="A65" i="1"/>
  <c r="B64" i="1"/>
  <c r="C64" i="1" s="1"/>
  <c r="D64" i="1" s="1"/>
  <c r="A64" i="1"/>
  <c r="C63" i="1"/>
  <c r="B63" i="1"/>
  <c r="A63" i="1"/>
  <c r="A62" i="1"/>
  <c r="C61" i="1"/>
  <c r="A61" i="1"/>
  <c r="C60" i="1"/>
  <c r="A60" i="1"/>
  <c r="C58" i="1"/>
  <c r="A58" i="1"/>
  <c r="C57" i="1"/>
  <c r="A57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H39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J26" i="1" l="1"/>
  <c r="P26" i="1"/>
  <c r="J32" i="1"/>
  <c r="P32" i="1"/>
  <c r="J45" i="1"/>
  <c r="P45" i="1"/>
  <c r="J51" i="1"/>
  <c r="P51" i="1"/>
  <c r="K26" i="1"/>
  <c r="Q26" i="1"/>
  <c r="K32" i="1"/>
  <c r="Q32" i="1"/>
  <c r="J39" i="1"/>
  <c r="P39" i="1"/>
  <c r="K45" i="1"/>
  <c r="Q45" i="1"/>
  <c r="R51" i="1"/>
  <c r="K51" i="1"/>
  <c r="Q51" i="1"/>
  <c r="M51" i="1"/>
  <c r="Q30" i="1"/>
  <c r="K30" i="1"/>
  <c r="P25" i="1"/>
  <c r="J25" i="1"/>
  <c r="Q24" i="1"/>
  <c r="K24" i="1"/>
  <c r="P50" i="1"/>
  <c r="J50" i="1"/>
  <c r="P52" i="1"/>
  <c r="J52" i="1"/>
  <c r="J40" i="1"/>
  <c r="P40" i="1"/>
  <c r="K27" i="1"/>
  <c r="Q27" i="1"/>
  <c r="S40" i="1"/>
  <c r="K40" i="1"/>
  <c r="N40" i="1"/>
  <c r="Q40" i="1"/>
  <c r="R52" i="1"/>
  <c r="Q52" i="1"/>
  <c r="K52" i="1"/>
  <c r="M52" i="1"/>
  <c r="P34" i="1"/>
  <c r="J34" i="1"/>
  <c r="N22" i="1"/>
  <c r="S22" i="1"/>
  <c r="K34" i="1"/>
  <c r="Q34" i="1"/>
  <c r="Q47" i="1"/>
  <c r="K47" i="1"/>
  <c r="Q53" i="1"/>
  <c r="K53" i="1"/>
  <c r="R53" i="1"/>
  <c r="M53" i="1"/>
  <c r="J23" i="1"/>
  <c r="P23" i="1"/>
  <c r="J29" i="1"/>
  <c r="P29" i="1"/>
  <c r="S29" i="1" s="1"/>
  <c r="J35" i="1"/>
  <c r="P35" i="1"/>
  <c r="J42" i="1"/>
  <c r="P42" i="1"/>
  <c r="J48" i="1"/>
  <c r="P48" i="1"/>
  <c r="Q43" i="1"/>
  <c r="K43" i="1"/>
  <c r="P44" i="1"/>
  <c r="J44" i="1"/>
  <c r="J33" i="1"/>
  <c r="P33" i="1"/>
  <c r="J41" i="1"/>
  <c r="P41" i="1"/>
  <c r="K23" i="1"/>
  <c r="Q23" i="1"/>
  <c r="Q29" i="1"/>
  <c r="K29" i="1"/>
  <c r="Q35" i="1"/>
  <c r="K35" i="1"/>
  <c r="K42" i="1"/>
  <c r="Q42" i="1"/>
  <c r="K48" i="1"/>
  <c r="M48" i="1"/>
  <c r="R48" i="1"/>
  <c r="Q48" i="1"/>
  <c r="M49" i="1"/>
  <c r="Q49" i="1"/>
  <c r="R49" i="1"/>
  <c r="K49" i="1"/>
  <c r="J27" i="1"/>
  <c r="P27" i="1"/>
  <c r="J46" i="1"/>
  <c r="P46" i="1"/>
  <c r="K33" i="1"/>
  <c r="Q33" i="1"/>
  <c r="K46" i="1"/>
  <c r="Q46" i="1"/>
  <c r="P28" i="1"/>
  <c r="J28" i="1"/>
  <c r="J47" i="1"/>
  <c r="P47" i="1"/>
  <c r="J53" i="1"/>
  <c r="P53" i="1"/>
  <c r="K28" i="1"/>
  <c r="Q28" i="1"/>
  <c r="Q41" i="1"/>
  <c r="K41" i="1"/>
  <c r="S41" i="1"/>
  <c r="N41" i="1"/>
  <c r="P24" i="1"/>
  <c r="J24" i="1"/>
  <c r="P30" i="1"/>
  <c r="J30" i="1"/>
  <c r="P36" i="1"/>
  <c r="J36" i="1"/>
  <c r="P43" i="1"/>
  <c r="J43" i="1"/>
  <c r="J49" i="1"/>
  <c r="P49" i="1"/>
  <c r="Q36" i="1"/>
  <c r="K36" i="1"/>
  <c r="P31" i="1"/>
  <c r="J31" i="1"/>
  <c r="K25" i="1"/>
  <c r="Q25" i="1"/>
  <c r="K37" i="1"/>
  <c r="Q37" i="1"/>
  <c r="M50" i="1"/>
  <c r="R50" i="1"/>
  <c r="K50" i="1"/>
  <c r="Q50" i="1"/>
  <c r="P37" i="1"/>
  <c r="J37" i="1"/>
  <c r="K31" i="1"/>
  <c r="Q31" i="1"/>
  <c r="Q44" i="1"/>
  <c r="K44" i="1"/>
  <c r="K38" i="1"/>
  <c r="Q38" i="1"/>
  <c r="J38" i="1"/>
  <c r="P38" i="1"/>
  <c r="S38" i="1" l="1"/>
  <c r="S36" i="1"/>
  <c r="N36" i="1"/>
  <c r="S30" i="1"/>
  <c r="N30" i="1"/>
  <c r="N29" i="1"/>
  <c r="N26" i="1"/>
  <c r="S26" i="1"/>
  <c r="S24" i="1"/>
  <c r="N24" i="1"/>
  <c r="N28" i="1"/>
  <c r="S28" i="1"/>
  <c r="N42" i="1"/>
  <c r="S43" i="1"/>
  <c r="N43" i="1"/>
  <c r="N48" i="1"/>
  <c r="S48" i="1"/>
  <c r="N37" i="1"/>
  <c r="S37" i="1"/>
  <c r="S42" i="1"/>
  <c r="S23" i="1"/>
  <c r="N23" i="1"/>
  <c r="N25" i="1"/>
  <c r="S25" i="1"/>
  <c r="S50" i="1"/>
  <c r="N50" i="1"/>
  <c r="S46" i="1"/>
  <c r="N46" i="1"/>
  <c r="N44" i="1"/>
  <c r="S44" i="1"/>
  <c r="N27" i="1"/>
  <c r="S27" i="1"/>
  <c r="N52" i="1"/>
  <c r="S52" i="1"/>
  <c r="N39" i="1"/>
  <c r="S39" i="1"/>
  <c r="N38" i="1"/>
  <c r="S47" i="1" l="1"/>
  <c r="N47" i="1"/>
  <c r="S33" i="1"/>
  <c r="N33" i="1"/>
  <c r="S51" i="1"/>
  <c r="N51" i="1"/>
  <c r="N31" i="1"/>
  <c r="S31" i="1"/>
  <c r="S53" i="1"/>
  <c r="N53" i="1"/>
  <c r="S35" i="1"/>
  <c r="N35" i="1"/>
  <c r="S32" i="1"/>
  <c r="N32" i="1"/>
  <c r="S34" i="1"/>
  <c r="N34" i="1"/>
  <c r="S45" i="1"/>
  <c r="N45" i="1"/>
  <c r="S49" i="1"/>
  <c r="N49" i="1"/>
</calcChain>
</file>

<file path=xl/sharedStrings.xml><?xml version="1.0" encoding="utf-8"?>
<sst xmlns="http://schemas.openxmlformats.org/spreadsheetml/2006/main" count="160" uniqueCount="48">
  <si>
    <t>Free space path loss model</t>
  </si>
  <si>
    <t>Frequency (MHz)</t>
  </si>
  <si>
    <t>Distance (km)</t>
  </si>
  <si>
    <t>Transmitter height</t>
  </si>
  <si>
    <t>Receiver height</t>
  </si>
  <si>
    <t>Env</t>
  </si>
  <si>
    <t>Above roof</t>
  </si>
  <si>
    <t>Distance</t>
  </si>
  <si>
    <t>Hm</t>
  </si>
  <si>
    <t>Hb</t>
  </si>
  <si>
    <t>a(Hm)</t>
  </si>
  <si>
    <t>b(Hb)</t>
  </si>
  <si>
    <t>alpha (&lt;20km)</t>
  </si>
  <si>
    <t>alpha (&gt;20km, &lt;100km)</t>
  </si>
  <si>
    <t>Formula</t>
  </si>
  <si>
    <t>&lt;0.04</t>
  </si>
  <si>
    <t>Urban</t>
  </si>
  <si>
    <t>&gt;0.1</t>
  </si>
  <si>
    <t>Suburban</t>
  </si>
  <si>
    <t>Rural</t>
  </si>
  <si>
    <t>0.04 &lt;= d &lt; 0.1</t>
  </si>
  <si>
    <t>breakpoint (d'BP)</t>
  </si>
  <si>
    <t>breakpoint (dBP)</t>
  </si>
  <si>
    <t>PL1</t>
  </si>
  <si>
    <t>PL2</t>
  </si>
  <si>
    <t>freq (Hz)</t>
  </si>
  <si>
    <t>distance (d)</t>
  </si>
  <si>
    <t>ant_height (hBS)</t>
  </si>
  <si>
    <t>ant_type</t>
  </si>
  <si>
    <t>building_height (h)</t>
  </si>
  <si>
    <t>street_width (w)</t>
  </si>
  <si>
    <t>settlement</t>
  </si>
  <si>
    <t>sight_type</t>
  </si>
  <si>
    <t>UE_height (hUT)</t>
  </si>
  <si>
    <t>micro</t>
  </si>
  <si>
    <t>-</t>
  </si>
  <si>
    <t>urban</t>
  </si>
  <si>
    <t>los</t>
  </si>
  <si>
    <t>nlos</t>
  </si>
  <si>
    <t>macro</t>
  </si>
  <si>
    <t>suburban</t>
  </si>
  <si>
    <t>rural</t>
  </si>
  <si>
    <t>3GPP E-UTRA</t>
  </si>
  <si>
    <t>Extended Hata</t>
  </si>
  <si>
    <t>uMA NLOS Optional model</t>
  </si>
  <si>
    <t>3D Distance (m)</t>
  </si>
  <si>
    <t>2D Distance (m)</t>
  </si>
  <si>
    <t>Frequency (GHz)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</si>
</sst>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"/>
    <numFmt numFmtId="165" formatCode="0.000"/>
    <numFmt numFmtId="166" formatCode="0.0E+00"/>
  </numFmts>
  <fonts count="8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strike/>
      <sz val="11"/>
      <color rgb="FF000000"/>
      <name val="Calibri"/>
      <family val="2"/>
      <charset val="1"/>
    </font>
    <font>
      <sz val="11"/>
      <color theme="1"/>
      <name val="Calibri"/>
      <family val="2"/>
      <charset val="1"/>
    </font>
    <font>
      <strike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0" xfId="0" applyAlignment="1">
      <alignment horizontal="left" indent="15"/>
    </xf>
    <xf numFmtId="0" fontId="0" fillId="0" borderId="0" xfId="0" applyFont="1"/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2" fontId="0" fillId="0" borderId="8" xfId="0" applyNumberFormat="1" applyBorder="1" applyAlignment="1">
      <alignment horizontal="center"/>
    </xf>
    <xf numFmtId="0" fontId="0" fillId="0" borderId="0" xfId="0" applyAlignment="1">
      <alignment wrapText="1"/>
    </xf>
    <xf numFmtId="0" fontId="0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4" fontId="0" fillId="0" borderId="5" xfId="0" applyNumberFormat="1" applyBorder="1" applyAlignment="1">
      <alignment horizontal="center" wrapText="1"/>
    </xf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4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4" fontId="1" fillId="0" borderId="8" xfId="0" applyNumberFormat="1" applyFont="1" applyBorder="1" applyAlignment="1">
      <alignment horizontal="center"/>
    </xf>
    <xf numFmtId="0" fontId="0" fillId="0" borderId="1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2" fontId="0" fillId="0" borderId="0" xfId="0" applyNumberFormat="1" applyBorder="1"/>
    <xf numFmtId="1" fontId="0" fillId="0" borderId="0" xfId="0" applyNumberFormat="1" applyBorder="1"/>
    <xf numFmtId="166" fontId="0" fillId="0" borderId="0" xfId="0" applyNumberFormat="1" applyBorder="1"/>
    <xf numFmtId="0" fontId="0" fillId="0" borderId="5" xfId="0" applyBorder="1"/>
    <xf numFmtId="0" fontId="2" fillId="0" borderId="0" xfId="0" applyFont="1" applyBorder="1"/>
    <xf numFmtId="0" fontId="0" fillId="0" borderId="6" xfId="0" applyBorder="1"/>
    <xf numFmtId="0" fontId="0" fillId="0" borderId="7" xfId="0" applyBorder="1"/>
    <xf numFmtId="2" fontId="0" fillId="0" borderId="7" xfId="0" applyNumberFormat="1" applyBorder="1"/>
    <xf numFmtId="166" fontId="0" fillId="0" borderId="7" xfId="0" applyNumberFormat="1" applyBorder="1"/>
    <xf numFmtId="0" fontId="0" fillId="0" borderId="8" xfId="0" applyBorder="1"/>
    <xf numFmtId="0" fontId="0" fillId="0" borderId="3" xfId="0" applyBorder="1" applyAlignment="1">
      <alignment horizontal="center" vertical="center" wrapText="1"/>
    </xf>
    <xf numFmtId="164" fontId="0" fillId="0" borderId="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4" fontId="0" fillId="0" borderId="0" xfId="0" applyNumberFormat="1"/>
    <xf numFmtId="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wrapText="1"/>
    </xf>
    <xf numFmtId="2" fontId="0" fillId="0" borderId="0" xfId="0" applyNumberForma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4" fontId="5" fillId="0" borderId="5" xfId="0" applyNumberFormat="1" applyFont="1" applyBorder="1" applyAlignment="1">
      <alignment horizontal="center"/>
    </xf>
    <xf numFmtId="0" fontId="5" fillId="0" borderId="0" xfId="0" applyFont="1"/>
    <xf numFmtId="164" fontId="5" fillId="0" borderId="4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Border="1" applyAlignment="1">
      <alignment horizontal="left" wrapText="1"/>
    </xf>
    <xf numFmtId="0" fontId="4" fillId="0" borderId="7" xfId="0" applyFont="1" applyBorder="1" applyAlignment="1">
      <alignment horizontal="left" wrapText="1"/>
    </xf>
    <xf numFmtId="0" fontId="3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0"/>
  <sheetViews>
    <sheetView tabSelected="1" topLeftCell="A12" zoomScale="85" zoomScaleNormal="85" workbookViewId="0">
      <selection activeCell="A35" sqref="A35:XFD35"/>
    </sheetView>
  </sheetViews>
  <sheetFormatPr defaultRowHeight="15" x14ac:dyDescent="0.25"/>
  <cols>
    <col min="1" max="1" width="21.85546875" customWidth="1"/>
    <col min="2" max="2" width="9.42578125" customWidth="1"/>
    <col min="3" max="3" width="8.140625" customWidth="1"/>
    <col min="4" max="4" width="11.28515625" customWidth="1"/>
    <col min="5" max="5" width="8.42578125" customWidth="1"/>
    <col min="6" max="6" width="10.42578125" customWidth="1"/>
    <col min="7" max="7" width="8.5703125" customWidth="1"/>
    <col min="8" max="8" width="7.85546875" customWidth="1"/>
    <col min="9" max="9" width="6.140625" customWidth="1"/>
    <col min="10" max="10" width="8.28515625" bestFit="1" customWidth="1"/>
    <col min="11" max="11" width="15.42578125" customWidth="1"/>
    <col min="12" max="12" width="10.5703125" customWidth="1"/>
    <col min="13" max="13" width="11" customWidth="1"/>
    <col min="14" max="14" width="11.42578125" customWidth="1"/>
    <col min="15" max="15" width="8.5703125" customWidth="1"/>
    <col min="16" max="16" width="9.28515625" customWidth="1"/>
    <col min="17" max="17" width="14.5703125" customWidth="1"/>
    <col min="18" max="18" width="14.5703125" style="23" customWidth="1"/>
    <col min="19" max="19" width="12.42578125" customWidth="1"/>
    <col min="20" max="20" width="12.85546875" customWidth="1"/>
    <col min="21" max="21" width="14.7109375" customWidth="1"/>
    <col min="22" max="22" width="8.5703125" customWidth="1"/>
    <col min="23" max="23" width="9.42578125" customWidth="1"/>
    <col min="24" max="1026" width="8.5703125" customWidth="1"/>
  </cols>
  <sheetData>
    <row r="1" spans="1:19" s="23" customFormat="1" x14ac:dyDescent="0.25"/>
    <row r="2" spans="1:19" ht="15.75" thickBot="1" x14ac:dyDescent="0.3">
      <c r="A2" s="71" t="s">
        <v>0</v>
      </c>
      <c r="B2" s="71"/>
      <c r="C2" s="71"/>
      <c r="D2" s="71"/>
      <c r="E2" s="71"/>
      <c r="N2" s="70" t="s">
        <v>44</v>
      </c>
      <c r="O2" s="70"/>
      <c r="P2" s="70"/>
      <c r="Q2" s="70"/>
      <c r="R2" s="70"/>
    </row>
    <row r="3" spans="1:19" ht="75" x14ac:dyDescent="0.25">
      <c r="A3" s="1" t="s">
        <v>1</v>
      </c>
      <c r="B3" s="2" t="s">
        <v>2</v>
      </c>
      <c r="C3" s="2" t="s">
        <v>3</v>
      </c>
      <c r="D3" s="2" t="s">
        <v>4</v>
      </c>
      <c r="E3" s="3"/>
      <c r="G3" s="1" t="s">
        <v>1</v>
      </c>
      <c r="H3" s="2" t="s">
        <v>2</v>
      </c>
      <c r="I3" s="2" t="s">
        <v>3</v>
      </c>
      <c r="J3" s="2" t="s">
        <v>4</v>
      </c>
      <c r="K3" s="3"/>
      <c r="L3" s="4"/>
      <c r="M3" s="4"/>
      <c r="N3" s="1" t="s">
        <v>47</v>
      </c>
      <c r="O3" s="2" t="s">
        <v>46</v>
      </c>
      <c r="P3" s="66" t="s">
        <v>45</v>
      </c>
      <c r="Q3" s="2" t="s">
        <v>3</v>
      </c>
      <c r="R3" s="2" t="s">
        <v>4</v>
      </c>
      <c r="S3" s="3"/>
    </row>
    <row r="4" spans="1:19" x14ac:dyDescent="0.25">
      <c r="A4" s="5">
        <v>800</v>
      </c>
      <c r="B4" s="6">
        <v>1</v>
      </c>
      <c r="C4" s="6">
        <v>20</v>
      </c>
      <c r="D4" s="6">
        <v>1.5</v>
      </c>
      <c r="E4" s="7">
        <f t="shared" ref="E4:E18" si="0">32.4+10*LOG10(POWER(((C4-D4)/1000),2)+POWER(B4,2))+20*LOG10(A4)</f>
        <v>90.463285858405655</v>
      </c>
      <c r="G4" s="5">
        <v>800</v>
      </c>
      <c r="H4" s="6">
        <v>0.5</v>
      </c>
      <c r="I4" s="6">
        <v>30</v>
      </c>
      <c r="J4" s="6">
        <v>1.5</v>
      </c>
      <c r="K4" s="7">
        <f t="shared" ref="K4:K18" si="1">32.4+10*LOG10(POWER(((I4-J4)/1000),2)+POWER(H4,2))+20*LOG10(G4)</f>
        <v>84.455287181739891</v>
      </c>
      <c r="N4" s="5">
        <v>3.5</v>
      </c>
      <c r="O4" s="6">
        <v>1000</v>
      </c>
      <c r="P4" s="37">
        <f>SQRT(POWER(O4,2)+POWER((Q4-R4),2))</f>
        <v>1000.4060425647178</v>
      </c>
      <c r="Q4" s="6">
        <v>30</v>
      </c>
      <c r="R4" s="6">
        <v>1.5</v>
      </c>
      <c r="S4" s="7">
        <f>32.4+20*LOG10(N4)+30*LOG10(P4)</f>
        <v>133.28665007461876</v>
      </c>
    </row>
    <row r="5" spans="1:19" x14ac:dyDescent="0.25">
      <c r="A5" s="5">
        <v>800</v>
      </c>
      <c r="B5" s="6">
        <v>2</v>
      </c>
      <c r="C5" s="6">
        <v>20</v>
      </c>
      <c r="D5" s="6">
        <v>1.5</v>
      </c>
      <c r="E5" s="7">
        <f t="shared" si="0"/>
        <v>96.48277123043826</v>
      </c>
      <c r="G5" s="5">
        <v>800</v>
      </c>
      <c r="H5" s="6">
        <v>2</v>
      </c>
      <c r="I5" s="6">
        <v>30</v>
      </c>
      <c r="J5" s="6">
        <v>1.5</v>
      </c>
      <c r="K5" s="7">
        <f t="shared" si="1"/>
        <v>96.483281452823618</v>
      </c>
      <c r="N5" s="5">
        <v>3.5</v>
      </c>
      <c r="O5" s="6">
        <v>5000</v>
      </c>
      <c r="P5" s="37">
        <f>SQRT(POWER(O5,2)+POWER((Q5-R5),2))</f>
        <v>5000.0812243402606</v>
      </c>
      <c r="Q5" s="6">
        <v>30</v>
      </c>
      <c r="R5" s="6">
        <v>1.5</v>
      </c>
      <c r="S5" s="7">
        <f>32.4+20*LOG10(N5)+30*LOG10(P5)</f>
        <v>154.25067266706358</v>
      </c>
    </row>
    <row r="6" spans="1:19" x14ac:dyDescent="0.25">
      <c r="A6" s="5">
        <v>800</v>
      </c>
      <c r="B6" s="6">
        <v>3</v>
      </c>
      <c r="C6" s="6">
        <v>20</v>
      </c>
      <c r="D6" s="6">
        <v>1.5</v>
      </c>
      <c r="E6" s="7">
        <f t="shared" si="0"/>
        <v>100.00438998363249</v>
      </c>
      <c r="G6" s="5">
        <v>800</v>
      </c>
      <c r="H6" s="6">
        <v>3</v>
      </c>
      <c r="I6" s="6">
        <v>30</v>
      </c>
      <c r="J6" s="6">
        <v>1.5</v>
      </c>
      <c r="K6" s="7">
        <f t="shared" si="1"/>
        <v>100.00461676731632</v>
      </c>
      <c r="N6" s="5">
        <v>3.5</v>
      </c>
      <c r="O6" s="6">
        <v>10000</v>
      </c>
      <c r="P6" s="37">
        <f>SQRT(POWER(O6,2)+POWER((Q6-R6),2))</f>
        <v>10000.040612417532</v>
      </c>
      <c r="Q6" s="6">
        <v>30</v>
      </c>
      <c r="R6" s="6">
        <v>1.5</v>
      </c>
      <c r="S6" s="7">
        <f>32.4+20*LOG10(N6)+30*LOG10(P6)</f>
        <v>163.28141380014455</v>
      </c>
    </row>
    <row r="7" spans="1:19" ht="15.75" thickBot="1" x14ac:dyDescent="0.3">
      <c r="A7" s="5">
        <v>800</v>
      </c>
      <c r="B7" s="6">
        <v>4</v>
      </c>
      <c r="C7" s="6">
        <v>20</v>
      </c>
      <c r="D7" s="6">
        <v>1.5</v>
      </c>
      <c r="E7" s="7">
        <f t="shared" si="0"/>
        <v>102.50309246370858</v>
      </c>
      <c r="G7" s="5">
        <v>800</v>
      </c>
      <c r="H7" s="6">
        <v>4</v>
      </c>
      <c r="I7" s="6">
        <v>30</v>
      </c>
      <c r="J7" s="6">
        <v>1.5</v>
      </c>
      <c r="K7" s="7">
        <f t="shared" si="1"/>
        <v>102.50322003311018</v>
      </c>
      <c r="N7" s="68">
        <v>3.5</v>
      </c>
      <c r="O7" s="61">
        <v>20000</v>
      </c>
      <c r="P7" s="44">
        <f>SQRT(POWER(O7,2)+POWER((Q7-R7),2))</f>
        <v>20000.02030623969</v>
      </c>
      <c r="Q7" s="61">
        <v>30</v>
      </c>
      <c r="R7" s="61">
        <v>1.5</v>
      </c>
      <c r="S7" s="12">
        <f>32.4+20*LOG10(N7)+30*LOG10(P7)</f>
        <v>172.31227398525002</v>
      </c>
    </row>
    <row r="8" spans="1:19" x14ac:dyDescent="0.25">
      <c r="A8" s="5">
        <v>800</v>
      </c>
      <c r="B8" s="6">
        <v>5</v>
      </c>
      <c r="C8" s="6">
        <v>20</v>
      </c>
      <c r="D8" s="6">
        <v>1.5</v>
      </c>
      <c r="E8" s="7">
        <f t="shared" si="0"/>
        <v>104.44125928106686</v>
      </c>
      <c r="G8" s="5">
        <v>800</v>
      </c>
      <c r="H8" s="6">
        <v>5</v>
      </c>
      <c r="I8" s="6">
        <v>30</v>
      </c>
      <c r="J8" s="6">
        <v>1.5</v>
      </c>
      <c r="K8" s="7">
        <f>32.4+10*LOG10(POWER(((I8-J8)/1000),2)+POWER(H8,2))+20*LOG10(G8)</f>
        <v>104.44134092654426</v>
      </c>
      <c r="N8" s="69"/>
      <c r="O8" s="6"/>
      <c r="P8" s="37"/>
      <c r="Q8" s="6"/>
      <c r="R8" s="6"/>
      <c r="S8" s="54"/>
    </row>
    <row r="9" spans="1:19" x14ac:dyDescent="0.25">
      <c r="A9" s="5">
        <v>1800</v>
      </c>
      <c r="B9" s="6">
        <v>1</v>
      </c>
      <c r="C9" s="6">
        <v>20</v>
      </c>
      <c r="D9" s="6">
        <v>1.5</v>
      </c>
      <c r="E9" s="7">
        <f t="shared" si="0"/>
        <v>97.506936220632895</v>
      </c>
      <c r="G9" s="5">
        <v>1800</v>
      </c>
      <c r="H9" s="6">
        <v>0.5</v>
      </c>
      <c r="I9" s="6">
        <v>30</v>
      </c>
      <c r="J9" s="6">
        <v>1.5</v>
      </c>
      <c r="K9" s="7">
        <f t="shared" si="1"/>
        <v>91.498937543967116</v>
      </c>
      <c r="N9" s="69"/>
      <c r="O9" s="6"/>
      <c r="P9" s="37"/>
      <c r="Q9" s="6"/>
      <c r="R9" s="6"/>
      <c r="S9" s="54"/>
    </row>
    <row r="10" spans="1:19" x14ac:dyDescent="0.25">
      <c r="A10" s="5">
        <v>1800</v>
      </c>
      <c r="B10" s="6">
        <v>2</v>
      </c>
      <c r="C10" s="6">
        <v>20</v>
      </c>
      <c r="D10" s="6">
        <v>1.5</v>
      </c>
      <c r="E10" s="7">
        <f t="shared" si="0"/>
        <v>103.5264215926655</v>
      </c>
      <c r="G10" s="5">
        <v>1800</v>
      </c>
      <c r="H10" s="6">
        <v>2</v>
      </c>
      <c r="I10" s="6">
        <v>30</v>
      </c>
      <c r="J10" s="6">
        <v>1.5</v>
      </c>
      <c r="K10" s="7">
        <f t="shared" si="1"/>
        <v>103.52693181505086</v>
      </c>
    </row>
    <row r="11" spans="1:19" x14ac:dyDescent="0.25">
      <c r="A11" s="5">
        <v>1800</v>
      </c>
      <c r="B11" s="6">
        <v>3</v>
      </c>
      <c r="C11" s="6">
        <v>20</v>
      </c>
      <c r="D11" s="6">
        <v>1.5</v>
      </c>
      <c r="E11" s="7">
        <f t="shared" si="0"/>
        <v>107.04804034585973</v>
      </c>
      <c r="G11" s="5">
        <v>1800</v>
      </c>
      <c r="H11" s="6">
        <v>3</v>
      </c>
      <c r="I11" s="6">
        <v>30</v>
      </c>
      <c r="J11" s="6">
        <v>1.5</v>
      </c>
      <c r="K11" s="7">
        <f t="shared" si="1"/>
        <v>107.04826712954356</v>
      </c>
    </row>
    <row r="12" spans="1:19" x14ac:dyDescent="0.25">
      <c r="A12" s="5">
        <v>1800</v>
      </c>
      <c r="B12" s="6">
        <v>4</v>
      </c>
      <c r="C12" s="6">
        <v>20</v>
      </c>
      <c r="D12" s="6">
        <v>1.5</v>
      </c>
      <c r="E12" s="7">
        <f t="shared" si="0"/>
        <v>109.54674282593582</v>
      </c>
      <c r="G12" s="5">
        <v>1800</v>
      </c>
      <c r="H12" s="6">
        <v>4</v>
      </c>
      <c r="I12" s="6">
        <v>30</v>
      </c>
      <c r="J12" s="6">
        <v>1.5</v>
      </c>
      <c r="K12" s="7">
        <f t="shared" si="1"/>
        <v>109.54687039533742</v>
      </c>
      <c r="N12" s="6"/>
      <c r="O12" s="6"/>
      <c r="P12" s="36"/>
      <c r="Q12" s="6"/>
      <c r="R12" s="6"/>
      <c r="S12" s="54"/>
    </row>
    <row r="13" spans="1:19" x14ac:dyDescent="0.25">
      <c r="A13" s="5">
        <v>1800</v>
      </c>
      <c r="B13" s="6">
        <v>5</v>
      </c>
      <c r="C13" s="6">
        <v>20</v>
      </c>
      <c r="D13" s="6">
        <v>1.5</v>
      </c>
      <c r="E13" s="7">
        <f t="shared" si="0"/>
        <v>111.48490964329409</v>
      </c>
      <c r="G13" s="5">
        <v>1800</v>
      </c>
      <c r="H13" s="6">
        <v>5</v>
      </c>
      <c r="I13" s="6">
        <v>30</v>
      </c>
      <c r="J13" s="6">
        <v>1.5</v>
      </c>
      <c r="K13" s="7">
        <f t="shared" si="1"/>
        <v>111.48499128877151</v>
      </c>
      <c r="N13" s="6"/>
      <c r="O13" s="6"/>
      <c r="P13" s="36"/>
      <c r="Q13" s="6"/>
      <c r="R13" s="6"/>
      <c r="S13" s="54"/>
    </row>
    <row r="14" spans="1:19" x14ac:dyDescent="0.25">
      <c r="A14" s="5">
        <v>2600</v>
      </c>
      <c r="B14" s="6">
        <v>1</v>
      </c>
      <c r="C14" s="6">
        <v>20</v>
      </c>
      <c r="D14" s="6">
        <v>1.5</v>
      </c>
      <c r="E14" s="7">
        <f t="shared" si="0"/>
        <v>100.70095307798313</v>
      </c>
      <c r="G14" s="5">
        <v>2600</v>
      </c>
      <c r="H14" s="6">
        <v>1</v>
      </c>
      <c r="I14" s="6">
        <v>30</v>
      </c>
      <c r="J14" s="6">
        <v>1.5</v>
      </c>
      <c r="K14" s="7">
        <f t="shared" si="1"/>
        <v>100.70299308449185</v>
      </c>
      <c r="N14" s="6"/>
      <c r="O14" s="6"/>
      <c r="P14" s="36"/>
      <c r="Q14" s="6"/>
      <c r="R14" s="6"/>
      <c r="S14" s="54"/>
    </row>
    <row r="15" spans="1:19" x14ac:dyDescent="0.25">
      <c r="A15" s="5">
        <v>2600</v>
      </c>
      <c r="B15" s="6">
        <v>2</v>
      </c>
      <c r="C15" s="6">
        <v>20</v>
      </c>
      <c r="D15" s="6">
        <v>1.5</v>
      </c>
      <c r="E15" s="7">
        <f t="shared" si="0"/>
        <v>106.72043845001573</v>
      </c>
      <c r="G15" s="5">
        <v>2600</v>
      </c>
      <c r="H15" s="6">
        <v>2</v>
      </c>
      <c r="I15" s="6">
        <v>30</v>
      </c>
      <c r="J15" s="6">
        <v>1.5</v>
      </c>
      <c r="K15" s="7">
        <f t="shared" si="1"/>
        <v>106.72094867240109</v>
      </c>
      <c r="L15" s="8"/>
      <c r="M15" s="8"/>
      <c r="N15" s="6"/>
      <c r="O15" s="6"/>
      <c r="P15" s="36"/>
      <c r="Q15" s="6"/>
      <c r="R15" s="6"/>
      <c r="S15" s="54"/>
    </row>
    <row r="16" spans="1:19" x14ac:dyDescent="0.25">
      <c r="A16" s="5">
        <v>2600</v>
      </c>
      <c r="B16" s="6">
        <v>3</v>
      </c>
      <c r="C16" s="6">
        <v>20</v>
      </c>
      <c r="D16" s="6">
        <v>1.5</v>
      </c>
      <c r="E16" s="7">
        <f t="shared" si="0"/>
        <v>110.24205720320997</v>
      </c>
      <c r="G16" s="5">
        <v>2600</v>
      </c>
      <c r="H16" s="6">
        <v>3</v>
      </c>
      <c r="I16" s="6">
        <v>30</v>
      </c>
      <c r="J16" s="6">
        <v>1.5</v>
      </c>
      <c r="K16" s="7">
        <f t="shared" si="1"/>
        <v>110.2422839868938</v>
      </c>
      <c r="L16" s="9"/>
      <c r="N16" s="6"/>
      <c r="O16" s="6"/>
      <c r="P16" s="36"/>
      <c r="Q16" s="6"/>
      <c r="R16" s="6"/>
      <c r="S16" s="54"/>
    </row>
    <row r="17" spans="1:20" x14ac:dyDescent="0.25">
      <c r="A17" s="5">
        <v>2600</v>
      </c>
      <c r="B17" s="6">
        <v>4</v>
      </c>
      <c r="C17" s="6">
        <v>20</v>
      </c>
      <c r="D17" s="6">
        <v>1.5</v>
      </c>
      <c r="E17" s="7">
        <f t="shared" si="0"/>
        <v>112.74075968328606</v>
      </c>
      <c r="G17" s="5">
        <v>2600</v>
      </c>
      <c r="H17" s="6">
        <v>4</v>
      </c>
      <c r="I17" s="6">
        <v>30</v>
      </c>
      <c r="J17" s="6">
        <v>1.5</v>
      </c>
      <c r="K17" s="7">
        <f t="shared" si="1"/>
        <v>112.74088725268766</v>
      </c>
      <c r="N17" s="6"/>
      <c r="O17" s="6"/>
      <c r="P17" s="36"/>
      <c r="Q17" s="6"/>
      <c r="R17" s="6"/>
      <c r="S17" s="54"/>
    </row>
    <row r="18" spans="1:20" s="13" customFormat="1" ht="15.75" thickBot="1" x14ac:dyDescent="0.3">
      <c r="A18" s="10">
        <v>2600</v>
      </c>
      <c r="B18" s="11">
        <v>5</v>
      </c>
      <c r="C18" s="11">
        <v>20</v>
      </c>
      <c r="D18" s="11">
        <v>1.5</v>
      </c>
      <c r="E18" s="12">
        <f t="shared" si="0"/>
        <v>114.67892650064434</v>
      </c>
      <c r="G18" s="10">
        <v>2600</v>
      </c>
      <c r="H18" s="11">
        <v>5</v>
      </c>
      <c r="I18" s="61">
        <v>30</v>
      </c>
      <c r="J18" s="11">
        <v>1.5</v>
      </c>
      <c r="K18" s="12">
        <f t="shared" si="1"/>
        <v>114.67900814612173</v>
      </c>
      <c r="N18" s="53"/>
      <c r="O18" s="53"/>
      <c r="P18" s="67"/>
      <c r="Q18" s="53"/>
      <c r="R18" s="53"/>
      <c r="S18" s="54"/>
    </row>
    <row r="19" spans="1:20" s="13" customFormat="1" x14ac:dyDescent="0.25">
      <c r="A19" s="53"/>
      <c r="B19" s="53"/>
      <c r="C19" s="53"/>
      <c r="D19" s="53"/>
      <c r="E19" s="54"/>
    </row>
    <row r="20" spans="1:20" ht="15.75" thickBot="1" x14ac:dyDescent="0.3">
      <c r="A20" s="70" t="s">
        <v>43</v>
      </c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</row>
    <row r="21" spans="1:20" s="15" customFormat="1" ht="45" x14ac:dyDescent="0.25">
      <c r="A21" s="1" t="s">
        <v>2</v>
      </c>
      <c r="B21" s="2" t="s">
        <v>5</v>
      </c>
      <c r="C21" s="2" t="s">
        <v>6</v>
      </c>
      <c r="D21" s="2" t="s">
        <v>1</v>
      </c>
      <c r="E21" s="2" t="s">
        <v>7</v>
      </c>
      <c r="F21" s="2" t="s">
        <v>3</v>
      </c>
      <c r="G21" s="2" t="s">
        <v>4</v>
      </c>
      <c r="H21" s="2" t="s">
        <v>8</v>
      </c>
      <c r="I21" s="2" t="s">
        <v>9</v>
      </c>
      <c r="J21" s="2" t="s">
        <v>10</v>
      </c>
      <c r="K21" s="2" t="s">
        <v>11</v>
      </c>
      <c r="L21" s="2" t="s">
        <v>12</v>
      </c>
      <c r="M21" s="2" t="s">
        <v>13</v>
      </c>
      <c r="N21" s="14" t="s">
        <v>14</v>
      </c>
      <c r="P21" s="1" t="s">
        <v>10</v>
      </c>
      <c r="Q21" s="2" t="s">
        <v>11</v>
      </c>
      <c r="R21" s="2" t="s">
        <v>13</v>
      </c>
      <c r="S21" s="47"/>
    </row>
    <row r="22" spans="1:20" x14ac:dyDescent="0.25">
      <c r="A22" s="5" t="s">
        <v>15</v>
      </c>
      <c r="B22" s="6" t="s">
        <v>16</v>
      </c>
      <c r="C22" s="6">
        <v>1</v>
      </c>
      <c r="D22" s="6">
        <v>800</v>
      </c>
      <c r="E22" s="6">
        <v>0.02</v>
      </c>
      <c r="F22" s="6">
        <v>20</v>
      </c>
      <c r="G22" s="6">
        <v>1.5</v>
      </c>
      <c r="H22" s="6">
        <f t="shared" ref="H22:H53" si="2">MIN(F22,G22)</f>
        <v>1.5</v>
      </c>
      <c r="I22" s="6">
        <f t="shared" ref="I22:I53" si="3">MAX(F22,G22)</f>
        <v>20</v>
      </c>
      <c r="J22" s="16"/>
      <c r="K22" s="16"/>
      <c r="L22" s="6">
        <v>1</v>
      </c>
      <c r="M22" s="6"/>
      <c r="N22" s="62">
        <f>32.4+(20*LOG($D$22))+(10*LOG(POWER($E$22,2)+POWER(($I$22-$H$22),2)/(POWER(10,6))))</f>
        <v>59.167301802519702</v>
      </c>
      <c r="P22" s="48"/>
      <c r="Q22" s="36"/>
      <c r="R22" s="36"/>
      <c r="S22" s="17">
        <f>32.4+(20*LOG($D$22))+(10*LOG(POWER($E$22,2)+POWER(($I$22-$H$22),2)/(POWER(10,6))))</f>
        <v>59.167301802519702</v>
      </c>
      <c r="T22" s="51"/>
    </row>
    <row r="23" spans="1:20" x14ac:dyDescent="0.25">
      <c r="A23" s="5" t="s">
        <v>17</v>
      </c>
      <c r="B23" s="6" t="s">
        <v>16</v>
      </c>
      <c r="C23" s="6">
        <v>1</v>
      </c>
      <c r="D23" s="6">
        <v>100</v>
      </c>
      <c r="E23" s="6">
        <v>0.2</v>
      </c>
      <c r="F23" s="6">
        <v>20</v>
      </c>
      <c r="G23" s="6">
        <v>1.5</v>
      </c>
      <c r="H23" s="6">
        <f t="shared" si="2"/>
        <v>1.5</v>
      </c>
      <c r="I23" s="6">
        <f t="shared" si="3"/>
        <v>20</v>
      </c>
      <c r="J23" s="16">
        <f>(1.1*LOG($D23)-0.7)*MIN(10,$H23)-(1.56*LOG($D23)-0.8)+MAX(0,20*LOG($H23/10))</f>
        <v>-6.999999999999984E-2</v>
      </c>
      <c r="K23" s="16">
        <f>MIN(0,20*LOG($I23/30))</f>
        <v>-3.5218251811136252</v>
      </c>
      <c r="L23" s="6">
        <v>1</v>
      </c>
      <c r="M23" s="6"/>
      <c r="N23" s="62">
        <f>69.6+26.2*LOG(150)-20*LOG(150/$D$23)-13.82*LOG(MAX(30,$I$23))+(44.9-6.55*LOG(MAX(30,$I$23)))*POWER((LOG($E$23)),$L$23)-$P$23-$Q$23</f>
        <v>81.648657648642157</v>
      </c>
      <c r="P23" s="48">
        <f>(1.1*LOG($D23)-0.7)*MIN(10,$H23)-(1.56*LOG($D23)-0.8)+MAX(0,20*LOG($H23/10))</f>
        <v>-6.999999999999984E-2</v>
      </c>
      <c r="Q23" s="16">
        <f>MIN(0,20*LOG($I23/30))</f>
        <v>-3.5218251811136252</v>
      </c>
      <c r="R23" s="16"/>
      <c r="S23" s="17">
        <f>69.6+26.2*LOG(150)-20*LOG(150/$D$23)-13.82*LOG(MAX(30,$I$23))+(44.9-6.55*LOG(MAX(30,$I$23)))*POWER((LOG($E$23)),$L$23)-$P$23-$Q$23</f>
        <v>81.648657648642157</v>
      </c>
      <c r="T23" s="51"/>
    </row>
    <row r="24" spans="1:20" x14ac:dyDescent="0.25">
      <c r="A24" s="5" t="s">
        <v>17</v>
      </c>
      <c r="B24" s="6" t="s">
        <v>16</v>
      </c>
      <c r="C24" s="6">
        <v>0</v>
      </c>
      <c r="D24" s="6">
        <v>100</v>
      </c>
      <c r="E24" s="6">
        <v>0.2</v>
      </c>
      <c r="F24" s="6">
        <v>20</v>
      </c>
      <c r="G24" s="6">
        <v>1.5</v>
      </c>
      <c r="H24" s="6">
        <f t="shared" si="2"/>
        <v>1.5</v>
      </c>
      <c r="I24" s="6">
        <f t="shared" si="3"/>
        <v>20</v>
      </c>
      <c r="J24" s="16">
        <f t="shared" ref="J24:J53" si="4">(1.1*LOG($D24)-0.7)*MIN(10,$H24)-(1.56*LOG($D24)-0.8)+MAX(0,20*LOG($H24/10))</f>
        <v>-6.999999999999984E-2</v>
      </c>
      <c r="K24" s="16">
        <f t="shared" ref="K24:K53" si="5">MIN(0,20*LOG($I24/30))</f>
        <v>-3.5218251811136252</v>
      </c>
      <c r="L24" s="6">
        <v>1</v>
      </c>
      <c r="M24" s="6"/>
      <c r="N24" s="62">
        <f>69.6+26.2*LOG(150)-20*LOG(150/$D$24)-13.82*LOG(MAX(30,$I$24))+(44.9-6.55*LOG(MAX(30,$I$24)))*POWER((LOG($E$24)),$L$24)-$P$24-$Q$24</f>
        <v>81.648657648642157</v>
      </c>
      <c r="P24" s="48">
        <f t="shared" ref="P24:P53" si="6">(1.1*LOG($D24)-0.7)*MIN(10,$H24)-(1.56*LOG($D24)-0.8)+MAX(0,20*LOG($H24/10))</f>
        <v>-6.999999999999984E-2</v>
      </c>
      <c r="Q24" s="16">
        <f t="shared" ref="Q24:Q53" si="7">MIN(0,20*LOG($I24/30))</f>
        <v>-3.5218251811136252</v>
      </c>
      <c r="R24" s="16"/>
      <c r="S24" s="17">
        <f>69.6+26.2*LOG(150)-20*LOG(150/$D$24)-13.82*LOG(MAX(30,$I$24))+(44.9-6.55*LOG(MAX(30,$I$24)))*POWER((LOG($E$24)),$L$24)-$P$24-$Q$24</f>
        <v>81.648657648642157</v>
      </c>
      <c r="T24" s="51"/>
    </row>
    <row r="25" spans="1:20" x14ac:dyDescent="0.25">
      <c r="A25" s="5" t="s">
        <v>17</v>
      </c>
      <c r="B25" s="6" t="s">
        <v>16</v>
      </c>
      <c r="C25" s="6">
        <v>1</v>
      </c>
      <c r="D25" s="6">
        <v>800</v>
      </c>
      <c r="E25" s="6">
        <v>0.2</v>
      </c>
      <c r="F25" s="6">
        <v>20</v>
      </c>
      <c r="G25" s="6">
        <v>1.5</v>
      </c>
      <c r="H25" s="6">
        <f t="shared" si="2"/>
        <v>1.5</v>
      </c>
      <c r="I25" s="6">
        <f t="shared" si="3"/>
        <v>20</v>
      </c>
      <c r="J25" s="16">
        <f t="shared" si="4"/>
        <v>1.1278098829275329E-2</v>
      </c>
      <c r="K25" s="16">
        <f t="shared" si="5"/>
        <v>-3.5218251811136252</v>
      </c>
      <c r="L25" s="6">
        <v>1</v>
      </c>
      <c r="M25" s="6"/>
      <c r="N25" s="62">
        <f>69.6+26.2*LOG($D$25)-13.82*LOG(MAX(30,$I$25))+(44.9-6.55*LOG(MAX(30,$I$25)))*POWER((LOG($E$25)),$L$25)-$P$25-$Q$25</f>
        <v>104.13657140285657</v>
      </c>
      <c r="P25" s="48">
        <f t="shared" si="6"/>
        <v>1.1278098829275329E-2</v>
      </c>
      <c r="Q25" s="16">
        <f t="shared" si="7"/>
        <v>-3.5218251811136252</v>
      </c>
      <c r="R25" s="16"/>
      <c r="S25" s="17">
        <f>69.6+26.2*LOG($D$25)-13.82*LOG(MAX(30,$I$25))+(44.9-6.55*LOG(MAX(30,$I$25)))*POWER((LOG($E$25)),$L$25)-$P$25-$Q$25</f>
        <v>104.13657140285657</v>
      </c>
      <c r="T25" s="51"/>
    </row>
    <row r="26" spans="1:20" x14ac:dyDescent="0.25">
      <c r="A26" s="5" t="s">
        <v>17</v>
      </c>
      <c r="B26" s="6" t="s">
        <v>16</v>
      </c>
      <c r="C26" s="6">
        <v>0</v>
      </c>
      <c r="D26" s="6">
        <v>800</v>
      </c>
      <c r="E26" s="6">
        <v>0.2</v>
      </c>
      <c r="F26" s="6">
        <v>20</v>
      </c>
      <c r="G26" s="6">
        <v>1.5</v>
      </c>
      <c r="H26" s="6">
        <f t="shared" si="2"/>
        <v>1.5</v>
      </c>
      <c r="I26" s="6">
        <f t="shared" si="3"/>
        <v>20</v>
      </c>
      <c r="J26" s="16">
        <f t="shared" si="4"/>
        <v>1.1278098829275329E-2</v>
      </c>
      <c r="K26" s="16">
        <f t="shared" si="5"/>
        <v>-3.5218251811136252</v>
      </c>
      <c r="L26" s="6">
        <v>1</v>
      </c>
      <c r="M26" s="6"/>
      <c r="N26" s="62">
        <f>69.6+26.2*LOG($D$26)-13.82*LOG(MAX(30,$I$26))+(44.9-6.55*LOG(MAX(30,$I$26)))*POWER((LOG($E$26)),$L$26)-$P$26-$Q$26</f>
        <v>104.13657140285657</v>
      </c>
      <c r="P26" s="48">
        <f t="shared" si="6"/>
        <v>1.1278098829275329E-2</v>
      </c>
      <c r="Q26" s="16">
        <f t="shared" si="7"/>
        <v>-3.5218251811136252</v>
      </c>
      <c r="R26" s="16"/>
      <c r="S26" s="17">
        <f>69.6+26.2*LOG($D$26)-13.82*LOG(MAX(30,$I$26))+(44.9-6.55*LOG(MAX(30,$I$26)))*POWER((LOG($E$26)),$L$26)-$P$26-$Q$26</f>
        <v>104.13657140285657</v>
      </c>
      <c r="T26" s="51"/>
    </row>
    <row r="27" spans="1:20" x14ac:dyDescent="0.25">
      <c r="A27" s="5" t="s">
        <v>17</v>
      </c>
      <c r="B27" s="6" t="s">
        <v>16</v>
      </c>
      <c r="C27" s="6">
        <v>1</v>
      </c>
      <c r="D27" s="6">
        <v>1800</v>
      </c>
      <c r="E27" s="6">
        <v>0.2</v>
      </c>
      <c r="F27" s="6">
        <v>20</v>
      </c>
      <c r="G27" s="6">
        <v>1.5</v>
      </c>
      <c r="H27" s="6">
        <f t="shared" si="2"/>
        <v>1.5</v>
      </c>
      <c r="I27" s="6">
        <f t="shared" si="3"/>
        <v>20</v>
      </c>
      <c r="J27" s="16">
        <f t="shared" si="4"/>
        <v>4.2974525459298363E-2</v>
      </c>
      <c r="K27" s="16">
        <f t="shared" si="5"/>
        <v>-3.5218251811136252</v>
      </c>
      <c r="L27" s="6">
        <v>1</v>
      </c>
      <c r="M27" s="6"/>
      <c r="N27" s="62">
        <f>46.3+33.9*LOG($D$27)-13.82*LOG(MAX(30,$I$27))+(44.9-6.55*LOG(MAX(30,$I$27)))*POWER((LOG($E$27)),$L$27)-$P$27-$Q$27</f>
        <v>115.0976552400397</v>
      </c>
      <c r="P27" s="48">
        <f t="shared" si="6"/>
        <v>4.2974525459298363E-2</v>
      </c>
      <c r="Q27" s="16">
        <f t="shared" si="7"/>
        <v>-3.5218251811136252</v>
      </c>
      <c r="R27" s="16"/>
      <c r="S27" s="17">
        <f>46.3+33.9*LOG($D$27)-13.82*LOG(MAX(30,$I$27))+(44.9-6.55*LOG(MAX(30,$I$27)))*POWER((LOG($E$27)),$L$27)-$P$27-$Q$27</f>
        <v>115.0976552400397</v>
      </c>
      <c r="T27" s="51"/>
    </row>
    <row r="28" spans="1:20" x14ac:dyDescent="0.25">
      <c r="A28" s="5" t="s">
        <v>17</v>
      </c>
      <c r="B28" s="6" t="s">
        <v>16</v>
      </c>
      <c r="C28" s="6">
        <v>0</v>
      </c>
      <c r="D28" s="6">
        <v>1800</v>
      </c>
      <c r="E28" s="6">
        <v>0.2</v>
      </c>
      <c r="F28" s="6">
        <v>20</v>
      </c>
      <c r="G28" s="6">
        <v>1.5</v>
      </c>
      <c r="H28" s="6">
        <f t="shared" si="2"/>
        <v>1.5</v>
      </c>
      <c r="I28" s="6">
        <f t="shared" si="3"/>
        <v>20</v>
      </c>
      <c r="J28" s="16">
        <f t="shared" si="4"/>
        <v>4.2974525459298363E-2</v>
      </c>
      <c r="K28" s="16">
        <f t="shared" si="5"/>
        <v>-3.5218251811136252</v>
      </c>
      <c r="L28" s="6">
        <v>1</v>
      </c>
      <c r="M28" s="6"/>
      <c r="N28" s="62">
        <f>46.3+33.9*LOG($D$28)-13.82*LOG(MAX(30,$I$28))+(44.9-6.55*LOG(MAX(30,$I$28)))*POWER((LOG($E$28)),$L$28)-$P$28-$Q$28</f>
        <v>115.0976552400397</v>
      </c>
      <c r="P28" s="48">
        <f t="shared" si="6"/>
        <v>4.2974525459298363E-2</v>
      </c>
      <c r="Q28" s="16">
        <f t="shared" si="7"/>
        <v>-3.5218251811136252</v>
      </c>
      <c r="R28" s="16"/>
      <c r="S28" s="17">
        <f>46.3+33.9*LOG($D$28)-13.82*LOG(MAX(30,$I$28))+(44.9-6.55*LOG(MAX(30,$I$28)))*POWER((LOG($E$28)),$L$28)-$P$28-$Q$28</f>
        <v>115.0976552400397</v>
      </c>
      <c r="T28" s="51"/>
    </row>
    <row r="29" spans="1:20" x14ac:dyDescent="0.25">
      <c r="A29" s="5" t="s">
        <v>17</v>
      </c>
      <c r="B29" s="6" t="s">
        <v>16</v>
      </c>
      <c r="C29" s="6">
        <v>1</v>
      </c>
      <c r="D29" s="6">
        <v>2100</v>
      </c>
      <c r="E29" s="6">
        <v>0.2</v>
      </c>
      <c r="F29" s="6">
        <v>20</v>
      </c>
      <c r="G29" s="6">
        <v>1.5</v>
      </c>
      <c r="H29" s="6">
        <f t="shared" si="2"/>
        <v>1.5</v>
      </c>
      <c r="I29" s="6">
        <f t="shared" si="3"/>
        <v>20</v>
      </c>
      <c r="J29" s="16">
        <f t="shared" si="4"/>
        <v>4.8999736526052828E-2</v>
      </c>
      <c r="K29" s="16">
        <f t="shared" si="5"/>
        <v>-3.5218251811136252</v>
      </c>
      <c r="L29" s="18">
        <v>1</v>
      </c>
      <c r="M29" s="6"/>
      <c r="N29" s="62">
        <f>46.3+33.9*LOG(2000)+10*LOG($D$29/2000)-13.82*LOG(MAX(30,$I$29))+(44.9-6.55*LOG(MAX(30,$I$29)))*POWER((LOG($E$29)),$L$29)-$P$29-$Q$29</f>
        <v>116.85470194967921</v>
      </c>
      <c r="P29" s="48">
        <f t="shared" si="6"/>
        <v>4.8999736526052828E-2</v>
      </c>
      <c r="Q29" s="16">
        <f t="shared" si="7"/>
        <v>-3.5218251811136252</v>
      </c>
      <c r="R29" s="16"/>
      <c r="S29" s="17">
        <f>46.3+33.9*LOG(2000)+10*LOG($D$29/2000)-13.82*LOG(MAX(30,$I$29))+(44.9-6.55*LOG(MAX(30,$I$29)))*POWER((LOG($E$29)),$L$29)-$P$29-$Q$29</f>
        <v>116.85470194967921</v>
      </c>
      <c r="T29" s="51"/>
    </row>
    <row r="30" spans="1:20" x14ac:dyDescent="0.25">
      <c r="A30" s="5" t="s">
        <v>17</v>
      </c>
      <c r="B30" s="6" t="s">
        <v>16</v>
      </c>
      <c r="C30" s="6">
        <v>0</v>
      </c>
      <c r="D30" s="6">
        <v>2100</v>
      </c>
      <c r="E30" s="6">
        <v>0.2</v>
      </c>
      <c r="F30" s="6">
        <v>20</v>
      </c>
      <c r="G30" s="6">
        <v>1.5</v>
      </c>
      <c r="H30" s="6">
        <f t="shared" si="2"/>
        <v>1.5</v>
      </c>
      <c r="I30" s="6">
        <f t="shared" si="3"/>
        <v>20</v>
      </c>
      <c r="J30" s="16">
        <f t="shared" si="4"/>
        <v>4.8999736526052828E-2</v>
      </c>
      <c r="K30" s="16">
        <f t="shared" si="5"/>
        <v>-3.5218251811136252</v>
      </c>
      <c r="L30" s="6">
        <v>1</v>
      </c>
      <c r="M30" s="6"/>
      <c r="N30" s="62">
        <f>46.3+33.9*LOG(2000)+10*LOG($D$30/2000)-13.82*LOG(MAX(30,$I$30))+(44.9-6.55*LOG(MAX(30,$I$30)))*POWER((LOG($E$30)),$L$30)-$P$30-$Q$30</f>
        <v>116.85470194967921</v>
      </c>
      <c r="P30" s="48">
        <f t="shared" si="6"/>
        <v>4.8999736526052828E-2</v>
      </c>
      <c r="Q30" s="16">
        <f t="shared" si="7"/>
        <v>-3.5218251811136252</v>
      </c>
      <c r="R30" s="16"/>
      <c r="S30" s="17">
        <f>46.3+33.9*LOG(2000)+10*LOG($D$30/2000)-13.82*LOG(MAX(30,$I$30))+(44.9-6.55*LOG(MAX(30,$I$30)))*POWER((LOG($E$30)),$L$30)-$P$30-$Q$30</f>
        <v>116.85470194967921</v>
      </c>
      <c r="T30" s="51"/>
    </row>
    <row r="31" spans="1:20" x14ac:dyDescent="0.25">
      <c r="A31" s="5" t="s">
        <v>17</v>
      </c>
      <c r="B31" s="6" t="s">
        <v>18</v>
      </c>
      <c r="C31" s="6">
        <v>1</v>
      </c>
      <c r="D31" s="6">
        <v>800</v>
      </c>
      <c r="E31" s="6">
        <v>0.2</v>
      </c>
      <c r="F31" s="6">
        <v>20</v>
      </c>
      <c r="G31" s="6">
        <v>1.5</v>
      </c>
      <c r="H31" s="6">
        <f t="shared" si="2"/>
        <v>1.5</v>
      </c>
      <c r="I31" s="6">
        <f t="shared" si="3"/>
        <v>20</v>
      </c>
      <c r="J31" s="16">
        <f t="shared" si="4"/>
        <v>1.1278098829275329E-2</v>
      </c>
      <c r="K31" s="16">
        <f t="shared" si="5"/>
        <v>-3.5218251811136252</v>
      </c>
      <c r="L31" s="6">
        <v>1</v>
      </c>
      <c r="M31" s="6"/>
      <c r="N31" s="62">
        <f>$S$25-2*POWER((LOG((MIN(MAX(150,$D$31),2000))/28)),2)-5.4</f>
        <v>94.49709568389251</v>
      </c>
      <c r="P31" s="48">
        <f t="shared" si="6"/>
        <v>1.1278098829275329E-2</v>
      </c>
      <c r="Q31" s="16">
        <f t="shared" si="7"/>
        <v>-3.5218251811136252</v>
      </c>
      <c r="R31" s="16"/>
      <c r="S31" s="17">
        <f>$S$25-2*POWER((LOG((MIN(MAX(150,$D$31),2000))/28)),2)-5.4</f>
        <v>94.49709568389251</v>
      </c>
      <c r="T31" s="51"/>
    </row>
    <row r="32" spans="1:20" x14ac:dyDescent="0.25">
      <c r="A32" s="5" t="s">
        <v>17</v>
      </c>
      <c r="B32" s="6" t="s">
        <v>18</v>
      </c>
      <c r="C32" s="6">
        <v>0</v>
      </c>
      <c r="D32" s="6">
        <v>800</v>
      </c>
      <c r="E32" s="6">
        <v>0.2</v>
      </c>
      <c r="F32" s="6">
        <v>20</v>
      </c>
      <c r="G32" s="6">
        <v>1.5</v>
      </c>
      <c r="H32" s="6">
        <f t="shared" si="2"/>
        <v>1.5</v>
      </c>
      <c r="I32" s="6">
        <f t="shared" si="3"/>
        <v>20</v>
      </c>
      <c r="J32" s="16">
        <f t="shared" si="4"/>
        <v>1.1278098829275329E-2</v>
      </c>
      <c r="K32" s="16">
        <f t="shared" si="5"/>
        <v>-3.5218251811136252</v>
      </c>
      <c r="L32" s="6">
        <v>1</v>
      </c>
      <c r="M32" s="6"/>
      <c r="N32" s="62">
        <f>$S$26-2*POWER((LOG((MIN(MAX(150,$D$32),2000))/28)),2)-5.4</f>
        <v>94.49709568389251</v>
      </c>
      <c r="P32" s="48">
        <f t="shared" si="6"/>
        <v>1.1278098829275329E-2</v>
      </c>
      <c r="Q32" s="16">
        <f t="shared" si="7"/>
        <v>-3.5218251811136252</v>
      </c>
      <c r="R32" s="16"/>
      <c r="S32" s="17">
        <f>$S$26-2*POWER((LOG((MIN(MAX(150,$D$32),2000))/28)),2)-5.4</f>
        <v>94.49709568389251</v>
      </c>
      <c r="T32" s="51"/>
    </row>
    <row r="33" spans="1:20" x14ac:dyDescent="0.25">
      <c r="A33" s="5" t="s">
        <v>17</v>
      </c>
      <c r="B33" s="6" t="s">
        <v>18</v>
      </c>
      <c r="C33" s="6">
        <v>1</v>
      </c>
      <c r="D33" s="6">
        <v>800</v>
      </c>
      <c r="E33" s="6">
        <v>0.5</v>
      </c>
      <c r="F33" s="6">
        <v>20</v>
      </c>
      <c r="G33" s="6">
        <v>1.5</v>
      </c>
      <c r="H33" s="6">
        <f t="shared" si="2"/>
        <v>1.5</v>
      </c>
      <c r="I33" s="6">
        <f t="shared" si="3"/>
        <v>20</v>
      </c>
      <c r="J33" s="16">
        <f t="shared" si="4"/>
        <v>1.1278098829275329E-2</v>
      </c>
      <c r="K33" s="16">
        <f t="shared" si="5"/>
        <v>-3.5218251811136252</v>
      </c>
      <c r="L33" s="6">
        <v>1</v>
      </c>
      <c r="M33" s="6"/>
      <c r="N33" s="62">
        <f>$S$36-2*POWER((LOG((MIN(MAX(150,$D$33),2000))/28)),2)-5.4</f>
        <v>108.5144750990882</v>
      </c>
      <c r="P33" s="48">
        <f t="shared" si="6"/>
        <v>1.1278098829275329E-2</v>
      </c>
      <c r="Q33" s="16">
        <f t="shared" si="7"/>
        <v>-3.5218251811136252</v>
      </c>
      <c r="R33" s="16"/>
      <c r="S33" s="17">
        <f>$S$36-2*POWER((LOG((MIN(MAX(150,$D$33),2000))/28)),2)-5.4</f>
        <v>108.5144750990882</v>
      </c>
      <c r="T33" s="51"/>
    </row>
    <row r="34" spans="1:20" x14ac:dyDescent="0.25">
      <c r="A34" s="5" t="s">
        <v>17</v>
      </c>
      <c r="B34" s="6" t="s">
        <v>18</v>
      </c>
      <c r="C34" s="6">
        <v>0</v>
      </c>
      <c r="D34" s="6">
        <v>800</v>
      </c>
      <c r="E34" s="6">
        <v>0.5</v>
      </c>
      <c r="F34" s="6">
        <v>20</v>
      </c>
      <c r="G34" s="6">
        <v>1.5</v>
      </c>
      <c r="H34" s="6">
        <f t="shared" si="2"/>
        <v>1.5</v>
      </c>
      <c r="I34" s="6">
        <f t="shared" si="3"/>
        <v>20</v>
      </c>
      <c r="J34" s="16">
        <f t="shared" si="4"/>
        <v>1.1278098829275329E-2</v>
      </c>
      <c r="K34" s="16">
        <f t="shared" si="5"/>
        <v>-3.5218251811136252</v>
      </c>
      <c r="L34" s="6">
        <v>1</v>
      </c>
      <c r="M34" s="6"/>
      <c r="N34" s="62">
        <f>$S$37-2*POWER((LOG((MIN(MAX(150,$D$34),2000))/28)),2)-5.4</f>
        <v>108.5144750990882</v>
      </c>
      <c r="P34" s="48">
        <f t="shared" si="6"/>
        <v>1.1278098829275329E-2</v>
      </c>
      <c r="Q34" s="16">
        <f t="shared" si="7"/>
        <v>-3.5218251811136252</v>
      </c>
      <c r="R34" s="16"/>
      <c r="S34" s="17">
        <f>$S$37-2*POWER((LOG((MIN(MAX(150,$D$34),2000))/28)),2)-5.4</f>
        <v>108.5144750990882</v>
      </c>
      <c r="T34" s="51"/>
    </row>
    <row r="35" spans="1:20" x14ac:dyDescent="0.25">
      <c r="A35" s="5" t="s">
        <v>17</v>
      </c>
      <c r="B35" s="6" t="s">
        <v>19</v>
      </c>
      <c r="C35" s="6">
        <v>1</v>
      </c>
      <c r="D35" s="6">
        <v>1800</v>
      </c>
      <c r="E35" s="6">
        <v>0.2</v>
      </c>
      <c r="F35" s="6">
        <v>20</v>
      </c>
      <c r="G35" s="6">
        <v>1.5</v>
      </c>
      <c r="H35" s="6">
        <f t="shared" si="2"/>
        <v>1.5</v>
      </c>
      <c r="I35" s="6">
        <f t="shared" si="3"/>
        <v>20</v>
      </c>
      <c r="J35" s="16">
        <f t="shared" si="4"/>
        <v>4.2974525459298363E-2</v>
      </c>
      <c r="K35" s="16">
        <f t="shared" si="5"/>
        <v>-3.5218251811136252</v>
      </c>
      <c r="L35" s="6">
        <v>1</v>
      </c>
      <c r="M35" s="6"/>
      <c r="N35" s="62">
        <f>$S$27-4.78*POWER(LOG(   MIN( MAX(150, $D$35),2000) ),2)+18.33*LOG(MIN(MAX(150,$D$35),2000))-40.94</f>
        <v>83.17410064432147</v>
      </c>
      <c r="P35" s="48">
        <f t="shared" si="6"/>
        <v>4.2974525459298363E-2</v>
      </c>
      <c r="Q35" s="16">
        <f t="shared" si="7"/>
        <v>-3.5218251811136252</v>
      </c>
      <c r="R35" s="16"/>
      <c r="S35" s="17">
        <f>$S$27-4.78*POWER(LOG(   MIN( MAX(150, $D$35),2000) ),2)+18.33*LOG(MIN(MAX(150,$D$35),2000))-40.94</f>
        <v>83.17410064432147</v>
      </c>
      <c r="T35" s="51"/>
    </row>
    <row r="36" spans="1:20" x14ac:dyDescent="0.25">
      <c r="A36" s="55" t="s">
        <v>17</v>
      </c>
      <c r="B36" s="56" t="s">
        <v>16</v>
      </c>
      <c r="C36" s="56">
        <v>1</v>
      </c>
      <c r="D36" s="56">
        <v>800</v>
      </c>
      <c r="E36" s="56">
        <v>0.5</v>
      </c>
      <c r="F36" s="56">
        <v>20</v>
      </c>
      <c r="G36" s="56">
        <v>1.5</v>
      </c>
      <c r="H36" s="56">
        <f t="shared" si="2"/>
        <v>1.5</v>
      </c>
      <c r="I36" s="56">
        <f t="shared" si="3"/>
        <v>20</v>
      </c>
      <c r="J36" s="57">
        <f t="shared" si="4"/>
        <v>1.1278098829275329E-2</v>
      </c>
      <c r="K36" s="57">
        <f t="shared" si="5"/>
        <v>-3.5218251811136252</v>
      </c>
      <c r="L36" s="56">
        <v>1</v>
      </c>
      <c r="M36" s="56"/>
      <c r="N36" s="63">
        <f>69.6+26.2*LOG($D$36)-13.82*LOG(MAX(30,$I$36))+(44.9-6.55*LOG(MAX(30,$I$36)))*POWER((LOG($E$36)),$L$36)-$P$36-$Q$36</f>
        <v>118.15395081805227</v>
      </c>
      <c r="O36" s="59"/>
      <c r="P36" s="60">
        <f t="shared" si="6"/>
        <v>1.1278098829275329E-2</v>
      </c>
      <c r="Q36" s="57">
        <f t="shared" si="7"/>
        <v>-3.5218251811136252</v>
      </c>
      <c r="R36" s="57"/>
      <c r="S36" s="58">
        <f>69.6+26.2*LOG($D$36)-13.82*LOG(MAX(30,$I$36))+(44.9-6.55*LOG(MAX(30,$I$36)))*POWER((LOG($E$36)),$L$36)-$P$36-$Q$36</f>
        <v>118.15395081805227</v>
      </c>
      <c r="T36" s="51"/>
    </row>
    <row r="37" spans="1:20" x14ac:dyDescent="0.25">
      <c r="A37" s="55" t="s">
        <v>17</v>
      </c>
      <c r="B37" s="56" t="s">
        <v>16</v>
      </c>
      <c r="C37" s="56">
        <v>0</v>
      </c>
      <c r="D37" s="56">
        <v>800</v>
      </c>
      <c r="E37" s="56">
        <v>0.5</v>
      </c>
      <c r="F37" s="56">
        <v>20</v>
      </c>
      <c r="G37" s="56">
        <v>1.5</v>
      </c>
      <c r="H37" s="56">
        <f t="shared" si="2"/>
        <v>1.5</v>
      </c>
      <c r="I37" s="56">
        <f t="shared" si="3"/>
        <v>20</v>
      </c>
      <c r="J37" s="57">
        <f t="shared" si="4"/>
        <v>1.1278098829275329E-2</v>
      </c>
      <c r="K37" s="57">
        <f t="shared" si="5"/>
        <v>-3.5218251811136252</v>
      </c>
      <c r="L37" s="56">
        <v>1</v>
      </c>
      <c r="M37" s="56"/>
      <c r="N37" s="63">
        <f>69.6+26.2*LOG($D$37)-13.82*LOG(MAX(30,$I$37))+(44.9-6.55*LOG(MAX(30,$I$37)))*POWER((LOG($E$37)),$L$37)-$P$37-$Q$37</f>
        <v>118.15395081805227</v>
      </c>
      <c r="O37" s="59"/>
      <c r="P37" s="60">
        <f t="shared" si="6"/>
        <v>1.1278098829275329E-2</v>
      </c>
      <c r="Q37" s="57">
        <f t="shared" si="7"/>
        <v>-3.5218251811136252</v>
      </c>
      <c r="R37" s="57"/>
      <c r="S37" s="58">
        <f>69.6+26.2*LOG($D$37)-13.82*LOG(MAX(30,$I$37))+(44.9-6.55*LOG(MAX(30,$I$37)))*POWER((LOG($E$37)),$L$37)-$P$37-$Q$37</f>
        <v>118.15395081805227</v>
      </c>
      <c r="T37" s="51"/>
    </row>
    <row r="38" spans="1:20" x14ac:dyDescent="0.25">
      <c r="A38" s="5" t="s">
        <v>17</v>
      </c>
      <c r="B38" s="6" t="s">
        <v>16</v>
      </c>
      <c r="C38" s="6">
        <v>1</v>
      </c>
      <c r="D38" s="6">
        <v>1800</v>
      </c>
      <c r="E38" s="6">
        <v>0.5</v>
      </c>
      <c r="F38" s="6">
        <v>20</v>
      </c>
      <c r="G38" s="6">
        <v>1.5</v>
      </c>
      <c r="H38" s="6">
        <f t="shared" si="2"/>
        <v>1.5</v>
      </c>
      <c r="I38" s="6">
        <f t="shared" si="3"/>
        <v>20</v>
      </c>
      <c r="J38" s="16">
        <f t="shared" si="4"/>
        <v>4.2974525459298363E-2</v>
      </c>
      <c r="K38" s="16">
        <f t="shared" si="5"/>
        <v>-3.5218251811136252</v>
      </c>
      <c r="L38" s="6">
        <v>1</v>
      </c>
      <c r="M38" s="6"/>
      <c r="N38" s="62">
        <f>46.3+33.9*LOG($D$38)-13.82*LOG(MAX(30,$I$38))+(44.9-6.55*LOG(MAX(30,$I$38)))*POWER((LOG($E$38)),$L$38)-$P$38-$Q$38</f>
        <v>129.11503465523538</v>
      </c>
      <c r="P38" s="48">
        <f t="shared" si="6"/>
        <v>4.2974525459298363E-2</v>
      </c>
      <c r="Q38" s="16">
        <f t="shared" si="7"/>
        <v>-3.5218251811136252</v>
      </c>
      <c r="R38" s="16"/>
      <c r="S38" s="17">
        <f>46.3+33.9*LOG($D$38)-13.82*LOG(MAX(30,$I$38))+(44.9-6.55*LOG(MAX(30,$I$38)))*POWER((LOG($E$38)),$L$38)-$P$38-$Q$38</f>
        <v>129.11503465523538</v>
      </c>
      <c r="T38" s="51"/>
    </row>
    <row r="39" spans="1:20" x14ac:dyDescent="0.25">
      <c r="A39" s="5" t="s">
        <v>17</v>
      </c>
      <c r="B39" s="6" t="s">
        <v>16</v>
      </c>
      <c r="C39" s="6">
        <v>0</v>
      </c>
      <c r="D39" s="6">
        <v>1800</v>
      </c>
      <c r="E39" s="6">
        <v>0.5</v>
      </c>
      <c r="F39" s="6">
        <v>20</v>
      </c>
      <c r="G39" s="6">
        <v>1.5</v>
      </c>
      <c r="H39" s="6">
        <f t="shared" si="2"/>
        <v>1.5</v>
      </c>
      <c r="I39" s="6">
        <f t="shared" si="3"/>
        <v>20</v>
      </c>
      <c r="J39" s="16">
        <f t="shared" si="4"/>
        <v>4.2974525459298363E-2</v>
      </c>
      <c r="K39" s="16">
        <f t="shared" si="5"/>
        <v>-3.5218251811136252</v>
      </c>
      <c r="L39" s="6">
        <v>1</v>
      </c>
      <c r="M39" s="6"/>
      <c r="N39" s="62">
        <f>46.3+33.9*LOG($D$39)-13.82*LOG(MAX(30,$I$39))+(44.9-6.55*LOG(MAX(30,$I$39)))*POWER((LOG($E$39)),$L$39)-$P$39-$Q$39</f>
        <v>129.11503465523538</v>
      </c>
      <c r="P39" s="48">
        <f t="shared" si="6"/>
        <v>4.2974525459298363E-2</v>
      </c>
      <c r="Q39" s="16">
        <f t="shared" si="7"/>
        <v>-3.5218251811136252</v>
      </c>
      <c r="R39" s="16"/>
      <c r="S39" s="17">
        <f>46.3+33.9*LOG($D$39)-13.82*LOG(MAX(30,$I$39))+(44.9-6.55*LOG(MAX(30,$I$39)))*POWER((LOG($E$39)),$L$39)-$P$39-$Q$39</f>
        <v>129.11503465523538</v>
      </c>
      <c r="T39" s="51"/>
    </row>
    <row r="40" spans="1:20" x14ac:dyDescent="0.25">
      <c r="A40" s="19" t="s">
        <v>20</v>
      </c>
      <c r="B40" s="6" t="s">
        <v>16</v>
      </c>
      <c r="C40" s="6">
        <v>1</v>
      </c>
      <c r="D40" s="6">
        <v>1800</v>
      </c>
      <c r="E40" s="6">
        <v>0.1</v>
      </c>
      <c r="F40" s="6">
        <v>20</v>
      </c>
      <c r="G40" s="6">
        <v>1.5</v>
      </c>
      <c r="H40" s="6">
        <f t="shared" si="2"/>
        <v>1.5</v>
      </c>
      <c r="I40" s="6">
        <f t="shared" si="3"/>
        <v>20</v>
      </c>
      <c r="J40" s="16">
        <f t="shared" si="4"/>
        <v>4.2974525459298363E-2</v>
      </c>
      <c r="K40" s="16">
        <f t="shared" si="5"/>
        <v>-3.5218251811136252</v>
      </c>
      <c r="L40" s="6">
        <v>1</v>
      </c>
      <c r="M40" s="6"/>
      <c r="N40" s="62">
        <f>32.4+(20*LOG($D$40))+(10*LOG(POWER($E$40,2)+POWER(($I$40-$H$40),2)/(POWER(10,6))))</f>
        <v>77.651600418352942</v>
      </c>
      <c r="P40" s="48">
        <f t="shared" si="6"/>
        <v>4.2974525459298363E-2</v>
      </c>
      <c r="Q40" s="16">
        <f t="shared" si="7"/>
        <v>-3.5218251811136252</v>
      </c>
      <c r="R40" s="16"/>
      <c r="S40" s="17">
        <f>32.4+(20*LOG($D$40))+(10*LOG(POWER($E$40,2)+POWER(($I$40-$H$40),2)/(POWER(10,6))))</f>
        <v>77.651600418352942</v>
      </c>
      <c r="T40" s="51"/>
    </row>
    <row r="41" spans="1:20" x14ac:dyDescent="0.25">
      <c r="A41" s="19" t="s">
        <v>20</v>
      </c>
      <c r="B41" s="6" t="s">
        <v>16</v>
      </c>
      <c r="C41" s="6">
        <v>1</v>
      </c>
      <c r="D41" s="6">
        <v>1800</v>
      </c>
      <c r="E41" s="6">
        <v>0.04</v>
      </c>
      <c r="F41" s="6">
        <v>20</v>
      </c>
      <c r="G41" s="6">
        <v>1.5</v>
      </c>
      <c r="H41" s="6">
        <f t="shared" si="2"/>
        <v>1.5</v>
      </c>
      <c r="I41" s="6">
        <f t="shared" si="3"/>
        <v>20</v>
      </c>
      <c r="J41" s="16">
        <f t="shared" si="4"/>
        <v>4.2974525459298363E-2</v>
      </c>
      <c r="K41" s="16">
        <f t="shared" si="5"/>
        <v>-3.5218251811136252</v>
      </c>
      <c r="L41" s="6">
        <v>1</v>
      </c>
      <c r="M41" s="6"/>
      <c r="N41" s="62">
        <f>32.4+(20*LOG($D$41))+(10*LOG(POWER($E$41,2)+POWER(($I$41-$H$41),2)/(POWER(10,6))))</f>
        <v>70.388501403267725</v>
      </c>
      <c r="P41" s="48">
        <f t="shared" si="6"/>
        <v>4.2974525459298363E-2</v>
      </c>
      <c r="Q41" s="16">
        <f t="shared" si="7"/>
        <v>-3.5218251811136252</v>
      </c>
      <c r="R41" s="16"/>
      <c r="S41" s="17">
        <f>32.4+(20*LOG($D$41))+(10*LOG(POWER($E$41,2)+POWER(($I$41-$H$41),2)/(POWER(10,6))))</f>
        <v>70.388501403267725</v>
      </c>
      <c r="T41" s="51"/>
    </row>
    <row r="42" spans="1:20" x14ac:dyDescent="0.25">
      <c r="A42" s="19" t="s">
        <v>20</v>
      </c>
      <c r="B42" s="6" t="s">
        <v>16</v>
      </c>
      <c r="C42" s="6">
        <v>1</v>
      </c>
      <c r="D42" s="6">
        <v>1800</v>
      </c>
      <c r="E42" s="6">
        <v>0.09</v>
      </c>
      <c r="F42" s="6">
        <v>20</v>
      </c>
      <c r="G42" s="6">
        <v>1.5</v>
      </c>
      <c r="H42" s="6">
        <f t="shared" si="2"/>
        <v>1.5</v>
      </c>
      <c r="I42" s="6">
        <f t="shared" si="3"/>
        <v>20</v>
      </c>
      <c r="J42" s="16">
        <f t="shared" si="4"/>
        <v>4.2974525459298363E-2</v>
      </c>
      <c r="K42" s="16">
        <f t="shared" si="5"/>
        <v>-3.5218251811136252</v>
      </c>
      <c r="L42" s="6">
        <v>1</v>
      </c>
      <c r="M42" s="6"/>
      <c r="N42" s="62">
        <f>N41+(LOG($E$42)-LOG(0.04))/(LOG(0.1)-LOG(0.04))*($S$40-$S$41)</f>
        <v>76.816446431868741</v>
      </c>
      <c r="P42" s="48">
        <f t="shared" si="6"/>
        <v>4.2974525459298363E-2</v>
      </c>
      <c r="Q42" s="16">
        <f t="shared" si="7"/>
        <v>-3.5218251811136252</v>
      </c>
      <c r="R42" s="16"/>
      <c r="S42" s="17">
        <f>S41+(LOG($E$42)-LOG(0.04))/(LOG(0.1)-LOG(0.04))*($S$40-$S$41)</f>
        <v>76.816446431868741</v>
      </c>
      <c r="T42" s="51"/>
    </row>
    <row r="43" spans="1:20" x14ac:dyDescent="0.25">
      <c r="A43" s="19" t="s">
        <v>20</v>
      </c>
      <c r="B43" s="6" t="s">
        <v>16</v>
      </c>
      <c r="C43" s="6">
        <v>0</v>
      </c>
      <c r="D43" s="6">
        <v>1800</v>
      </c>
      <c r="E43" s="6">
        <v>0.09</v>
      </c>
      <c r="F43" s="6">
        <v>20</v>
      </c>
      <c r="G43" s="6">
        <v>1.5</v>
      </c>
      <c r="H43" s="6">
        <f t="shared" si="2"/>
        <v>1.5</v>
      </c>
      <c r="I43" s="6">
        <f t="shared" si="3"/>
        <v>20</v>
      </c>
      <c r="J43" s="16">
        <f t="shared" si="4"/>
        <v>4.2974525459298363E-2</v>
      </c>
      <c r="K43" s="16">
        <f t="shared" si="5"/>
        <v>-3.5218251811136252</v>
      </c>
      <c r="L43" s="6">
        <v>1</v>
      </c>
      <c r="M43" s="6"/>
      <c r="N43" s="62">
        <f>$S$41+(LOG($E$43)-LOG(0.04))/(LOG(0.1)-LOG(0.04))*($S$40-$S$41)</f>
        <v>76.816446431868741</v>
      </c>
      <c r="P43" s="48">
        <f t="shared" si="6"/>
        <v>4.2974525459298363E-2</v>
      </c>
      <c r="Q43" s="16">
        <f t="shared" si="7"/>
        <v>-3.5218251811136252</v>
      </c>
      <c r="R43" s="16"/>
      <c r="S43" s="17">
        <f>$S$41+(LOG($E$43)-LOG(0.04))/(LOG(0.1)-LOG(0.04))*($S$40-$S$41)</f>
        <v>76.816446431868741</v>
      </c>
      <c r="T43" s="51"/>
    </row>
    <row r="44" spans="1:20" s="13" customFormat="1" x14ac:dyDescent="0.25">
      <c r="A44" s="20" t="s">
        <v>17</v>
      </c>
      <c r="B44" s="21" t="s">
        <v>16</v>
      </c>
      <c r="C44" s="21">
        <v>1</v>
      </c>
      <c r="D44" s="21">
        <v>1800</v>
      </c>
      <c r="E44" s="21">
        <v>5</v>
      </c>
      <c r="F44" s="21">
        <v>20</v>
      </c>
      <c r="G44" s="21">
        <v>1.5</v>
      </c>
      <c r="H44" s="21">
        <f t="shared" si="2"/>
        <v>1.5</v>
      </c>
      <c r="I44" s="21">
        <f t="shared" si="3"/>
        <v>20</v>
      </c>
      <c r="J44" s="16">
        <f t="shared" si="4"/>
        <v>4.2974525459298363E-2</v>
      </c>
      <c r="K44" s="16">
        <f t="shared" si="5"/>
        <v>-3.5218251811136252</v>
      </c>
      <c r="L44" s="21">
        <v>1</v>
      </c>
      <c r="M44" s="21"/>
      <c r="N44" s="64">
        <f>46.3+33.9*LOG($D$44)-13.82*LOG(MAX(30,$I$44))+(44.9-6.55*LOG(MAX(30,$I$44)))*POWER((LOG($E$44)),$L$44)-$P$44-$Q$44</f>
        <v>164.33989043682161</v>
      </c>
      <c r="P44" s="48">
        <f t="shared" si="6"/>
        <v>4.2974525459298363E-2</v>
      </c>
      <c r="Q44" s="16">
        <f t="shared" si="7"/>
        <v>-3.5218251811136252</v>
      </c>
      <c r="R44" s="16"/>
      <c r="S44" s="22">
        <f>46.3+33.9*LOG($D$44)-13.82*LOG(MAX(30,$I$44))+(44.9-6.55*LOG(MAX(30,$I$44)))*POWER((LOG($E$44)),$L$44)-$P$44-$Q$44</f>
        <v>164.33989043682161</v>
      </c>
      <c r="T44" s="51"/>
    </row>
    <row r="45" spans="1:20" s="23" customFormat="1" x14ac:dyDescent="0.25">
      <c r="A45" s="5" t="s">
        <v>17</v>
      </c>
      <c r="B45" s="6" t="s">
        <v>19</v>
      </c>
      <c r="C45" s="6">
        <v>1</v>
      </c>
      <c r="D45" s="6">
        <v>1800</v>
      </c>
      <c r="E45" s="6">
        <v>5</v>
      </c>
      <c r="F45" s="6">
        <v>20</v>
      </c>
      <c r="G45" s="6">
        <v>1.5</v>
      </c>
      <c r="H45" s="6">
        <f t="shared" si="2"/>
        <v>1.5</v>
      </c>
      <c r="I45" s="6">
        <f t="shared" si="3"/>
        <v>20</v>
      </c>
      <c r="J45" s="16">
        <f t="shared" si="4"/>
        <v>4.2974525459298363E-2</v>
      </c>
      <c r="K45" s="16">
        <f t="shared" si="5"/>
        <v>-3.5218251811136252</v>
      </c>
      <c r="L45" s="6">
        <v>1</v>
      </c>
      <c r="M45" s="6"/>
      <c r="N45" s="62">
        <f>$S$44-4.78*POWER(LOG(   MIN( MAX(150, $D$45),2000)),2)+18.33*LOG(MIN(MAX(150,$D$45),2000))-40.94</f>
        <v>132.41633584110338</v>
      </c>
      <c r="P45" s="48">
        <f t="shared" si="6"/>
        <v>4.2974525459298363E-2</v>
      </c>
      <c r="Q45" s="16">
        <f t="shared" si="7"/>
        <v>-3.5218251811136252</v>
      </c>
      <c r="R45" s="16"/>
      <c r="S45" s="17">
        <f>$S$44-4.78*POWER(LOG(   MIN( MAX(150, $D$45),2000)),2)+18.33*LOG(MIN(MAX(150,$D$45),2000))-40.94</f>
        <v>132.41633584110338</v>
      </c>
      <c r="T45" s="51"/>
    </row>
    <row r="46" spans="1:20" s="23" customFormat="1" x14ac:dyDescent="0.25">
      <c r="A46" s="24" t="s">
        <v>17</v>
      </c>
      <c r="B46" s="25" t="s">
        <v>16</v>
      </c>
      <c r="C46" s="25">
        <v>1</v>
      </c>
      <c r="D46" s="25">
        <v>700</v>
      </c>
      <c r="E46" s="25">
        <v>20</v>
      </c>
      <c r="F46" s="25">
        <v>20</v>
      </c>
      <c r="G46" s="25">
        <v>1.5</v>
      </c>
      <c r="H46" s="25">
        <f t="shared" si="2"/>
        <v>1.5</v>
      </c>
      <c r="I46" s="25">
        <f t="shared" si="3"/>
        <v>20</v>
      </c>
      <c r="J46" s="16">
        <f t="shared" si="4"/>
        <v>6.0588236012835139E-3</v>
      </c>
      <c r="K46" s="16">
        <f t="shared" si="5"/>
        <v>-3.5218251811136252</v>
      </c>
      <c r="L46" s="25">
        <v>1</v>
      </c>
      <c r="M46" s="26"/>
      <c r="N46" s="62">
        <f>69.6+26.2*LOG($D$46)-13.82*LOG(MAX(30,$I$46))+(44.9-6.55*LOG(MAX(30,$I$46)))*POWER(LOG($E$46),$L$46)-$P$46-$Q$46</f>
        <v>173.07211323044163</v>
      </c>
      <c r="P46" s="48">
        <f t="shared" si="6"/>
        <v>6.0588236012835139E-3</v>
      </c>
      <c r="Q46" s="16">
        <f t="shared" si="7"/>
        <v>-3.5218251811136252</v>
      </c>
      <c r="R46" s="16"/>
      <c r="S46" s="27">
        <f>69.6+26.2*LOG($D$46)-13.82*LOG(MAX(30,$I$46))+(44.9-6.55*LOG(MAX(30,$I$46)))*POWER(LOG($E$46),$L$46)-$P$46-$Q$46</f>
        <v>173.07211323044163</v>
      </c>
      <c r="T46" s="51"/>
    </row>
    <row r="47" spans="1:20" s="23" customFormat="1" x14ac:dyDescent="0.25">
      <c r="A47" s="24" t="s">
        <v>17</v>
      </c>
      <c r="B47" s="25" t="s">
        <v>19</v>
      </c>
      <c r="C47" s="25">
        <v>1</v>
      </c>
      <c r="D47" s="25">
        <v>700</v>
      </c>
      <c r="E47" s="25">
        <v>20</v>
      </c>
      <c r="F47" s="25">
        <v>20</v>
      </c>
      <c r="G47" s="25">
        <v>1.5</v>
      </c>
      <c r="H47" s="25">
        <f t="shared" si="2"/>
        <v>1.5</v>
      </c>
      <c r="I47" s="25">
        <f t="shared" si="3"/>
        <v>20</v>
      </c>
      <c r="J47" s="16">
        <f t="shared" si="4"/>
        <v>6.0588236012835139E-3</v>
      </c>
      <c r="K47" s="16">
        <f t="shared" si="5"/>
        <v>-3.5218251811136252</v>
      </c>
      <c r="L47" s="25">
        <v>1</v>
      </c>
      <c r="M47" s="26"/>
      <c r="N47" s="62">
        <f>$S$46-4.78*POWER(LOG(   MIN( MAX(150, $D$47),2000) ),2)+18.33*LOG(MIN(MAX(150,$D$47),2000))-40.94</f>
        <v>145.59065424604259</v>
      </c>
      <c r="P47" s="48">
        <f t="shared" si="6"/>
        <v>6.0588236012835139E-3</v>
      </c>
      <c r="Q47" s="16">
        <f t="shared" si="7"/>
        <v>-3.5218251811136252</v>
      </c>
      <c r="R47" s="16"/>
      <c r="S47" s="27">
        <f>$S$46-4.78*POWER(LOG(   MIN( MAX(150, $D$47),2000) ),2)+18.33*LOG(MIN(MAX(150,$D$47),2000))-40.94</f>
        <v>145.59065424604259</v>
      </c>
      <c r="T47" s="51"/>
    </row>
    <row r="48" spans="1:20" s="23" customFormat="1" x14ac:dyDescent="0.25">
      <c r="A48" s="24" t="s">
        <v>17</v>
      </c>
      <c r="B48" s="25" t="s">
        <v>16</v>
      </c>
      <c r="C48" s="25">
        <v>1</v>
      </c>
      <c r="D48" s="25">
        <v>700</v>
      </c>
      <c r="E48" s="25">
        <v>21</v>
      </c>
      <c r="F48" s="25">
        <v>20</v>
      </c>
      <c r="G48" s="25">
        <v>1.5</v>
      </c>
      <c r="H48" s="25">
        <f t="shared" si="2"/>
        <v>1.5</v>
      </c>
      <c r="I48" s="25">
        <f t="shared" si="3"/>
        <v>20</v>
      </c>
      <c r="J48" s="16">
        <f t="shared" si="4"/>
        <v>6.0588236012835139E-3</v>
      </c>
      <c r="K48" s="16">
        <f t="shared" si="5"/>
        <v>-3.5218251811136252</v>
      </c>
      <c r="L48" s="25"/>
      <c r="M48" s="26">
        <f>1+(0.14+0.000187*$D48+0.00107*$I48)*POWER(LOG($E48/20),0.8)</f>
        <v>1.0133881968090026</v>
      </c>
      <c r="N48" s="62">
        <f>69.6+26.2*LOG($D$48)-13.82*LOG(MAX(30,$I$48))+(44.9-6.55*LOG(MAX(30,$I$48)))*POWER(LOG($E$48),$R$48)-$P$48-$Q$48</f>
        <v>173.99299545055089</v>
      </c>
      <c r="P48" s="48">
        <f t="shared" si="6"/>
        <v>6.0588236012835139E-3</v>
      </c>
      <c r="Q48" s="16">
        <f t="shared" si="7"/>
        <v>-3.5218251811136252</v>
      </c>
      <c r="R48" s="26">
        <f>1+(0.14+0.000187*$D48+0.00107*$I48)*POWER(LOG($E48/20),0.8)</f>
        <v>1.0133881968090026</v>
      </c>
      <c r="S48" s="27">
        <f>69.6+26.2*LOG($D$48)-13.82*LOG(MAX(30,$I$48))+(44.9-6.55*LOG(MAX(30,$I$48)))*POWER(LOG($E$48),$R$48)-$P$48-$Q$48</f>
        <v>173.99299545055089</v>
      </c>
      <c r="T48" s="51"/>
    </row>
    <row r="49" spans="1:20" s="23" customFormat="1" x14ac:dyDescent="0.25">
      <c r="A49" s="24" t="s">
        <v>17</v>
      </c>
      <c r="B49" s="25" t="s">
        <v>19</v>
      </c>
      <c r="C49" s="25">
        <v>1</v>
      </c>
      <c r="D49" s="25">
        <v>700</v>
      </c>
      <c r="E49" s="25">
        <v>21</v>
      </c>
      <c r="F49" s="25">
        <v>20</v>
      </c>
      <c r="G49" s="25">
        <v>1.5</v>
      </c>
      <c r="H49" s="25">
        <f t="shared" si="2"/>
        <v>1.5</v>
      </c>
      <c r="I49" s="25">
        <f t="shared" si="3"/>
        <v>20</v>
      </c>
      <c r="J49" s="16">
        <f t="shared" si="4"/>
        <v>6.0588236012835139E-3</v>
      </c>
      <c r="K49" s="16">
        <f t="shared" si="5"/>
        <v>-3.5218251811136252</v>
      </c>
      <c r="L49" s="25"/>
      <c r="M49" s="26">
        <f t="shared" ref="M49:M53" si="8">1+(0.14+0.000187*$D49+0.00107*$I49)*POWER(LOG($E49/20),0.8)</f>
        <v>1.0133881968090026</v>
      </c>
      <c r="N49" s="62">
        <f>$S$48-4.78*POWER(LOG(   MIN( MAX(150, $D$49),2000) ),2)+18.33*LOG(MIN(MAX(150,$D$49),2000))-40.94</f>
        <v>146.51153646615185</v>
      </c>
      <c r="P49" s="48">
        <f t="shared" si="6"/>
        <v>6.0588236012835139E-3</v>
      </c>
      <c r="Q49" s="16">
        <f t="shared" si="7"/>
        <v>-3.5218251811136252</v>
      </c>
      <c r="R49" s="26">
        <f t="shared" ref="R49:R53" si="9">1+(0.14+0.000187*$D49+0.00107*$I49)*POWER(LOG($E49/20),0.8)</f>
        <v>1.0133881968090026</v>
      </c>
      <c r="S49" s="27">
        <f>$S$48-4.78*POWER(LOG(   MIN( MAX(150, $D$49),2000) ),2)+18.33*LOG(MIN(MAX(150,$D$49),2000))-40.94</f>
        <v>146.51153646615185</v>
      </c>
      <c r="T49" s="51"/>
    </row>
    <row r="50" spans="1:20" s="23" customFormat="1" x14ac:dyDescent="0.25">
      <c r="A50" s="24" t="s">
        <v>17</v>
      </c>
      <c r="B50" s="25" t="s">
        <v>16</v>
      </c>
      <c r="C50" s="25">
        <v>1</v>
      </c>
      <c r="D50" s="25">
        <v>700</v>
      </c>
      <c r="E50" s="25">
        <v>25</v>
      </c>
      <c r="F50" s="25">
        <v>20</v>
      </c>
      <c r="G50" s="25">
        <v>1.5</v>
      </c>
      <c r="H50" s="25">
        <f t="shared" si="2"/>
        <v>1.5</v>
      </c>
      <c r="I50" s="25">
        <f t="shared" si="3"/>
        <v>20</v>
      </c>
      <c r="J50" s="16">
        <f t="shared" si="4"/>
        <v>6.0588236012835139E-3</v>
      </c>
      <c r="K50" s="16">
        <f t="shared" si="5"/>
        <v>-3.5218251811136252</v>
      </c>
      <c r="L50" s="25"/>
      <c r="M50" s="26">
        <f t="shared" si="8"/>
        <v>1.0451776604355734</v>
      </c>
      <c r="N50" s="62">
        <f>69.6+26.2*LOG($D$50)-13.82*LOG(MAX(30,$I$50))+(44.9-6.55*LOG(MAX(30,$I$50)))*POWER(LOG($E$50),$R$50)-$P$50-$Q$50</f>
        <v>177.23667937644004</v>
      </c>
      <c r="P50" s="48">
        <f t="shared" si="6"/>
        <v>6.0588236012835139E-3</v>
      </c>
      <c r="Q50" s="16">
        <f t="shared" si="7"/>
        <v>-3.5218251811136252</v>
      </c>
      <c r="R50" s="26">
        <f t="shared" si="9"/>
        <v>1.0451776604355734</v>
      </c>
      <c r="S50" s="27">
        <f>69.6+26.2*LOG($D$50)-13.82*LOG(MAX(30,$I$50))+(44.9-6.55*LOG(MAX(30,$I$50)))*POWER(LOG($E$50),$R$50)-$P$50-$Q$50</f>
        <v>177.23667937644004</v>
      </c>
      <c r="T50" s="51"/>
    </row>
    <row r="51" spans="1:20" s="23" customFormat="1" x14ac:dyDescent="0.25">
      <c r="A51" s="24" t="s">
        <v>17</v>
      </c>
      <c r="B51" s="25" t="s">
        <v>19</v>
      </c>
      <c r="C51" s="25">
        <v>1</v>
      </c>
      <c r="D51" s="25">
        <v>700</v>
      </c>
      <c r="E51" s="25">
        <v>25</v>
      </c>
      <c r="F51" s="25">
        <v>20</v>
      </c>
      <c r="G51" s="25">
        <v>1.5</v>
      </c>
      <c r="H51" s="25">
        <f t="shared" si="2"/>
        <v>1.5</v>
      </c>
      <c r="I51" s="25">
        <f t="shared" si="3"/>
        <v>20</v>
      </c>
      <c r="J51" s="16">
        <f t="shared" si="4"/>
        <v>6.0588236012835139E-3</v>
      </c>
      <c r="K51" s="16">
        <f t="shared" si="5"/>
        <v>-3.5218251811136252</v>
      </c>
      <c r="L51" s="25"/>
      <c r="M51" s="26">
        <f t="shared" si="8"/>
        <v>1.0451776604355734</v>
      </c>
      <c r="N51" s="62">
        <f>$S$50-4.78*POWER(LOG(   MIN( MAX(150, $D$51),2000) ),2)+18.33*LOG(MIN(MAX(150,$D$51),2000))-40.94</f>
        <v>149.755220392041</v>
      </c>
      <c r="P51" s="48">
        <f t="shared" si="6"/>
        <v>6.0588236012835139E-3</v>
      </c>
      <c r="Q51" s="16">
        <f t="shared" si="7"/>
        <v>-3.5218251811136252</v>
      </c>
      <c r="R51" s="26">
        <f t="shared" si="9"/>
        <v>1.0451776604355734</v>
      </c>
      <c r="S51" s="27">
        <f>$S$50-4.78*POWER(LOG(   MIN( MAX(150, $D$51),2000) ),2)+18.33*LOG(MIN(MAX(150,$D$51),2000))-40.94</f>
        <v>149.755220392041</v>
      </c>
      <c r="T51" s="51"/>
    </row>
    <row r="52" spans="1:20" s="23" customFormat="1" x14ac:dyDescent="0.25">
      <c r="A52" s="24" t="s">
        <v>17</v>
      </c>
      <c r="B52" s="25" t="s">
        <v>16</v>
      </c>
      <c r="C52" s="25">
        <v>1</v>
      </c>
      <c r="D52" s="25">
        <v>700</v>
      </c>
      <c r="E52" s="25">
        <v>50</v>
      </c>
      <c r="F52" s="25">
        <v>20</v>
      </c>
      <c r="G52" s="25">
        <v>1.5</v>
      </c>
      <c r="H52" s="25">
        <f t="shared" si="2"/>
        <v>1.5</v>
      </c>
      <c r="I52" s="25">
        <f t="shared" si="3"/>
        <v>20</v>
      </c>
      <c r="J52" s="16">
        <f t="shared" si="4"/>
        <v>6.0588236012835139E-3</v>
      </c>
      <c r="K52" s="16">
        <f t="shared" si="5"/>
        <v>-3.5218251811136252</v>
      </c>
      <c r="L52" s="25"/>
      <c r="M52" s="26">
        <f t="shared" si="8"/>
        <v>1.1398565785362531</v>
      </c>
      <c r="N52" s="62">
        <f>69.6+26.2*LOG($D$52)-13.82*LOG(MAX(30,$I$52))+(44.9-6.55*LOG(MAX(30,$I$52)))*POWER(LOG($E$52),$R$52)-$P$52-$Q$52</f>
        <v>191.69426118849938</v>
      </c>
      <c r="P52" s="48">
        <f t="shared" si="6"/>
        <v>6.0588236012835139E-3</v>
      </c>
      <c r="Q52" s="16">
        <f t="shared" si="7"/>
        <v>-3.5218251811136252</v>
      </c>
      <c r="R52" s="26">
        <f t="shared" si="9"/>
        <v>1.1398565785362531</v>
      </c>
      <c r="S52" s="27">
        <f>69.6+26.2*LOG($D$52)-13.82*LOG(MAX(30,$I$52))+(44.9-6.55*LOG(MAX(30,$I$52)))*POWER(LOG($E$52),$R$52)-$P$52-$Q$52</f>
        <v>191.69426118849938</v>
      </c>
      <c r="T52" s="51"/>
    </row>
    <row r="53" spans="1:20" s="23" customFormat="1" ht="15.75" thickBot="1" x14ac:dyDescent="0.3">
      <c r="A53" s="28" t="s">
        <v>17</v>
      </c>
      <c r="B53" s="29" t="s">
        <v>19</v>
      </c>
      <c r="C53" s="29">
        <v>1</v>
      </c>
      <c r="D53" s="29">
        <v>700</v>
      </c>
      <c r="E53" s="29">
        <v>50</v>
      </c>
      <c r="F53" s="29">
        <v>20</v>
      </c>
      <c r="G53" s="29">
        <v>1.5</v>
      </c>
      <c r="H53" s="29">
        <f t="shared" si="2"/>
        <v>1.5</v>
      </c>
      <c r="I53" s="29">
        <f t="shared" si="3"/>
        <v>20</v>
      </c>
      <c r="J53" s="50">
        <f t="shared" si="4"/>
        <v>6.0588236012835139E-3</v>
      </c>
      <c r="K53" s="50">
        <f t="shared" si="5"/>
        <v>-3.5218251811136252</v>
      </c>
      <c r="L53" s="29"/>
      <c r="M53" s="30">
        <f t="shared" si="8"/>
        <v>1.1398565785362531</v>
      </c>
      <c r="N53" s="65">
        <f>$S$52-4.78*POWER(LOG(   MIN( MAX(150, $D$53),2000) ),2)+18.33*LOG(MIN(MAX(150,$D$53),2000))-40.94</f>
        <v>164.21280220410034</v>
      </c>
      <c r="P53" s="49">
        <f t="shared" si="6"/>
        <v>6.0588236012835139E-3</v>
      </c>
      <c r="Q53" s="50">
        <f t="shared" si="7"/>
        <v>-3.5218251811136252</v>
      </c>
      <c r="R53" s="30">
        <f t="shared" si="9"/>
        <v>1.1398565785362531</v>
      </c>
      <c r="S53" s="31">
        <f>$S$52-4.78*POWER(LOG(   MIN( MAX(150, $D$53),2000) ),2)+18.33*LOG(MIN(MAX(150,$D$53),2000))-40.94</f>
        <v>164.21280220410034</v>
      </c>
      <c r="T53" s="51"/>
    </row>
    <row r="54" spans="1:20" s="23" customFormat="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16"/>
      <c r="K54" s="16"/>
      <c r="L54" s="25"/>
      <c r="M54" s="26"/>
      <c r="N54" s="52"/>
      <c r="P54" s="16"/>
      <c r="Q54" s="16"/>
      <c r="R54" s="26"/>
      <c r="S54" s="52"/>
      <c r="T54" s="51"/>
    </row>
    <row r="55" spans="1:20" s="23" customFormat="1" ht="15.75" thickBot="1" x14ac:dyDescent="0.3">
      <c r="A55" s="72" t="s">
        <v>42</v>
      </c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</row>
    <row r="56" spans="1:20" s="23" customFormat="1" ht="60" x14ac:dyDescent="0.25">
      <c r="A56" s="32" t="s">
        <v>21</v>
      </c>
      <c r="B56" s="33" t="s">
        <v>22</v>
      </c>
      <c r="C56" s="33" t="s">
        <v>23</v>
      </c>
      <c r="D56" s="33" t="s">
        <v>24</v>
      </c>
      <c r="E56" s="33" t="s">
        <v>25</v>
      </c>
      <c r="F56" s="33" t="s">
        <v>26</v>
      </c>
      <c r="G56" s="33" t="s">
        <v>27</v>
      </c>
      <c r="H56" s="33" t="s">
        <v>28</v>
      </c>
      <c r="I56" s="33" t="s">
        <v>29</v>
      </c>
      <c r="J56" s="33" t="s">
        <v>30</v>
      </c>
      <c r="K56" s="33" t="s">
        <v>31</v>
      </c>
      <c r="L56" s="33" t="s">
        <v>32</v>
      </c>
      <c r="M56" s="34" t="s">
        <v>33</v>
      </c>
      <c r="N56" s="13"/>
    </row>
    <row r="57" spans="1:20" x14ac:dyDescent="0.25">
      <c r="A57" s="35">
        <f>4*G57*M57*E57/(300000000)</f>
        <v>700</v>
      </c>
      <c r="B57" s="36"/>
      <c r="C57" s="37">
        <f>22*LOG10(F57)+28+20*LOG10(E57/1000000000)</f>
        <v>98.258700982397926</v>
      </c>
      <c r="D57" s="38"/>
      <c r="E57" s="39">
        <v>3500000000</v>
      </c>
      <c r="F57" s="36">
        <v>500</v>
      </c>
      <c r="G57" s="36">
        <v>10</v>
      </c>
      <c r="H57" s="36" t="s">
        <v>34</v>
      </c>
      <c r="I57" s="36" t="s">
        <v>35</v>
      </c>
      <c r="J57" s="36" t="s">
        <v>35</v>
      </c>
      <c r="K57" s="36" t="s">
        <v>36</v>
      </c>
      <c r="L57" s="36" t="s">
        <v>37</v>
      </c>
      <c r="M57" s="40">
        <v>1.5</v>
      </c>
      <c r="N57" s="23"/>
    </row>
    <row r="58" spans="1:20" x14ac:dyDescent="0.25">
      <c r="A58" s="35">
        <f>4*G58*M58*E58/(300000000)</f>
        <v>700</v>
      </c>
      <c r="B58" s="36"/>
      <c r="C58" s="37">
        <f>40*LOG10(F58)+7.8-18*LOG10(G58)-18*LOG10(M58)+2*LOG10(E58/1000000000)</f>
        <v>107.71849342569828</v>
      </c>
      <c r="D58" s="38"/>
      <c r="E58" s="39">
        <v>3500000000</v>
      </c>
      <c r="F58" s="36">
        <v>1000</v>
      </c>
      <c r="G58" s="36">
        <v>10</v>
      </c>
      <c r="H58" s="36" t="s">
        <v>34</v>
      </c>
      <c r="I58" s="36" t="s">
        <v>35</v>
      </c>
      <c r="J58" s="36" t="s">
        <v>35</v>
      </c>
      <c r="K58" s="36" t="s">
        <v>36</v>
      </c>
      <c r="L58" s="36" t="s">
        <v>37</v>
      </c>
      <c r="M58" s="40">
        <v>1.5</v>
      </c>
      <c r="N58" s="23"/>
    </row>
    <row r="59" spans="1:20" x14ac:dyDescent="0.25">
      <c r="A59" s="35" t="s">
        <v>35</v>
      </c>
      <c r="B59" s="36"/>
      <c r="C59" s="37">
        <f>(36.7*LOG10(F59)+22.7+26*LOG10(E59/1000000000))</f>
        <v>175.50392004218691</v>
      </c>
      <c r="D59" s="38"/>
      <c r="E59" s="39">
        <v>3500000000</v>
      </c>
      <c r="F59" s="36">
        <v>6000</v>
      </c>
      <c r="G59" s="36">
        <v>10</v>
      </c>
      <c r="H59" s="36" t="s">
        <v>34</v>
      </c>
      <c r="I59" s="36" t="s">
        <v>35</v>
      </c>
      <c r="J59" s="36" t="s">
        <v>35</v>
      </c>
      <c r="K59" s="36" t="s">
        <v>36</v>
      </c>
      <c r="L59" s="36" t="s">
        <v>38</v>
      </c>
      <c r="M59" s="40">
        <v>1.5</v>
      </c>
      <c r="N59" s="23"/>
    </row>
    <row r="60" spans="1:20" x14ac:dyDescent="0.25">
      <c r="A60" s="35">
        <f t="shared" ref="A60:A68" si="10">4*G60*M60*E60/(300000000)</f>
        <v>1750</v>
      </c>
      <c r="B60" s="36"/>
      <c r="C60" s="37">
        <f>22*LOG10(F60)+28+20*LOG10(E60/1000000000)</f>
        <v>98.258700982397926</v>
      </c>
      <c r="D60" s="38"/>
      <c r="E60" s="39">
        <v>3500000000</v>
      </c>
      <c r="F60" s="36">
        <v>500</v>
      </c>
      <c r="G60" s="36">
        <v>25</v>
      </c>
      <c r="H60" s="36" t="s">
        <v>39</v>
      </c>
      <c r="I60" s="36">
        <v>20</v>
      </c>
      <c r="J60" s="36">
        <v>20</v>
      </c>
      <c r="K60" s="36" t="s">
        <v>36</v>
      </c>
      <c r="L60" s="36" t="s">
        <v>37</v>
      </c>
      <c r="M60" s="40">
        <v>1.5</v>
      </c>
      <c r="N60" s="23"/>
    </row>
    <row r="61" spans="1:20" x14ac:dyDescent="0.25">
      <c r="A61" s="35">
        <f t="shared" si="10"/>
        <v>1750</v>
      </c>
      <c r="B61" s="36"/>
      <c r="C61" s="37">
        <f>40*LOG10(F61)+7.8-18*LOG10(G61)-18*LOG10(M61)+2*LOG10(E61/1000000000)</f>
        <v>112.59677309616087</v>
      </c>
      <c r="D61" s="38"/>
      <c r="E61" s="39">
        <v>3500000000</v>
      </c>
      <c r="F61" s="36">
        <v>2000</v>
      </c>
      <c r="G61" s="36">
        <v>25</v>
      </c>
      <c r="H61" s="36" t="s">
        <v>39</v>
      </c>
      <c r="I61" s="36">
        <v>20</v>
      </c>
      <c r="J61" s="36">
        <v>20</v>
      </c>
      <c r="K61" s="36" t="s">
        <v>36</v>
      </c>
      <c r="L61" s="36" t="s">
        <v>37</v>
      </c>
      <c r="M61" s="40">
        <v>1.5</v>
      </c>
      <c r="N61" s="23"/>
    </row>
    <row r="62" spans="1:20" x14ac:dyDescent="0.25">
      <c r="A62" s="35">
        <f t="shared" si="10"/>
        <v>1750</v>
      </c>
      <c r="B62" s="36"/>
      <c r="C62" s="37">
        <f>161.04-7.1*LOG10(J62)+7.5*LOG10(I62)-(24.37-3.7*(I62/G62)^2)*LOG10(G62)+(43.42-3.1*LOG10(G62))*(LOG10(F62)-3)+20*LOG10(E62/1000000000)-(3.2*(LOG10(11.75*M62))^2-4.97)</f>
        <v>141.68521586142342</v>
      </c>
      <c r="D62" s="38"/>
      <c r="E62" s="39">
        <v>3500000000</v>
      </c>
      <c r="F62" s="36">
        <v>1000</v>
      </c>
      <c r="G62" s="36">
        <v>25</v>
      </c>
      <c r="H62" s="36" t="s">
        <v>39</v>
      </c>
      <c r="I62" s="36">
        <v>20</v>
      </c>
      <c r="J62" s="36">
        <v>20</v>
      </c>
      <c r="K62" s="36" t="s">
        <v>36</v>
      </c>
      <c r="L62" s="36" t="s">
        <v>38</v>
      </c>
      <c r="M62" s="40">
        <v>1.5</v>
      </c>
      <c r="N62" s="23"/>
    </row>
    <row r="63" spans="1:20" x14ac:dyDescent="0.25">
      <c r="A63" s="35">
        <f t="shared" si="10"/>
        <v>2450</v>
      </c>
      <c r="B63" s="38">
        <f>2*PI()*G63*M63*E63/(300000000)</f>
        <v>3848.4510006474966</v>
      </c>
      <c r="C63" s="37">
        <f>20*LOG10(40*PI()*F63*(E63/1000000000)/3)+MIN(0.03*I63^1.72, 10)*LOG10(F63)-MIN(0.044*I63^1.72,14.77)+0.002*LOG10(I63)*F63</f>
        <v>107.73724739020315</v>
      </c>
      <c r="D63" s="38"/>
      <c r="E63" s="39">
        <v>3500000000</v>
      </c>
      <c r="F63" s="36">
        <v>1000</v>
      </c>
      <c r="G63" s="36">
        <v>35</v>
      </c>
      <c r="H63" s="36" t="s">
        <v>39</v>
      </c>
      <c r="I63" s="36">
        <v>10</v>
      </c>
      <c r="J63" s="36">
        <v>20</v>
      </c>
      <c r="K63" s="36" t="s">
        <v>40</v>
      </c>
      <c r="L63" s="36" t="s">
        <v>37</v>
      </c>
      <c r="M63" s="40">
        <v>1.5</v>
      </c>
      <c r="N63" s="23"/>
    </row>
    <row r="64" spans="1:20" x14ac:dyDescent="0.25">
      <c r="A64" s="35">
        <f t="shared" si="10"/>
        <v>2450</v>
      </c>
      <c r="B64" s="38">
        <f>2*PI()*G64*M64*E64/(300000000)</f>
        <v>3848.4510006474966</v>
      </c>
      <c r="C64" s="37">
        <f>(20*LOG10(40*PI()*B64*(E64/1000000000)/3)+MIN(0.03*I64^1.72, 10)*LOG10(B64)-MIN(0.044*I64^1.72,14.77)+0.002*LOG10(I64)*B64)</f>
        <v>126.06135593614999</v>
      </c>
      <c r="D64" s="37">
        <f>C64+40*LOG10(F64/B64)</f>
        <v>126.73231713348109</v>
      </c>
      <c r="E64" s="39">
        <v>3500000000</v>
      </c>
      <c r="F64" s="36">
        <v>4000</v>
      </c>
      <c r="G64" s="36">
        <v>35</v>
      </c>
      <c r="H64" s="36" t="s">
        <v>39</v>
      </c>
      <c r="I64" s="36">
        <v>10</v>
      </c>
      <c r="J64" s="36">
        <v>20</v>
      </c>
      <c r="K64" s="41" t="s">
        <v>40</v>
      </c>
      <c r="L64" s="36" t="s">
        <v>37</v>
      </c>
      <c r="M64" s="40">
        <v>1.5</v>
      </c>
      <c r="N64" s="23"/>
    </row>
    <row r="65" spans="1:14" x14ac:dyDescent="0.25">
      <c r="A65" s="35">
        <f t="shared" si="10"/>
        <v>2450</v>
      </c>
      <c r="B65" s="36"/>
      <c r="C65" s="37">
        <f>161.04-7.1*LOG10(J65)+7.5*LOG10(I65)-(24.37-3.7*(I65/G65)^2)*LOG10(G65)+(43.42-3.1*LOG10(G65))*(LOG10(F65)-3)+20*LOG10(E65/1000000000)-(3.2*(LOG10(11.75*M65))^2-4.97)</f>
        <v>121.39259135453526</v>
      </c>
      <c r="D65" s="37"/>
      <c r="E65" s="39">
        <v>3500000000</v>
      </c>
      <c r="F65" s="36">
        <v>500</v>
      </c>
      <c r="G65" s="36">
        <v>35</v>
      </c>
      <c r="H65" s="36" t="s">
        <v>39</v>
      </c>
      <c r="I65" s="36">
        <v>10</v>
      </c>
      <c r="J65" s="36">
        <v>20</v>
      </c>
      <c r="K65" s="36" t="s">
        <v>40</v>
      </c>
      <c r="L65" s="36" t="s">
        <v>38</v>
      </c>
      <c r="M65" s="40">
        <v>1.5</v>
      </c>
      <c r="N65" s="23"/>
    </row>
    <row r="66" spans="1:14" x14ac:dyDescent="0.25">
      <c r="A66" s="35">
        <f t="shared" si="10"/>
        <v>2450</v>
      </c>
      <c r="B66" s="38">
        <f>2*PI()*G66*M66*E66/(300000000)</f>
        <v>3848.4510006474966</v>
      </c>
      <c r="C66" s="37">
        <f>20*LOG10(40*PI()*F66*(E66/1000000000)/3)+MIN(0.03*I66^1.72, 10)*LOG10(F66)-MIN(0.044*I66^1.72,14.77)+0.002*LOG10(I66)*F66</f>
        <v>107.73724739020315</v>
      </c>
      <c r="D66" s="37"/>
      <c r="E66" s="39">
        <v>3500000000</v>
      </c>
      <c r="F66" s="36">
        <v>1000</v>
      </c>
      <c r="G66" s="36">
        <v>35</v>
      </c>
      <c r="H66" s="36" t="s">
        <v>39</v>
      </c>
      <c r="I66" s="36">
        <v>10</v>
      </c>
      <c r="J66" s="36">
        <v>20</v>
      </c>
      <c r="K66" s="36" t="s">
        <v>41</v>
      </c>
      <c r="L66" s="36" t="s">
        <v>37</v>
      </c>
      <c r="M66" s="40">
        <v>1.5</v>
      </c>
      <c r="N66" s="23"/>
    </row>
    <row r="67" spans="1:14" x14ac:dyDescent="0.25">
      <c r="A67" s="35">
        <f t="shared" si="10"/>
        <v>2450</v>
      </c>
      <c r="B67" s="38">
        <f>2*PI()*G67*M67*E67/(300000000)</f>
        <v>3848.4510006474966</v>
      </c>
      <c r="C67" s="37">
        <f>(20*LOG10(40*PI()*B67*(E67/1000000000)/3)+MIN(0.03*I67^1.72, 10)*LOG10(B67)-MIN(0.044*I67^1.72,14.77)+0.002*LOG10(I67)*B67)</f>
        <v>126.06135593614999</v>
      </c>
      <c r="D67" s="37">
        <f>C67+40*LOG10(F67/B67)</f>
        <v>126.73231713348109</v>
      </c>
      <c r="E67" s="39">
        <v>3500000000</v>
      </c>
      <c r="F67" s="36">
        <v>4000</v>
      </c>
      <c r="G67" s="36">
        <v>35</v>
      </c>
      <c r="H67" s="36" t="s">
        <v>39</v>
      </c>
      <c r="I67" s="36">
        <v>10</v>
      </c>
      <c r="J67" s="36">
        <v>20</v>
      </c>
      <c r="K67" s="41" t="s">
        <v>41</v>
      </c>
      <c r="L67" s="36" t="s">
        <v>37</v>
      </c>
      <c r="M67" s="40">
        <v>1.5</v>
      </c>
      <c r="N67" s="23"/>
    </row>
    <row r="68" spans="1:14" x14ac:dyDescent="0.25">
      <c r="A68" s="35">
        <f t="shared" si="10"/>
        <v>2450</v>
      </c>
      <c r="B68" s="36"/>
      <c r="C68" s="37">
        <f>161.04-7.1*LOG10(J68)+7.5*LOG10(I68)-(24.37-3.7*(I68/G68)^2)*LOG10(G68)+(43.42-3.1*LOG10(G68))*(LOG10(F68)-3)+20*LOG10(E68/1000000000)-(3.2*(LOG10(11.75*M68))^2-4.97)</f>
        <v>121.39259135453526</v>
      </c>
      <c r="D68" s="38"/>
      <c r="E68" s="39">
        <v>3500000000</v>
      </c>
      <c r="F68" s="36">
        <v>500</v>
      </c>
      <c r="G68" s="36">
        <v>35</v>
      </c>
      <c r="H68" s="36" t="s">
        <v>39</v>
      </c>
      <c r="I68" s="36">
        <v>10</v>
      </c>
      <c r="J68" s="36">
        <v>20</v>
      </c>
      <c r="K68" s="36" t="s">
        <v>41</v>
      </c>
      <c r="L68" s="36" t="s">
        <v>38</v>
      </c>
      <c r="M68" s="40">
        <v>1.5</v>
      </c>
      <c r="N68" s="23"/>
    </row>
    <row r="69" spans="1:14" x14ac:dyDescent="0.25">
      <c r="A69" s="35">
        <f t="shared" ref="A69" si="11">4*G69*M69*E69/(300000000)</f>
        <v>2450</v>
      </c>
      <c r="B69" s="36"/>
      <c r="C69" s="37">
        <f>161.04-7.1*LOG10(J69)+7.5*LOG10(I69)-(24.37-3.7*(I69/G69)^2)*LOG10(G69)+(43.42-3.1*LOG10(G69))*(LOG10(F69)-3)+20*LOG10(E69/1000000000)-(3.2*(LOG10(11.75*M69))^2-4.97)</f>
        <v>121.39259135453526</v>
      </c>
      <c r="D69" s="37"/>
      <c r="E69" s="39">
        <v>3500000000</v>
      </c>
      <c r="F69" s="36">
        <v>500</v>
      </c>
      <c r="G69" s="36">
        <v>35</v>
      </c>
      <c r="H69" s="36" t="s">
        <v>39</v>
      </c>
      <c r="I69" s="36">
        <v>10</v>
      </c>
      <c r="J69" s="36">
        <v>20</v>
      </c>
      <c r="K69" s="36" t="s">
        <v>40</v>
      </c>
      <c r="L69" s="36" t="s">
        <v>38</v>
      </c>
      <c r="M69" s="40">
        <v>1.5</v>
      </c>
    </row>
    <row r="70" spans="1:14" ht="15.75" thickBot="1" x14ac:dyDescent="0.3">
      <c r="A70" s="42">
        <f t="shared" ref="A70" si="12">4*G70*M70*E70/(300000000)</f>
        <v>2800</v>
      </c>
      <c r="B70" s="43"/>
      <c r="C70" s="44">
        <f>161.04-7.1*LOG10(J70)+7.5*LOG10(I70)-(24.37-3.7*(I70/G70)^2)*LOG10(G70)+(43.42-3.1*LOG10(G70))*(LOG10(F70)-3)+20*LOG10(E70/1000000000)-(3.2*(LOG10(11.75*M70))^2-4.97)</f>
        <v>119.9375500853008</v>
      </c>
      <c r="D70" s="44"/>
      <c r="E70" s="45">
        <v>3500000000</v>
      </c>
      <c r="F70" s="43">
        <v>500</v>
      </c>
      <c r="G70" s="43">
        <v>40</v>
      </c>
      <c r="H70" s="43" t="s">
        <v>39</v>
      </c>
      <c r="I70" s="43">
        <v>10</v>
      </c>
      <c r="J70" s="43">
        <v>20</v>
      </c>
      <c r="K70" s="43" t="s">
        <v>40</v>
      </c>
      <c r="L70" s="43" t="s">
        <v>38</v>
      </c>
      <c r="M70" s="46">
        <v>1.5</v>
      </c>
    </row>
  </sheetData>
  <mergeCells count="4">
    <mergeCell ref="A55:M55"/>
    <mergeCell ref="A20:N20"/>
    <mergeCell ref="A2:E2"/>
    <mergeCell ref="N2:R2"/>
  </mergeCells>
  <conditionalFormatting sqref="E4:E19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{B4AFC1DE-1349-4320-9F5B-4F9F78752752}</x14:id>
        </ext>
      </extLst>
    </cfRule>
  </conditionalFormatting>
  <conditionalFormatting sqref="K4:K18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{DE0E680E-9426-4D2B-B4CC-5BEF266D5F0F}</x14:id>
        </ext>
      </extLst>
    </cfRule>
  </conditionalFormatting>
  <conditionalFormatting sqref="N22:N53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{C7EFF306-A6F7-4DC2-B228-D585353AF1C4}</x14:id>
        </ext>
      </extLst>
    </cfRule>
  </conditionalFormatting>
  <conditionalFormatting sqref="C57:C68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{1D9E106F-ABDB-4C45-8973-56B92EA94E10}</x14:id>
        </ext>
      </extLst>
    </cfRule>
  </conditionalFormatting>
  <conditionalFormatting sqref="S12:S18 S4:S5 S8:S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{4232E29B-9545-42B7-AE12-3189426569B4}</x14:id>
        </ext>
      </extLst>
    </cfRule>
  </conditionalFormatting>
  <conditionalFormatting sqref="S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{F119C0E7-7884-4948-ACB4-B08A2294EA82}</x14:id>
        </ext>
      </extLst>
    </cfRule>
  </conditionalFormatting>
  <conditionalFormatting sqref="S7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{A76E5B64-EC84-4773-B866-843530173059}</x14:id>
        </ext>
      </extLst>
    </cfRule>
  </conditionalFormatting>
  <conditionalFormatting sqref="C6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{7F6CFAD9-4C05-45C5-9E69-1064E25BC763}</x14:id>
        </ext>
      </extLst>
    </cfRule>
  </conditionalFormatting>
  <conditionalFormatting sqref="C7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{5A4C893D-8491-447A-8C13-30C518070E92}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AFC1DE-1349-4320-9F5B-4F9F78752752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E4:E19</xm:sqref>
        </x14:conditionalFormatting>
        <x14:conditionalFormatting xmlns:xm="http://schemas.microsoft.com/office/excel/2006/main">
          <x14:cfRule type="dataBar" id="{DE0E680E-9426-4D2B-B4CC-5BEF266D5F0F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K4:K18</xm:sqref>
        </x14:conditionalFormatting>
        <x14:conditionalFormatting xmlns:xm="http://schemas.microsoft.com/office/excel/2006/main">
          <x14:cfRule type="dataBar" id="{C7EFF306-A6F7-4DC2-B228-D585353AF1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N22:N53</xm:sqref>
        </x14:conditionalFormatting>
        <x14:conditionalFormatting xmlns:xm="http://schemas.microsoft.com/office/excel/2006/main">
          <x14:cfRule type="dataBar" id="{1D9E106F-ABDB-4C45-8973-56B92EA94E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C57:C68</xm:sqref>
        </x14:conditionalFormatting>
        <x14:conditionalFormatting xmlns:xm="http://schemas.microsoft.com/office/excel/2006/main">
          <x14:cfRule type="dataBar" id="{4232E29B-9545-42B7-AE12-3189426569B4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S12:S18 S4:S5 S8:S9</xm:sqref>
        </x14:conditionalFormatting>
        <x14:conditionalFormatting xmlns:xm="http://schemas.microsoft.com/office/excel/2006/main">
          <x14:cfRule type="dataBar" id="{F119C0E7-7884-4948-ACB4-B08A2294EA82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S6</xm:sqref>
        </x14:conditionalFormatting>
        <x14:conditionalFormatting xmlns:xm="http://schemas.microsoft.com/office/excel/2006/main">
          <x14:cfRule type="dataBar" id="{A76E5B64-EC84-4773-B866-843530173059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S7</xm:sqref>
        </x14:conditionalFormatting>
        <x14:conditionalFormatting xmlns:xm="http://schemas.microsoft.com/office/excel/2006/main">
          <x14:cfRule type="dataBar" id="{7F6CFAD9-4C05-45C5-9E69-1064E25BC7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C69</xm:sqref>
        </x14:conditionalFormatting>
        <x14:conditionalFormatting xmlns:xm="http://schemas.microsoft.com/office/excel/2006/main">
          <x14:cfRule type="dataBar" id="{5A4C893D-8491-447A-8C13-30C518070E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C70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Anonymous</cp:lastModifiedBy>
  <cp:revision>29</cp:revision>
  <dcterms:created xsi:type="dcterms:W3CDTF">2015-06-05T18:17:20Z</dcterms:created>
  <dcterms:modified xsi:type="dcterms:W3CDTF">2019-08-10T17:59:48Z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