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u" sheetId="1" r:id="rId4"/>
    <sheet state="visible" name="menu" sheetId="2" r:id="rId5"/>
  </sheets>
  <definedNames>
    <definedName name="cost_almendra">#REF!</definedName>
    <definedName name="p_salsa_teri">#REF!</definedName>
    <definedName name="p_morron">#REF!</definedName>
    <definedName name="P_harumakis">#REF!</definedName>
    <definedName name="cost_BA">#REF!</definedName>
    <definedName name="cost_cali">#REF!</definedName>
    <definedName name="p_soja_gastro">#REF!</definedName>
    <definedName name="P_ARROZ_crudo">#REF!</definedName>
    <definedName name="p_tamago">#REF!</definedName>
    <definedName name="p_qFiladelfia">#REF!</definedName>
    <definedName name="p_huevo">#REF!</definedName>
    <definedName name="p_pechuga">#REF!</definedName>
    <definedName name="p_zapallito">#REF!</definedName>
    <definedName name="cost_silk">#REF!</definedName>
    <definedName name="P_zanaho">#REF!</definedName>
    <definedName name="p_SALMaracu">#REF!</definedName>
    <definedName name="cost_papelarroz">#REF!</definedName>
    <definedName name="p_pepino">#REF!</definedName>
    <definedName name="cost_avocado">#REF!</definedName>
    <definedName name="p_manteca">#REF!</definedName>
    <definedName name="cost_tuna">#REF!</definedName>
    <definedName name="cost_palitos">#REF!</definedName>
    <definedName name="p_palmito">#REF!</definedName>
    <definedName name="cost_futu">#REF!</definedName>
    <definedName name="p_alga">#REF!</definedName>
    <definedName name="cost_sashimigrill">#REF!</definedName>
    <definedName name="cost_tataki">#REF!</definedName>
    <definedName name="cost_wantan">#REF!</definedName>
    <definedName name="P_crema_atun">#REF!</definedName>
    <definedName name="cost_tamago">#REF!</definedName>
    <definedName name="cost_veggiegrill">#REF!</definedName>
    <definedName name="cost_tapacopetin">#REF!</definedName>
    <definedName name="p_salsa_wok">#REF!</definedName>
    <definedName name="cost_phila">#REF!</definedName>
    <definedName name="cost_avocreal">#REF!</definedName>
    <definedName name="P_miel">#REF!</definedName>
    <definedName name="cost_blisterbitarwan">#REF!</definedName>
    <definedName name="cost_veggiephil">#REF!</definedName>
    <definedName name="cost_troptamago">#REF!</definedName>
    <definedName name="P_arroz_cocido">#REF!</definedName>
    <definedName name="p_citric">#REF!</definedName>
    <definedName name="cost_mak_phil">#REF!</definedName>
    <definedName name="cost_hotphila">#REF!</definedName>
    <definedName name="cost_avellana">#REF!</definedName>
    <definedName name="cost_ebimak">#REF!</definedName>
    <definedName name="cost_plhicrunchtamago">#REF!</definedName>
    <definedName name="cost_tropveggie">#REF!</definedName>
    <definedName name="p_kani">#REF!</definedName>
    <definedName name="cost_mak">#REF!</definedName>
    <definedName name="p_atun_escurrido">#REF!</definedName>
    <definedName name="cost_salmgrill">#REF!</definedName>
    <definedName name="cost_placer">#REF!</definedName>
    <definedName name="cost_mayonesa">#REF!</definedName>
    <definedName name="cost_mex">#REF!</definedName>
    <definedName name="cost_skin">#REF!</definedName>
    <definedName name="cost_pepinoroll">#REF!</definedName>
    <definedName name="P_lango_unit">#REF!</definedName>
    <definedName name="p_azucar">#REF!</definedName>
    <definedName name="cost_hotfutu">#REF!</definedName>
    <definedName name="cost_NY">#REF!</definedName>
    <definedName name="P_lango_limpio">#REF!</definedName>
    <definedName name="p_salsa_futura">#REF!</definedName>
    <definedName name="cost_rellesalmongrill">#REF!</definedName>
    <definedName name="cost_nigiri">#REF!</definedName>
    <definedName name="cost_trop">#REF!</definedName>
    <definedName name="cost_ibiza">#REF!</definedName>
    <definedName name="_USD">#REF!</definedName>
    <definedName name="cost_packpersona">#REF!</definedName>
    <definedName name="cost_soul">#REF!</definedName>
    <definedName name="P_savora">#REF!</definedName>
    <definedName name="cost_nyp">#REF!</definedName>
    <definedName name="cost_geisha">#REF!</definedName>
    <definedName name="p_mango">#REF!</definedName>
    <definedName name="P_salmon">#REF!</definedName>
    <definedName name="p_maracuya">#REF!</definedName>
    <definedName name="p_calamar">#REF!</definedName>
    <definedName name="cost_spring">#REF!</definedName>
    <definedName name="cost_sashimi">#REF!</definedName>
    <definedName name="p_cebolla">#REF!</definedName>
    <definedName name="p_carne">#REF!</definedName>
    <definedName name="p_palta">#REF!</definedName>
    <definedName name="p_panco">#REF!</definedName>
    <definedName name="p_sesamo_n">#REF!</definedName>
    <definedName name="P_vinagre_alcohol">#REF!</definedName>
    <definedName name="p_cerdo">#REF!</definedName>
    <definedName name="p_salsa_bsas">#REF!</definedName>
    <definedName name="cost_bandmedcostilla">#REF!</definedName>
  </definedNames>
  <calcPr/>
  <extLst>
    <ext uri="GoogleSheetsCustomDataVersion2">
      <go:sheetsCustomData xmlns:go="http://customooxmlschemas.google.com/" r:id="rId6" roundtripDataChecksum="LbA1Q/WNl4o/DugtJVVkcV6K/GESFwNxIHozkXco/dA="/>
    </ext>
  </extLst>
</workbook>
</file>

<file path=xl/sharedStrings.xml><?xml version="1.0" encoding="utf-8"?>
<sst xmlns="http://schemas.openxmlformats.org/spreadsheetml/2006/main" count="606" uniqueCount="262">
  <si>
    <t>cod_prod</t>
  </si>
  <si>
    <t>Category</t>
  </si>
  <si>
    <t>Menu_product</t>
  </si>
  <si>
    <t>sub_category</t>
  </si>
  <si>
    <t>Desc</t>
  </si>
  <si>
    <t>shea_app_price_discount</t>
  </si>
  <si>
    <t>Pedidosya_price_discount_1</t>
  </si>
  <si>
    <t>pedidosya_price_discount_2</t>
  </si>
  <si>
    <t>pedidosya_price</t>
  </si>
  <si>
    <t>Shea_app_price</t>
  </si>
  <si>
    <t>Cash_price</t>
  </si>
  <si>
    <t>quantity_per_item</t>
  </si>
  <si>
    <t>portion_price</t>
  </si>
  <si>
    <t>amount</t>
  </si>
  <si>
    <t>cost</t>
  </si>
  <si>
    <t>total_cost</t>
  </si>
  <si>
    <t>price_increase_according _o_credit_card_interest</t>
  </si>
  <si>
    <t>%_price_increase_according _o_credit_card_interest</t>
  </si>
  <si>
    <t>revenue_from_applicable_discounts</t>
  </si>
  <si>
    <t xml:space="preserve">
revenue_%_from_applicable_discounts</t>
  </si>
  <si>
    <t>Revenue_pedidosya</t>
  </si>
  <si>
    <t>%_Revenue_pedidosya</t>
  </si>
  <si>
    <t>Cash_applicable_discounts</t>
  </si>
  <si>
    <t>%_revenue_from_total_discounts</t>
  </si>
  <si>
    <t>Cash_price_increase</t>
  </si>
  <si>
    <t>Premium (coronados)</t>
  </si>
  <si>
    <t>avocado real roll (10 piezas)</t>
  </si>
  <si>
    <t>avocado real roll</t>
  </si>
  <si>
    <t>Philadelphia, palmito, palta y tamago envuelto con finos cortes de salmón. Coronado con guacamole.</t>
  </si>
  <si>
    <t>Salmón rolls</t>
  </si>
  <si>
    <t>Sashimi (4 piezas)</t>
  </si>
  <si>
    <t xml:space="preserve">Sashimi </t>
  </si>
  <si>
    <t>4 finos cortes de salmón.</t>
  </si>
  <si>
    <t>Sashimi Grill (4 piezas)</t>
  </si>
  <si>
    <t>Sashimi grill</t>
  </si>
  <si>
    <t>4 finos cortes de salmón con sesamo sellado.</t>
  </si>
  <si>
    <t>Combo salmón (62 piezas)</t>
  </si>
  <si>
    <t>Combo salmon</t>
  </si>
  <si>
    <t>Phila, York, New York Phila, Maki,  Nigiri, Geisha, Geisha Tempura, Sashimi Grill y Sashimi</t>
  </si>
  <si>
    <t>Placer Real roll (10 piezas)</t>
  </si>
  <si>
    <t>Placer real roll</t>
  </si>
  <si>
    <t>Philadelphia, palmito, palta y tamago envuelto con finos cortes de salmón. Coronado con salsa de maracuya y crocantes de batata.</t>
  </si>
  <si>
    <t>combos shop</t>
  </si>
  <si>
    <t>Combo salmón (17 piezas)</t>
  </si>
  <si>
    <t>Combo 17 piezas variado</t>
  </si>
  <si>
    <t>Lemon Roll,  New York Phila, california y 2 Ebi nigiris</t>
  </si>
  <si>
    <t>Combo Summer loyal (62 piezas)</t>
  </si>
  <si>
    <t xml:space="preserve"> Avocado roll, Silk roll, Phill crunchy tamago roll, Avocado real, Geishas, Sashimis y Sashimis grill</t>
  </si>
  <si>
    <t>Maki roll (10 piezas)</t>
  </si>
  <si>
    <t>Maki roll</t>
  </si>
  <si>
    <t>Arroz por dentro, salmón y alga por fuera.</t>
  </si>
  <si>
    <t>entradas</t>
  </si>
  <si>
    <t>Tiraditos maracuya</t>
  </si>
  <si>
    <t>Tiraditos</t>
  </si>
  <si>
    <t>20 lonjas de salmón con salsa maracuya y crocante de batata.</t>
  </si>
  <si>
    <t>Tiraditos acevichada</t>
  </si>
  <si>
    <t>20 lonjas de salmón con salsa acevichada, cebolla morada y cilantro.</t>
  </si>
  <si>
    <t>Combo Summer loyal (47 piezas)</t>
  </si>
  <si>
    <t xml:space="preserve"> Avocado roll, Silk roll, Phill crunchy tamago roll, avocado real, geishas y Sashimis</t>
  </si>
  <si>
    <t>Combo salmón (32 piezas)</t>
  </si>
  <si>
    <t xml:space="preserve">Philla, New York, New York Phila, Maki, Salmon grill, Nigiri, Geisha y Sashimi </t>
  </si>
  <si>
    <t>Combo salmón (47 piezas)</t>
  </si>
  <si>
    <t>Phila, New York, New York phila, Maki,  Salmon grill, Nigiri, Geisha y Sashimi</t>
  </si>
  <si>
    <t>avocado real roll (5 piezas)</t>
  </si>
  <si>
    <t>Sashimi (1 pieza)</t>
  </si>
  <si>
    <t>Sashimi Grill (1 pieza)</t>
  </si>
  <si>
    <t>Combo Kodiak (62 piezas)</t>
  </si>
  <si>
    <t>Sashimi, Geisha, Tropical, tataki, mexican, Soul, Placer real</t>
  </si>
  <si>
    <t>Combo Californian Malibu (47 piezas)</t>
  </si>
  <si>
    <t>Sashimi, Avocado Real, Avocado Roll, Tropical Tamago, Ibiza y Buenos Aires  + 2 Wantan de regalo!</t>
  </si>
  <si>
    <t>Salmón Grill roll (10 piezas)</t>
  </si>
  <si>
    <t>Salmon grill roll</t>
  </si>
  <si>
    <t>Salmón grillado, philadelphia y verdeo.</t>
  </si>
  <si>
    <t>Maki Phila roll (10 piezas)</t>
  </si>
  <si>
    <t>Maki phila roll</t>
  </si>
  <si>
    <t>Arroz por dentro, salmón, philadelphia y alga por fuera.</t>
  </si>
  <si>
    <t>Combo Kodiak (47 piezas)</t>
  </si>
  <si>
    <t>Combo Californian Malibu (62 piezas)</t>
  </si>
  <si>
    <t>Combo Summer loyal (32 piezas)</t>
  </si>
  <si>
    <t>Placer Real roll (5 piezas)</t>
  </si>
  <si>
    <t>Combo Kodiak (32 piezas)</t>
  </si>
  <si>
    <t>Vegetarians</t>
  </si>
  <si>
    <t>Tropical veggie roll (10 piezas)</t>
  </si>
  <si>
    <t>Mango roll</t>
  </si>
  <si>
    <t>Philadelphia, palta envuelta en mango, bañado en salsa maracuya y crocante colorado de batata.</t>
  </si>
  <si>
    <t>Maki roll (5 piezas)</t>
  </si>
  <si>
    <t>Pepino roll (10 piezas)</t>
  </si>
  <si>
    <t>Pepino roll</t>
  </si>
  <si>
    <t>Philadelphia, palta, envuelto en pepino y coronado con crocante colorado de batata. Bañado con salsa teriyaki.</t>
  </si>
  <si>
    <t>Tropical veggie roll (5 piezas)</t>
  </si>
  <si>
    <t>Pepino roll (5 piezas)</t>
  </si>
  <si>
    <t>Combo Californian Malibu (32 piezas)</t>
  </si>
  <si>
    <t>Veggie Phil roll (10 piezas)</t>
  </si>
  <si>
    <t>Veggie phil roll</t>
  </si>
  <si>
    <t>Philadelphia, palmito, palta y tamago. Bañado con salsa teriyaki.</t>
  </si>
  <si>
    <t>Salmón Grill roll (5 piezas)</t>
  </si>
  <si>
    <t>Combo Californian Malibu (17 piezas)</t>
  </si>
  <si>
    <t>Sashimi, Avocado Real, Avocado Roll, Ibiza</t>
  </si>
  <si>
    <t>Maki Phila roll (5 piezas)</t>
  </si>
  <si>
    <t>Veggie Phil roll (5 piezas)</t>
  </si>
  <si>
    <t>Veggie Grill (10 piezas)</t>
  </si>
  <si>
    <t>Veggie grill</t>
  </si>
  <si>
    <t>Verduras grilladas, philadelphia  y crocante de batata.</t>
  </si>
  <si>
    <t>Veggie Grill (5 piezas)</t>
  </si>
  <si>
    <t>Soul roll (10 piezas)</t>
  </si>
  <si>
    <t>Soul roll</t>
  </si>
  <si>
    <t>Salmón, palmito y tamago envuelto con cobertura de philadelphia. Coronado un praline de almendras.</t>
  </si>
  <si>
    <t>Buenos Aires roll (10 piezas)</t>
  </si>
  <si>
    <t>Buenos Aires roll</t>
  </si>
  <si>
    <t>Langostino, salmón, philadelphia y palta bañado en salsa de sésamo</t>
  </si>
  <si>
    <t>Combo Summer loyal (17 piezas)</t>
  </si>
  <si>
    <t xml:space="preserve"> Avocado roll, Silk roll, Phill crunchy tamago roll y Sashimis</t>
  </si>
  <si>
    <t>Ebi Tempura  (4 piezas)</t>
  </si>
  <si>
    <t>Ebi tempura</t>
  </si>
  <si>
    <t>Langostinos en tempura bañados en salsa teriyaki</t>
  </si>
  <si>
    <t>Ebi Fried  (4 piezas)</t>
  </si>
  <si>
    <t>Ebi fried</t>
  </si>
  <si>
    <t>Langostinos rebosados en panko bañados en salsa futurama.</t>
  </si>
  <si>
    <t>New York roll (10 piezas)</t>
  </si>
  <si>
    <t>New York roll</t>
  </si>
  <si>
    <t>Salmón y palta.</t>
  </si>
  <si>
    <t>Phila, New York,  New York Phila y Sashimi</t>
  </si>
  <si>
    <t>Phila roll (10 piezas)</t>
  </si>
  <si>
    <t>Phila roll</t>
  </si>
  <si>
    <t>Salmón y philadelphia.</t>
  </si>
  <si>
    <t>Combo Kodiak (17 piezas)</t>
  </si>
  <si>
    <t>Geisha, tataki, mexican, Soul, Placer real</t>
  </si>
  <si>
    <t>Tamago roll (10 piezas)</t>
  </si>
  <si>
    <t>Phil Tamago roll</t>
  </si>
  <si>
    <t>Salmón y philadelphia con verdeo envuelto en tamago.</t>
  </si>
  <si>
    <t>variados</t>
  </si>
  <si>
    <t>Ibiza roll (10 piezas)</t>
  </si>
  <si>
    <t>Ibiza roll</t>
  </si>
  <si>
    <t xml:space="preserve"> Langostino rebosado y philadelphia coronado con finos cortes de limón y salsa teriyaki.</t>
  </si>
  <si>
    <t>Harumakis (4 piezas)</t>
  </si>
  <si>
    <t>Harumakis</t>
  </si>
  <si>
    <t>Empanaditas de carne o verdura.</t>
  </si>
  <si>
    <t>New York roll (5 piezas)</t>
  </si>
  <si>
    <t>Wantan de salmon</t>
  </si>
  <si>
    <t>Phill crunchi tamago rol (10 piezas)l</t>
  </si>
  <si>
    <t>Phill crunchi tamago roll</t>
  </si>
  <si>
    <t>Salmón y philadelphia envuelto en tamago con corona de almendras</t>
  </si>
  <si>
    <t>Silk roll (10 piezas)</t>
  </si>
  <si>
    <t>Silk roll</t>
  </si>
  <si>
    <t>Salmón, philadelphia, palta y mango envuelto en papel de arroz, con corona de avellanas.</t>
  </si>
  <si>
    <t>Phila roll (5 piezas)</t>
  </si>
  <si>
    <t>Tropical roll (10 piezas)</t>
  </si>
  <si>
    <t>Tropical roll</t>
  </si>
  <si>
    <t>Salmón, philadelphia envuelto en mango. Coronado con salsa maracuya y crocante de batata.</t>
  </si>
  <si>
    <t>New York Phila roll (10 piezas)</t>
  </si>
  <si>
    <t>New York Phila roll</t>
  </si>
  <si>
    <t>Salmón, palta y philadelphia.</t>
  </si>
  <si>
    <t>Soul roll (5 piezas)</t>
  </si>
  <si>
    <t>Tamago roll (5 piezas)</t>
  </si>
  <si>
    <t>Buenos Aires roll (5 piezas)</t>
  </si>
  <si>
    <t>Langostino, salmón, philadelphia y palta bañado en salsa de sésamo.</t>
  </si>
  <si>
    <t>Tropical tamago roll (10 piezas)</t>
  </si>
  <si>
    <t>Tropical tamago roll</t>
  </si>
  <si>
    <t>Salmón y philadelphia con verdeo envuelto en tamago, coronado con crocante de batata y salsa maracuyá.</t>
  </si>
  <si>
    <t>Avocado rol (10 piezas)</t>
  </si>
  <si>
    <t>Avocado roll</t>
  </si>
  <si>
    <t>Salmón, mango y philadelphia, coronado con finas laminas de palta.</t>
  </si>
  <si>
    <t>New York Phila roll (5 piezas)</t>
  </si>
  <si>
    <t>Ibiza roll (5 piezas)</t>
  </si>
  <si>
    <t>Phill crunchi tamago roll (5 piezas)</t>
  </si>
  <si>
    <t>Salmón y philadelphia envuelto en tamago con corona de almendras.</t>
  </si>
  <si>
    <t>Futurama roll (10 piezas)</t>
  </si>
  <si>
    <t>Futurama roll</t>
  </si>
  <si>
    <t>Langostino rebosado, philadelphia y verdeo.</t>
  </si>
  <si>
    <t>Silk roll (5 piezas)</t>
  </si>
  <si>
    <t>Tropical roll (5 piezas)</t>
  </si>
  <si>
    <t>Calentitos</t>
  </si>
  <si>
    <t>Geisha Tempura (4 piezas)</t>
  </si>
  <si>
    <t>Geysha tempura</t>
  </si>
  <si>
    <t>Salmón, philadelphia y palta rebosada en tempura.</t>
  </si>
  <si>
    <t>Hot Phila (New York) roll (10 piezas)</t>
  </si>
  <si>
    <t>Hot Phila (new york) roll</t>
  </si>
  <si>
    <t>Salmón, palta y philadelphia rebosados en panko.</t>
  </si>
  <si>
    <t>Tataki Roll (10 piezas)</t>
  </si>
  <si>
    <t>Tataki roll</t>
  </si>
  <si>
    <t>Salmón rebosado y philadelphia coronado con salmón  y crocante de batata.</t>
  </si>
  <si>
    <t>Mexican roll (10 piezas)</t>
  </si>
  <si>
    <t>Mexican roll</t>
  </si>
  <si>
    <t>Salmón rebosado en panko, philadelphia, coronado con guacamole y nachos.</t>
  </si>
  <si>
    <t>Skin roll (10 piezas)</t>
  </si>
  <si>
    <t>Skin roll</t>
  </si>
  <si>
    <t>Piel de salmón y philadelphia coronado con palta.</t>
  </si>
  <si>
    <t>Tropical tamago roll (5 piezas)</t>
  </si>
  <si>
    <t>Avocado roll (5 piezas)</t>
  </si>
  <si>
    <t>Geisha (4 piezas)</t>
  </si>
  <si>
    <t xml:space="preserve">Geisha </t>
  </si>
  <si>
    <t>4 lonjas de salmón, philadelphia y palta.</t>
  </si>
  <si>
    <t>Combo variado (17 piezas)</t>
  </si>
  <si>
    <t>Combo variado</t>
  </si>
  <si>
    <t>Ebi Maki, Skin California y nigiri</t>
  </si>
  <si>
    <t>Nigiri (4 piezas)</t>
  </si>
  <si>
    <t>Nigiri</t>
  </si>
  <si>
    <t>Canape de arroz envuelto con salmón.</t>
  </si>
  <si>
    <t>Futurama roll (5 piezas)</t>
  </si>
  <si>
    <t>Combo vegetariano (20 piezas)</t>
  </si>
  <si>
    <t>Combo vegetariano</t>
  </si>
  <si>
    <t>Veggie phill roll, Mango roll, Pepino roll, Veggie grill.</t>
  </si>
  <si>
    <t>Geisha (1 pieza)</t>
  </si>
  <si>
    <t>1 lonja de salmón, philadelphia y palta.</t>
  </si>
  <si>
    <t>Nigiri (1 pieza)</t>
  </si>
  <si>
    <t>Hot Phila (New York) roll (5 piezas)</t>
  </si>
  <si>
    <t>Skin roll (5 piezas)</t>
  </si>
  <si>
    <t>Tataki Roll (5 piezas)</t>
  </si>
  <si>
    <t>Salmón rebosado y philadelphia coronado con salmón y crocante de batata.</t>
  </si>
  <si>
    <t>Mexican roll (5 piezas)</t>
  </si>
  <si>
    <t>Ebi Maki roll (10 piezas)</t>
  </si>
  <si>
    <t>Ebi maki roll</t>
  </si>
  <si>
    <t>Langostino y philadelphia.</t>
  </si>
  <si>
    <t>Spring Roll  (10 piezas)</t>
  </si>
  <si>
    <t>Spring Roll roll</t>
  </si>
  <si>
    <t>Langostino, palta, philadelphia y verdeo.</t>
  </si>
  <si>
    <t>Hot Futurama roll (10 piezas)</t>
  </si>
  <si>
    <t>Hot Futurama roll</t>
  </si>
  <si>
    <t>Langostino, philadelphia y verdeo rebosados en panko.</t>
  </si>
  <si>
    <t>Ebi Maki roll (5 piezas)</t>
  </si>
  <si>
    <t>Spring Roll  (5 piezas)</t>
  </si>
  <si>
    <t>Hot Futurama roll (5 piezas)</t>
  </si>
  <si>
    <t>Rabas</t>
  </si>
  <si>
    <t>Rebosadas en panko</t>
  </si>
  <si>
    <t>Californian roll (10 piezas)</t>
  </si>
  <si>
    <t>Californian roll</t>
  </si>
  <si>
    <t>Kanikama, philadelphia y palta.</t>
  </si>
  <si>
    <t>Californian roll (5 piezas)</t>
  </si>
  <si>
    <t>Tuna roll (5 piezas)</t>
  </si>
  <si>
    <t>Tuna roll</t>
  </si>
  <si>
    <t>Atún aderezado.</t>
  </si>
  <si>
    <t>Tuna roll (10 piezas)</t>
  </si>
  <si>
    <t>Combo variado (32 piezas)</t>
  </si>
  <si>
    <t>Ebi Maki, Skin, California, Tuna, Spring, Futurama y nigiri.</t>
  </si>
  <si>
    <t>Combo variado (47 piezas)</t>
  </si>
  <si>
    <t>Ebi Maki, Skin, California, Tuna, Spring, Futurama, Ibiza,  Salmon grill, Nigiri y Sashimi</t>
  </si>
  <si>
    <t>Combo variado (62 piezas)</t>
  </si>
  <si>
    <t>Ebi Maki, Skin, California, Tuna, Spring, Futurama, Ibiza, Salmon grill, Nigiri y Sashimi</t>
  </si>
  <si>
    <t>Wok de arroz</t>
  </si>
  <si>
    <t>Wok frutos del mar</t>
  </si>
  <si>
    <t>Zanahoria, cebolla, zapallito, morrón, salmón, langostino, kanikama.</t>
  </si>
  <si>
    <t>450gr</t>
  </si>
  <si>
    <t>Wok de cerdo</t>
  </si>
  <si>
    <t>Cerdo acompañado de zanahoria, cebolla, zapallito y morrón con base de arroz.</t>
  </si>
  <si>
    <t>Wok de carne</t>
  </si>
  <si>
    <t>Carne acompañado de zanahoria, cebolla, zapallito y morrón con base de arroz.</t>
  </si>
  <si>
    <t>Wok de pollo</t>
  </si>
  <si>
    <t>Pollo acompañado de zanahoria, cebolla, zapallito y morrón con base de arroz.</t>
  </si>
  <si>
    <t>Wok de vegetales</t>
  </si>
  <si>
    <t>Zanahoria, cebolla, zapallito y morrón con base de arroz.</t>
  </si>
  <si>
    <t>Nuestras salsas</t>
  </si>
  <si>
    <t>Salsa Futurama</t>
  </si>
  <si>
    <t>Salsa Buenos Aires</t>
  </si>
  <si>
    <t>Salsa Teriyaki</t>
  </si>
  <si>
    <t>Salsa Tropical maracuya</t>
  </si>
  <si>
    <t>Salsa Acevichada</t>
  </si>
  <si>
    <t>Salsa Agridulce</t>
  </si>
  <si>
    <t>Salsa a base de extracto de tomate, azucar, frutas y vinagre</t>
  </si>
  <si>
    <t>menu after</t>
  </si>
  <si>
    <t>combo After (15 piezas) + 2 harumakis</t>
  </si>
  <si>
    <t>Combo after</t>
  </si>
  <si>
    <t>Salmon grill roll, skin roll, california roll y harumakis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</si>
</sst>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86"/>
    <col customWidth="1" min="4" max="4" width="34.43"/>
    <col customWidth="1" min="5" max="5" width="118.0"/>
    <col customWidth="1" min="6" max="6" width="23.71"/>
    <col customWidth="1" min="7" max="7" width="24.43"/>
    <col customWidth="1" min="8" max="8" width="26.57"/>
    <col customWidth="1" min="9" max="9" width="28.86"/>
    <col customWidth="1" min="10" max="10" width="31.71"/>
    <col customWidth="1" min="11" max="11" width="32.0"/>
    <col customWidth="1" min="12" max="12" width="19.29"/>
    <col customWidth="1" min="13" max="13" width="17.43"/>
    <col customWidth="1" min="14" max="14" width="10.71"/>
    <col customWidth="1" min="15" max="16" width="12.0"/>
    <col customWidth="1" min="17" max="17" width="18.0"/>
    <col customWidth="1" min="18" max="18" width="28.29"/>
    <col customWidth="1" min="19" max="19" width="30.86"/>
    <col customWidth="1" min="20" max="20" width="41.14"/>
    <col customWidth="1" min="21" max="21" width="23.0"/>
    <col customWidth="1" min="22" max="22" width="33.57"/>
    <col customWidth="1" min="23" max="23" width="30.86"/>
    <col customWidth="1" min="24" max="24" width="41.14"/>
    <col customWidth="1" min="25" max="25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>
      <c r="A2" s="4">
        <v>422.0</v>
      </c>
      <c r="B2" s="4" t="s">
        <v>25</v>
      </c>
      <c r="C2" s="4" t="s">
        <v>26</v>
      </c>
      <c r="D2" s="4" t="s">
        <v>27</v>
      </c>
      <c r="E2" s="4" t="s">
        <v>28</v>
      </c>
      <c r="F2" s="4">
        <v>504.16701988012824</v>
      </c>
      <c r="G2" s="4">
        <v>410.3395361301282</v>
      </c>
      <c r="H2" s="4">
        <v>757.0062500000001</v>
      </c>
      <c r="I2" s="4">
        <v>1081.4375000000002</v>
      </c>
      <c r="J2" s="4">
        <v>688.1875000000001</v>
      </c>
      <c r="K2" s="4">
        <v>756.2500000000001</v>
      </c>
      <c r="N2" s="4">
        <v>10.0</v>
      </c>
      <c r="O2" s="4">
        <v>32.014653976025635</v>
      </c>
      <c r="P2" s="4">
        <v>320.14653976025636</v>
      </c>
      <c r="Q2" s="4">
        <v>368.04096023974375</v>
      </c>
      <c r="R2" s="4">
        <v>1.1496015559479524</v>
      </c>
      <c r="S2" s="4">
        <v>294.432768191795</v>
      </c>
      <c r="T2" s="4">
        <v>0.919681244758362</v>
      </c>
      <c r="U2" s="4">
        <v>180.3859927397437</v>
      </c>
      <c r="V2" s="4">
        <v>0.5634482036720647</v>
      </c>
      <c r="W2" s="4">
        <v>135.2894945548078</v>
      </c>
      <c r="X2" s="4">
        <v>0.4225861527540486</v>
      </c>
      <c r="Y2" s="4">
        <v>831.8750000000002</v>
      </c>
    </row>
    <row r="3">
      <c r="A3" s="4">
        <v>220.0</v>
      </c>
      <c r="B3" s="4" t="s">
        <v>29</v>
      </c>
      <c r="C3" s="4" t="s">
        <v>30</v>
      </c>
      <c r="D3" s="4" t="s">
        <v>31</v>
      </c>
      <c r="E3" s="4" t="s">
        <v>32</v>
      </c>
      <c r="F3" s="4">
        <v>208.820716576087</v>
      </c>
      <c r="G3" s="4">
        <v>169.78848333608695</v>
      </c>
      <c r="H3" s="4">
        <v>314.91459999999995</v>
      </c>
      <c r="I3" s="4">
        <v>449.878</v>
      </c>
      <c r="J3" s="4">
        <v>286.28600000000006</v>
      </c>
      <c r="K3" s="4">
        <v>314.6</v>
      </c>
      <c r="L3" s="4">
        <v>10.0</v>
      </c>
      <c r="N3" s="4">
        <v>4.0</v>
      </c>
      <c r="O3" s="4">
        <v>32.83885828804348</v>
      </c>
      <c r="P3" s="4">
        <v>131.35543315217393</v>
      </c>
      <c r="Q3" s="4">
        <v>154.93056684782613</v>
      </c>
      <c r="R3" s="4">
        <v>1.1794758932303977</v>
      </c>
      <c r="S3" s="4">
        <v>123.94445347826091</v>
      </c>
      <c r="T3" s="4">
        <v>0.9435807145843181</v>
      </c>
      <c r="U3" s="4">
        <v>76.86610036782605</v>
      </c>
      <c r="V3" s="4">
        <v>0.5851764066643323</v>
      </c>
      <c r="W3" s="4">
        <v>57.64957527586954</v>
      </c>
      <c r="X3" s="4">
        <v>0.4388823049982492</v>
      </c>
      <c r="Y3" s="4">
        <v>346.06000000000006</v>
      </c>
    </row>
    <row r="4">
      <c r="A4" s="4">
        <v>222.0</v>
      </c>
      <c r="B4" s="4" t="s">
        <v>29</v>
      </c>
      <c r="C4" s="4" t="s">
        <v>33</v>
      </c>
      <c r="D4" s="4" t="s">
        <v>34</v>
      </c>
      <c r="E4" s="4" t="s">
        <v>35</v>
      </c>
      <c r="F4" s="4">
        <v>208.820716576087</v>
      </c>
      <c r="G4" s="4">
        <v>169.78848333608695</v>
      </c>
      <c r="H4" s="4">
        <v>314.91459999999995</v>
      </c>
      <c r="I4" s="4">
        <v>449.878</v>
      </c>
      <c r="J4" s="4">
        <v>286.28600000000006</v>
      </c>
      <c r="K4" s="4">
        <v>314.6</v>
      </c>
      <c r="N4" s="4">
        <v>4.0</v>
      </c>
      <c r="O4" s="4">
        <v>32.83885828804348</v>
      </c>
      <c r="P4" s="4">
        <v>131.35543315217393</v>
      </c>
      <c r="Q4" s="4">
        <v>154.93056684782613</v>
      </c>
      <c r="R4" s="4">
        <v>1.1794758932303977</v>
      </c>
      <c r="S4" s="4">
        <v>123.94445347826091</v>
      </c>
      <c r="T4" s="4">
        <v>0.9435807145843181</v>
      </c>
      <c r="U4" s="4">
        <v>76.86610036782605</v>
      </c>
      <c r="V4" s="4">
        <v>0.5851764066643323</v>
      </c>
      <c r="W4" s="4">
        <v>57.64957527586954</v>
      </c>
      <c r="X4" s="4">
        <v>0.4388823049982492</v>
      </c>
      <c r="Y4" s="4">
        <v>346.06000000000006</v>
      </c>
    </row>
    <row r="5">
      <c r="A5" s="4">
        <v>226.0</v>
      </c>
      <c r="B5" s="4" t="s">
        <v>29</v>
      </c>
      <c r="C5" s="4" t="s">
        <v>36</v>
      </c>
      <c r="D5" s="4" t="s">
        <v>37</v>
      </c>
      <c r="E5" s="4" t="s">
        <v>38</v>
      </c>
      <c r="F5" s="4">
        <v>2275.3610599452195</v>
      </c>
      <c r="G5" s="4">
        <v>1848.9339117982192</v>
      </c>
      <c r="H5" s="4">
        <v>3440.442005</v>
      </c>
      <c r="I5" s="4">
        <v>4914.91715</v>
      </c>
      <c r="J5" s="4">
        <v>3127.67455</v>
      </c>
      <c r="K5" s="4">
        <v>3437.005</v>
      </c>
      <c r="L5" s="4">
        <v>70.0</v>
      </c>
      <c r="M5" s="4">
        <v>2270.0</v>
      </c>
      <c r="N5" s="4">
        <v>1.0</v>
      </c>
      <c r="O5" s="4">
        <v>1423.0475698904388</v>
      </c>
      <c r="P5" s="4">
        <v>1423.0475698904388</v>
      </c>
      <c r="Q5" s="4">
        <v>1704.6269801095614</v>
      </c>
      <c r="R5" s="4">
        <v>1.1978706939788397</v>
      </c>
      <c r="S5" s="4">
        <v>1363.7015840876493</v>
      </c>
      <c r="T5" s="4">
        <v>0.9582965551830719</v>
      </c>
      <c r="U5" s="4">
        <v>851.7726838155609</v>
      </c>
      <c r="V5" s="4">
        <v>0.5985553131446893</v>
      </c>
      <c r="W5" s="4">
        <v>638.8295128616707</v>
      </c>
      <c r="X5" s="4">
        <v>0.44891648485851704</v>
      </c>
      <c r="Y5" s="4">
        <v>3780.7055000000005</v>
      </c>
    </row>
    <row r="6">
      <c r="A6" s="4">
        <v>406.0</v>
      </c>
      <c r="B6" s="4" t="s">
        <v>25</v>
      </c>
      <c r="C6" s="4" t="s">
        <v>39</v>
      </c>
      <c r="D6" s="4" t="s">
        <v>40</v>
      </c>
      <c r="E6" s="4" t="s">
        <v>41</v>
      </c>
      <c r="F6" s="4">
        <v>498.0432948801282</v>
      </c>
      <c r="G6" s="4">
        <v>404.2158111301282</v>
      </c>
      <c r="H6" s="4">
        <v>757.0062500000001</v>
      </c>
      <c r="I6" s="4">
        <v>1081.4375000000002</v>
      </c>
      <c r="J6" s="4">
        <v>688.1875000000001</v>
      </c>
      <c r="K6" s="4">
        <v>756.2500000000001</v>
      </c>
      <c r="L6" s="4">
        <v>12.0</v>
      </c>
      <c r="N6" s="4">
        <v>10.0</v>
      </c>
      <c r="O6" s="4">
        <v>30.789908976025636</v>
      </c>
      <c r="P6" s="4">
        <v>307.89908976025635</v>
      </c>
      <c r="Q6" s="4">
        <v>380.28841023974377</v>
      </c>
      <c r="R6" s="4">
        <v>1.2351072896508168</v>
      </c>
      <c r="S6" s="4">
        <v>304.23072819179504</v>
      </c>
      <c r="T6" s="4">
        <v>0.9880858317206535</v>
      </c>
      <c r="U6" s="4">
        <v>192.6334427397437</v>
      </c>
      <c r="V6" s="4">
        <v>0.625638233908832</v>
      </c>
      <c r="W6" s="4">
        <v>144.47508205480779</v>
      </c>
      <c r="X6" s="4">
        <v>0.469228675431624</v>
      </c>
      <c r="Y6" s="4">
        <v>831.8750000000002</v>
      </c>
    </row>
    <row r="7">
      <c r="A7" s="4">
        <v>902.0</v>
      </c>
      <c r="B7" s="4" t="s">
        <v>42</v>
      </c>
      <c r="C7" s="4" t="s">
        <v>43</v>
      </c>
      <c r="D7" s="4" t="s">
        <v>44</v>
      </c>
      <c r="E7" s="4" t="s">
        <v>45</v>
      </c>
      <c r="F7" s="4">
        <v>469.2206144546727</v>
      </c>
      <c r="G7" s="4">
        <v>144.7206144546727</v>
      </c>
      <c r="H7" s="4">
        <v>0.0</v>
      </c>
      <c r="I7" s="4">
        <v>0.0</v>
      </c>
      <c r="J7" s="4">
        <v>649.0</v>
      </c>
      <c r="L7" s="4">
        <v>14.0</v>
      </c>
      <c r="M7" s="4">
        <v>585.0</v>
      </c>
      <c r="N7" s="4">
        <v>1.0</v>
      </c>
      <c r="O7" s="4">
        <v>289.4412289093454</v>
      </c>
      <c r="P7" s="4">
        <v>289.4412289093454</v>
      </c>
      <c r="Q7" s="4">
        <v>359.5587710906546</v>
      </c>
      <c r="R7" s="4">
        <v>1.2422513974443856</v>
      </c>
      <c r="S7" s="4">
        <v>287.6470168725237</v>
      </c>
      <c r="T7" s="4">
        <v>0.9938011179555085</v>
      </c>
      <c r="U7" s="4">
        <v>-289.4412289093454</v>
      </c>
      <c r="V7" s="4">
        <v>-1.0</v>
      </c>
      <c r="W7" s="4">
        <v>-217.08092168200903</v>
      </c>
      <c r="X7" s="4">
        <v>-0.75</v>
      </c>
      <c r="Y7" s="4">
        <v>0.0</v>
      </c>
    </row>
    <row r="8">
      <c r="A8" s="4">
        <v>434.0</v>
      </c>
      <c r="B8" s="4" t="s">
        <v>25</v>
      </c>
      <c r="C8" s="4" t="s">
        <v>46</v>
      </c>
      <c r="D8" s="4" t="s">
        <v>46</v>
      </c>
      <c r="E8" s="4" t="s">
        <v>47</v>
      </c>
      <c r="F8" s="4">
        <v>2392.4247995295646</v>
      </c>
      <c r="G8" s="4">
        <v>1908.5541395295645</v>
      </c>
      <c r="H8" s="4">
        <v>3903.8999999999996</v>
      </c>
      <c r="I8" s="4">
        <v>5577.0</v>
      </c>
      <c r="J8" s="4">
        <v>3549.0</v>
      </c>
      <c r="K8" s="4">
        <v>3900.0</v>
      </c>
      <c r="N8" s="4">
        <v>1.0</v>
      </c>
      <c r="O8" s="4">
        <v>1235.8495990591293</v>
      </c>
      <c r="P8" s="4">
        <v>1235.8495990591293</v>
      </c>
      <c r="Q8" s="4">
        <v>2313.150400940871</v>
      </c>
      <c r="R8" s="4">
        <v>1.8717086631754436</v>
      </c>
      <c r="S8" s="4">
        <v>1850.5203207526968</v>
      </c>
      <c r="T8" s="4">
        <v>1.497366930540355</v>
      </c>
      <c r="U8" s="4">
        <v>1345.4090809408701</v>
      </c>
      <c r="V8" s="4">
        <v>1.088651144900763</v>
      </c>
      <c r="W8" s="4">
        <v>1009.0568107056527</v>
      </c>
      <c r="X8" s="4">
        <v>0.8164883586755723</v>
      </c>
      <c r="Y8" s="4">
        <v>4290.0</v>
      </c>
    </row>
    <row r="9">
      <c r="A9" s="4">
        <v>204.0</v>
      </c>
      <c r="B9" s="4" t="s">
        <v>29</v>
      </c>
      <c r="C9" s="4" t="s">
        <v>48</v>
      </c>
      <c r="D9" s="4" t="s">
        <v>49</v>
      </c>
      <c r="E9" s="4" t="s">
        <v>50</v>
      </c>
      <c r="F9" s="4">
        <v>356.80540761297095</v>
      </c>
      <c r="G9" s="4">
        <v>289.24961931297094</v>
      </c>
      <c r="H9" s="4">
        <v>545.0445000000001</v>
      </c>
      <c r="I9" s="4">
        <v>778.6350000000001</v>
      </c>
      <c r="J9" s="4">
        <v>495.4950000000001</v>
      </c>
      <c r="K9" s="4">
        <v>544.5000000000001</v>
      </c>
      <c r="L9" s="4">
        <v>12.0</v>
      </c>
      <c r="N9" s="4">
        <v>10.0</v>
      </c>
      <c r="O9" s="4">
        <v>21.81158152259418</v>
      </c>
      <c r="P9" s="4">
        <v>218.11581522594182</v>
      </c>
      <c r="Q9" s="4">
        <v>277.37918477405833</v>
      </c>
      <c r="R9" s="4">
        <v>1.2717059718330226</v>
      </c>
      <c r="S9" s="4">
        <v>221.90334781924668</v>
      </c>
      <c r="T9" s="4">
        <v>1.017364777466418</v>
      </c>
      <c r="U9" s="4">
        <v>142.26760817405827</v>
      </c>
      <c r="V9" s="4">
        <v>0.652257187433594</v>
      </c>
      <c r="W9" s="4">
        <v>106.7007061305437</v>
      </c>
      <c r="X9" s="4">
        <v>0.4891928905751954</v>
      </c>
      <c r="Y9" s="4">
        <v>598.9500000000002</v>
      </c>
    </row>
    <row r="10">
      <c r="A10" s="4">
        <v>101.0</v>
      </c>
      <c r="B10" s="4" t="s">
        <v>51</v>
      </c>
      <c r="C10" s="4" t="s">
        <v>52</v>
      </c>
      <c r="D10" s="4" t="s">
        <v>53</v>
      </c>
      <c r="E10" s="4" t="s">
        <v>54</v>
      </c>
      <c r="F10" s="4">
        <v>393.166675710145</v>
      </c>
      <c r="G10" s="4">
        <v>318.72503571014494</v>
      </c>
      <c r="H10" s="4">
        <v>600.5999999999999</v>
      </c>
      <c r="I10" s="4">
        <v>858.0</v>
      </c>
      <c r="J10" s="4">
        <v>546.0</v>
      </c>
      <c r="K10" s="4">
        <v>600.0</v>
      </c>
      <c r="N10" s="4">
        <v>100.0</v>
      </c>
      <c r="O10" s="4">
        <v>2.4033335142028993</v>
      </c>
      <c r="P10" s="4">
        <v>240.33335142028994</v>
      </c>
      <c r="Q10" s="4">
        <v>305.66664857971006</v>
      </c>
      <c r="R10" s="4">
        <v>1.271844489220169</v>
      </c>
      <c r="S10" s="4">
        <v>244.53331886376805</v>
      </c>
      <c r="T10" s="4">
        <v>1.0174755913761353</v>
      </c>
      <c r="U10" s="4">
        <v>156.78336857971</v>
      </c>
      <c r="V10" s="4">
        <v>0.652357933899613</v>
      </c>
      <c r="W10" s="4">
        <v>117.58752643478249</v>
      </c>
      <c r="X10" s="4">
        <v>0.4892684504247098</v>
      </c>
      <c r="Y10" s="4">
        <v>660.0</v>
      </c>
    </row>
    <row r="11">
      <c r="A11" s="4">
        <v>102.0</v>
      </c>
      <c r="B11" s="4" t="s">
        <v>51</v>
      </c>
      <c r="C11" s="4" t="s">
        <v>55</v>
      </c>
      <c r="D11" s="4" t="s">
        <v>53</v>
      </c>
      <c r="E11" s="4" t="s">
        <v>56</v>
      </c>
      <c r="F11" s="4">
        <v>393.166675710145</v>
      </c>
      <c r="G11" s="4">
        <v>318.72503571014494</v>
      </c>
      <c r="H11" s="4">
        <v>600.5999999999999</v>
      </c>
      <c r="I11" s="4">
        <v>858.0</v>
      </c>
      <c r="J11" s="4">
        <v>546.0</v>
      </c>
      <c r="K11" s="4">
        <v>600.0</v>
      </c>
      <c r="N11" s="4">
        <v>100.0</v>
      </c>
      <c r="O11" s="4">
        <v>2.4033335142028993</v>
      </c>
      <c r="P11" s="4">
        <v>240.33335142028994</v>
      </c>
      <c r="Q11" s="4">
        <v>305.66664857971006</v>
      </c>
      <c r="R11" s="4">
        <v>1.271844489220169</v>
      </c>
      <c r="S11" s="4">
        <v>244.53331886376805</v>
      </c>
      <c r="T11" s="4">
        <v>1.0174755913761353</v>
      </c>
      <c r="U11" s="4">
        <v>156.78336857971</v>
      </c>
      <c r="V11" s="4">
        <v>0.652357933899613</v>
      </c>
      <c r="W11" s="4">
        <v>117.58752643478249</v>
      </c>
      <c r="X11" s="4">
        <v>0.4892684504247098</v>
      </c>
      <c r="Y11" s="4">
        <v>660.0</v>
      </c>
    </row>
    <row r="12">
      <c r="A12" s="4">
        <v>433.0</v>
      </c>
      <c r="B12" s="4" t="s">
        <v>25</v>
      </c>
      <c r="C12" s="4" t="s">
        <v>57</v>
      </c>
      <c r="D12" s="4" t="s">
        <v>57</v>
      </c>
      <c r="E12" s="4" t="s">
        <v>58</v>
      </c>
      <c r="F12" s="4">
        <v>1835.2191596086573</v>
      </c>
      <c r="G12" s="4">
        <v>1469.2144296086572</v>
      </c>
      <c r="H12" s="4">
        <v>2952.95</v>
      </c>
      <c r="I12" s="4">
        <v>4218.5</v>
      </c>
      <c r="J12" s="4">
        <v>2684.5</v>
      </c>
      <c r="K12" s="4">
        <v>2950.0</v>
      </c>
      <c r="N12" s="4">
        <v>1.0</v>
      </c>
      <c r="O12" s="4">
        <v>985.9383192173144</v>
      </c>
      <c r="P12" s="4">
        <v>985.9383192173144</v>
      </c>
      <c r="Q12" s="4">
        <v>1698.5616807826855</v>
      </c>
      <c r="R12" s="4">
        <v>1.7227869610860505</v>
      </c>
      <c r="S12" s="4">
        <v>1358.8493446261484</v>
      </c>
      <c r="T12" s="4">
        <v>1.3782295688688404</v>
      </c>
      <c r="U12" s="4">
        <v>966.5522207826854</v>
      </c>
      <c r="V12" s="4">
        <v>0.9803374125371062</v>
      </c>
      <c r="W12" s="4">
        <v>724.914165587014</v>
      </c>
      <c r="X12" s="4">
        <v>0.7352530594028296</v>
      </c>
      <c r="Y12" s="4">
        <v>3245.0000000000005</v>
      </c>
    </row>
    <row r="13">
      <c r="A13" s="4">
        <v>224.0</v>
      </c>
      <c r="B13" s="4" t="s">
        <v>29</v>
      </c>
      <c r="C13" s="4" t="s">
        <v>59</v>
      </c>
      <c r="D13" s="4" t="s">
        <v>37</v>
      </c>
      <c r="E13" s="4" t="s">
        <v>60</v>
      </c>
      <c r="F13" s="4">
        <v>1209.9427739987495</v>
      </c>
      <c r="G13" s="4">
        <v>980.3281557657494</v>
      </c>
      <c r="H13" s="4">
        <v>3003.0</v>
      </c>
      <c r="I13" s="4">
        <v>4290.0</v>
      </c>
      <c r="J13" s="4">
        <v>2730.0</v>
      </c>
      <c r="K13" s="4">
        <v>3000.0</v>
      </c>
      <c r="L13" s="4">
        <v>30.0</v>
      </c>
      <c r="M13" s="4">
        <v>1200.0</v>
      </c>
      <c r="N13" s="4">
        <v>1.0</v>
      </c>
      <c r="O13" s="4">
        <v>0.0</v>
      </c>
      <c r="P13" s="4">
        <v>735.7530979974991</v>
      </c>
      <c r="Q13" s="4">
        <v>948.3793520025009</v>
      </c>
      <c r="R13" s="4">
        <v>1.288991313232261</v>
      </c>
      <c r="S13" s="4">
        <v>758.7034816020008</v>
      </c>
      <c r="T13" s="4">
        <v>1.031193050585809</v>
      </c>
      <c r="U13" s="4">
        <v>0.0</v>
      </c>
      <c r="V13" s="4">
        <v>0.0</v>
      </c>
      <c r="W13" s="4">
        <v>366.8625866523755</v>
      </c>
      <c r="X13" s="4">
        <v>0.49862187145506587</v>
      </c>
      <c r="Y13" s="4">
        <v>3300.0000000000005</v>
      </c>
    </row>
    <row r="14">
      <c r="A14" s="4">
        <v>225.0</v>
      </c>
      <c r="B14" s="4" t="s">
        <v>29</v>
      </c>
      <c r="C14" s="4" t="s">
        <v>61</v>
      </c>
      <c r="D14" s="4" t="s">
        <v>37</v>
      </c>
      <c r="E14" s="4" t="s">
        <v>62</v>
      </c>
      <c r="F14" s="4">
        <v>1733.797908440853</v>
      </c>
      <c r="G14" s="4">
        <v>1403.525165640853</v>
      </c>
      <c r="H14" s="4">
        <v>3503.5</v>
      </c>
      <c r="I14" s="4">
        <v>5005.0</v>
      </c>
      <c r="J14" s="4">
        <v>3185.0</v>
      </c>
      <c r="K14" s="4">
        <v>3500.0</v>
      </c>
      <c r="L14" s="4">
        <v>40.0</v>
      </c>
      <c r="N14" s="4">
        <v>1.0</v>
      </c>
      <c r="O14" s="4">
        <v>0.0</v>
      </c>
      <c r="P14" s="4">
        <v>0.0</v>
      </c>
      <c r="Q14" s="4">
        <v>1377.2441831182941</v>
      </c>
      <c r="R14" s="4">
        <v>1.3177153172442488</v>
      </c>
      <c r="S14" s="4">
        <v>1101.7953464946354</v>
      </c>
      <c r="T14" s="4">
        <v>1.0541722537953993</v>
      </c>
      <c r="U14" s="4">
        <v>0.0</v>
      </c>
      <c r="V14" s="4">
        <v>0.0</v>
      </c>
      <c r="W14" s="4">
        <v>537.5240231387205</v>
      </c>
      <c r="X14" s="4">
        <v>0.5142905284035653</v>
      </c>
      <c r="Y14" s="4">
        <v>3850.0000000000005</v>
      </c>
    </row>
    <row r="15">
      <c r="A15" s="4">
        <v>421.0</v>
      </c>
      <c r="B15" s="4" t="s">
        <v>25</v>
      </c>
      <c r="C15" s="4" t="s">
        <v>63</v>
      </c>
      <c r="D15" s="4" t="s">
        <v>27</v>
      </c>
      <c r="E15" s="4" t="s">
        <v>28</v>
      </c>
      <c r="F15" s="4">
        <v>267.22363494006413</v>
      </c>
      <c r="G15" s="4">
        <v>216.1814837800641</v>
      </c>
      <c r="H15" s="4">
        <v>411.81140000000005</v>
      </c>
      <c r="I15" s="4">
        <v>588.3020000000001</v>
      </c>
      <c r="J15" s="4">
        <v>374.3740000000001</v>
      </c>
      <c r="K15" s="4">
        <v>411.4000000000001</v>
      </c>
      <c r="N15" s="4">
        <v>5.0</v>
      </c>
      <c r="O15" s="4">
        <v>32.014653976025635</v>
      </c>
      <c r="P15" s="4">
        <v>160.07326988012818</v>
      </c>
      <c r="Q15" s="4">
        <v>214.3007301198719</v>
      </c>
      <c r="R15" s="4">
        <v>1.3387664928713725</v>
      </c>
      <c r="S15" s="4">
        <v>171.44058409589752</v>
      </c>
      <c r="T15" s="4">
        <v>1.071013194297098</v>
      </c>
      <c r="U15" s="4">
        <v>112.21642779987184</v>
      </c>
      <c r="V15" s="4">
        <v>0.7010316455952064</v>
      </c>
      <c r="W15" s="4">
        <v>84.16232084990388</v>
      </c>
      <c r="X15" s="4">
        <v>0.5257737341964047</v>
      </c>
      <c r="Y15" s="4">
        <v>452.54000000000013</v>
      </c>
    </row>
    <row r="16">
      <c r="A16" s="4">
        <v>219.0</v>
      </c>
      <c r="B16" s="4" t="s">
        <v>29</v>
      </c>
      <c r="C16" s="4" t="s">
        <v>64</v>
      </c>
      <c r="D16" s="4" t="s">
        <v>31</v>
      </c>
      <c r="E16" s="4" t="s">
        <v>32</v>
      </c>
      <c r="F16" s="4">
        <v>54.95792914402174</v>
      </c>
      <c r="G16" s="4">
        <v>44.449250964021736</v>
      </c>
      <c r="H16" s="4">
        <v>84.78469999999999</v>
      </c>
      <c r="I16" s="4">
        <v>121.121</v>
      </c>
      <c r="J16" s="4">
        <v>77.077</v>
      </c>
      <c r="K16" s="4">
        <v>84.7</v>
      </c>
      <c r="L16" s="4">
        <v>5.0</v>
      </c>
      <c r="N16" s="4">
        <v>1.0</v>
      </c>
      <c r="O16" s="4">
        <v>32.83885828804348</v>
      </c>
      <c r="P16" s="4">
        <v>32.83885828804348</v>
      </c>
      <c r="Q16" s="4">
        <v>44.238141711956516</v>
      </c>
      <c r="R16" s="4">
        <v>1.3471278850173507</v>
      </c>
      <c r="S16" s="4">
        <v>35.39051336956521</v>
      </c>
      <c r="T16" s="4">
        <v>1.0777023080138806</v>
      </c>
      <c r="U16" s="4">
        <v>23.220785351956508</v>
      </c>
      <c r="V16" s="4">
        <v>0.7071130533308193</v>
      </c>
      <c r="W16" s="4">
        <v>17.41558901396738</v>
      </c>
      <c r="X16" s="4">
        <v>0.5303347899981145</v>
      </c>
      <c r="Y16" s="4">
        <v>93.17000000000002</v>
      </c>
    </row>
    <row r="17">
      <c r="A17" s="4">
        <v>221.0</v>
      </c>
      <c r="B17" s="4" t="s">
        <v>29</v>
      </c>
      <c r="C17" s="4" t="s">
        <v>65</v>
      </c>
      <c r="D17" s="4" t="s">
        <v>34</v>
      </c>
      <c r="E17" s="4" t="s">
        <v>35</v>
      </c>
      <c r="F17" s="4">
        <v>54.95792914402174</v>
      </c>
      <c r="G17" s="4">
        <v>44.449250964021736</v>
      </c>
      <c r="H17" s="4">
        <v>84.78469999999999</v>
      </c>
      <c r="I17" s="4">
        <v>121.121</v>
      </c>
      <c r="J17" s="4">
        <v>77.077</v>
      </c>
      <c r="K17" s="4">
        <v>84.7</v>
      </c>
      <c r="N17" s="4">
        <v>1.0</v>
      </c>
      <c r="O17" s="4">
        <v>32.83885828804348</v>
      </c>
      <c r="P17" s="4">
        <v>32.83885828804348</v>
      </c>
      <c r="Q17" s="4">
        <v>44.238141711956516</v>
      </c>
      <c r="R17" s="4">
        <v>1.3471278850173507</v>
      </c>
      <c r="S17" s="4">
        <v>35.39051336956521</v>
      </c>
      <c r="T17" s="4">
        <v>1.0777023080138806</v>
      </c>
      <c r="U17" s="4">
        <v>23.220785351956508</v>
      </c>
      <c r="V17" s="4">
        <v>0.7071130533308193</v>
      </c>
      <c r="W17" s="4">
        <v>17.41558901396738</v>
      </c>
      <c r="X17" s="4">
        <v>0.5303347899981145</v>
      </c>
      <c r="Y17" s="4">
        <v>93.17000000000002</v>
      </c>
    </row>
    <row r="18">
      <c r="A18" s="4">
        <v>426.0</v>
      </c>
      <c r="B18" s="4" t="s">
        <v>25</v>
      </c>
      <c r="C18" s="4" t="s">
        <v>66</v>
      </c>
      <c r="D18" s="4" t="s">
        <v>66</v>
      </c>
      <c r="E18" s="4" t="s">
        <v>67</v>
      </c>
      <c r="F18" s="4">
        <v>2384.5250461301384</v>
      </c>
      <c r="G18" s="4">
        <v>1919.290850704138</v>
      </c>
      <c r="H18" s="4">
        <v>3753.53979</v>
      </c>
      <c r="I18" s="4">
        <v>5362.1997</v>
      </c>
      <c r="J18" s="4">
        <v>3412.3089000000004</v>
      </c>
      <c r="K18" s="4">
        <v>3749.7900000000004</v>
      </c>
      <c r="N18" s="4">
        <v>1.0</v>
      </c>
      <c r="O18" s="4">
        <v>1356.7411922602762</v>
      </c>
      <c r="P18" s="4">
        <v>1356.7411922602762</v>
      </c>
      <c r="Q18" s="4">
        <v>2055.567707739724</v>
      </c>
      <c r="R18" s="4">
        <v>1.5150772449941106</v>
      </c>
      <c r="S18" s="4">
        <v>1644.4541661917792</v>
      </c>
      <c r="T18" s="4">
        <v>1.2120617959952884</v>
      </c>
      <c r="U18" s="4">
        <v>1125.0993168877237</v>
      </c>
      <c r="V18" s="4">
        <v>0.8292659818291163</v>
      </c>
      <c r="W18" s="4">
        <v>843.8244876657927</v>
      </c>
      <c r="X18" s="4">
        <v>0.6219494863718371</v>
      </c>
      <c r="Y18" s="4">
        <v>4124.769000000001</v>
      </c>
    </row>
    <row r="19">
      <c r="A19" s="4">
        <v>429.0</v>
      </c>
      <c r="B19" s="4" t="s">
        <v>25</v>
      </c>
      <c r="C19" s="4" t="s">
        <v>68</v>
      </c>
      <c r="D19" s="4" t="s">
        <v>68</v>
      </c>
      <c r="E19" s="4" t="s">
        <v>69</v>
      </c>
      <c r="F19" s="4">
        <v>1903.2644110937076</v>
      </c>
      <c r="G19" s="4">
        <v>1512.9420786937071</v>
      </c>
      <c r="H19" s="4">
        <v>3149.146</v>
      </c>
      <c r="I19" s="4">
        <v>4498.780000000001</v>
      </c>
      <c r="J19" s="4">
        <v>2862.860000000001</v>
      </c>
      <c r="K19" s="4">
        <v>3146.000000000001</v>
      </c>
      <c r="N19" s="4">
        <v>1.0</v>
      </c>
      <c r="O19" s="4">
        <v>943.6688221874142</v>
      </c>
      <c r="P19" s="4">
        <v>943.6688221874142</v>
      </c>
      <c r="Q19" s="4">
        <v>1919.1911778125868</v>
      </c>
      <c r="R19" s="4">
        <v>2.0337549918878555</v>
      </c>
      <c r="S19" s="4">
        <v>1535.3529422500696</v>
      </c>
      <c r="T19" s="4">
        <v>1.6270039935102847</v>
      </c>
      <c r="U19" s="4">
        <v>1138.5465130125858</v>
      </c>
      <c r="V19" s="4">
        <v>1.2065106806998744</v>
      </c>
      <c r="W19" s="4">
        <v>853.9098847594394</v>
      </c>
      <c r="X19" s="4">
        <v>0.9048830105249057</v>
      </c>
      <c r="Y19" s="4">
        <v>3460.6000000000013</v>
      </c>
    </row>
    <row r="20">
      <c r="A20" s="4">
        <v>214.0</v>
      </c>
      <c r="B20" s="4" t="s">
        <v>29</v>
      </c>
      <c r="C20" s="4" t="s">
        <v>70</v>
      </c>
      <c r="D20" s="4" t="s">
        <v>71</v>
      </c>
      <c r="E20" s="4" t="s">
        <v>72</v>
      </c>
      <c r="F20" s="4">
        <v>352.6636988745812</v>
      </c>
      <c r="G20" s="4">
        <v>285.1079105745812</v>
      </c>
      <c r="H20" s="4">
        <v>545.0445000000001</v>
      </c>
      <c r="I20" s="4">
        <v>778.6350000000001</v>
      </c>
      <c r="J20" s="4">
        <v>495.4950000000001</v>
      </c>
      <c r="K20" s="4">
        <v>544.5000000000001</v>
      </c>
      <c r="L20" s="4">
        <v>12.0</v>
      </c>
      <c r="N20" s="4">
        <v>10.0</v>
      </c>
      <c r="O20" s="4">
        <v>20.98323977491623</v>
      </c>
      <c r="P20" s="4">
        <v>209.83239774916228</v>
      </c>
      <c r="Q20" s="4">
        <v>285.66260225083784</v>
      </c>
      <c r="R20" s="4">
        <v>1.3613846351425887</v>
      </c>
      <c r="S20" s="4">
        <v>228.53008180067027</v>
      </c>
      <c r="T20" s="4">
        <v>1.089107708114071</v>
      </c>
      <c r="U20" s="4">
        <v>150.5510256508378</v>
      </c>
      <c r="V20" s="4">
        <v>0.7174822728319076</v>
      </c>
      <c r="W20" s="4">
        <v>112.91326923812835</v>
      </c>
      <c r="X20" s="4">
        <v>0.5381117046239307</v>
      </c>
      <c r="Y20" s="4">
        <v>598.9500000000002</v>
      </c>
    </row>
    <row r="21" ht="15.75" customHeight="1">
      <c r="A21" s="4">
        <v>202.0</v>
      </c>
      <c r="B21" s="4" t="s">
        <v>29</v>
      </c>
      <c r="C21" s="4" t="s">
        <v>73</v>
      </c>
      <c r="D21" s="4" t="s">
        <v>74</v>
      </c>
      <c r="E21" s="4" t="s">
        <v>75</v>
      </c>
      <c r="F21" s="4">
        <v>352.607132612971</v>
      </c>
      <c r="G21" s="4">
        <v>285.05134431297097</v>
      </c>
      <c r="H21" s="4">
        <v>545.0445000000001</v>
      </c>
      <c r="I21" s="4">
        <v>778.6350000000001</v>
      </c>
      <c r="J21" s="4">
        <v>495.4950000000001</v>
      </c>
      <c r="K21" s="4">
        <v>544.5000000000001</v>
      </c>
      <c r="L21" s="4">
        <v>12.0</v>
      </c>
      <c r="N21" s="4">
        <v>10.0</v>
      </c>
      <c r="O21" s="4">
        <v>20.97192652259418</v>
      </c>
      <c r="P21" s="4">
        <v>209.7192652259418</v>
      </c>
      <c r="Q21" s="4">
        <v>285.7757347740583</v>
      </c>
      <c r="R21" s="4">
        <v>1.362658478066747</v>
      </c>
      <c r="S21" s="4">
        <v>228.62058781924668</v>
      </c>
      <c r="T21" s="4">
        <v>1.0901267824533978</v>
      </c>
      <c r="U21" s="4">
        <v>150.6641581740583</v>
      </c>
      <c r="V21" s="4">
        <v>0.7184087642675064</v>
      </c>
      <c r="W21" s="4">
        <v>112.99811863054371</v>
      </c>
      <c r="X21" s="4">
        <v>0.5388065732006299</v>
      </c>
      <c r="Y21" s="4">
        <v>598.9500000000002</v>
      </c>
    </row>
    <row r="22" ht="15.75" customHeight="1">
      <c r="A22" s="4">
        <v>425.0</v>
      </c>
      <c r="B22" s="4" t="s">
        <v>25</v>
      </c>
      <c r="C22" s="4" t="s">
        <v>76</v>
      </c>
      <c r="D22" s="4" t="s">
        <v>76</v>
      </c>
      <c r="E22" s="4" t="s">
        <v>67</v>
      </c>
      <c r="F22" s="4">
        <v>1802.9926453923051</v>
      </c>
      <c r="G22" s="4">
        <v>1457.8576291663048</v>
      </c>
      <c r="H22" s="4">
        <v>2784.57179</v>
      </c>
      <c r="I22" s="4">
        <v>3977.9597000000003</v>
      </c>
      <c r="J22" s="4">
        <v>2531.4289000000003</v>
      </c>
      <c r="K22" s="4">
        <v>2781.7900000000004</v>
      </c>
      <c r="N22" s="4">
        <v>1.0</v>
      </c>
      <c r="O22" s="4">
        <v>1074.55639078461</v>
      </c>
      <c r="P22" s="4">
        <v>1074.55639078461</v>
      </c>
      <c r="Q22" s="4">
        <v>1456.8725092153904</v>
      </c>
      <c r="R22" s="4">
        <v>1.3557897209578964</v>
      </c>
      <c r="S22" s="4">
        <v>1165.4980073723125</v>
      </c>
      <c r="T22" s="4">
        <v>1.0846317767663172</v>
      </c>
      <c r="U22" s="4">
        <v>766.6024767633899</v>
      </c>
      <c r="V22" s="4">
        <v>0.7134129798470967</v>
      </c>
      <c r="W22" s="4">
        <v>574.9518575725424</v>
      </c>
      <c r="X22" s="4">
        <v>0.5350597348853225</v>
      </c>
      <c r="Y22" s="4">
        <v>3059.9690000000005</v>
      </c>
    </row>
    <row r="23" ht="15.75" customHeight="1">
      <c r="A23" s="4">
        <v>430.0</v>
      </c>
      <c r="B23" s="4" t="s">
        <v>25</v>
      </c>
      <c r="C23" s="4" t="s">
        <v>77</v>
      </c>
      <c r="D23" s="4" t="s">
        <v>77</v>
      </c>
      <c r="E23" s="4" t="s">
        <v>69</v>
      </c>
      <c r="F23" s="4">
        <v>2572.6115159143947</v>
      </c>
      <c r="G23" s="4">
        <v>2077.2024017143945</v>
      </c>
      <c r="H23" s="4">
        <v>3996.9930000000004</v>
      </c>
      <c r="I23" s="4">
        <v>5709.990000000001</v>
      </c>
      <c r="J23" s="4">
        <v>3633.630000000001</v>
      </c>
      <c r="K23" s="4">
        <v>3993.000000000001</v>
      </c>
      <c r="N23" s="4">
        <v>1.0</v>
      </c>
      <c r="O23" s="4">
        <v>0.0</v>
      </c>
      <c r="P23" s="4">
        <v>1511.5930318287885</v>
      </c>
      <c r="Q23" s="4">
        <v>2122.0369681712127</v>
      </c>
      <c r="R23" s="4">
        <v>1.4038414596314217</v>
      </c>
      <c r="S23" s="4">
        <v>1697.6295745369703</v>
      </c>
      <c r="T23" s="4">
        <v>1.1230731677051375</v>
      </c>
      <c r="U23" s="4">
        <v>1131.2187397712116</v>
      </c>
      <c r="V23" s="4">
        <v>0.7483619704191252</v>
      </c>
      <c r="W23" s="4">
        <v>848.4140548284088</v>
      </c>
      <c r="X23" s="4">
        <v>0.5612714778143439</v>
      </c>
      <c r="Y23" s="4">
        <v>4392.300000000001</v>
      </c>
    </row>
    <row r="24" ht="15.75" customHeight="1">
      <c r="A24" s="4">
        <v>432.0</v>
      </c>
      <c r="B24" s="4" t="s">
        <v>25</v>
      </c>
      <c r="C24" s="4" t="s">
        <v>78</v>
      </c>
      <c r="D24" s="4" t="s">
        <v>78</v>
      </c>
      <c r="E24" s="4" t="s">
        <v>58</v>
      </c>
      <c r="F24" s="4">
        <v>1318.107400668035</v>
      </c>
      <c r="G24" s="4">
        <v>1055.390446168035</v>
      </c>
      <c r="H24" s="4">
        <v>2119.6175000000003</v>
      </c>
      <c r="I24" s="4">
        <v>3028.0250000000005</v>
      </c>
      <c r="J24" s="4">
        <v>1926.9250000000004</v>
      </c>
      <c r="K24" s="4">
        <v>2117.5000000000005</v>
      </c>
      <c r="N24" s="4">
        <v>1.0</v>
      </c>
      <c r="O24" s="4">
        <v>709.28980133607</v>
      </c>
      <c r="P24" s="4">
        <v>709.28980133607</v>
      </c>
      <c r="Q24" s="4">
        <v>1217.6351986639304</v>
      </c>
      <c r="R24" s="4">
        <v>1.7166963297234838</v>
      </c>
      <c r="S24" s="4">
        <v>974.1081589311443</v>
      </c>
      <c r="T24" s="4">
        <v>1.373357063778787</v>
      </c>
      <c r="U24" s="4">
        <v>692.2012896639301</v>
      </c>
      <c r="V24" s="4">
        <v>0.975907574534484</v>
      </c>
      <c r="W24" s="4">
        <v>519.1509672479476</v>
      </c>
      <c r="X24" s="4">
        <v>0.7319306809008631</v>
      </c>
      <c r="Y24" s="4">
        <v>2329.250000000001</v>
      </c>
    </row>
    <row r="25" ht="15.75" customHeight="1">
      <c r="A25" s="4">
        <v>405.0</v>
      </c>
      <c r="B25" s="4" t="s">
        <v>25</v>
      </c>
      <c r="C25" s="4" t="s">
        <v>79</v>
      </c>
      <c r="D25" s="4" t="s">
        <v>40</v>
      </c>
      <c r="E25" s="4" t="s">
        <v>41</v>
      </c>
      <c r="F25" s="4">
        <v>264.1617724400641</v>
      </c>
      <c r="G25" s="4">
        <v>213.1196212800641</v>
      </c>
      <c r="H25" s="4">
        <v>411.81140000000005</v>
      </c>
      <c r="I25" s="4">
        <v>588.3020000000001</v>
      </c>
      <c r="J25" s="4">
        <v>374.3740000000001</v>
      </c>
      <c r="K25" s="4">
        <v>411.4000000000001</v>
      </c>
      <c r="L25" s="4">
        <v>6.0</v>
      </c>
      <c r="N25" s="4">
        <v>5.0</v>
      </c>
      <c r="O25" s="4">
        <v>30.789908976025636</v>
      </c>
      <c r="P25" s="4">
        <v>153.94954488012817</v>
      </c>
      <c r="Q25" s="4">
        <v>220.4244551198719</v>
      </c>
      <c r="R25" s="4">
        <v>1.4317967311400888</v>
      </c>
      <c r="S25" s="4">
        <v>176.33956409589754</v>
      </c>
      <c r="T25" s="4">
        <v>1.1454373849120711</v>
      </c>
      <c r="U25" s="4">
        <v>118.34015279987184</v>
      </c>
      <c r="V25" s="4">
        <v>0.7686943984928091</v>
      </c>
      <c r="W25" s="4">
        <v>88.75511459990389</v>
      </c>
      <c r="X25" s="4">
        <v>0.5765207988696068</v>
      </c>
      <c r="Y25" s="4">
        <v>452.54000000000013</v>
      </c>
    </row>
    <row r="26" ht="15.75" customHeight="1">
      <c r="A26" s="4">
        <v>424.0</v>
      </c>
      <c r="B26" s="4" t="s">
        <v>25</v>
      </c>
      <c r="C26" s="4" t="s">
        <v>80</v>
      </c>
      <c r="D26" s="4" t="s">
        <v>80</v>
      </c>
      <c r="E26" s="4" t="s">
        <v>67</v>
      </c>
      <c r="F26" s="4">
        <v>1338.0010245204976</v>
      </c>
      <c r="G26" s="4">
        <v>1075.2840700204977</v>
      </c>
      <c r="H26" s="4">
        <v>2119.6175000000003</v>
      </c>
      <c r="I26" s="4">
        <v>3028.0250000000005</v>
      </c>
      <c r="J26" s="4">
        <v>1926.9250000000004</v>
      </c>
      <c r="K26" s="4">
        <v>2117.5000000000005</v>
      </c>
      <c r="N26" s="4">
        <v>1.0</v>
      </c>
      <c r="O26" s="4">
        <v>749.0770490409951</v>
      </c>
      <c r="P26" s="4">
        <v>749.0770490409951</v>
      </c>
      <c r="Q26" s="4">
        <v>1177.8479509590052</v>
      </c>
      <c r="R26" s="4">
        <v>1.5723989307467683</v>
      </c>
      <c r="S26" s="4">
        <v>942.2783607672042</v>
      </c>
      <c r="T26" s="4">
        <v>1.2579191445974145</v>
      </c>
      <c r="U26" s="4">
        <v>652.414041959005</v>
      </c>
      <c r="V26" s="4">
        <v>0.8709571903107393</v>
      </c>
      <c r="W26" s="4">
        <v>489.31053146925376</v>
      </c>
      <c r="X26" s="4">
        <v>0.6532178927330545</v>
      </c>
      <c r="Y26" s="4">
        <v>2329.250000000001</v>
      </c>
    </row>
    <row r="27" ht="15.75" customHeight="1">
      <c r="A27" s="4">
        <v>504.0</v>
      </c>
      <c r="B27" s="4" t="s">
        <v>81</v>
      </c>
      <c r="C27" s="4" t="s">
        <v>82</v>
      </c>
      <c r="D27" s="4" t="s">
        <v>83</v>
      </c>
      <c r="E27" s="4" t="s">
        <v>84</v>
      </c>
      <c r="F27" s="4">
        <v>263.55668942136674</v>
      </c>
      <c r="G27" s="4">
        <v>201.31472683606424</v>
      </c>
      <c r="H27" s="4">
        <v>502.1722080374999</v>
      </c>
      <c r="I27" s="4">
        <v>717.3888686249999</v>
      </c>
      <c r="J27" s="4">
        <v>456.52018912499994</v>
      </c>
      <c r="K27" s="4">
        <v>501.6705374999999</v>
      </c>
      <c r="N27" s="4">
        <v>10.0</v>
      </c>
      <c r="O27" s="4">
        <v>7.0593189717733535</v>
      </c>
      <c r="P27" s="4">
        <v>70.59318971773354</v>
      </c>
      <c r="Q27" s="4">
        <v>385.9269994072664</v>
      </c>
      <c r="R27" s="4">
        <v>1.464303563133082</v>
      </c>
      <c r="S27" s="4">
        <v>308.74159952581317</v>
      </c>
      <c r="T27" s="4">
        <v>4.373532358578989</v>
      </c>
      <c r="U27" s="4">
        <v>261.4430742366614</v>
      </c>
      <c r="V27" s="4">
        <v>3.7035169438020867</v>
      </c>
      <c r="W27" s="4">
        <v>196.08230567749604</v>
      </c>
      <c r="X27" s="4">
        <v>2.777637707851565</v>
      </c>
      <c r="Y27" s="4">
        <v>551.83759125</v>
      </c>
    </row>
    <row r="28" ht="15.75" customHeight="1">
      <c r="A28" s="4">
        <v>203.0</v>
      </c>
      <c r="B28" s="4" t="s">
        <v>29</v>
      </c>
      <c r="C28" s="4" t="s">
        <v>85</v>
      </c>
      <c r="D28" s="4" t="s">
        <v>49</v>
      </c>
      <c r="E28" s="4" t="s">
        <v>50</v>
      </c>
      <c r="F28" s="4">
        <v>189.4137038064855</v>
      </c>
      <c r="G28" s="4">
        <v>152.63333017648546</v>
      </c>
      <c r="H28" s="4">
        <v>296.74645000000004</v>
      </c>
      <c r="I28" s="4">
        <v>423.92350000000005</v>
      </c>
      <c r="J28" s="4">
        <v>269.76950000000005</v>
      </c>
      <c r="K28" s="4">
        <v>296.45000000000005</v>
      </c>
      <c r="L28" s="4">
        <v>6.0</v>
      </c>
      <c r="N28" s="4">
        <v>5.0</v>
      </c>
      <c r="O28" s="4">
        <v>21.81158152259418</v>
      </c>
      <c r="P28" s="4">
        <v>109.05790761297091</v>
      </c>
      <c r="Q28" s="4">
        <v>160.71159238702916</v>
      </c>
      <c r="R28" s="4">
        <v>1.4736353915515135</v>
      </c>
      <c r="S28" s="4">
        <v>128.56927390962332</v>
      </c>
      <c r="T28" s="4">
        <v>1.1789083132412106</v>
      </c>
      <c r="U28" s="4">
        <v>87.15084512702911</v>
      </c>
      <c r="V28" s="4">
        <v>0.7991244929832465</v>
      </c>
      <c r="W28" s="4">
        <v>65.36313384527183</v>
      </c>
      <c r="X28" s="4">
        <v>0.5993433697374349</v>
      </c>
      <c r="Y28" s="4">
        <v>326.0950000000001</v>
      </c>
    </row>
    <row r="29" ht="15.75" customHeight="1">
      <c r="A29" s="4">
        <v>506.0</v>
      </c>
      <c r="B29" s="4" t="s">
        <v>81</v>
      </c>
      <c r="C29" s="4" t="s">
        <v>86</v>
      </c>
      <c r="D29" s="4" t="s">
        <v>87</v>
      </c>
      <c r="E29" s="4" t="s">
        <v>88</v>
      </c>
      <c r="F29" s="4">
        <v>261.63061910886677</v>
      </c>
      <c r="G29" s="4">
        <v>199.38865652356424</v>
      </c>
      <c r="H29" s="4">
        <v>502.1722080374999</v>
      </c>
      <c r="I29" s="4">
        <v>717.3888686249999</v>
      </c>
      <c r="J29" s="4">
        <v>456.52018912499994</v>
      </c>
      <c r="K29" s="4">
        <v>501.6705374999999</v>
      </c>
      <c r="N29" s="4">
        <v>10.0</v>
      </c>
      <c r="O29" s="4">
        <v>6.674104909273355</v>
      </c>
      <c r="P29" s="4">
        <v>66.74104909273355</v>
      </c>
      <c r="Q29" s="4">
        <v>389.7791400322664</v>
      </c>
      <c r="R29" s="4">
        <v>1.4898070468964335</v>
      </c>
      <c r="S29" s="4">
        <v>311.82331202581315</v>
      </c>
      <c r="T29" s="4">
        <v>4.672136807327516</v>
      </c>
      <c r="U29" s="4">
        <v>265.2952148616614</v>
      </c>
      <c r="V29" s="4">
        <v>3.974993178381811</v>
      </c>
      <c r="W29" s="4">
        <v>198.97141114624606</v>
      </c>
      <c r="X29" s="4">
        <v>2.981244883786358</v>
      </c>
      <c r="Y29" s="4">
        <v>551.83759125</v>
      </c>
    </row>
    <row r="30" ht="15.75" customHeight="1">
      <c r="A30" s="4">
        <v>503.0</v>
      </c>
      <c r="B30" s="4" t="s">
        <v>81</v>
      </c>
      <c r="C30" s="4" t="s">
        <v>89</v>
      </c>
      <c r="D30" s="4" t="s">
        <v>83</v>
      </c>
      <c r="E30" s="4" t="s">
        <v>84</v>
      </c>
      <c r="F30" s="4">
        <v>142.15380355443338</v>
      </c>
      <c r="G30" s="4">
        <v>108.20364214426834</v>
      </c>
      <c r="H30" s="4">
        <v>273.9121134749999</v>
      </c>
      <c r="I30" s="4">
        <v>391.3030192499999</v>
      </c>
      <c r="J30" s="4">
        <v>249.01101225</v>
      </c>
      <c r="K30" s="4">
        <v>273.63847499999997</v>
      </c>
      <c r="N30" s="4">
        <v>5.0</v>
      </c>
      <c r="O30" s="4">
        <v>7.0593189717733535</v>
      </c>
      <c r="P30" s="4">
        <v>35.29659485886677</v>
      </c>
      <c r="Q30" s="4">
        <v>213.71441739113322</v>
      </c>
      <c r="R30" s="4">
        <v>1.5034027373688803</v>
      </c>
      <c r="S30" s="4">
        <v>170.97153391290658</v>
      </c>
      <c r="T30" s="4">
        <v>4.843853482086169</v>
      </c>
      <c r="U30" s="4">
        <v>145.81409457080315</v>
      </c>
      <c r="V30" s="4">
        <v>4.1311093932386385</v>
      </c>
      <c r="W30" s="4">
        <v>109.36057092810236</v>
      </c>
      <c r="X30" s="4">
        <v>3.098332044928979</v>
      </c>
      <c r="Y30" s="4">
        <v>301.0023225</v>
      </c>
    </row>
    <row r="31" ht="15.75" customHeight="1">
      <c r="A31" s="4">
        <v>505.0</v>
      </c>
      <c r="B31" s="4" t="s">
        <v>81</v>
      </c>
      <c r="C31" s="4" t="s">
        <v>90</v>
      </c>
      <c r="D31" s="4" t="s">
        <v>87</v>
      </c>
      <c r="E31" s="4" t="s">
        <v>88</v>
      </c>
      <c r="F31" s="4">
        <v>141.1907683981834</v>
      </c>
      <c r="G31" s="4">
        <v>107.24060698801836</v>
      </c>
      <c r="H31" s="4">
        <v>273.9121134749999</v>
      </c>
      <c r="I31" s="4">
        <v>391.3030192499999</v>
      </c>
      <c r="J31" s="4">
        <v>249.01101225</v>
      </c>
      <c r="K31" s="4">
        <v>273.63847499999997</v>
      </c>
      <c r="N31" s="4">
        <v>5.0</v>
      </c>
      <c r="O31" s="4">
        <v>6.674104909273355</v>
      </c>
      <c r="P31" s="4">
        <v>33.370524546366774</v>
      </c>
      <c r="Q31" s="4">
        <v>215.64048770363323</v>
      </c>
      <c r="R31" s="4">
        <v>1.5272987756217051</v>
      </c>
      <c r="S31" s="4">
        <v>172.5123901629066</v>
      </c>
      <c r="T31" s="4">
        <v>5.169603789811837</v>
      </c>
      <c r="U31" s="4">
        <v>147.74016488330315</v>
      </c>
      <c r="V31" s="4">
        <v>4.427265285507429</v>
      </c>
      <c r="W31" s="4">
        <v>110.80512366247737</v>
      </c>
      <c r="X31" s="4">
        <v>3.3204489641305717</v>
      </c>
      <c r="Y31" s="4">
        <v>301.0023225</v>
      </c>
    </row>
    <row r="32" ht="15.75" customHeight="1">
      <c r="A32" s="4">
        <v>428.0</v>
      </c>
      <c r="B32" s="4" t="s">
        <v>25</v>
      </c>
      <c r="C32" s="4" t="s">
        <v>91</v>
      </c>
      <c r="D32" s="4" t="s">
        <v>91</v>
      </c>
      <c r="E32" s="4" t="s">
        <v>69</v>
      </c>
      <c r="F32" s="4">
        <v>1383.8249004932995</v>
      </c>
      <c r="G32" s="4">
        <v>1094.8362505432992</v>
      </c>
      <c r="H32" s="4">
        <v>2331.57925</v>
      </c>
      <c r="I32" s="4">
        <v>3330.8275</v>
      </c>
      <c r="J32" s="4">
        <v>2119.6175000000003</v>
      </c>
      <c r="K32" s="4">
        <v>2329.25</v>
      </c>
      <c r="N32" s="4">
        <v>1.0</v>
      </c>
      <c r="O32" s="4">
        <v>648.0323009865987</v>
      </c>
      <c r="P32" s="4">
        <v>648.0323009865987</v>
      </c>
      <c r="Q32" s="4">
        <v>1471.5851990134015</v>
      </c>
      <c r="R32" s="4">
        <v>2.270851617694029</v>
      </c>
      <c r="S32" s="4">
        <v>1177.2681592107213</v>
      </c>
      <c r="T32" s="4">
        <v>1.8166812941552233</v>
      </c>
      <c r="U32" s="4">
        <v>893.6078991134012</v>
      </c>
      <c r="V32" s="4">
        <v>1.3789557985812209</v>
      </c>
      <c r="W32" s="4">
        <v>670.2059243350509</v>
      </c>
      <c r="X32" s="4">
        <v>1.0342168489359156</v>
      </c>
      <c r="Y32" s="4">
        <v>2562.175</v>
      </c>
    </row>
    <row r="33" ht="15.75" customHeight="1">
      <c r="A33" s="4">
        <v>502.0</v>
      </c>
      <c r="B33" s="4" t="s">
        <v>81</v>
      </c>
      <c r="C33" s="4" t="s">
        <v>92</v>
      </c>
      <c r="D33" s="4" t="s">
        <v>93</v>
      </c>
      <c r="E33" s="4" t="s">
        <v>94</v>
      </c>
      <c r="F33" s="4">
        <v>255.7594469324287</v>
      </c>
      <c r="G33" s="4">
        <v>193.51748434712619</v>
      </c>
      <c r="H33" s="4">
        <v>502.1722080374999</v>
      </c>
      <c r="I33" s="4">
        <v>717.3888686249999</v>
      </c>
      <c r="J33" s="4">
        <v>456.52018912499994</v>
      </c>
      <c r="K33" s="4">
        <v>501.6705374999999</v>
      </c>
      <c r="N33" s="4">
        <v>10.0</v>
      </c>
      <c r="O33" s="4">
        <v>5.499870473985744</v>
      </c>
      <c r="P33" s="4">
        <v>54.99870473985744</v>
      </c>
      <c r="Q33" s="4">
        <v>401.5214843851425</v>
      </c>
      <c r="R33" s="4">
        <v>1.5699184886461846</v>
      </c>
      <c r="S33" s="4">
        <v>321.217187508114</v>
      </c>
      <c r="T33" s="4">
        <v>5.840450043823099</v>
      </c>
      <c r="U33" s="4">
        <v>277.0375592145375</v>
      </c>
      <c r="V33" s="4">
        <v>5.03716515734177</v>
      </c>
      <c r="W33" s="4">
        <v>207.77816941090313</v>
      </c>
      <c r="X33" s="4">
        <v>3.777873868006327</v>
      </c>
      <c r="Y33" s="4">
        <v>551.83759125</v>
      </c>
    </row>
    <row r="34" ht="15.75" customHeight="1">
      <c r="A34" s="4">
        <v>213.0</v>
      </c>
      <c r="B34" s="4" t="s">
        <v>29</v>
      </c>
      <c r="C34" s="4" t="s">
        <v>95</v>
      </c>
      <c r="D34" s="4" t="s">
        <v>71</v>
      </c>
      <c r="E34" s="4" t="s">
        <v>72</v>
      </c>
      <c r="F34" s="4">
        <v>187.3428494372906</v>
      </c>
      <c r="G34" s="4">
        <v>150.56247580729058</v>
      </c>
      <c r="H34" s="4">
        <v>296.74645000000004</v>
      </c>
      <c r="I34" s="4">
        <v>423.92350000000005</v>
      </c>
      <c r="J34" s="4">
        <v>269.76950000000005</v>
      </c>
      <c r="K34" s="4">
        <v>296.45000000000005</v>
      </c>
      <c r="L34" s="4">
        <v>6.0</v>
      </c>
      <c r="N34" s="4">
        <v>5.0</v>
      </c>
      <c r="O34" s="4">
        <v>20.98323977491623</v>
      </c>
      <c r="P34" s="4">
        <v>104.91619887458114</v>
      </c>
      <c r="Q34" s="4">
        <v>164.8533011254189</v>
      </c>
      <c r="R34" s="4">
        <v>1.5712854915997074</v>
      </c>
      <c r="S34" s="4">
        <v>131.88264090033513</v>
      </c>
      <c r="T34" s="4">
        <v>1.2570283932797661</v>
      </c>
      <c r="U34" s="4">
        <v>91.29255386541888</v>
      </c>
      <c r="V34" s="4">
        <v>0.8701473637502991</v>
      </c>
      <c r="W34" s="4">
        <v>68.46941539906416</v>
      </c>
      <c r="X34" s="4">
        <v>0.6526105228127244</v>
      </c>
      <c r="Y34" s="4">
        <v>326.0950000000001</v>
      </c>
    </row>
    <row r="35" ht="15.75" customHeight="1">
      <c r="A35" s="4">
        <v>427.0</v>
      </c>
      <c r="B35" s="4" t="s">
        <v>25</v>
      </c>
      <c r="C35" s="4" t="s">
        <v>96</v>
      </c>
      <c r="D35" s="4" t="s">
        <v>96</v>
      </c>
      <c r="E35" s="4" t="s">
        <v>97</v>
      </c>
      <c r="F35" s="4">
        <v>732.9550795721811</v>
      </c>
      <c r="G35" s="4">
        <v>575.3249068721811</v>
      </c>
      <c r="H35" s="4">
        <v>1271.7704999999999</v>
      </c>
      <c r="I35" s="4">
        <v>1816.8149999999998</v>
      </c>
      <c r="J35" s="4">
        <v>1156.155</v>
      </c>
      <c r="K35" s="4">
        <v>1270.5</v>
      </c>
      <c r="N35" s="4">
        <v>1.0</v>
      </c>
      <c r="O35" s="4">
        <v>309.7551591443622</v>
      </c>
      <c r="P35" s="4">
        <v>309.7551591443622</v>
      </c>
      <c r="Q35" s="4">
        <v>846.3998408556378</v>
      </c>
      <c r="R35" s="4">
        <v>2.73248020531329</v>
      </c>
      <c r="S35" s="4">
        <v>677.1198726845103</v>
      </c>
      <c r="T35" s="4">
        <v>2.1859841642506326</v>
      </c>
      <c r="U35" s="4">
        <v>531.1394954556378</v>
      </c>
      <c r="V35" s="4">
        <v>1.7147075029284622</v>
      </c>
      <c r="W35" s="4">
        <v>398.35462159172835</v>
      </c>
      <c r="X35" s="4">
        <v>1.2860306271963469</v>
      </c>
      <c r="Y35" s="4">
        <v>1397.5500000000002</v>
      </c>
    </row>
    <row r="36" ht="15.75" customHeight="1">
      <c r="A36" s="4">
        <v>201.0</v>
      </c>
      <c r="B36" s="4" t="s">
        <v>29</v>
      </c>
      <c r="C36" s="4" t="s">
        <v>98</v>
      </c>
      <c r="D36" s="4" t="s">
        <v>74</v>
      </c>
      <c r="E36" s="4" t="s">
        <v>75</v>
      </c>
      <c r="F36" s="4">
        <v>187.31456630648546</v>
      </c>
      <c r="G36" s="4">
        <v>150.53419267648547</v>
      </c>
      <c r="H36" s="4">
        <v>296.74645000000004</v>
      </c>
      <c r="I36" s="4">
        <v>423.92350000000005</v>
      </c>
      <c r="J36" s="4">
        <v>269.76950000000005</v>
      </c>
      <c r="K36" s="4">
        <v>296.45000000000005</v>
      </c>
      <c r="L36" s="4">
        <v>6.0</v>
      </c>
      <c r="N36" s="4">
        <v>5.0</v>
      </c>
      <c r="O36" s="4">
        <v>20.97192652259418</v>
      </c>
      <c r="P36" s="4">
        <v>104.8596326129709</v>
      </c>
      <c r="Q36" s="4">
        <v>164.90986738702915</v>
      </c>
      <c r="R36" s="4">
        <v>1.5726725650060134</v>
      </c>
      <c r="S36" s="4">
        <v>131.92789390962332</v>
      </c>
      <c r="T36" s="4">
        <v>1.2581380520048107</v>
      </c>
      <c r="U36" s="4">
        <v>91.34912012702912</v>
      </c>
      <c r="V36" s="4">
        <v>0.8711562099801735</v>
      </c>
      <c r="W36" s="4">
        <v>68.51184009527185</v>
      </c>
      <c r="X36" s="4">
        <v>0.6533671574851302</v>
      </c>
      <c r="Y36" s="4">
        <v>326.0950000000001</v>
      </c>
    </row>
    <row r="37" ht="15.75" customHeight="1">
      <c r="A37" s="4">
        <v>501.0</v>
      </c>
      <c r="B37" s="4" t="s">
        <v>81</v>
      </c>
      <c r="C37" s="4" t="s">
        <v>99</v>
      </c>
      <c r="D37" s="4" t="s">
        <v>93</v>
      </c>
      <c r="E37" s="4" t="s">
        <v>94</v>
      </c>
      <c r="F37" s="4">
        <v>138.25518230996437</v>
      </c>
      <c r="G37" s="4">
        <v>104.30502089979932</v>
      </c>
      <c r="H37" s="4">
        <v>273.9121134749999</v>
      </c>
      <c r="I37" s="4">
        <v>391.3030192499999</v>
      </c>
      <c r="J37" s="4">
        <v>249.01101225</v>
      </c>
      <c r="K37" s="4">
        <v>273.63847499999997</v>
      </c>
      <c r="N37" s="4">
        <v>5.0</v>
      </c>
      <c r="O37" s="4">
        <v>5.499870473985744</v>
      </c>
      <c r="P37" s="4">
        <v>27.49935236992872</v>
      </c>
      <c r="Q37" s="4">
        <v>221.51165988007128</v>
      </c>
      <c r="R37" s="4">
        <v>1.6021942626602461</v>
      </c>
      <c r="S37" s="4">
        <v>177.20932790405703</v>
      </c>
      <c r="T37" s="4">
        <v>6.44412732053429</v>
      </c>
      <c r="U37" s="4">
        <v>153.6113370597412</v>
      </c>
      <c r="V37" s="4">
        <v>5.585998353463746</v>
      </c>
      <c r="W37" s="4">
        <v>115.2085027948059</v>
      </c>
      <c r="X37" s="4">
        <v>4.1894987650978095</v>
      </c>
      <c r="Y37" s="4">
        <v>301.0023225</v>
      </c>
    </row>
    <row r="38" ht="15.75" customHeight="1">
      <c r="A38" s="4">
        <v>508.0</v>
      </c>
      <c r="B38" s="4" t="s">
        <v>81</v>
      </c>
      <c r="C38" s="4" t="s">
        <v>100</v>
      </c>
      <c r="D38" s="4" t="s">
        <v>101</v>
      </c>
      <c r="E38" s="4" t="s">
        <v>102</v>
      </c>
      <c r="F38" s="4">
        <v>249.2425892897079</v>
      </c>
      <c r="G38" s="4">
        <v>187.00062670440536</v>
      </c>
      <c r="H38" s="4">
        <v>502.1722080374999</v>
      </c>
      <c r="I38" s="4">
        <v>717.3888686249999</v>
      </c>
      <c r="J38" s="4">
        <v>456.52018912499994</v>
      </c>
      <c r="K38" s="4">
        <v>501.6705374999999</v>
      </c>
      <c r="N38" s="4">
        <v>10.0</v>
      </c>
      <c r="O38" s="4">
        <v>4.196498945441583</v>
      </c>
      <c r="P38" s="4">
        <v>41.96498945441583</v>
      </c>
      <c r="Q38" s="4">
        <v>414.5551996705841</v>
      </c>
      <c r="R38" s="4">
        <v>1.6632598820770739</v>
      </c>
      <c r="S38" s="4">
        <v>331.6441597364673</v>
      </c>
      <c r="T38" s="4">
        <v>7.902877232858915</v>
      </c>
      <c r="U38" s="4">
        <v>290.0712744999791</v>
      </c>
      <c r="V38" s="4">
        <v>6.912220836253681</v>
      </c>
      <c r="W38" s="4">
        <v>217.5534558749843</v>
      </c>
      <c r="X38" s="4">
        <v>5.184165627190261</v>
      </c>
      <c r="Y38" s="4">
        <v>551.83759125</v>
      </c>
    </row>
    <row r="39" ht="15.75" customHeight="1">
      <c r="A39" s="4">
        <v>507.0</v>
      </c>
      <c r="B39" s="4" t="s">
        <v>81</v>
      </c>
      <c r="C39" s="4" t="s">
        <v>103</v>
      </c>
      <c r="D39" s="4" t="s">
        <v>101</v>
      </c>
      <c r="E39" s="4" t="s">
        <v>102</v>
      </c>
      <c r="F39" s="4">
        <v>134.99675348860396</v>
      </c>
      <c r="G39" s="4">
        <v>101.04659207843892</v>
      </c>
      <c r="H39" s="4">
        <v>273.9121134749999</v>
      </c>
      <c r="I39" s="4">
        <v>391.3030192499999</v>
      </c>
      <c r="J39" s="4">
        <v>249.01101225</v>
      </c>
      <c r="K39" s="4">
        <v>273.63847499999997</v>
      </c>
      <c r="N39" s="4">
        <v>5.0</v>
      </c>
      <c r="O39" s="4">
        <v>4.196498945441583</v>
      </c>
      <c r="P39" s="4">
        <v>20.982494727207914</v>
      </c>
      <c r="Q39" s="4">
        <v>228.02851752279207</v>
      </c>
      <c r="R39" s="4">
        <v>1.6891407506480636</v>
      </c>
      <c r="S39" s="4">
        <v>182.42281401823368</v>
      </c>
      <c r="T39" s="4">
        <v>8.694047890391545</v>
      </c>
      <c r="U39" s="4">
        <v>160.128194702462</v>
      </c>
      <c r="V39" s="4">
        <v>7.6315136395494685</v>
      </c>
      <c r="W39" s="4">
        <v>120.0961460268465</v>
      </c>
      <c r="X39" s="4">
        <v>5.723635229662102</v>
      </c>
      <c r="Y39" s="4">
        <v>301.0023225</v>
      </c>
    </row>
    <row r="40" ht="15.75" customHeight="1">
      <c r="A40" s="4">
        <v>410.0</v>
      </c>
      <c r="B40" s="4" t="s">
        <v>25</v>
      </c>
      <c r="C40" s="4" t="s">
        <v>104</v>
      </c>
      <c r="D40" s="4" t="s">
        <v>105</v>
      </c>
      <c r="E40" s="4" t="s">
        <v>106</v>
      </c>
      <c r="F40" s="4">
        <v>396.30236213847184</v>
      </c>
      <c r="G40" s="4">
        <v>317.0853188480868</v>
      </c>
      <c r="H40" s="4">
        <v>639.1282647749999</v>
      </c>
      <c r="I40" s="4">
        <v>913.04037825</v>
      </c>
      <c r="J40" s="4">
        <v>581.02569525</v>
      </c>
      <c r="K40" s="4">
        <v>638.489775</v>
      </c>
      <c r="N40" s="4">
        <v>10.0</v>
      </c>
      <c r="O40" s="4">
        <v>21.15790290269437</v>
      </c>
      <c r="P40" s="4">
        <v>211.57902902694372</v>
      </c>
      <c r="Q40" s="4">
        <v>369.4466662230563</v>
      </c>
      <c r="R40" s="4">
        <v>1.7461402858409412</v>
      </c>
      <c r="S40" s="4">
        <v>295.55733297844506</v>
      </c>
      <c r="T40" s="4">
        <v>1.396912228672753</v>
      </c>
      <c r="U40" s="4">
        <v>211.0125796422862</v>
      </c>
      <c r="V40" s="4">
        <v>0.9973227526978329</v>
      </c>
      <c r="W40" s="4">
        <v>158.25943473171463</v>
      </c>
      <c r="X40" s="4">
        <v>0.7479920645233746</v>
      </c>
      <c r="Y40" s="4">
        <v>702.3387525</v>
      </c>
    </row>
    <row r="41" ht="15.75" customHeight="1">
      <c r="A41" s="4">
        <v>404.0</v>
      </c>
      <c r="B41" s="4" t="s">
        <v>25</v>
      </c>
      <c r="C41" s="4" t="s">
        <v>107</v>
      </c>
      <c r="D41" s="4" t="s">
        <v>108</v>
      </c>
      <c r="E41" s="4" t="s">
        <v>109</v>
      </c>
      <c r="F41" s="4">
        <v>395.78785507645046</v>
      </c>
      <c r="G41" s="4">
        <v>316.5708117860654</v>
      </c>
      <c r="H41" s="4">
        <v>639.1282647749999</v>
      </c>
      <c r="I41" s="4">
        <v>913.04037825</v>
      </c>
      <c r="J41" s="4">
        <v>581.02569525</v>
      </c>
      <c r="K41" s="4">
        <v>638.489775</v>
      </c>
      <c r="L41" s="4">
        <v>12.0</v>
      </c>
      <c r="N41" s="4">
        <v>10.0</v>
      </c>
      <c r="O41" s="4">
        <v>21.05500149029009</v>
      </c>
      <c r="P41" s="4">
        <v>210.5500149029009</v>
      </c>
      <c r="Q41" s="4">
        <v>370.4756803470991</v>
      </c>
      <c r="R41" s="4">
        <v>1.759561406433293</v>
      </c>
      <c r="S41" s="4">
        <v>296.3805442776793</v>
      </c>
      <c r="T41" s="4">
        <v>1.4076491251466345</v>
      </c>
      <c r="U41" s="4">
        <v>212.04159376632902</v>
      </c>
      <c r="V41" s="4">
        <v>1.0070842021270623</v>
      </c>
      <c r="W41" s="4">
        <v>159.03119532474676</v>
      </c>
      <c r="X41" s="4">
        <v>0.7553131515952967</v>
      </c>
      <c r="Y41" s="4">
        <v>702.3387525</v>
      </c>
    </row>
    <row r="42" ht="15.75" customHeight="1">
      <c r="A42" s="4">
        <v>431.0</v>
      </c>
      <c r="B42" s="4" t="s">
        <v>25</v>
      </c>
      <c r="C42" s="4" t="s">
        <v>110</v>
      </c>
      <c r="D42" s="4" t="s">
        <v>110</v>
      </c>
      <c r="E42" s="4" t="s">
        <v>111</v>
      </c>
      <c r="F42" s="4">
        <v>677.3475271710574</v>
      </c>
      <c r="G42" s="4">
        <v>534.7297518710573</v>
      </c>
      <c r="H42" s="4">
        <v>1150.6494999999998</v>
      </c>
      <c r="I42" s="4">
        <v>1643.7849999999999</v>
      </c>
      <c r="J42" s="4">
        <v>1046.045</v>
      </c>
      <c r="K42" s="4">
        <v>1149.5</v>
      </c>
      <c r="N42" s="4">
        <v>1.0</v>
      </c>
      <c r="O42" s="4">
        <v>308.65005434211463</v>
      </c>
      <c r="P42" s="4">
        <v>308.65005434211463</v>
      </c>
      <c r="Q42" s="4">
        <v>737.3949456578855</v>
      </c>
      <c r="R42" s="4">
        <v>2.389097086762669</v>
      </c>
      <c r="S42" s="4">
        <v>589.9159565263084</v>
      </c>
      <c r="T42" s="4">
        <v>1.911277669410135</v>
      </c>
      <c r="U42" s="4">
        <v>452.1593950578852</v>
      </c>
      <c r="V42" s="4">
        <v>1.4649580931442234</v>
      </c>
      <c r="W42" s="4">
        <v>339.1195462934139</v>
      </c>
      <c r="X42" s="4">
        <v>1.0987185698581676</v>
      </c>
      <c r="Y42" s="4">
        <v>1264.45</v>
      </c>
    </row>
    <row r="43" ht="15.75" customHeight="1">
      <c r="A43" s="4">
        <v>105.0</v>
      </c>
      <c r="B43" s="4" t="s">
        <v>51</v>
      </c>
      <c r="C43" s="4" t="s">
        <v>112</v>
      </c>
      <c r="D43" s="4" t="s">
        <v>113</v>
      </c>
      <c r="E43" s="4" t="s">
        <v>114</v>
      </c>
      <c r="F43" s="4">
        <v>261.7989975295884</v>
      </c>
      <c r="G43" s="4">
        <v>209.25560662958839</v>
      </c>
      <c r="H43" s="4">
        <v>423.92350000000005</v>
      </c>
      <c r="I43" s="4">
        <v>605.6050000000001</v>
      </c>
      <c r="J43" s="4">
        <v>385.3850000000001</v>
      </c>
      <c r="K43" s="4">
        <v>423.5000000000001</v>
      </c>
      <c r="L43" s="4">
        <v>10.0</v>
      </c>
      <c r="N43" s="4">
        <v>4.0</v>
      </c>
      <c r="O43" s="4">
        <v>34.553248764794176</v>
      </c>
      <c r="P43" s="4">
        <v>138.2129950591767</v>
      </c>
      <c r="Q43" s="4">
        <v>247.1720049408234</v>
      </c>
      <c r="R43" s="4">
        <v>1.788341283212879</v>
      </c>
      <c r="S43" s="4">
        <v>197.73760395265873</v>
      </c>
      <c r="T43" s="4">
        <v>1.4306730265703034</v>
      </c>
      <c r="U43" s="4">
        <v>142.08522314082336</v>
      </c>
      <c r="V43" s="4">
        <v>1.0280163821063912</v>
      </c>
      <c r="W43" s="4">
        <v>106.56391735561752</v>
      </c>
      <c r="X43" s="4">
        <v>0.7710122865797934</v>
      </c>
      <c r="Y43" s="4">
        <v>465.85000000000014</v>
      </c>
    </row>
    <row r="44" ht="15.75" customHeight="1">
      <c r="A44" s="4">
        <v>104.0</v>
      </c>
      <c r="B44" s="4" t="s">
        <v>51</v>
      </c>
      <c r="C44" s="4" t="s">
        <v>115</v>
      </c>
      <c r="D44" s="4" t="s">
        <v>116</v>
      </c>
      <c r="E44" s="4" t="s">
        <v>117</v>
      </c>
      <c r="F44" s="4">
        <v>261.0539826282726</v>
      </c>
      <c r="G44" s="4">
        <v>208.51059172827257</v>
      </c>
      <c r="H44" s="4">
        <v>423.92350000000005</v>
      </c>
      <c r="I44" s="4">
        <v>605.6050000000001</v>
      </c>
      <c r="J44" s="4">
        <v>385.3850000000001</v>
      </c>
      <c r="K44" s="4">
        <v>423.5000000000001</v>
      </c>
      <c r="L44" s="4">
        <v>10.0</v>
      </c>
      <c r="N44" s="4">
        <v>4.0</v>
      </c>
      <c r="O44" s="4">
        <v>34.18074131413628</v>
      </c>
      <c r="P44" s="4">
        <v>136.7229652565451</v>
      </c>
      <c r="Q44" s="4">
        <v>248.662034743455</v>
      </c>
      <c r="R44" s="4">
        <v>1.818729094098193</v>
      </c>
      <c r="S44" s="4">
        <v>198.929627794764</v>
      </c>
      <c r="T44" s="4">
        <v>1.4549832752785543</v>
      </c>
      <c r="U44" s="4">
        <v>143.57525294345496</v>
      </c>
      <c r="V44" s="4">
        <v>1.0501180447194975</v>
      </c>
      <c r="W44" s="4">
        <v>107.68143970759121</v>
      </c>
      <c r="X44" s="4">
        <v>0.7875885335396232</v>
      </c>
      <c r="Y44" s="4">
        <v>465.85000000000014</v>
      </c>
    </row>
    <row r="45" ht="15.75" customHeight="1">
      <c r="A45" s="4">
        <v>208.0</v>
      </c>
      <c r="B45" s="4" t="s">
        <v>29</v>
      </c>
      <c r="C45" s="4" t="s">
        <v>118</v>
      </c>
      <c r="D45" s="4" t="s">
        <v>119</v>
      </c>
      <c r="E45" s="4" t="s">
        <v>120</v>
      </c>
      <c r="F45" s="4">
        <v>334.62163043104647</v>
      </c>
      <c r="G45" s="4">
        <v>267.06584213104645</v>
      </c>
      <c r="H45" s="4">
        <v>545.0445000000001</v>
      </c>
      <c r="I45" s="4">
        <v>778.6350000000001</v>
      </c>
      <c r="J45" s="4">
        <v>495.4950000000001</v>
      </c>
      <c r="K45" s="4">
        <v>544.5000000000001</v>
      </c>
      <c r="L45" s="4">
        <v>12.0</v>
      </c>
      <c r="N45" s="4">
        <v>10.0</v>
      </c>
      <c r="O45" s="4">
        <v>17.37482608620928</v>
      </c>
      <c r="P45" s="4">
        <v>173.7482608620928</v>
      </c>
      <c r="Q45" s="4">
        <v>321.7467391379073</v>
      </c>
      <c r="R45" s="4">
        <v>1.851798329039297</v>
      </c>
      <c r="S45" s="4">
        <v>257.3973913103259</v>
      </c>
      <c r="T45" s="4">
        <v>1.4814386632314378</v>
      </c>
      <c r="U45" s="4">
        <v>186.6351625379073</v>
      </c>
      <c r="V45" s="4">
        <v>1.0741699606768615</v>
      </c>
      <c r="W45" s="4">
        <v>139.97637190343048</v>
      </c>
      <c r="X45" s="4">
        <v>0.8056274705076462</v>
      </c>
      <c r="Y45" s="4">
        <v>598.9500000000002</v>
      </c>
    </row>
    <row r="46" ht="15.75" customHeight="1">
      <c r="A46" s="4">
        <v>223.0</v>
      </c>
      <c r="B46" s="4" t="s">
        <v>29</v>
      </c>
      <c r="C46" s="4" t="s">
        <v>43</v>
      </c>
      <c r="D46" s="4" t="s">
        <v>37</v>
      </c>
      <c r="E46" s="4" t="s">
        <v>121</v>
      </c>
      <c r="F46" s="4">
        <v>686.8348494701783</v>
      </c>
      <c r="G46" s="4">
        <v>547.9701735201782</v>
      </c>
      <c r="H46" s="4">
        <v>1120.36925</v>
      </c>
      <c r="I46" s="4">
        <v>1600.5275000000001</v>
      </c>
      <c r="J46" s="4">
        <v>1018.5175000000003</v>
      </c>
      <c r="K46" s="4">
        <v>1119.2500000000002</v>
      </c>
      <c r="L46" s="4">
        <v>14.0</v>
      </c>
      <c r="M46" s="4">
        <v>585.0</v>
      </c>
      <c r="N46" s="4">
        <v>1.0</v>
      </c>
      <c r="O46" s="4">
        <v>355.15219894035624</v>
      </c>
      <c r="P46" s="4">
        <v>355.15219894035624</v>
      </c>
      <c r="Q46" s="4">
        <v>663.365301059644</v>
      </c>
      <c r="R46" s="4">
        <v>1.8678338555663812</v>
      </c>
      <c r="S46" s="4">
        <v>530.6922408477152</v>
      </c>
      <c r="T46" s="4">
        <v>1.4942670844531047</v>
      </c>
      <c r="U46" s="4">
        <v>385.6359491596437</v>
      </c>
      <c r="V46" s="4">
        <v>1.0858329198305396</v>
      </c>
      <c r="W46" s="4">
        <v>289.2269618697328</v>
      </c>
      <c r="X46" s="4">
        <v>0.8143746898729048</v>
      </c>
      <c r="Y46" s="4">
        <v>1231.1750000000004</v>
      </c>
    </row>
    <row r="47" ht="15.75" customHeight="1">
      <c r="A47" s="4">
        <v>206.0</v>
      </c>
      <c r="B47" s="4" t="s">
        <v>29</v>
      </c>
      <c r="C47" s="4" t="s">
        <v>122</v>
      </c>
      <c r="D47" s="4" t="s">
        <v>123</v>
      </c>
      <c r="E47" s="4" t="s">
        <v>124</v>
      </c>
      <c r="F47" s="4">
        <v>332.71546235464365</v>
      </c>
      <c r="G47" s="4">
        <v>265.15967405464363</v>
      </c>
      <c r="H47" s="4">
        <v>545.0445000000001</v>
      </c>
      <c r="I47" s="4">
        <v>778.6350000000001</v>
      </c>
      <c r="J47" s="4">
        <v>495.4950000000001</v>
      </c>
      <c r="K47" s="4">
        <v>544.5000000000001</v>
      </c>
      <c r="L47" s="4">
        <v>12.0</v>
      </c>
      <c r="N47" s="4">
        <v>10.0</v>
      </c>
      <c r="O47" s="4">
        <v>16.993592470928718</v>
      </c>
      <c r="P47" s="4">
        <v>169.93592470928718</v>
      </c>
      <c r="Q47" s="4">
        <v>325.55907529071294</v>
      </c>
      <c r="R47" s="4">
        <v>1.9157754656506765</v>
      </c>
      <c r="S47" s="4">
        <v>260.4472602325704</v>
      </c>
      <c r="T47" s="4">
        <v>1.5326203725205414</v>
      </c>
      <c r="U47" s="4">
        <v>190.4474986907129</v>
      </c>
      <c r="V47" s="4">
        <v>1.12070181167705</v>
      </c>
      <c r="W47" s="4">
        <v>142.83562401803468</v>
      </c>
      <c r="X47" s="4">
        <v>0.8405263587577875</v>
      </c>
      <c r="Y47" s="4">
        <v>598.9500000000002</v>
      </c>
    </row>
    <row r="48" ht="15.75" customHeight="1">
      <c r="A48" s="4">
        <v>423.0</v>
      </c>
      <c r="B48" s="4" t="s">
        <v>25</v>
      </c>
      <c r="C48" s="4" t="s">
        <v>125</v>
      </c>
      <c r="D48" s="4" t="s">
        <v>125</v>
      </c>
      <c r="E48" s="4" t="s">
        <v>126</v>
      </c>
      <c r="F48" s="4">
        <v>718.569656432913</v>
      </c>
      <c r="G48" s="4">
        <v>575.951881132913</v>
      </c>
      <c r="H48" s="4">
        <v>1150.6494999999998</v>
      </c>
      <c r="I48" s="4">
        <v>1643.7849999999999</v>
      </c>
      <c r="J48" s="4">
        <v>1046.045</v>
      </c>
      <c r="K48" s="4">
        <v>1149.5</v>
      </c>
      <c r="L48" s="4">
        <v>17.0</v>
      </c>
      <c r="N48" s="4">
        <v>1.0</v>
      </c>
      <c r="O48" s="4">
        <v>391.094312865826</v>
      </c>
      <c r="P48" s="4">
        <v>391.094312865826</v>
      </c>
      <c r="Q48" s="4">
        <v>654.9506871341741</v>
      </c>
      <c r="R48" s="4">
        <v>1.674661751879962</v>
      </c>
      <c r="S48" s="4">
        <v>523.9605497073393</v>
      </c>
      <c r="T48" s="4">
        <v>1.3397294015039696</v>
      </c>
      <c r="U48" s="4">
        <v>369.71513653417384</v>
      </c>
      <c r="V48" s="4">
        <v>0.9453349853773333</v>
      </c>
      <c r="W48" s="4">
        <v>277.2863524006304</v>
      </c>
      <c r="X48" s="4">
        <v>0.709001239033</v>
      </c>
      <c r="Y48" s="4">
        <v>1264.45</v>
      </c>
    </row>
    <row r="49" ht="15.75" customHeight="1">
      <c r="A49" s="4">
        <v>212.0</v>
      </c>
      <c r="B49" s="4" t="s">
        <v>29</v>
      </c>
      <c r="C49" s="4" t="s">
        <v>127</v>
      </c>
      <c r="D49" s="4" t="s">
        <v>128</v>
      </c>
      <c r="E49" s="4" t="s">
        <v>129</v>
      </c>
      <c r="F49" s="4">
        <v>330.20920677866525</v>
      </c>
      <c r="G49" s="4">
        <v>262.6534184786653</v>
      </c>
      <c r="H49" s="4">
        <v>545.0445000000001</v>
      </c>
      <c r="I49" s="4">
        <v>778.6350000000001</v>
      </c>
      <c r="J49" s="4">
        <v>495.4950000000001</v>
      </c>
      <c r="K49" s="4">
        <v>544.5000000000001</v>
      </c>
      <c r="L49" s="4">
        <v>12.0</v>
      </c>
      <c r="N49" s="4">
        <v>10.0</v>
      </c>
      <c r="O49" s="4">
        <v>16.492341355733046</v>
      </c>
      <c r="P49" s="4">
        <v>164.92341355733046</v>
      </c>
      <c r="Q49" s="4">
        <v>330.5715864426696</v>
      </c>
      <c r="R49" s="4">
        <v>2.0043945205375997</v>
      </c>
      <c r="S49" s="4">
        <v>264.4572691541357</v>
      </c>
      <c r="T49" s="4">
        <v>1.6035156164300797</v>
      </c>
      <c r="U49" s="4">
        <v>195.46000984266962</v>
      </c>
      <c r="V49" s="4">
        <v>1.185156222677407</v>
      </c>
      <c r="W49" s="4">
        <v>146.59500738200222</v>
      </c>
      <c r="X49" s="4">
        <v>0.8888671670080552</v>
      </c>
      <c r="Y49" s="4">
        <v>598.9500000000002</v>
      </c>
    </row>
    <row r="50" ht="15.75" customHeight="1">
      <c r="A50" s="4">
        <v>314.0</v>
      </c>
      <c r="B50" s="4" t="s">
        <v>130</v>
      </c>
      <c r="C50" s="4" t="s">
        <v>131</v>
      </c>
      <c r="D50" s="4" t="s">
        <v>132</v>
      </c>
      <c r="E50" s="4" t="s">
        <v>133</v>
      </c>
      <c r="F50" s="4">
        <v>387.0630578838519</v>
      </c>
      <c r="G50" s="4">
        <v>307.84601459346686</v>
      </c>
      <c r="H50" s="4">
        <v>639.1282647749999</v>
      </c>
      <c r="I50" s="4">
        <v>913.04037825</v>
      </c>
      <c r="J50" s="4">
        <v>581.02569525</v>
      </c>
      <c r="K50" s="4">
        <v>638.489775</v>
      </c>
      <c r="N50" s="4">
        <v>10.0</v>
      </c>
      <c r="O50" s="4">
        <v>19.310042051770385</v>
      </c>
      <c r="P50" s="4">
        <v>193.10042051770384</v>
      </c>
      <c r="Q50" s="4">
        <v>387.9252747322962</v>
      </c>
      <c r="R50" s="4">
        <v>2.008930243094579</v>
      </c>
      <c r="S50" s="4">
        <v>310.340219785837</v>
      </c>
      <c r="T50" s="4">
        <v>1.6071441944756635</v>
      </c>
      <c r="U50" s="4">
        <v>229.49118815152607</v>
      </c>
      <c r="V50" s="4">
        <v>1.1884551444075486</v>
      </c>
      <c r="W50" s="4">
        <v>172.11839111364455</v>
      </c>
      <c r="X50" s="4">
        <v>0.8913413583056614</v>
      </c>
      <c r="Y50" s="4">
        <v>702.3387525</v>
      </c>
    </row>
    <row r="51" ht="15.75" customHeight="1">
      <c r="A51" s="4">
        <v>103.0</v>
      </c>
      <c r="B51" s="4" t="s">
        <v>51</v>
      </c>
      <c r="C51" s="4" t="s">
        <v>134</v>
      </c>
      <c r="D51" s="4" t="s">
        <v>135</v>
      </c>
      <c r="E51" s="4" t="s">
        <v>136</v>
      </c>
      <c r="F51" s="4">
        <v>204.7715</v>
      </c>
      <c r="G51" s="4">
        <v>162.73678728</v>
      </c>
      <c r="H51" s="4">
        <v>339.13879999999995</v>
      </c>
      <c r="I51" s="4">
        <v>484.484</v>
      </c>
      <c r="J51" s="4">
        <v>308.308</v>
      </c>
      <c r="K51" s="4">
        <v>338.8</v>
      </c>
      <c r="N51" s="4">
        <v>4.0</v>
      </c>
      <c r="O51" s="4">
        <v>25.30875</v>
      </c>
      <c r="P51" s="4">
        <v>101.235</v>
      </c>
      <c r="Q51" s="4">
        <v>207.07299999999998</v>
      </c>
      <c r="R51" s="4">
        <v>2.045468464463871</v>
      </c>
      <c r="S51" s="4">
        <v>165.6584</v>
      </c>
      <c r="T51" s="4">
        <v>1.636374771571097</v>
      </c>
      <c r="U51" s="4">
        <v>123.00357455999996</v>
      </c>
      <c r="V51" s="4">
        <v>1.2150301235738625</v>
      </c>
      <c r="W51" s="4">
        <v>92.25268091999997</v>
      </c>
      <c r="X51" s="4">
        <v>0.9112725926803968</v>
      </c>
      <c r="Y51" s="4">
        <v>372.68000000000006</v>
      </c>
    </row>
    <row r="52" ht="15.75" customHeight="1">
      <c r="A52" s="4">
        <v>207.0</v>
      </c>
      <c r="B52" s="4" t="s">
        <v>29</v>
      </c>
      <c r="C52" s="4" t="s">
        <v>137</v>
      </c>
      <c r="D52" s="4" t="s">
        <v>119</v>
      </c>
      <c r="E52" s="4" t="s">
        <v>120</v>
      </c>
      <c r="F52" s="4">
        <v>178.3218152155232</v>
      </c>
      <c r="G52" s="4">
        <v>141.54144158552322</v>
      </c>
      <c r="H52" s="4">
        <v>296.74645000000004</v>
      </c>
      <c r="I52" s="4">
        <v>423.92350000000005</v>
      </c>
      <c r="J52" s="4">
        <v>269.76950000000005</v>
      </c>
      <c r="K52" s="4">
        <v>296.45000000000005</v>
      </c>
      <c r="L52" s="4">
        <v>6.0</v>
      </c>
      <c r="N52" s="4">
        <v>5.0</v>
      </c>
      <c r="O52" s="4">
        <v>17.37482608620928</v>
      </c>
      <c r="P52" s="4">
        <v>86.8741304310464</v>
      </c>
      <c r="Q52" s="4">
        <v>182.89536956895364</v>
      </c>
      <c r="R52" s="4">
        <v>2.10529151384279</v>
      </c>
      <c r="S52" s="4">
        <v>146.31629565516292</v>
      </c>
      <c r="T52" s="4">
        <v>1.684233211074232</v>
      </c>
      <c r="U52" s="4">
        <v>109.33462230895363</v>
      </c>
      <c r="V52" s="4">
        <v>1.2585406238481378</v>
      </c>
      <c r="W52" s="4">
        <v>82.00096673171522</v>
      </c>
      <c r="X52" s="4">
        <v>0.9439054678861034</v>
      </c>
      <c r="Y52" s="4">
        <v>326.0950000000001</v>
      </c>
    </row>
    <row r="53" ht="15.75" customHeight="1">
      <c r="A53" s="4">
        <v>107.0</v>
      </c>
      <c r="B53" s="4" t="s">
        <v>51</v>
      </c>
      <c r="C53" s="4" t="s">
        <v>138</v>
      </c>
      <c r="D53" s="4" t="s">
        <v>138</v>
      </c>
      <c r="E53" s="4" t="s">
        <v>138</v>
      </c>
      <c r="F53" s="4">
        <v>228.3809016464239</v>
      </c>
      <c r="G53" s="4">
        <v>181.22789968786137</v>
      </c>
      <c r="H53" s="4">
        <v>380.43349093750004</v>
      </c>
      <c r="I53" s="4">
        <v>543.4764156250001</v>
      </c>
      <c r="J53" s="4">
        <v>345.84862812500006</v>
      </c>
      <c r="K53" s="4">
        <v>380.05343750000003</v>
      </c>
      <c r="L53" s="4">
        <v>6.0</v>
      </c>
      <c r="N53" s="4">
        <v>6.0</v>
      </c>
      <c r="O53" s="4">
        <v>18.485529194641288</v>
      </c>
      <c r="P53" s="4">
        <v>110.91317516784773</v>
      </c>
      <c r="Q53" s="4">
        <v>234.93545295715234</v>
      </c>
      <c r="R53" s="4">
        <v>2.1181924744433522</v>
      </c>
      <c r="S53" s="4">
        <v>187.9483623657219</v>
      </c>
      <c r="T53" s="4">
        <v>1.694553979554682</v>
      </c>
      <c r="U53" s="4">
        <v>140.62944904002728</v>
      </c>
      <c r="V53" s="4">
        <v>1.2679237505121386</v>
      </c>
      <c r="W53" s="4">
        <v>105.47208678002046</v>
      </c>
      <c r="X53" s="4">
        <v>0.9509428128841039</v>
      </c>
      <c r="Y53" s="4">
        <v>418.05878125000004</v>
      </c>
    </row>
    <row r="54" ht="15.75" customHeight="1">
      <c r="A54" s="4">
        <v>418.0</v>
      </c>
      <c r="B54" s="4" t="s">
        <v>25</v>
      </c>
      <c r="C54" s="4" t="s">
        <v>139</v>
      </c>
      <c r="D54" s="4" t="s">
        <v>140</v>
      </c>
      <c r="E54" s="4" t="s">
        <v>141</v>
      </c>
      <c r="F54" s="4">
        <v>382.95414190366523</v>
      </c>
      <c r="G54" s="4">
        <v>303.7370986132802</v>
      </c>
      <c r="H54" s="4">
        <v>639.1282647749999</v>
      </c>
      <c r="I54" s="4">
        <v>913.04037825</v>
      </c>
      <c r="J54" s="4">
        <v>581.02569525</v>
      </c>
      <c r="K54" s="4">
        <v>638.489775</v>
      </c>
      <c r="N54" s="4">
        <v>10.0</v>
      </c>
      <c r="O54" s="4">
        <v>18.488258855733044</v>
      </c>
      <c r="P54" s="4">
        <v>184.88258855733045</v>
      </c>
      <c r="Q54" s="4">
        <v>396.14310669266956</v>
      </c>
      <c r="R54" s="4">
        <v>2.14267395206785</v>
      </c>
      <c r="S54" s="4">
        <v>316.91448535413565</v>
      </c>
      <c r="T54" s="4">
        <v>1.7141391616542803</v>
      </c>
      <c r="U54" s="4">
        <v>237.70902011189946</v>
      </c>
      <c r="V54" s="4">
        <v>1.2857296188179883</v>
      </c>
      <c r="W54" s="4">
        <v>178.2817650839246</v>
      </c>
      <c r="X54" s="4">
        <v>0.9642972141134913</v>
      </c>
      <c r="Y54" s="4">
        <v>702.3387525</v>
      </c>
    </row>
    <row r="55" ht="15.75" customHeight="1">
      <c r="A55" s="4">
        <v>416.0</v>
      </c>
      <c r="B55" s="4" t="s">
        <v>25</v>
      </c>
      <c r="C55" s="4" t="s">
        <v>142</v>
      </c>
      <c r="D55" s="4" t="s">
        <v>143</v>
      </c>
      <c r="E55" s="4" t="s">
        <v>144</v>
      </c>
      <c r="F55" s="4">
        <v>382.0826333134014</v>
      </c>
      <c r="G55" s="4">
        <v>302.86559002301635</v>
      </c>
      <c r="H55" s="4">
        <v>639.1282647749999</v>
      </c>
      <c r="I55" s="4">
        <v>913.04037825</v>
      </c>
      <c r="J55" s="4">
        <v>581.02569525</v>
      </c>
      <c r="K55" s="4">
        <v>638.489775</v>
      </c>
      <c r="N55" s="4">
        <v>10.0</v>
      </c>
      <c r="O55" s="4">
        <v>18.313957137680273</v>
      </c>
      <c r="P55" s="4">
        <v>183.13957137680273</v>
      </c>
      <c r="Q55" s="4">
        <v>397.8861238731973</v>
      </c>
      <c r="R55" s="4">
        <v>2.1725841164854627</v>
      </c>
      <c r="S55" s="4">
        <v>318.30889909855784</v>
      </c>
      <c r="T55" s="4">
        <v>1.7380672931883703</v>
      </c>
      <c r="U55" s="4">
        <v>239.45203729242718</v>
      </c>
      <c r="V55" s="4">
        <v>1.3074838796022061</v>
      </c>
      <c r="W55" s="4">
        <v>179.5890279693204</v>
      </c>
      <c r="X55" s="4">
        <v>0.9806129097016546</v>
      </c>
      <c r="Y55" s="4">
        <v>702.3387525</v>
      </c>
    </row>
    <row r="56" ht="15.75" customHeight="1">
      <c r="A56" s="4">
        <v>205.0</v>
      </c>
      <c r="B56" s="4" t="s">
        <v>29</v>
      </c>
      <c r="C56" s="4" t="s">
        <v>145</v>
      </c>
      <c r="D56" s="4" t="s">
        <v>123</v>
      </c>
      <c r="E56" s="4" t="s">
        <v>124</v>
      </c>
      <c r="F56" s="4">
        <v>177.36873117732182</v>
      </c>
      <c r="G56" s="4">
        <v>140.5883575473218</v>
      </c>
      <c r="H56" s="4">
        <v>296.74645000000004</v>
      </c>
      <c r="I56" s="4">
        <v>423.92350000000005</v>
      </c>
      <c r="J56" s="4">
        <v>269.76950000000005</v>
      </c>
      <c r="K56" s="4">
        <v>296.45000000000005</v>
      </c>
      <c r="L56" s="4">
        <v>6.0</v>
      </c>
      <c r="N56" s="4">
        <v>5.0</v>
      </c>
      <c r="O56" s="4">
        <v>16.993592470928718</v>
      </c>
      <c r="P56" s="4">
        <v>84.96796235464359</v>
      </c>
      <c r="Q56" s="4">
        <v>184.80153764535646</v>
      </c>
      <c r="R56" s="4">
        <v>2.1749555070418474</v>
      </c>
      <c r="S56" s="4">
        <v>147.84123011628517</v>
      </c>
      <c r="T56" s="4">
        <v>1.7399644056334782</v>
      </c>
      <c r="U56" s="4">
        <v>111.24079038535643</v>
      </c>
      <c r="V56" s="4">
        <v>1.3092086393816764</v>
      </c>
      <c r="W56" s="4">
        <v>83.43059278901733</v>
      </c>
      <c r="X56" s="4">
        <v>0.9819064795362573</v>
      </c>
      <c r="Y56" s="4">
        <v>326.0950000000001</v>
      </c>
    </row>
    <row r="57" ht="15.75" customHeight="1">
      <c r="A57" s="4">
        <v>402.0</v>
      </c>
      <c r="B57" s="4" t="s">
        <v>25</v>
      </c>
      <c r="C57" s="4" t="s">
        <v>146</v>
      </c>
      <c r="D57" s="4" t="s">
        <v>147</v>
      </c>
      <c r="E57" s="4" t="s">
        <v>148</v>
      </c>
      <c r="F57" s="4">
        <v>381.1008412296436</v>
      </c>
      <c r="G57" s="4">
        <v>301.88379793925856</v>
      </c>
      <c r="H57" s="4">
        <v>639.1282647749999</v>
      </c>
      <c r="I57" s="4">
        <v>913.04037825</v>
      </c>
      <c r="J57" s="4">
        <v>581.02569525</v>
      </c>
      <c r="K57" s="4">
        <v>638.489775</v>
      </c>
      <c r="N57" s="4">
        <v>10.0</v>
      </c>
      <c r="O57" s="4">
        <v>18.11759872092872</v>
      </c>
      <c r="P57" s="4">
        <v>181.1759872092872</v>
      </c>
      <c r="Q57" s="4">
        <v>399.8497080407128</v>
      </c>
      <c r="R57" s="4">
        <v>2.2069685624443296</v>
      </c>
      <c r="S57" s="4">
        <v>319.87976643257025</v>
      </c>
      <c r="T57" s="4">
        <v>1.7655748499554635</v>
      </c>
      <c r="U57" s="4">
        <v>241.4156214599427</v>
      </c>
      <c r="V57" s="4">
        <v>1.3324923748370092</v>
      </c>
      <c r="W57" s="4">
        <v>181.06171609495703</v>
      </c>
      <c r="X57" s="4">
        <v>0.9993692811277569</v>
      </c>
      <c r="Y57" s="4">
        <v>702.3387525</v>
      </c>
    </row>
    <row r="58" ht="15.75" customHeight="1">
      <c r="A58" s="4">
        <v>210.0</v>
      </c>
      <c r="B58" s="4" t="s">
        <v>29</v>
      </c>
      <c r="C58" s="4" t="s">
        <v>149</v>
      </c>
      <c r="D58" s="4" t="s">
        <v>150</v>
      </c>
      <c r="E58" s="4" t="s">
        <v>151</v>
      </c>
      <c r="F58" s="4">
        <v>323.9666360785793</v>
      </c>
      <c r="G58" s="4">
        <v>256.41084777857935</v>
      </c>
      <c r="H58" s="4">
        <v>545.0445000000001</v>
      </c>
      <c r="I58" s="4">
        <v>778.6350000000001</v>
      </c>
      <c r="J58" s="4">
        <v>495.4950000000001</v>
      </c>
      <c r="K58" s="4">
        <v>544.5000000000001</v>
      </c>
      <c r="L58" s="4">
        <v>12.0</v>
      </c>
      <c r="N58" s="4">
        <v>10.0</v>
      </c>
      <c r="O58" s="4">
        <v>15.243827215715859</v>
      </c>
      <c r="P58" s="4">
        <v>152.4382721571586</v>
      </c>
      <c r="Q58" s="4">
        <v>343.0567278428415</v>
      </c>
      <c r="R58" s="4">
        <v>2.2504632398953057</v>
      </c>
      <c r="S58" s="4">
        <v>274.4453822742732</v>
      </c>
      <c r="T58" s="4">
        <v>1.8003705919162445</v>
      </c>
      <c r="U58" s="4">
        <v>207.9451512428415</v>
      </c>
      <c r="V58" s="4">
        <v>1.364126923640654</v>
      </c>
      <c r="W58" s="4">
        <v>155.95886343213112</v>
      </c>
      <c r="X58" s="4">
        <v>1.0230951927304905</v>
      </c>
      <c r="Y58" s="4">
        <v>598.9500000000002</v>
      </c>
    </row>
    <row r="59" ht="15.75" customHeight="1">
      <c r="A59" s="4">
        <v>409.0</v>
      </c>
      <c r="B59" s="4" t="s">
        <v>25</v>
      </c>
      <c r="C59" s="4" t="s">
        <v>152</v>
      </c>
      <c r="D59" s="4" t="s">
        <v>105</v>
      </c>
      <c r="E59" s="4" t="s">
        <v>106</v>
      </c>
      <c r="F59" s="4">
        <v>225.81907131923595</v>
      </c>
      <c r="G59" s="4">
        <v>178.66606936067342</v>
      </c>
      <c r="H59" s="4">
        <v>380.43349093750004</v>
      </c>
      <c r="I59" s="4">
        <v>543.4764156250001</v>
      </c>
      <c r="J59" s="4">
        <v>345.84862812500006</v>
      </c>
      <c r="K59" s="4">
        <v>380.05343750000003</v>
      </c>
      <c r="N59" s="4">
        <v>5.0</v>
      </c>
      <c r="O59" s="4">
        <v>21.15790290269437</v>
      </c>
      <c r="P59" s="4">
        <v>105.78951451347186</v>
      </c>
      <c r="Q59" s="4">
        <v>240.0591136115282</v>
      </c>
      <c r="R59" s="4">
        <v>2.269214626001121</v>
      </c>
      <c r="S59" s="4">
        <v>192.04729088922258</v>
      </c>
      <c r="T59" s="4">
        <v>1.815371700800897</v>
      </c>
      <c r="U59" s="4">
        <v>145.75310969440315</v>
      </c>
      <c r="V59" s="4">
        <v>1.377765181783135</v>
      </c>
      <c r="W59" s="4">
        <v>109.31483227080236</v>
      </c>
      <c r="X59" s="4">
        <v>1.033323886337351</v>
      </c>
      <c r="Y59" s="4">
        <v>418.05878125000004</v>
      </c>
    </row>
    <row r="60" ht="15.75" customHeight="1">
      <c r="A60" s="4">
        <v>211.0</v>
      </c>
      <c r="B60" s="4" t="s">
        <v>29</v>
      </c>
      <c r="C60" s="4" t="s">
        <v>153</v>
      </c>
      <c r="D60" s="4" t="s">
        <v>128</v>
      </c>
      <c r="E60" s="4" t="s">
        <v>129</v>
      </c>
      <c r="F60" s="4">
        <v>176.11560338933265</v>
      </c>
      <c r="G60" s="4">
        <v>139.33522975933263</v>
      </c>
      <c r="H60" s="4">
        <v>296.74645000000004</v>
      </c>
      <c r="I60" s="4">
        <v>423.92350000000005</v>
      </c>
      <c r="J60" s="4">
        <v>269.76950000000005</v>
      </c>
      <c r="K60" s="4">
        <v>296.45000000000005</v>
      </c>
      <c r="L60" s="4">
        <v>6.0</v>
      </c>
      <c r="N60" s="4">
        <v>5.0</v>
      </c>
      <c r="O60" s="4">
        <v>16.492341355733046</v>
      </c>
      <c r="P60" s="4">
        <v>82.46170677866523</v>
      </c>
      <c r="Q60" s="4">
        <v>187.3077932213348</v>
      </c>
      <c r="R60" s="4">
        <v>2.2714518112520525</v>
      </c>
      <c r="S60" s="4">
        <v>149.84623457706786</v>
      </c>
      <c r="T60" s="4">
        <v>1.8171614490016423</v>
      </c>
      <c r="U60" s="4">
        <v>113.74704596133479</v>
      </c>
      <c r="V60" s="4">
        <v>1.3793923313598428</v>
      </c>
      <c r="W60" s="4">
        <v>85.3102844710011</v>
      </c>
      <c r="X60" s="4">
        <v>1.0345442485198821</v>
      </c>
      <c r="Y60" s="4">
        <v>326.0950000000001</v>
      </c>
    </row>
    <row r="61" ht="15.75" customHeight="1">
      <c r="A61" s="4">
        <v>403.0</v>
      </c>
      <c r="B61" s="4" t="s">
        <v>25</v>
      </c>
      <c r="C61" s="4" t="s">
        <v>154</v>
      </c>
      <c r="D61" s="4" t="s">
        <v>108</v>
      </c>
      <c r="E61" s="4" t="s">
        <v>155</v>
      </c>
      <c r="F61" s="4">
        <v>225.56181778822526</v>
      </c>
      <c r="G61" s="4">
        <v>178.40881582966273</v>
      </c>
      <c r="H61" s="4">
        <v>380.43349093750004</v>
      </c>
      <c r="I61" s="4">
        <v>543.4764156250001</v>
      </c>
      <c r="J61" s="4">
        <v>345.84862812500006</v>
      </c>
      <c r="K61" s="4">
        <v>380.05343750000003</v>
      </c>
      <c r="L61" s="4">
        <v>6.0</v>
      </c>
      <c r="N61" s="4">
        <v>5.0</v>
      </c>
      <c r="O61" s="4">
        <v>21.05500149029009</v>
      </c>
      <c r="P61" s="4">
        <v>105.27500745145045</v>
      </c>
      <c r="Q61" s="4">
        <v>240.5736206735496</v>
      </c>
      <c r="R61" s="4">
        <v>2.2851921505158255</v>
      </c>
      <c r="S61" s="4">
        <v>192.4588965388397</v>
      </c>
      <c r="T61" s="4">
        <v>1.8281537204126606</v>
      </c>
      <c r="U61" s="4">
        <v>146.26761675642456</v>
      </c>
      <c r="V61" s="4">
        <v>1.38938595491317</v>
      </c>
      <c r="W61" s="4">
        <v>109.70071256731842</v>
      </c>
      <c r="X61" s="4">
        <v>1.0420394661848775</v>
      </c>
      <c r="Y61" s="4">
        <v>418.05878125000004</v>
      </c>
    </row>
    <row r="62" ht="15.75" customHeight="1">
      <c r="A62" s="4">
        <v>420.0</v>
      </c>
      <c r="B62" s="4" t="s">
        <v>25</v>
      </c>
      <c r="C62" s="4" t="s">
        <v>156</v>
      </c>
      <c r="D62" s="4" t="s">
        <v>157</v>
      </c>
      <c r="E62" s="4" t="s">
        <v>158</v>
      </c>
      <c r="F62" s="4">
        <v>376.85274815366523</v>
      </c>
      <c r="G62" s="4">
        <v>297.6357048632802</v>
      </c>
      <c r="H62" s="4">
        <v>639.1282647749999</v>
      </c>
      <c r="I62" s="4">
        <v>913.04037825</v>
      </c>
      <c r="J62" s="4">
        <v>581.02569525</v>
      </c>
      <c r="K62" s="4">
        <v>638.489775</v>
      </c>
      <c r="N62" s="4">
        <v>10.0</v>
      </c>
      <c r="O62" s="4">
        <v>17.267980105733045</v>
      </c>
      <c r="P62" s="4">
        <v>172.67980105733045</v>
      </c>
      <c r="Q62" s="4">
        <v>408.34589419266956</v>
      </c>
      <c r="R62" s="4">
        <v>2.3647577290009556</v>
      </c>
      <c r="S62" s="4">
        <v>326.6767153541357</v>
      </c>
      <c r="T62" s="4">
        <v>1.8918061832007647</v>
      </c>
      <c r="U62" s="4">
        <v>249.91180761189946</v>
      </c>
      <c r="V62" s="4">
        <v>1.4472555914569745</v>
      </c>
      <c r="W62" s="4">
        <v>187.4338557089246</v>
      </c>
      <c r="X62" s="4">
        <v>1.085441693592731</v>
      </c>
      <c r="Y62" s="4">
        <v>702.3387525</v>
      </c>
    </row>
    <row r="63" ht="15.75" customHeight="1">
      <c r="A63" s="4">
        <v>414.0</v>
      </c>
      <c r="B63" s="4" t="s">
        <v>25</v>
      </c>
      <c r="C63" s="4" t="s">
        <v>159</v>
      </c>
      <c r="D63" s="4" t="s">
        <v>160</v>
      </c>
      <c r="E63" s="4" t="s">
        <v>161</v>
      </c>
      <c r="F63" s="4">
        <v>376.3617753819366</v>
      </c>
      <c r="G63" s="4">
        <v>297.14473209155153</v>
      </c>
      <c r="H63" s="4">
        <v>639.1282647749999</v>
      </c>
      <c r="I63" s="4">
        <v>913.04037825</v>
      </c>
      <c r="J63" s="4">
        <v>581.02569525</v>
      </c>
      <c r="K63" s="4">
        <v>638.489775</v>
      </c>
      <c r="N63" s="4">
        <v>10.0</v>
      </c>
      <c r="O63" s="4">
        <v>17.16978555138731</v>
      </c>
      <c r="P63" s="4">
        <v>171.6978555138731</v>
      </c>
      <c r="Q63" s="4">
        <v>409.3278397361269</v>
      </c>
      <c r="R63" s="4">
        <v>2.3840008863887845</v>
      </c>
      <c r="S63" s="4">
        <v>327.46227178890155</v>
      </c>
      <c r="T63" s="4">
        <v>1.9072007091110277</v>
      </c>
      <c r="U63" s="4">
        <v>250.89375315535682</v>
      </c>
      <c r="V63" s="4">
        <v>1.4612515246882902</v>
      </c>
      <c r="W63" s="4">
        <v>188.17031486651763</v>
      </c>
      <c r="X63" s="4">
        <v>1.0959386435162177</v>
      </c>
      <c r="Y63" s="4">
        <v>702.3387525</v>
      </c>
    </row>
    <row r="64" ht="15.75" customHeight="1">
      <c r="A64" s="4">
        <v>209.0</v>
      </c>
      <c r="B64" s="4" t="s">
        <v>29</v>
      </c>
      <c r="C64" s="4" t="s">
        <v>162</v>
      </c>
      <c r="D64" s="4" t="s">
        <v>150</v>
      </c>
      <c r="E64" s="4" t="s">
        <v>151</v>
      </c>
      <c r="F64" s="4">
        <v>172.99431803928968</v>
      </c>
      <c r="G64" s="4">
        <v>136.21394440928967</v>
      </c>
      <c r="H64" s="4">
        <v>296.74645000000004</v>
      </c>
      <c r="I64" s="4">
        <v>423.92350000000005</v>
      </c>
      <c r="J64" s="4">
        <v>269.76950000000005</v>
      </c>
      <c r="K64" s="4">
        <v>296.45000000000005</v>
      </c>
      <c r="L64" s="4">
        <v>6.0</v>
      </c>
      <c r="N64" s="4">
        <v>5.0</v>
      </c>
      <c r="O64" s="4">
        <v>15.243827215715859</v>
      </c>
      <c r="P64" s="4">
        <v>76.2191360785793</v>
      </c>
      <c r="Q64" s="4">
        <v>193.55036392142074</v>
      </c>
      <c r="R64" s="4">
        <v>2.539393305663777</v>
      </c>
      <c r="S64" s="4">
        <v>154.8402911371366</v>
      </c>
      <c r="T64" s="4">
        <v>2.031514644531022</v>
      </c>
      <c r="U64" s="4">
        <v>119.98961666142073</v>
      </c>
      <c r="V64" s="4">
        <v>1.5742715390753783</v>
      </c>
      <c r="W64" s="4">
        <v>89.99221249606555</v>
      </c>
      <c r="X64" s="4">
        <v>1.180703654306534</v>
      </c>
      <c r="Y64" s="4">
        <v>326.0950000000001</v>
      </c>
    </row>
    <row r="65" ht="15.75" customHeight="1">
      <c r="A65" s="4">
        <v>313.0</v>
      </c>
      <c r="B65" s="4" t="s">
        <v>130</v>
      </c>
      <c r="C65" s="4" t="s">
        <v>163</v>
      </c>
      <c r="D65" s="4" t="s">
        <v>132</v>
      </c>
      <c r="E65" s="4" t="s">
        <v>133</v>
      </c>
      <c r="F65" s="4">
        <v>221.19941919192598</v>
      </c>
      <c r="G65" s="4">
        <v>174.04641723336346</v>
      </c>
      <c r="H65" s="4">
        <v>380.43349093750004</v>
      </c>
      <c r="I65" s="4">
        <v>543.4764156250001</v>
      </c>
      <c r="J65" s="4">
        <v>345.84862812500006</v>
      </c>
      <c r="K65" s="4">
        <v>380.05343750000003</v>
      </c>
      <c r="N65" s="4">
        <v>5.0</v>
      </c>
      <c r="O65" s="4">
        <v>19.310042051770385</v>
      </c>
      <c r="P65" s="4">
        <v>96.55021025885192</v>
      </c>
      <c r="Q65" s="4">
        <v>249.29841786614816</v>
      </c>
      <c r="R65" s="4">
        <v>2.5820598132078327</v>
      </c>
      <c r="S65" s="4">
        <v>199.43873429291853</v>
      </c>
      <c r="T65" s="4">
        <v>2.065647850566266</v>
      </c>
      <c r="U65" s="4">
        <v>154.9924139490231</v>
      </c>
      <c r="V65" s="4">
        <v>1.6053037433423205</v>
      </c>
      <c r="W65" s="4">
        <v>116.24431046176733</v>
      </c>
      <c r="X65" s="4">
        <v>1.2039778075067404</v>
      </c>
      <c r="Y65" s="4">
        <v>418.05878125000004</v>
      </c>
    </row>
    <row r="66" ht="15.75" customHeight="1">
      <c r="A66" s="4">
        <v>417.0</v>
      </c>
      <c r="B66" s="4" t="s">
        <v>25</v>
      </c>
      <c r="C66" s="4" t="s">
        <v>164</v>
      </c>
      <c r="D66" s="4" t="s">
        <v>140</v>
      </c>
      <c r="E66" s="4" t="s">
        <v>165</v>
      </c>
      <c r="F66" s="4">
        <v>219.14496120183264</v>
      </c>
      <c r="G66" s="4">
        <v>171.99195924327012</v>
      </c>
      <c r="H66" s="4">
        <v>380.43349093750004</v>
      </c>
      <c r="I66" s="4">
        <v>543.4764156250001</v>
      </c>
      <c r="J66" s="4">
        <v>345.84862812500006</v>
      </c>
      <c r="K66" s="4">
        <v>380.05343750000003</v>
      </c>
      <c r="N66" s="4">
        <v>5.0</v>
      </c>
      <c r="O66" s="4">
        <v>18.488258855733044</v>
      </c>
      <c r="P66" s="4">
        <v>92.44129427866523</v>
      </c>
      <c r="Q66" s="4">
        <v>253.40733384633484</v>
      </c>
      <c r="R66" s="4">
        <v>2.7412785143664893</v>
      </c>
      <c r="S66" s="4">
        <v>202.72586707706787</v>
      </c>
      <c r="T66" s="4">
        <v>2.1930228114931913</v>
      </c>
      <c r="U66" s="4">
        <v>159.10132992920978</v>
      </c>
      <c r="V66" s="4">
        <v>1.7211066890690345</v>
      </c>
      <c r="W66" s="4">
        <v>119.32599744690734</v>
      </c>
      <c r="X66" s="4">
        <v>1.290830016801776</v>
      </c>
      <c r="Y66" s="4">
        <v>418.05878125000004</v>
      </c>
    </row>
    <row r="67" ht="15.75" customHeight="1">
      <c r="A67" s="4">
        <v>304.0</v>
      </c>
      <c r="B67" s="4" t="s">
        <v>130</v>
      </c>
      <c r="C67" s="4" t="s">
        <v>166</v>
      </c>
      <c r="D67" s="4" t="s">
        <v>167</v>
      </c>
      <c r="E67" s="4" t="s">
        <v>168</v>
      </c>
      <c r="F67" s="4">
        <v>313.72745903507246</v>
      </c>
      <c r="G67" s="4">
        <v>246.1716707350724</v>
      </c>
      <c r="H67" s="4">
        <v>545.0445000000001</v>
      </c>
      <c r="I67" s="4">
        <v>778.6350000000001</v>
      </c>
      <c r="J67" s="4">
        <v>495.4950000000001</v>
      </c>
      <c r="K67" s="4">
        <v>544.5000000000001</v>
      </c>
      <c r="L67" s="4">
        <v>12.0</v>
      </c>
      <c r="N67" s="4">
        <v>10.0</v>
      </c>
      <c r="O67" s="4">
        <v>13.195991807014474</v>
      </c>
      <c r="P67" s="4">
        <v>131.95991807014474</v>
      </c>
      <c r="Q67" s="4">
        <v>363.5350819298554</v>
      </c>
      <c r="R67" s="4">
        <v>2.754890176095853</v>
      </c>
      <c r="S67" s="4">
        <v>290.8280655438843</v>
      </c>
      <c r="T67" s="4">
        <v>2.203912140876682</v>
      </c>
      <c r="U67" s="4">
        <v>228.42350532985535</v>
      </c>
      <c r="V67" s="4">
        <v>1.731006722878036</v>
      </c>
      <c r="W67" s="4">
        <v>171.31762899739152</v>
      </c>
      <c r="X67" s="4">
        <v>1.298255042158527</v>
      </c>
      <c r="Y67" s="4">
        <v>598.9500000000002</v>
      </c>
    </row>
    <row r="68" ht="15.75" customHeight="1">
      <c r="A68" s="4">
        <v>415.0</v>
      </c>
      <c r="B68" s="4" t="s">
        <v>25</v>
      </c>
      <c r="C68" s="4" t="s">
        <v>169</v>
      </c>
      <c r="D68" s="4" t="s">
        <v>143</v>
      </c>
      <c r="E68" s="4" t="s">
        <v>144</v>
      </c>
      <c r="F68" s="4">
        <v>218.70920690670073</v>
      </c>
      <c r="G68" s="4">
        <v>171.5562049481382</v>
      </c>
      <c r="H68" s="4">
        <v>380.43349093750004</v>
      </c>
      <c r="I68" s="4">
        <v>543.4764156250001</v>
      </c>
      <c r="J68" s="4">
        <v>345.84862812500006</v>
      </c>
      <c r="K68" s="4">
        <v>380.05343750000003</v>
      </c>
      <c r="N68" s="4">
        <v>5.0</v>
      </c>
      <c r="O68" s="4">
        <v>18.313957137680273</v>
      </c>
      <c r="P68" s="4">
        <v>91.56978568840137</v>
      </c>
      <c r="Q68" s="4">
        <v>254.2788424365987</v>
      </c>
      <c r="R68" s="4">
        <v>2.7768858529588845</v>
      </c>
      <c r="S68" s="4">
        <v>203.42307394927897</v>
      </c>
      <c r="T68" s="4">
        <v>2.2215086823671077</v>
      </c>
      <c r="U68" s="4">
        <v>159.97283851947364</v>
      </c>
      <c r="V68" s="4">
        <v>1.7470046185740555</v>
      </c>
      <c r="W68" s="4">
        <v>119.97962888960524</v>
      </c>
      <c r="X68" s="4">
        <v>1.3102534639305417</v>
      </c>
      <c r="Y68" s="4">
        <v>418.05878125000004</v>
      </c>
    </row>
    <row r="69" ht="15.75" customHeight="1">
      <c r="A69" s="4">
        <v>401.0</v>
      </c>
      <c r="B69" s="4" t="s">
        <v>25</v>
      </c>
      <c r="C69" s="4" t="s">
        <v>170</v>
      </c>
      <c r="D69" s="4" t="s">
        <v>147</v>
      </c>
      <c r="E69" s="4" t="s">
        <v>148</v>
      </c>
      <c r="F69" s="4">
        <v>218.21831086482183</v>
      </c>
      <c r="G69" s="4">
        <v>171.0653089062593</v>
      </c>
      <c r="H69" s="4">
        <v>380.43349093750004</v>
      </c>
      <c r="I69" s="4">
        <v>543.4764156250001</v>
      </c>
      <c r="J69" s="4">
        <v>345.84862812500006</v>
      </c>
      <c r="K69" s="4">
        <v>380.05343750000003</v>
      </c>
      <c r="N69" s="4">
        <v>5.0</v>
      </c>
      <c r="O69" s="4">
        <v>18.11759872092872</v>
      </c>
      <c r="P69" s="4">
        <v>90.5879936046436</v>
      </c>
      <c r="Q69" s="4">
        <v>255.26063452035646</v>
      </c>
      <c r="R69" s="4">
        <v>2.817819717195631</v>
      </c>
      <c r="S69" s="4">
        <v>204.20850761628517</v>
      </c>
      <c r="T69" s="4">
        <v>2.2542557737565048</v>
      </c>
      <c r="U69" s="4">
        <v>160.9546306032314</v>
      </c>
      <c r="V69" s="4">
        <v>1.776776636710726</v>
      </c>
      <c r="W69" s="4">
        <v>120.71597295242356</v>
      </c>
      <c r="X69" s="4">
        <v>1.3325824775330444</v>
      </c>
      <c r="Y69" s="4">
        <v>418.05878125000004</v>
      </c>
    </row>
    <row r="70" ht="15.75" customHeight="1">
      <c r="A70" s="4">
        <v>706.0</v>
      </c>
      <c r="B70" s="4" t="s">
        <v>171</v>
      </c>
      <c r="C70" s="4" t="s">
        <v>172</v>
      </c>
      <c r="D70" s="4" t="s">
        <v>173</v>
      </c>
      <c r="E70" s="4" t="s">
        <v>174</v>
      </c>
      <c r="F70" s="4">
        <v>207.8600388187346</v>
      </c>
      <c r="G70" s="4">
        <v>162.82284661873462</v>
      </c>
      <c r="H70" s="4">
        <v>363.363</v>
      </c>
      <c r="I70" s="4">
        <v>519.09</v>
      </c>
      <c r="J70" s="4">
        <v>330.33000000000004</v>
      </c>
      <c r="K70" s="4">
        <v>363.00000000000006</v>
      </c>
      <c r="L70" s="4">
        <v>8.0</v>
      </c>
      <c r="N70" s="4">
        <v>4.0</v>
      </c>
      <c r="O70" s="4">
        <v>21.347519409367305</v>
      </c>
      <c r="P70" s="4">
        <v>85.39007763746922</v>
      </c>
      <c r="Q70" s="4">
        <v>244.9399223625308</v>
      </c>
      <c r="R70" s="4">
        <v>2.8684822539035966</v>
      </c>
      <c r="S70" s="4">
        <v>195.95193789002465</v>
      </c>
      <c r="T70" s="4">
        <v>2.294785803122877</v>
      </c>
      <c r="U70" s="4">
        <v>154.86553796253077</v>
      </c>
      <c r="V70" s="4">
        <v>1.8136245129091635</v>
      </c>
      <c r="W70" s="4">
        <v>116.14915347189807</v>
      </c>
      <c r="X70" s="4">
        <v>1.3602183846818727</v>
      </c>
      <c r="Y70" s="4">
        <v>399.30000000000007</v>
      </c>
    </row>
    <row r="71" ht="15.75" customHeight="1">
      <c r="A71" s="4">
        <v>702.0</v>
      </c>
      <c r="B71" s="4" t="s">
        <v>171</v>
      </c>
      <c r="C71" s="4" t="s">
        <v>175</v>
      </c>
      <c r="D71" s="4" t="s">
        <v>176</v>
      </c>
      <c r="E71" s="4" t="s">
        <v>177</v>
      </c>
      <c r="F71" s="4">
        <v>354.4341182935701</v>
      </c>
      <c r="G71" s="4">
        <v>277.34921074392</v>
      </c>
      <c r="H71" s="4">
        <v>621.92605475</v>
      </c>
      <c r="I71" s="4">
        <v>888.4657925000001</v>
      </c>
      <c r="J71" s="4">
        <v>565.3873225000001</v>
      </c>
      <c r="K71" s="4">
        <v>621.3047500000001</v>
      </c>
      <c r="N71" s="4">
        <v>10.0</v>
      </c>
      <c r="O71" s="4">
        <v>14.348091408714007</v>
      </c>
      <c r="P71" s="4">
        <v>143.48091408714006</v>
      </c>
      <c r="Q71" s="4">
        <v>421.90640841286006</v>
      </c>
      <c r="R71" s="4">
        <v>2.9405054400240593</v>
      </c>
      <c r="S71" s="4">
        <v>337.5251267302881</v>
      </c>
      <c r="T71" s="4">
        <v>2.352404352019248</v>
      </c>
      <c r="U71" s="4">
        <v>267.73659331356</v>
      </c>
      <c r="V71" s="4">
        <v>1.8660084166382986</v>
      </c>
      <c r="W71" s="4">
        <v>200.80244498516998</v>
      </c>
      <c r="X71" s="4">
        <v>1.399506312478724</v>
      </c>
      <c r="Y71" s="4">
        <v>683.4352250000002</v>
      </c>
    </row>
    <row r="72" ht="15.75" customHeight="1">
      <c r="A72" s="4">
        <v>408.0</v>
      </c>
      <c r="B72" s="4" t="s">
        <v>25</v>
      </c>
      <c r="C72" s="4" t="s">
        <v>178</v>
      </c>
      <c r="D72" s="4" t="s">
        <v>179</v>
      </c>
      <c r="E72" s="4" t="s">
        <v>180</v>
      </c>
      <c r="F72" s="4">
        <v>363.21794271232</v>
      </c>
      <c r="G72" s="4">
        <v>284.00089942193495</v>
      </c>
      <c r="H72" s="4">
        <v>639.1282647749999</v>
      </c>
      <c r="I72" s="4">
        <v>913.04037825</v>
      </c>
      <c r="J72" s="4">
        <v>581.02569525</v>
      </c>
      <c r="K72" s="4">
        <v>638.489775</v>
      </c>
      <c r="N72" s="4">
        <v>10.0</v>
      </c>
      <c r="O72" s="4">
        <v>14.541019017464006</v>
      </c>
      <c r="P72" s="4">
        <v>145.41019017464006</v>
      </c>
      <c r="Q72" s="4">
        <v>435.6155050753599</v>
      </c>
      <c r="R72" s="4">
        <v>2.995770135175385</v>
      </c>
      <c r="S72" s="4">
        <v>348.492404060288</v>
      </c>
      <c r="T72" s="4">
        <v>2.3966161081403086</v>
      </c>
      <c r="U72" s="4">
        <v>277.1814184945898</v>
      </c>
      <c r="V72" s="4">
        <v>1.9062035347157604</v>
      </c>
      <c r="W72" s="4">
        <v>207.88606387094237</v>
      </c>
      <c r="X72" s="4">
        <v>1.4296526510368204</v>
      </c>
      <c r="Y72" s="4">
        <v>702.3387525</v>
      </c>
    </row>
    <row r="73" ht="15.75" customHeight="1">
      <c r="A73" s="4">
        <v>412.0</v>
      </c>
      <c r="B73" s="4" t="s">
        <v>25</v>
      </c>
      <c r="C73" s="4" t="s">
        <v>181</v>
      </c>
      <c r="D73" s="4" t="s">
        <v>182</v>
      </c>
      <c r="E73" s="4" t="s">
        <v>183</v>
      </c>
      <c r="F73" s="4">
        <v>363.21794271232</v>
      </c>
      <c r="G73" s="4">
        <v>284.00089942193495</v>
      </c>
      <c r="H73" s="4">
        <v>639.1282647749999</v>
      </c>
      <c r="I73" s="4">
        <v>913.04037825</v>
      </c>
      <c r="J73" s="4">
        <v>581.02569525</v>
      </c>
      <c r="K73" s="4">
        <v>638.489775</v>
      </c>
      <c r="L73" s="4">
        <v>12.0</v>
      </c>
      <c r="N73" s="4">
        <v>10.0</v>
      </c>
      <c r="O73" s="4">
        <v>14.541019017464006</v>
      </c>
      <c r="P73" s="4">
        <v>145.41019017464006</v>
      </c>
      <c r="Q73" s="4">
        <v>435.6155050753599</v>
      </c>
      <c r="R73" s="4">
        <v>2.995770135175385</v>
      </c>
      <c r="S73" s="4">
        <v>348.492404060288</v>
      </c>
      <c r="T73" s="4">
        <v>2.3966161081403086</v>
      </c>
      <c r="U73" s="4">
        <v>277.1814184945898</v>
      </c>
      <c r="V73" s="4">
        <v>1.9062035347157604</v>
      </c>
      <c r="W73" s="4">
        <v>207.88606387094237</v>
      </c>
      <c r="X73" s="4">
        <v>1.4296526510368204</v>
      </c>
      <c r="Y73" s="4">
        <v>702.3387525</v>
      </c>
    </row>
    <row r="74" ht="15.75" customHeight="1">
      <c r="A74" s="4">
        <v>308.0</v>
      </c>
      <c r="B74" s="4" t="s">
        <v>130</v>
      </c>
      <c r="C74" s="4" t="s">
        <v>184</v>
      </c>
      <c r="D74" s="4" t="s">
        <v>185</v>
      </c>
      <c r="E74" s="4" t="s">
        <v>186</v>
      </c>
      <c r="F74" s="4">
        <v>302.79823308651044</v>
      </c>
      <c r="G74" s="4">
        <v>236.74368452651044</v>
      </c>
      <c r="H74" s="4">
        <v>532.9324</v>
      </c>
      <c r="I74" s="4">
        <v>761.3320000000001</v>
      </c>
      <c r="J74" s="4">
        <v>484.4840000000001</v>
      </c>
      <c r="K74" s="4">
        <v>532.4000000000001</v>
      </c>
      <c r="L74" s="4">
        <v>12.0</v>
      </c>
      <c r="N74" s="4">
        <v>10.0</v>
      </c>
      <c r="O74" s="4">
        <v>12.111246617302086</v>
      </c>
      <c r="P74" s="4">
        <v>121.11246617302086</v>
      </c>
      <c r="Q74" s="4">
        <v>363.3715338269792</v>
      </c>
      <c r="R74" s="4">
        <v>3.0002818480128037</v>
      </c>
      <c r="S74" s="4">
        <v>290.69722706158336</v>
      </c>
      <c r="T74" s="4">
        <v>2.400225478410243</v>
      </c>
      <c r="U74" s="4">
        <v>231.26243670697917</v>
      </c>
      <c r="V74" s="4">
        <v>1.9094849936966722</v>
      </c>
      <c r="W74" s="4">
        <v>173.44682753023437</v>
      </c>
      <c r="X74" s="4">
        <v>1.4321137452725041</v>
      </c>
      <c r="Y74" s="4">
        <v>585.6400000000001</v>
      </c>
    </row>
    <row r="75" ht="15.75" customHeight="1">
      <c r="A75" s="4">
        <v>419.0</v>
      </c>
      <c r="B75" s="4" t="s">
        <v>25</v>
      </c>
      <c r="C75" s="4" t="s">
        <v>187</v>
      </c>
      <c r="D75" s="4" t="s">
        <v>157</v>
      </c>
      <c r="E75" s="4" t="s">
        <v>158</v>
      </c>
      <c r="F75" s="4">
        <v>216.09426432683264</v>
      </c>
      <c r="G75" s="4">
        <v>168.94126236827012</v>
      </c>
      <c r="H75" s="4">
        <v>380.43349093750004</v>
      </c>
      <c r="I75" s="4">
        <v>543.4764156250001</v>
      </c>
      <c r="J75" s="4">
        <v>345.84862812500006</v>
      </c>
      <c r="K75" s="4">
        <v>380.05343750000003</v>
      </c>
      <c r="N75" s="4">
        <v>5.0</v>
      </c>
      <c r="O75" s="4">
        <v>17.267980105733045</v>
      </c>
      <c r="P75" s="4">
        <v>86.33990052866523</v>
      </c>
      <c r="Q75" s="4">
        <v>259.50872759633484</v>
      </c>
      <c r="R75" s="4">
        <v>3.005663963096376</v>
      </c>
      <c r="S75" s="4">
        <v>207.60698207706787</v>
      </c>
      <c r="T75" s="4">
        <v>2.404531170477101</v>
      </c>
      <c r="U75" s="4">
        <v>165.20272367920978</v>
      </c>
      <c r="V75" s="4">
        <v>1.9133995136392559</v>
      </c>
      <c r="W75" s="4">
        <v>123.90204275940734</v>
      </c>
      <c r="X75" s="4">
        <v>1.435049635229442</v>
      </c>
      <c r="Y75" s="4">
        <v>418.05878125000004</v>
      </c>
    </row>
    <row r="76" ht="15.75" customHeight="1">
      <c r="A76" s="4">
        <v>413.0</v>
      </c>
      <c r="B76" s="4" t="s">
        <v>25</v>
      </c>
      <c r="C76" s="4" t="s">
        <v>188</v>
      </c>
      <c r="D76" s="4" t="s">
        <v>160</v>
      </c>
      <c r="E76" s="4" t="s">
        <v>161</v>
      </c>
      <c r="F76" s="4">
        <v>215.8487779409683</v>
      </c>
      <c r="G76" s="4">
        <v>168.6957759824058</v>
      </c>
      <c r="H76" s="4">
        <v>380.43349093750004</v>
      </c>
      <c r="I76" s="4">
        <v>543.4764156250001</v>
      </c>
      <c r="J76" s="4">
        <v>345.84862812500006</v>
      </c>
      <c r="K76" s="4">
        <v>380.05343750000003</v>
      </c>
      <c r="N76" s="4">
        <v>5.0</v>
      </c>
      <c r="O76" s="4">
        <v>17.16978555138731</v>
      </c>
      <c r="P76" s="4">
        <v>85.84892775693655</v>
      </c>
      <c r="Q76" s="4">
        <v>259.9997003680635</v>
      </c>
      <c r="R76" s="4">
        <v>3.0285724837961725</v>
      </c>
      <c r="S76" s="4">
        <v>207.9997602944508</v>
      </c>
      <c r="T76" s="4">
        <v>2.422857987036938</v>
      </c>
      <c r="U76" s="4">
        <v>165.69369645093846</v>
      </c>
      <c r="V76" s="4">
        <v>1.930061338914632</v>
      </c>
      <c r="W76" s="4">
        <v>124.27027233820385</v>
      </c>
      <c r="X76" s="4">
        <v>1.447546004185974</v>
      </c>
      <c r="Y76" s="4">
        <v>418.05878125000004</v>
      </c>
    </row>
    <row r="77" ht="15.75" customHeight="1">
      <c r="A77" s="4">
        <v>218.0</v>
      </c>
      <c r="B77" s="4" t="s">
        <v>29</v>
      </c>
      <c r="C77" s="4" t="s">
        <v>189</v>
      </c>
      <c r="D77" s="4" t="s">
        <v>190</v>
      </c>
      <c r="E77" s="4" t="s">
        <v>191</v>
      </c>
      <c r="F77" s="4">
        <v>171.79353105498768</v>
      </c>
      <c r="G77" s="4">
        <v>134.26253755498766</v>
      </c>
      <c r="H77" s="4">
        <v>302.80249999999995</v>
      </c>
      <c r="I77" s="4">
        <v>432.575</v>
      </c>
      <c r="J77" s="4">
        <v>275.27500000000003</v>
      </c>
      <c r="K77" s="4">
        <v>302.5</v>
      </c>
      <c r="L77" s="4">
        <v>8.0</v>
      </c>
      <c r="N77" s="4">
        <v>4.0</v>
      </c>
      <c r="O77" s="4">
        <v>17.078015527493843</v>
      </c>
      <c r="P77" s="4">
        <v>68.31206210997537</v>
      </c>
      <c r="Q77" s="4">
        <v>206.96293789002465</v>
      </c>
      <c r="R77" s="4">
        <v>3.0296690144829133</v>
      </c>
      <c r="S77" s="4">
        <v>165.57035031201974</v>
      </c>
      <c r="T77" s="4">
        <v>2.423735211586331</v>
      </c>
      <c r="U77" s="4">
        <v>131.9009508900246</v>
      </c>
      <c r="V77" s="4">
        <v>1.930858867613712</v>
      </c>
      <c r="W77" s="4">
        <v>98.92571316751845</v>
      </c>
      <c r="X77" s="4">
        <v>1.448144150710284</v>
      </c>
      <c r="Y77" s="4">
        <v>332.75</v>
      </c>
    </row>
    <row r="78" ht="15.75" customHeight="1">
      <c r="A78" s="4">
        <v>315.0</v>
      </c>
      <c r="B78" s="4" t="s">
        <v>130</v>
      </c>
      <c r="C78" s="4" t="s">
        <v>192</v>
      </c>
      <c r="D78" s="4" t="s">
        <v>193</v>
      </c>
      <c r="E78" s="4" t="s">
        <v>194</v>
      </c>
      <c r="F78" s="4">
        <v>549.4820397916014</v>
      </c>
      <c r="G78" s="4">
        <v>429.3828605916013</v>
      </c>
      <c r="H78" s="4">
        <v>968.9680000000001</v>
      </c>
      <c r="I78" s="4">
        <v>1384.2400000000002</v>
      </c>
      <c r="J78" s="4">
        <v>880.8800000000002</v>
      </c>
      <c r="K78" s="4">
        <v>968.0000000000002</v>
      </c>
      <c r="L78" s="4">
        <v>14.0</v>
      </c>
      <c r="M78" s="4">
        <v>470.0</v>
      </c>
      <c r="N78" s="4">
        <v>1.0</v>
      </c>
      <c r="O78" s="4">
        <v>218.08407958320254</v>
      </c>
      <c r="P78" s="4">
        <v>218.08407958320254</v>
      </c>
      <c r="Q78" s="4">
        <v>662.7959204167977</v>
      </c>
      <c r="R78" s="4">
        <v>3.0391760906321936</v>
      </c>
      <c r="S78" s="4">
        <v>530.2367363334382</v>
      </c>
      <c r="T78" s="4">
        <v>2.4313408725057553</v>
      </c>
      <c r="U78" s="4">
        <v>422.5975620167975</v>
      </c>
      <c r="V78" s="4">
        <v>1.9377735542386065</v>
      </c>
      <c r="W78" s="4">
        <v>316.94817151259815</v>
      </c>
      <c r="X78" s="4">
        <v>1.453330165678955</v>
      </c>
      <c r="Y78" s="4">
        <v>1064.8000000000004</v>
      </c>
    </row>
    <row r="79" ht="15.75" customHeight="1">
      <c r="A79" s="4">
        <v>216.0</v>
      </c>
      <c r="B79" s="4" t="s">
        <v>29</v>
      </c>
      <c r="C79" s="4" t="s">
        <v>195</v>
      </c>
      <c r="D79" s="4" t="s">
        <v>196</v>
      </c>
      <c r="E79" s="4" t="s">
        <v>197</v>
      </c>
      <c r="F79" s="4">
        <v>171.5229927765218</v>
      </c>
      <c r="G79" s="4">
        <v>133.9919992765217</v>
      </c>
      <c r="H79" s="4">
        <v>302.80249999999995</v>
      </c>
      <c r="I79" s="4">
        <v>432.575</v>
      </c>
      <c r="J79" s="4">
        <v>275.27500000000003</v>
      </c>
      <c r="K79" s="4">
        <v>302.5</v>
      </c>
      <c r="L79" s="4">
        <v>6.0</v>
      </c>
      <c r="N79" s="4">
        <v>4.0</v>
      </c>
      <c r="O79" s="4">
        <v>16.942746388260876</v>
      </c>
      <c r="P79" s="4">
        <v>67.7709855530435</v>
      </c>
      <c r="Q79" s="4">
        <v>207.50401444695655</v>
      </c>
      <c r="R79" s="4">
        <v>3.061841476166017</v>
      </c>
      <c r="S79" s="4">
        <v>166.00321155756524</v>
      </c>
      <c r="T79" s="4">
        <v>2.449473180932814</v>
      </c>
      <c r="U79" s="4">
        <v>132.44202744695644</v>
      </c>
      <c r="V79" s="4">
        <v>1.9542585424450665</v>
      </c>
      <c r="W79" s="4">
        <v>99.33152058521733</v>
      </c>
      <c r="X79" s="4">
        <v>1.4656939068337997</v>
      </c>
      <c r="Y79" s="4">
        <v>332.75</v>
      </c>
    </row>
    <row r="80" ht="15.75" customHeight="1">
      <c r="A80" s="4">
        <v>303.0</v>
      </c>
      <c r="B80" s="4" t="s">
        <v>130</v>
      </c>
      <c r="C80" s="4" t="s">
        <v>198</v>
      </c>
      <c r="D80" s="4" t="s">
        <v>167</v>
      </c>
      <c r="E80" s="4" t="s">
        <v>168</v>
      </c>
      <c r="F80" s="4">
        <v>167.8747295175362</v>
      </c>
      <c r="G80" s="4">
        <v>131.0943558875362</v>
      </c>
      <c r="H80" s="4">
        <v>296.74645000000004</v>
      </c>
      <c r="I80" s="4">
        <v>423.92350000000005</v>
      </c>
      <c r="J80" s="4">
        <v>269.76950000000005</v>
      </c>
      <c r="K80" s="4">
        <v>296.45000000000005</v>
      </c>
      <c r="L80" s="4">
        <v>6.0</v>
      </c>
      <c r="N80" s="4">
        <v>5.0</v>
      </c>
      <c r="O80" s="4">
        <v>13.195991807014474</v>
      </c>
      <c r="P80" s="4">
        <v>65.97995903507237</v>
      </c>
      <c r="Q80" s="4">
        <v>203.78954096492768</v>
      </c>
      <c r="R80" s="4">
        <v>3.0886581917488174</v>
      </c>
      <c r="S80" s="4">
        <v>163.03163277194216</v>
      </c>
      <c r="T80" s="4">
        <v>2.470926553399054</v>
      </c>
      <c r="U80" s="4">
        <v>130.22879370492765</v>
      </c>
      <c r="V80" s="4">
        <v>1.9737628760227497</v>
      </c>
      <c r="W80" s="4">
        <v>97.67159527869575</v>
      </c>
      <c r="X80" s="4">
        <v>1.4803221570170624</v>
      </c>
      <c r="Y80" s="4">
        <v>326.0950000000001</v>
      </c>
    </row>
    <row r="81" ht="15.75" customHeight="1">
      <c r="A81" s="4">
        <v>509.0</v>
      </c>
      <c r="B81" s="4" t="s">
        <v>81</v>
      </c>
      <c r="C81" s="4" t="s">
        <v>199</v>
      </c>
      <c r="D81" s="4" t="s">
        <v>200</v>
      </c>
      <c r="E81" s="4" t="s">
        <v>201</v>
      </c>
      <c r="F81" s="4">
        <v>565.3875317909612</v>
      </c>
      <c r="G81" s="4">
        <v>453.04037929838614</v>
      </c>
      <c r="H81" s="4">
        <v>906.4241436249997</v>
      </c>
      <c r="I81" s="4">
        <v>1294.8916337499998</v>
      </c>
      <c r="J81" s="4">
        <v>824.02194875</v>
      </c>
      <c r="K81" s="4">
        <v>905.5186249999999</v>
      </c>
      <c r="N81" s="4">
        <v>1.0</v>
      </c>
      <c r="O81" s="4">
        <v>306.75311483192246</v>
      </c>
      <c r="P81" s="4">
        <v>306.75311483192246</v>
      </c>
      <c r="Q81" s="4">
        <v>517.2688339180775</v>
      </c>
      <c r="R81" s="4">
        <v>1.6862708442308785</v>
      </c>
      <c r="S81" s="4">
        <v>413.81506713446197</v>
      </c>
      <c r="T81" s="4">
        <v>1.3490166753847026</v>
      </c>
      <c r="U81" s="4">
        <v>292.5745289329274</v>
      </c>
      <c r="V81" s="4">
        <v>0.9537785104260023</v>
      </c>
      <c r="W81" s="4">
        <v>219.43089669969555</v>
      </c>
      <c r="X81" s="4">
        <v>0.7153338828195016</v>
      </c>
      <c r="Y81" s="4">
        <v>996.0704875</v>
      </c>
    </row>
    <row r="82" ht="15.75" customHeight="1">
      <c r="A82" s="4">
        <v>217.0</v>
      </c>
      <c r="B82" s="4" t="s">
        <v>29</v>
      </c>
      <c r="C82" s="4" t="s">
        <v>202</v>
      </c>
      <c r="D82" s="4" t="s">
        <v>190</v>
      </c>
      <c r="E82" s="4" t="s">
        <v>203</v>
      </c>
      <c r="F82" s="4">
        <v>44.32475776374693</v>
      </c>
      <c r="G82" s="4">
        <v>34.56669945374692</v>
      </c>
      <c r="H82" s="4">
        <v>78.72864999999999</v>
      </c>
      <c r="I82" s="4">
        <v>112.4695</v>
      </c>
      <c r="J82" s="4">
        <v>71.57150000000001</v>
      </c>
      <c r="K82" s="4">
        <v>78.65</v>
      </c>
      <c r="L82" s="4">
        <v>4.0</v>
      </c>
      <c r="N82" s="4">
        <v>1.0</v>
      </c>
      <c r="O82" s="4">
        <v>17.078015527493843</v>
      </c>
      <c r="P82" s="4">
        <v>17.078015527493843</v>
      </c>
      <c r="Q82" s="4">
        <v>54.49348447250617</v>
      </c>
      <c r="R82" s="4">
        <v>3.19085577506223</v>
      </c>
      <c r="S82" s="4">
        <v>43.59478757800494</v>
      </c>
      <c r="T82" s="4">
        <v>2.5526846200497846</v>
      </c>
      <c r="U82" s="4">
        <v>34.97736785250615</v>
      </c>
      <c r="V82" s="4">
        <v>2.0480932223182604</v>
      </c>
      <c r="W82" s="4">
        <v>26.23302588937961</v>
      </c>
      <c r="X82" s="4">
        <v>1.5360699167386953</v>
      </c>
      <c r="Y82" s="4">
        <v>86.51500000000001</v>
      </c>
    </row>
    <row r="83" ht="15.75" customHeight="1">
      <c r="A83" s="4">
        <v>215.0</v>
      </c>
      <c r="B83" s="4" t="s">
        <v>29</v>
      </c>
      <c r="C83" s="4" t="s">
        <v>204</v>
      </c>
      <c r="D83" s="4" t="s">
        <v>196</v>
      </c>
      <c r="E83" s="4" t="s">
        <v>197</v>
      </c>
      <c r="F83" s="4">
        <v>44.25712319413044</v>
      </c>
      <c r="G83" s="4">
        <v>34.49906488413043</v>
      </c>
      <c r="H83" s="4">
        <v>78.72864999999999</v>
      </c>
      <c r="I83" s="4">
        <v>112.4695</v>
      </c>
      <c r="J83" s="4">
        <v>71.57150000000001</v>
      </c>
      <c r="K83" s="4">
        <v>78.65</v>
      </c>
      <c r="L83" s="4">
        <v>3.0</v>
      </c>
      <c r="N83" s="4">
        <v>1.0</v>
      </c>
      <c r="O83" s="4">
        <v>16.942746388260876</v>
      </c>
      <c r="P83" s="4">
        <v>16.942746388260876</v>
      </c>
      <c r="Q83" s="4">
        <v>54.62875361173914</v>
      </c>
      <c r="R83" s="4">
        <v>3.2243151352126582</v>
      </c>
      <c r="S83" s="4">
        <v>43.703002889391314</v>
      </c>
      <c r="T83" s="4">
        <v>2.5794521081701265</v>
      </c>
      <c r="U83" s="4">
        <v>35.11263699173912</v>
      </c>
      <c r="V83" s="4">
        <v>2.07242888414287</v>
      </c>
      <c r="W83" s="4">
        <v>26.334477743804342</v>
      </c>
      <c r="X83" s="4">
        <v>1.5543216631071524</v>
      </c>
      <c r="Y83" s="4">
        <v>86.51500000000001</v>
      </c>
    </row>
    <row r="84" ht="15.75" customHeight="1">
      <c r="A84" s="4">
        <v>701.0</v>
      </c>
      <c r="B84" s="4" t="s">
        <v>171</v>
      </c>
      <c r="C84" s="4" t="s">
        <v>205</v>
      </c>
      <c r="D84" s="4" t="s">
        <v>176</v>
      </c>
      <c r="E84" s="4" t="s">
        <v>177</v>
      </c>
      <c r="F84" s="4">
        <v>192.2539560217851</v>
      </c>
      <c r="G84" s="4">
        <v>149.61124120708502</v>
      </c>
      <c r="H84" s="4">
        <v>344.04420050000004</v>
      </c>
      <c r="I84" s="4">
        <v>491.4917150000001</v>
      </c>
      <c r="J84" s="4">
        <v>312.7674550000001</v>
      </c>
      <c r="K84" s="4">
        <v>343.7005000000001</v>
      </c>
      <c r="N84" s="4">
        <v>5.0</v>
      </c>
      <c r="O84" s="4">
        <v>14.348091408714007</v>
      </c>
      <c r="P84" s="4">
        <v>71.74045704357003</v>
      </c>
      <c r="Q84" s="4">
        <v>241.02699795643008</v>
      </c>
      <c r="R84" s="4">
        <v>3.359708146409598</v>
      </c>
      <c r="S84" s="4">
        <v>192.82159836514407</v>
      </c>
      <c r="T84" s="4">
        <v>2.687766517127679</v>
      </c>
      <c r="U84" s="4">
        <v>155.74156832703</v>
      </c>
      <c r="V84" s="4">
        <v>2.1709029290466284</v>
      </c>
      <c r="W84" s="4">
        <v>116.8061762452725</v>
      </c>
      <c r="X84" s="4">
        <v>1.6281771967849712</v>
      </c>
      <c r="Y84" s="4">
        <v>378.07055000000014</v>
      </c>
    </row>
    <row r="85" ht="15.75" customHeight="1">
      <c r="A85" s="4">
        <v>307.0</v>
      </c>
      <c r="B85" s="4" t="s">
        <v>130</v>
      </c>
      <c r="C85" s="4" t="s">
        <v>206</v>
      </c>
      <c r="D85" s="4" t="s">
        <v>185</v>
      </c>
      <c r="E85" s="4" t="s">
        <v>186</v>
      </c>
      <c r="F85" s="4">
        <v>162.41011654325524</v>
      </c>
      <c r="G85" s="4">
        <v>126.38036278325522</v>
      </c>
      <c r="H85" s="4">
        <v>290.6904</v>
      </c>
      <c r="I85" s="4">
        <v>415.27200000000005</v>
      </c>
      <c r="J85" s="4">
        <v>264.26400000000007</v>
      </c>
      <c r="K85" s="4">
        <v>290.40000000000003</v>
      </c>
      <c r="L85" s="4">
        <v>6.0</v>
      </c>
      <c r="N85" s="4">
        <v>5.0</v>
      </c>
      <c r="O85" s="4">
        <v>12.111246617302086</v>
      </c>
      <c r="P85" s="4">
        <v>60.55623308651043</v>
      </c>
      <c r="Q85" s="4">
        <v>203.70776691348965</v>
      </c>
      <c r="R85" s="4">
        <v>3.3639438341957866</v>
      </c>
      <c r="S85" s="4">
        <v>162.96621353079172</v>
      </c>
      <c r="T85" s="4">
        <v>2.6911550673566293</v>
      </c>
      <c r="U85" s="4">
        <v>131.64825939348958</v>
      </c>
      <c r="V85" s="4">
        <v>2.1739836294872785</v>
      </c>
      <c r="W85" s="4">
        <v>98.73619454511719</v>
      </c>
      <c r="X85" s="4">
        <v>1.630487722115459</v>
      </c>
      <c r="Y85" s="4">
        <v>319.44000000000005</v>
      </c>
    </row>
    <row r="86" ht="15.75" customHeight="1">
      <c r="A86" s="4">
        <v>407.0</v>
      </c>
      <c r="B86" s="4" t="s">
        <v>25</v>
      </c>
      <c r="C86" s="4" t="s">
        <v>207</v>
      </c>
      <c r="D86" s="4" t="s">
        <v>179</v>
      </c>
      <c r="E86" s="4" t="s">
        <v>208</v>
      </c>
      <c r="F86" s="4">
        <v>209.27686160616003</v>
      </c>
      <c r="G86" s="4">
        <v>162.1238596475975</v>
      </c>
      <c r="H86" s="4">
        <v>380.43349093750004</v>
      </c>
      <c r="I86" s="4">
        <v>543.4764156250001</v>
      </c>
      <c r="J86" s="4">
        <v>345.84862812500006</v>
      </c>
      <c r="K86" s="4">
        <v>380.05343750000003</v>
      </c>
      <c r="N86" s="4">
        <v>5.0</v>
      </c>
      <c r="O86" s="4">
        <v>14.541019017464006</v>
      </c>
      <c r="P86" s="4">
        <v>72.70509508732003</v>
      </c>
      <c r="Q86" s="4">
        <v>273.14353303768</v>
      </c>
      <c r="R86" s="4">
        <v>3.756869208542126</v>
      </c>
      <c r="S86" s="4">
        <v>218.514826430144</v>
      </c>
      <c r="T86" s="4">
        <v>3.0054953668337006</v>
      </c>
      <c r="U86" s="4">
        <v>178.83752912055496</v>
      </c>
      <c r="V86" s="4">
        <v>2.4597661127568586</v>
      </c>
      <c r="W86" s="4">
        <v>134.1281468404162</v>
      </c>
      <c r="X86" s="4">
        <v>1.8448245845676436</v>
      </c>
      <c r="Y86" s="4">
        <v>418.05878125000004</v>
      </c>
    </row>
    <row r="87" ht="15.75" customHeight="1">
      <c r="A87" s="4">
        <v>411.0</v>
      </c>
      <c r="B87" s="4" t="s">
        <v>25</v>
      </c>
      <c r="C87" s="4" t="s">
        <v>209</v>
      </c>
      <c r="D87" s="4" t="s">
        <v>182</v>
      </c>
      <c r="E87" s="4" t="s">
        <v>183</v>
      </c>
      <c r="F87" s="4">
        <v>209.27686160616003</v>
      </c>
      <c r="G87" s="4">
        <v>162.1238596475975</v>
      </c>
      <c r="H87" s="4">
        <v>380.43349093750004</v>
      </c>
      <c r="I87" s="4">
        <v>543.4764156250001</v>
      </c>
      <c r="J87" s="4">
        <v>345.84862812500006</v>
      </c>
      <c r="K87" s="4">
        <v>380.05343750000003</v>
      </c>
      <c r="L87" s="4">
        <v>6.0</v>
      </c>
      <c r="N87" s="4">
        <v>5.0</v>
      </c>
      <c r="O87" s="4">
        <v>14.541019017464006</v>
      </c>
      <c r="P87" s="4">
        <v>72.70509508732003</v>
      </c>
      <c r="Q87" s="4">
        <v>273.14353303768</v>
      </c>
      <c r="R87" s="4">
        <v>3.756869208542126</v>
      </c>
      <c r="S87" s="4">
        <v>218.514826430144</v>
      </c>
      <c r="T87" s="4">
        <v>3.0054953668337006</v>
      </c>
      <c r="U87" s="4">
        <v>178.83752912055496</v>
      </c>
      <c r="V87" s="4">
        <v>2.4597661127568586</v>
      </c>
      <c r="W87" s="4">
        <v>134.1281468404162</v>
      </c>
      <c r="X87" s="4">
        <v>1.8448245845676436</v>
      </c>
      <c r="Y87" s="4">
        <v>418.05878125000004</v>
      </c>
    </row>
    <row r="88" ht="15.75" customHeight="1">
      <c r="A88" s="4">
        <v>302.0</v>
      </c>
      <c r="B88" s="4" t="s">
        <v>130</v>
      </c>
      <c r="C88" s="4" t="s">
        <v>210</v>
      </c>
      <c r="D88" s="4" t="s">
        <v>211</v>
      </c>
      <c r="E88" s="4" t="s">
        <v>212</v>
      </c>
      <c r="F88" s="4">
        <v>296.9694525405072</v>
      </c>
      <c r="G88" s="4">
        <v>229.4136642405072</v>
      </c>
      <c r="H88" s="4">
        <v>545.0445000000001</v>
      </c>
      <c r="I88" s="4">
        <v>778.6350000000001</v>
      </c>
      <c r="J88" s="4">
        <v>495.4950000000001</v>
      </c>
      <c r="K88" s="4">
        <v>544.5000000000001</v>
      </c>
      <c r="L88" s="4">
        <v>12.0</v>
      </c>
      <c r="N88" s="4">
        <v>10.0</v>
      </c>
      <c r="O88" s="4">
        <v>9.84439050810143</v>
      </c>
      <c r="P88" s="4">
        <v>98.4439050810143</v>
      </c>
      <c r="Q88" s="4">
        <v>397.0510949189858</v>
      </c>
      <c r="R88" s="4">
        <v>4.033272497593763</v>
      </c>
      <c r="S88" s="4">
        <v>317.64087593518866</v>
      </c>
      <c r="T88" s="4">
        <v>3.2266179980750103</v>
      </c>
      <c r="U88" s="4">
        <v>261.9395183189858</v>
      </c>
      <c r="V88" s="4">
        <v>2.6607997529498957</v>
      </c>
      <c r="W88" s="4">
        <v>196.45463873923933</v>
      </c>
      <c r="X88" s="4">
        <v>1.9955998147124214</v>
      </c>
      <c r="Y88" s="4">
        <v>598.9500000000002</v>
      </c>
    </row>
    <row r="89" ht="15.75" customHeight="1">
      <c r="A89" s="4">
        <v>312.0</v>
      </c>
      <c r="B89" s="4" t="s">
        <v>130</v>
      </c>
      <c r="C89" s="4" t="s">
        <v>213</v>
      </c>
      <c r="D89" s="4" t="s">
        <v>214</v>
      </c>
      <c r="E89" s="4" t="s">
        <v>215</v>
      </c>
      <c r="F89" s="4">
        <v>296.41863222500126</v>
      </c>
      <c r="G89" s="4">
        <v>228.86284392500121</v>
      </c>
      <c r="H89" s="4">
        <v>545.0445000000001</v>
      </c>
      <c r="I89" s="4">
        <v>778.6350000000001</v>
      </c>
      <c r="J89" s="4">
        <v>495.4950000000001</v>
      </c>
      <c r="K89" s="4">
        <v>544.5000000000001</v>
      </c>
      <c r="L89" s="4">
        <v>12.0</v>
      </c>
      <c r="N89" s="4">
        <v>10.0</v>
      </c>
      <c r="O89" s="4">
        <v>9.734226445000237</v>
      </c>
      <c r="P89" s="4">
        <v>97.34226445000238</v>
      </c>
      <c r="Q89" s="4">
        <v>398.1527355499977</v>
      </c>
      <c r="R89" s="4">
        <v>4.090234984768612</v>
      </c>
      <c r="S89" s="4">
        <v>318.5221884399982</v>
      </c>
      <c r="T89" s="4">
        <v>3.2721879878148905</v>
      </c>
      <c r="U89" s="4">
        <v>263.0411589499977</v>
      </c>
      <c r="V89" s="4">
        <v>2.702229709121907</v>
      </c>
      <c r="W89" s="4">
        <v>197.28086921249826</v>
      </c>
      <c r="X89" s="4">
        <v>2.0266722818414302</v>
      </c>
      <c r="Y89" s="4">
        <v>598.9500000000002</v>
      </c>
    </row>
    <row r="90" ht="15.75" customHeight="1">
      <c r="A90" s="4">
        <v>704.0</v>
      </c>
      <c r="B90" s="4" t="s">
        <v>171</v>
      </c>
      <c r="C90" s="4" t="s">
        <v>216</v>
      </c>
      <c r="D90" s="4" t="s">
        <v>217</v>
      </c>
      <c r="E90" s="4" t="s">
        <v>218</v>
      </c>
      <c r="F90" s="4">
        <v>336.02208922909415</v>
      </c>
      <c r="G90" s="4">
        <v>258.9371816794441</v>
      </c>
      <c r="H90" s="4">
        <v>621.92605475</v>
      </c>
      <c r="I90" s="4">
        <v>888.4657925000001</v>
      </c>
      <c r="J90" s="4">
        <v>565.3873225000001</v>
      </c>
      <c r="K90" s="4">
        <v>621.3047500000001</v>
      </c>
      <c r="L90" s="4">
        <v>12.0</v>
      </c>
      <c r="N90" s="4">
        <v>10.0</v>
      </c>
      <c r="O90" s="4">
        <v>10.66568559581882</v>
      </c>
      <c r="P90" s="4">
        <v>106.6568559581882</v>
      </c>
      <c r="Q90" s="4">
        <v>458.7304665418119</v>
      </c>
      <c r="R90" s="4">
        <v>4.300993709411837</v>
      </c>
      <c r="S90" s="4">
        <v>366.98437323344956</v>
      </c>
      <c r="T90" s="4">
        <v>3.4407949675294702</v>
      </c>
      <c r="U90" s="4">
        <v>304.5606514425118</v>
      </c>
      <c r="V90" s="4">
        <v>2.855518744729417</v>
      </c>
      <c r="W90" s="4">
        <v>228.42048858188386</v>
      </c>
      <c r="X90" s="4">
        <v>2.141639058547063</v>
      </c>
      <c r="Y90" s="4">
        <v>683.4352250000002</v>
      </c>
    </row>
    <row r="91" ht="15.75" customHeight="1">
      <c r="A91" s="4">
        <v>301.0</v>
      </c>
      <c r="B91" s="4" t="s">
        <v>130</v>
      </c>
      <c r="C91" s="4" t="s">
        <v>219</v>
      </c>
      <c r="D91" s="4" t="s">
        <v>211</v>
      </c>
      <c r="E91" s="4" t="s">
        <v>212</v>
      </c>
      <c r="F91" s="4">
        <v>159.4957262702536</v>
      </c>
      <c r="G91" s="4">
        <v>122.71535264025358</v>
      </c>
      <c r="H91" s="4">
        <v>296.74645000000004</v>
      </c>
      <c r="I91" s="4">
        <v>423.92350000000005</v>
      </c>
      <c r="J91" s="4">
        <v>269.76950000000005</v>
      </c>
      <c r="K91" s="4">
        <v>296.45000000000005</v>
      </c>
      <c r="L91" s="4">
        <v>6.0</v>
      </c>
      <c r="N91" s="4">
        <v>5.0</v>
      </c>
      <c r="O91" s="4">
        <v>9.84439050810143</v>
      </c>
      <c r="P91" s="4">
        <v>49.22195254050715</v>
      </c>
      <c r="Q91" s="4">
        <v>220.5475474594929</v>
      </c>
      <c r="R91" s="4">
        <v>4.480674497379875</v>
      </c>
      <c r="S91" s="4">
        <v>176.43803796759434</v>
      </c>
      <c r="T91" s="4">
        <v>3.5845395979039</v>
      </c>
      <c r="U91" s="4">
        <v>146.98680019949288</v>
      </c>
      <c r="V91" s="4">
        <v>2.98620417543433</v>
      </c>
      <c r="W91" s="4">
        <v>110.24010014961965</v>
      </c>
      <c r="X91" s="4">
        <v>2.2396531315757473</v>
      </c>
      <c r="Y91" s="4">
        <v>326.0950000000001</v>
      </c>
    </row>
    <row r="92" ht="15.75" customHeight="1">
      <c r="A92" s="4">
        <v>311.0</v>
      </c>
      <c r="B92" s="4" t="s">
        <v>130</v>
      </c>
      <c r="C92" s="4" t="s">
        <v>220</v>
      </c>
      <c r="D92" s="4" t="s">
        <v>214</v>
      </c>
      <c r="E92" s="4" t="s">
        <v>215</v>
      </c>
      <c r="F92" s="4">
        <v>159.2203161125006</v>
      </c>
      <c r="G92" s="4">
        <v>122.4399424825006</v>
      </c>
      <c r="H92" s="4">
        <v>296.74645000000004</v>
      </c>
      <c r="I92" s="4">
        <v>423.92350000000005</v>
      </c>
      <c r="J92" s="4">
        <v>269.76950000000005</v>
      </c>
      <c r="K92" s="4">
        <v>296.45000000000005</v>
      </c>
      <c r="L92" s="4">
        <v>6.0</v>
      </c>
      <c r="N92" s="4">
        <v>5.0</v>
      </c>
      <c r="O92" s="4">
        <v>9.734226445000237</v>
      </c>
      <c r="P92" s="4">
        <v>48.67113222500119</v>
      </c>
      <c r="Q92" s="4">
        <v>221.09836777499885</v>
      </c>
      <c r="R92" s="4">
        <v>4.542700316748045</v>
      </c>
      <c r="S92" s="4">
        <v>176.8786942199991</v>
      </c>
      <c r="T92" s="4">
        <v>3.6341602533984356</v>
      </c>
      <c r="U92" s="4">
        <v>147.53762051499882</v>
      </c>
      <c r="V92" s="4">
        <v>3.0313167943771875</v>
      </c>
      <c r="W92" s="4">
        <v>110.65321538624912</v>
      </c>
      <c r="X92" s="4">
        <v>2.2734875957828904</v>
      </c>
      <c r="Y92" s="4">
        <v>326.0950000000001</v>
      </c>
    </row>
    <row r="93" ht="15.75" customHeight="1">
      <c r="A93" s="4">
        <v>703.0</v>
      </c>
      <c r="B93" s="4" t="s">
        <v>171</v>
      </c>
      <c r="C93" s="4" t="s">
        <v>221</v>
      </c>
      <c r="D93" s="4" t="s">
        <v>217</v>
      </c>
      <c r="E93" s="4" t="s">
        <v>218</v>
      </c>
      <c r="F93" s="4">
        <v>183.0479414895471</v>
      </c>
      <c r="G93" s="4">
        <v>140.40522667484706</v>
      </c>
      <c r="H93" s="4">
        <v>344.04420050000004</v>
      </c>
      <c r="I93" s="4">
        <v>491.4917150000001</v>
      </c>
      <c r="J93" s="4">
        <v>312.7674550000001</v>
      </c>
      <c r="K93" s="4">
        <v>343.7005000000001</v>
      </c>
      <c r="L93" s="4">
        <v>6.0</v>
      </c>
      <c r="N93" s="4">
        <v>5.0</v>
      </c>
      <c r="O93" s="4">
        <v>10.66568559581882</v>
      </c>
      <c r="P93" s="4">
        <v>53.3284279790941</v>
      </c>
      <c r="Q93" s="4">
        <v>259.439027020906</v>
      </c>
      <c r="R93" s="4">
        <v>4.864929210413098</v>
      </c>
      <c r="S93" s="4">
        <v>207.5512216167248</v>
      </c>
      <c r="T93" s="4">
        <v>3.891943368330478</v>
      </c>
      <c r="U93" s="4">
        <v>174.1535973915059</v>
      </c>
      <c r="V93" s="4">
        <v>3.265680313317653</v>
      </c>
      <c r="W93" s="4">
        <v>130.61519804362945</v>
      </c>
      <c r="X93" s="4">
        <v>2.4492602349882397</v>
      </c>
      <c r="Y93" s="4">
        <v>378.07055000000014</v>
      </c>
    </row>
    <row r="94" ht="15.75" customHeight="1">
      <c r="A94" s="4">
        <v>106.0</v>
      </c>
      <c r="B94" s="4" t="s">
        <v>51</v>
      </c>
      <c r="C94" s="4" t="s">
        <v>222</v>
      </c>
      <c r="D94" s="4" t="s">
        <v>222</v>
      </c>
      <c r="E94" s="4" t="s">
        <v>223</v>
      </c>
      <c r="F94" s="4">
        <v>402.3839750000001</v>
      </c>
      <c r="G94" s="4">
        <v>308.2153004</v>
      </c>
      <c r="H94" s="4">
        <v>759.759</v>
      </c>
      <c r="I94" s="4">
        <v>1085.3700000000001</v>
      </c>
      <c r="J94" s="4">
        <v>690.6900000000002</v>
      </c>
      <c r="K94" s="4">
        <v>759.0000000000001</v>
      </c>
      <c r="L94" s="4">
        <v>10.0</v>
      </c>
      <c r="N94" s="4">
        <v>1.0</v>
      </c>
      <c r="O94" s="4">
        <v>114.07795</v>
      </c>
      <c r="P94" s="4">
        <v>114.07795</v>
      </c>
      <c r="Q94" s="4">
        <v>576.6120500000002</v>
      </c>
      <c r="R94" s="4">
        <v>5.0545442830976555</v>
      </c>
      <c r="S94" s="4">
        <v>461.2896400000002</v>
      </c>
      <c r="T94" s="4">
        <v>4.043635426478125</v>
      </c>
      <c r="U94" s="4">
        <v>388.2747008</v>
      </c>
      <c r="V94" s="4">
        <v>3.4035911479825858</v>
      </c>
      <c r="W94" s="4">
        <v>291.2060256</v>
      </c>
      <c r="X94" s="4">
        <v>2.552693360986939</v>
      </c>
      <c r="Y94" s="4">
        <v>834.9000000000002</v>
      </c>
    </row>
    <row r="95" ht="15.75" customHeight="1">
      <c r="A95" s="4">
        <v>310.0</v>
      </c>
      <c r="B95" s="4" t="s">
        <v>130</v>
      </c>
      <c r="C95" s="4" t="s">
        <v>224</v>
      </c>
      <c r="D95" s="4" t="s">
        <v>225</v>
      </c>
      <c r="E95" s="4" t="s">
        <v>226</v>
      </c>
      <c r="F95" s="4">
        <v>275.2491476796633</v>
      </c>
      <c r="G95" s="4">
        <v>209.19459911966325</v>
      </c>
      <c r="H95" s="4">
        <v>532.9324</v>
      </c>
      <c r="I95" s="4">
        <v>761.3320000000001</v>
      </c>
      <c r="J95" s="4">
        <v>484.4840000000001</v>
      </c>
      <c r="K95" s="4">
        <v>532.4000000000001</v>
      </c>
      <c r="L95" s="4">
        <v>12.0</v>
      </c>
      <c r="N95" s="4">
        <v>10.0</v>
      </c>
      <c r="O95" s="4">
        <v>6.601429535932647</v>
      </c>
      <c r="P95" s="4">
        <v>66.01429535932647</v>
      </c>
      <c r="Q95" s="4">
        <v>418.4697046406736</v>
      </c>
      <c r="R95" s="4">
        <v>6.339077049340229</v>
      </c>
      <c r="S95" s="4">
        <v>334.77576371253895</v>
      </c>
      <c r="T95" s="4">
        <v>5.071261639472184</v>
      </c>
      <c r="U95" s="4">
        <v>286.36060752067357</v>
      </c>
      <c r="V95" s="4">
        <v>4.3378575195261355</v>
      </c>
      <c r="W95" s="4">
        <v>214.7704556405052</v>
      </c>
      <c r="X95" s="4">
        <v>3.2533931396446016</v>
      </c>
      <c r="Y95" s="4">
        <v>585.6400000000001</v>
      </c>
    </row>
    <row r="96" ht="15.75" customHeight="1">
      <c r="A96" s="4">
        <v>309.0</v>
      </c>
      <c r="B96" s="4" t="s">
        <v>130</v>
      </c>
      <c r="C96" s="4" t="s">
        <v>227</v>
      </c>
      <c r="D96" s="4" t="s">
        <v>225</v>
      </c>
      <c r="E96" s="4" t="s">
        <v>226</v>
      </c>
      <c r="F96" s="4">
        <v>148.63557383983164</v>
      </c>
      <c r="G96" s="4">
        <v>112.60582007983162</v>
      </c>
      <c r="H96" s="4">
        <v>290.6904</v>
      </c>
      <c r="I96" s="4">
        <v>415.27200000000005</v>
      </c>
      <c r="J96" s="4">
        <v>264.26400000000007</v>
      </c>
      <c r="K96" s="4">
        <v>290.40000000000003</v>
      </c>
      <c r="L96" s="4">
        <v>6.0</v>
      </c>
      <c r="N96" s="4">
        <v>5.0</v>
      </c>
      <c r="O96" s="4">
        <v>6.601429535932647</v>
      </c>
      <c r="P96" s="4">
        <v>33.007147679663234</v>
      </c>
      <c r="Q96" s="4">
        <v>231.25685232033683</v>
      </c>
      <c r="R96" s="4">
        <v>7.006265872007523</v>
      </c>
      <c r="S96" s="4">
        <v>185.00548185626948</v>
      </c>
      <c r="T96" s="4">
        <v>5.6050126976060195</v>
      </c>
      <c r="U96" s="4">
        <v>159.19734480033677</v>
      </c>
      <c r="V96" s="4">
        <v>4.823117294028511</v>
      </c>
      <c r="W96" s="4">
        <v>119.39800860025258</v>
      </c>
      <c r="X96" s="4">
        <v>3.6173379705213833</v>
      </c>
      <c r="Y96" s="4">
        <v>319.44000000000005</v>
      </c>
    </row>
    <row r="97" ht="15.75" customHeight="1">
      <c r="A97" s="4">
        <v>305.0</v>
      </c>
      <c r="B97" s="4" t="s">
        <v>130</v>
      </c>
      <c r="C97" s="4" t="s">
        <v>228</v>
      </c>
      <c r="D97" s="4" t="s">
        <v>229</v>
      </c>
      <c r="E97" s="4" t="s">
        <v>230</v>
      </c>
      <c r="F97" s="4" t="e">
        <v>#REF!</v>
      </c>
      <c r="G97" s="4" t="e">
        <v>#REF!</v>
      </c>
      <c r="H97" s="4">
        <v>296.74645000000004</v>
      </c>
      <c r="I97" s="4">
        <v>423.92350000000005</v>
      </c>
      <c r="J97" s="4">
        <v>269.76950000000005</v>
      </c>
      <c r="K97" s="4">
        <v>296.45000000000005</v>
      </c>
      <c r="L97" s="4">
        <v>6.0</v>
      </c>
      <c r="N97" s="4">
        <v>5.0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326.0950000000001</v>
      </c>
    </row>
    <row r="98" ht="15.75" customHeight="1">
      <c r="A98" s="4">
        <v>306.0</v>
      </c>
      <c r="B98" s="4" t="s">
        <v>130</v>
      </c>
      <c r="C98" s="4" t="s">
        <v>231</v>
      </c>
      <c r="D98" s="4" t="s">
        <v>229</v>
      </c>
      <c r="E98" s="4" t="s">
        <v>230</v>
      </c>
      <c r="F98" s="4" t="e">
        <v>#REF!</v>
      </c>
      <c r="G98" s="4" t="e">
        <v>#REF!</v>
      </c>
      <c r="H98" s="4">
        <v>545.0445000000001</v>
      </c>
      <c r="I98" s="4">
        <v>778.6350000000001</v>
      </c>
      <c r="J98" s="4">
        <v>495.4950000000001</v>
      </c>
      <c r="K98" s="4">
        <v>544.5000000000001</v>
      </c>
      <c r="L98" s="4">
        <v>12.0</v>
      </c>
      <c r="N98" s="4">
        <v>10.0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598.9500000000002</v>
      </c>
    </row>
    <row r="99" ht="15.75" customHeight="1">
      <c r="A99" s="4">
        <v>316.0</v>
      </c>
      <c r="B99" s="4" t="s">
        <v>130</v>
      </c>
      <c r="C99" s="4" t="s">
        <v>232</v>
      </c>
      <c r="D99" s="4" t="s">
        <v>193</v>
      </c>
      <c r="E99" s="4" t="s">
        <v>233</v>
      </c>
      <c r="F99" s="4" t="e">
        <v>#REF!</v>
      </c>
      <c r="G99" s="4" t="e">
        <v>#REF!</v>
      </c>
      <c r="H99" s="4">
        <v>1573.36179</v>
      </c>
      <c r="I99" s="4">
        <v>2247.6597</v>
      </c>
      <c r="J99" s="4">
        <v>1430.3289000000002</v>
      </c>
      <c r="K99" s="4">
        <v>1571.7900000000002</v>
      </c>
      <c r="L99" s="4">
        <v>32.0</v>
      </c>
      <c r="M99" s="4">
        <v>955.0</v>
      </c>
      <c r="N99" s="4">
        <v>1.0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1728.9690000000003</v>
      </c>
    </row>
    <row r="100" ht="15.75" customHeight="1">
      <c r="A100" s="4">
        <v>317.0</v>
      </c>
      <c r="B100" s="4" t="s">
        <v>130</v>
      </c>
      <c r="C100" s="4" t="s">
        <v>234</v>
      </c>
      <c r="D100" s="4" t="s">
        <v>193</v>
      </c>
      <c r="E100" s="4" t="s">
        <v>235</v>
      </c>
      <c r="F100" s="4" t="e">
        <v>#REF!</v>
      </c>
      <c r="G100" s="4" t="e">
        <v>#REF!</v>
      </c>
      <c r="H100" s="4">
        <v>2422.4199999999996</v>
      </c>
      <c r="I100" s="4">
        <v>3460.6</v>
      </c>
      <c r="J100" s="4">
        <v>2202.2000000000003</v>
      </c>
      <c r="K100" s="4">
        <v>2420.0</v>
      </c>
      <c r="N100" s="4">
        <v>1.0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2662.0</v>
      </c>
    </row>
    <row r="101" ht="15.75" customHeight="1">
      <c r="A101" s="4">
        <v>318.0</v>
      </c>
      <c r="B101" s="4" t="s">
        <v>130</v>
      </c>
      <c r="C101" s="4" t="s">
        <v>236</v>
      </c>
      <c r="D101" s="4" t="s">
        <v>193</v>
      </c>
      <c r="E101" s="4" t="s">
        <v>237</v>
      </c>
      <c r="F101" s="4" t="e">
        <v>#REF!</v>
      </c>
      <c r="G101" s="4" t="e">
        <v>#REF!</v>
      </c>
      <c r="H101" s="4">
        <v>3028.0250000000005</v>
      </c>
      <c r="I101" s="4">
        <v>4325.750000000001</v>
      </c>
      <c r="J101" s="4">
        <v>2752.7500000000005</v>
      </c>
      <c r="K101" s="4">
        <v>3025.0000000000005</v>
      </c>
      <c r="L101" s="4">
        <v>70.0</v>
      </c>
      <c r="M101" s="4">
        <v>2000.0</v>
      </c>
      <c r="N101" s="4">
        <v>1.0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3327.500000000001</v>
      </c>
    </row>
    <row r="102" ht="15.75" customHeight="1">
      <c r="A102" s="4">
        <v>601.0</v>
      </c>
      <c r="B102" s="4" t="s">
        <v>238</v>
      </c>
      <c r="C102" s="4" t="s">
        <v>239</v>
      </c>
      <c r="D102" s="4" t="s">
        <v>239</v>
      </c>
      <c r="E102" s="4" t="s">
        <v>240</v>
      </c>
      <c r="F102" s="4" t="e">
        <v>#N/A</v>
      </c>
      <c r="G102" s="4" t="e">
        <v>#N/A</v>
      </c>
      <c r="H102" s="4">
        <v>899.8079089999999</v>
      </c>
      <c r="I102" s="4">
        <v>1285.43987</v>
      </c>
      <c r="J102" s="4">
        <v>818.00719</v>
      </c>
      <c r="K102" s="4">
        <v>898.909</v>
      </c>
      <c r="N102" s="4" t="s">
        <v>241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988.7999000000001</v>
      </c>
    </row>
    <row r="103" ht="15.75" customHeight="1">
      <c r="A103" s="4">
        <v>602.0</v>
      </c>
      <c r="B103" s="4" t="s">
        <v>238</v>
      </c>
      <c r="C103" s="4" t="s">
        <v>242</v>
      </c>
      <c r="D103" s="4" t="s">
        <v>242</v>
      </c>
      <c r="E103" s="4" t="s">
        <v>243</v>
      </c>
      <c r="F103" s="4" t="e">
        <v>#N/A</v>
      </c>
      <c r="G103" s="4" t="e">
        <v>#N/A</v>
      </c>
      <c r="H103" s="4">
        <v>827.0293281250001</v>
      </c>
      <c r="I103" s="4">
        <v>1181.4704687500002</v>
      </c>
      <c r="J103" s="4">
        <v>751.8448437500002</v>
      </c>
      <c r="K103" s="4">
        <v>826.2031250000002</v>
      </c>
      <c r="N103" s="4" t="s">
        <v>241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908.8234375000003</v>
      </c>
    </row>
    <row r="104" ht="15.75" customHeight="1">
      <c r="A104" s="4">
        <v>603.0</v>
      </c>
      <c r="B104" s="4" t="s">
        <v>238</v>
      </c>
      <c r="C104" s="4" t="s">
        <v>244</v>
      </c>
      <c r="D104" s="4" t="s">
        <v>244</v>
      </c>
      <c r="E104" s="4" t="s">
        <v>245</v>
      </c>
      <c r="F104" s="4" t="e">
        <v>#N/A</v>
      </c>
      <c r="G104" s="4" t="e">
        <v>#N/A</v>
      </c>
      <c r="H104" s="4">
        <v>827.0293281250001</v>
      </c>
      <c r="I104" s="4">
        <v>1181.4704687500002</v>
      </c>
      <c r="J104" s="4">
        <v>751.8448437500002</v>
      </c>
      <c r="K104" s="4">
        <v>826.2031250000002</v>
      </c>
      <c r="N104" s="4" t="s">
        <v>241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908.8234375000003</v>
      </c>
    </row>
    <row r="105" ht="15.75" customHeight="1">
      <c r="A105" s="4">
        <v>604.0</v>
      </c>
      <c r="B105" s="4" t="s">
        <v>238</v>
      </c>
      <c r="C105" s="4" t="s">
        <v>246</v>
      </c>
      <c r="D105" s="4" t="s">
        <v>246</v>
      </c>
      <c r="E105" s="4" t="s">
        <v>247</v>
      </c>
      <c r="F105" s="4" t="e">
        <v>#N/A</v>
      </c>
      <c r="G105" s="4" t="e">
        <v>#N/A</v>
      </c>
      <c r="H105" s="4">
        <v>827.0293281250001</v>
      </c>
      <c r="I105" s="4">
        <v>1181.4704687500002</v>
      </c>
      <c r="J105" s="4">
        <v>751.8448437500002</v>
      </c>
      <c r="K105" s="4">
        <v>826.2031250000002</v>
      </c>
      <c r="N105" s="4" t="s">
        <v>241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  <c r="Y105" s="4">
        <v>908.8234375000003</v>
      </c>
    </row>
    <row r="106" ht="15.75" customHeight="1">
      <c r="A106" s="4">
        <v>605.0</v>
      </c>
      <c r="B106" s="4" t="s">
        <v>238</v>
      </c>
      <c r="C106" s="4" t="s">
        <v>248</v>
      </c>
      <c r="D106" s="4" t="s">
        <v>248</v>
      </c>
      <c r="E106" s="4" t="s">
        <v>249</v>
      </c>
      <c r="F106" s="4" t="e">
        <v>#N/A</v>
      </c>
      <c r="G106" s="4" t="e">
        <v>#N/A</v>
      </c>
      <c r="H106" s="4">
        <v>793.9481549999999</v>
      </c>
      <c r="I106" s="4">
        <v>1134.21165</v>
      </c>
      <c r="J106" s="4">
        <v>721.7710500000001</v>
      </c>
      <c r="K106" s="4">
        <v>793.1550000000001</v>
      </c>
      <c r="N106" s="4" t="s">
        <v>241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872.4705000000001</v>
      </c>
    </row>
    <row r="107" ht="15.75" customHeight="1">
      <c r="A107" s="4">
        <v>801.0</v>
      </c>
      <c r="B107" s="4" t="s">
        <v>250</v>
      </c>
      <c r="C107" s="4" t="s">
        <v>251</v>
      </c>
      <c r="F107" s="4" t="e">
        <v>#N/A</v>
      </c>
      <c r="G107" s="4" t="e">
        <v>#N/A</v>
      </c>
      <c r="H107" s="4">
        <v>60.869358549999994</v>
      </c>
      <c r="I107" s="4">
        <v>86.9562265</v>
      </c>
      <c r="J107" s="4">
        <v>55.335780500000006</v>
      </c>
      <c r="K107" s="4">
        <v>60.808550000000004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66.88940500000001</v>
      </c>
    </row>
    <row r="108" ht="15.75" customHeight="1">
      <c r="A108" s="4">
        <v>802.0</v>
      </c>
      <c r="B108" s="4" t="s">
        <v>250</v>
      </c>
      <c r="C108" s="4" t="s">
        <v>252</v>
      </c>
      <c r="F108" s="4" t="e">
        <v>#N/A</v>
      </c>
      <c r="G108" s="4" t="e">
        <v>#N/A</v>
      </c>
      <c r="H108" s="4">
        <v>60.869358549999994</v>
      </c>
      <c r="I108" s="4">
        <v>86.9562265</v>
      </c>
      <c r="J108" s="4">
        <v>55.335780500000006</v>
      </c>
      <c r="K108" s="4">
        <v>60.808550000000004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66.88940500000001</v>
      </c>
    </row>
    <row r="109" ht="15.75" customHeight="1">
      <c r="A109" s="4">
        <v>803.0</v>
      </c>
      <c r="B109" s="4" t="s">
        <v>250</v>
      </c>
      <c r="C109" s="4" t="s">
        <v>253</v>
      </c>
      <c r="F109" s="4" t="e">
        <v>#N/A</v>
      </c>
      <c r="G109" s="4" t="e">
        <v>#N/A</v>
      </c>
      <c r="H109" s="4">
        <v>60.869358549999994</v>
      </c>
      <c r="I109" s="4">
        <v>86.9562265</v>
      </c>
      <c r="J109" s="4">
        <v>55.335780500000006</v>
      </c>
      <c r="K109" s="4">
        <v>60.808550000000004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66.88940500000001</v>
      </c>
    </row>
    <row r="110" ht="15.75" customHeight="1">
      <c r="A110" s="4">
        <v>804.0</v>
      </c>
      <c r="B110" s="4" t="s">
        <v>250</v>
      </c>
      <c r="C110" s="4" t="s">
        <v>254</v>
      </c>
      <c r="F110" s="4" t="e">
        <v>#N/A</v>
      </c>
      <c r="G110" s="4" t="e">
        <v>#N/A</v>
      </c>
      <c r="H110" s="4">
        <v>60.869358549999994</v>
      </c>
      <c r="I110" s="4">
        <v>86.9562265</v>
      </c>
      <c r="J110" s="4">
        <v>55.335780500000006</v>
      </c>
      <c r="K110" s="4">
        <v>60.808550000000004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66.88940500000001</v>
      </c>
    </row>
    <row r="111" ht="15.75" customHeight="1">
      <c r="A111" s="4">
        <v>805.0</v>
      </c>
      <c r="B111" s="4" t="s">
        <v>250</v>
      </c>
      <c r="C111" s="4" t="s">
        <v>255</v>
      </c>
      <c r="F111" s="4" t="e">
        <v>#N/A</v>
      </c>
      <c r="G111" s="4" t="e">
        <v>#N/A</v>
      </c>
      <c r="H111" s="4">
        <v>60.869358549999994</v>
      </c>
      <c r="I111" s="4">
        <v>86.9562265</v>
      </c>
      <c r="J111" s="4">
        <v>55.335780500000006</v>
      </c>
      <c r="K111" s="4">
        <v>60.808550000000004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66.88940500000001</v>
      </c>
    </row>
    <row r="112" ht="15.75" customHeight="1">
      <c r="A112" s="4">
        <v>806.0</v>
      </c>
      <c r="B112" s="4" t="s">
        <v>250</v>
      </c>
      <c r="C112" s="4" t="s">
        <v>256</v>
      </c>
      <c r="E112" s="4" t="s">
        <v>257</v>
      </c>
      <c r="F112" s="4">
        <v>27.667890250000003</v>
      </c>
      <c r="G112" s="4">
        <v>20.123409936629997</v>
      </c>
      <c r="H112" s="4">
        <v>60.869358549999994</v>
      </c>
      <c r="I112" s="4">
        <v>86.9562265</v>
      </c>
      <c r="J112" s="4">
        <v>55.335780500000006</v>
      </c>
      <c r="K112" s="4">
        <v>60.808550000000004</v>
      </c>
      <c r="Q112" s="4">
        <v>55.335780500000006</v>
      </c>
      <c r="R112" s="4" t="e">
        <v>#DIV/0!</v>
      </c>
      <c r="S112" s="4">
        <v>44.26862440000001</v>
      </c>
      <c r="T112" s="4" t="e">
        <v>#DIV/0!</v>
      </c>
      <c r="U112" s="4">
        <v>40.246819873259994</v>
      </c>
      <c r="V112" s="4" t="e">
        <v>#DIV/0!</v>
      </c>
      <c r="W112" s="4">
        <v>30.185114904944996</v>
      </c>
      <c r="X112" s="4" t="e">
        <v>#DIV/0!</v>
      </c>
      <c r="Y112" s="4">
        <v>66.88940500000001</v>
      </c>
    </row>
    <row r="113" ht="15.75" customHeight="1">
      <c r="A113" s="4">
        <v>901.0</v>
      </c>
      <c r="B113" s="4" t="s">
        <v>258</v>
      </c>
      <c r="C113" s="4" t="s">
        <v>259</v>
      </c>
      <c r="D113" s="4" t="s">
        <v>260</v>
      </c>
      <c r="E113" s="4" t="s">
        <v>261</v>
      </c>
      <c r="F113" s="4" t="e">
        <v>#N/A</v>
      </c>
      <c r="G113" s="4" t="e">
        <v>#N/A</v>
      </c>
      <c r="H113" s="4">
        <v>899.8079089999999</v>
      </c>
      <c r="I113" s="4">
        <v>1285.43987</v>
      </c>
      <c r="J113" s="4">
        <v>818.00719</v>
      </c>
      <c r="K113" s="4">
        <v>898.909</v>
      </c>
      <c r="O113" s="4" t="e">
        <v>#N/A</v>
      </c>
      <c r="P113" s="4" t="e">
        <v>#N/A</v>
      </c>
      <c r="Q113" s="4" t="e">
        <v>#N/A</v>
      </c>
      <c r="R113" s="4" t="e">
        <v>#N/A</v>
      </c>
      <c r="S113" s="4" t="e">
        <v>#N/A</v>
      </c>
      <c r="T113" s="4" t="e">
        <v>#N/A</v>
      </c>
      <c r="U113" s="4" t="e">
        <v>#N/A</v>
      </c>
      <c r="V113" s="4" t="e">
        <v>#N/A</v>
      </c>
      <c r="W113" s="4" t="e">
        <v>#N/A</v>
      </c>
      <c r="X113" s="4" t="e">
        <v>#N/A</v>
      </c>
      <c r="Y113" s="4">
        <v>988.7999000000001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86"/>
    <col customWidth="1" min="4" max="4" width="34.43"/>
    <col customWidth="1" min="5" max="6" width="23.71"/>
    <col customWidth="1" min="7" max="7" width="24.43"/>
    <col customWidth="1" min="8" max="8" width="26.57"/>
    <col customWidth="1" min="9" max="9" width="28.86"/>
    <col customWidth="1" min="10" max="10" width="31.71"/>
    <col customWidth="1" min="11" max="11" width="32.0"/>
    <col customWidth="1" min="12" max="12" width="19.29"/>
    <col customWidth="1" min="13" max="13" width="17.43"/>
    <col customWidth="1" min="14" max="14" width="10.71"/>
    <col customWidth="1" min="15" max="16" width="12.0"/>
    <col customWidth="1" min="17" max="17" width="18.0"/>
    <col customWidth="1" min="18" max="18" width="28.29"/>
    <col customWidth="1" min="19" max="19" width="30.86"/>
    <col customWidth="1" min="20" max="20" width="41.14"/>
    <col customWidth="1" min="21" max="21" width="23.0"/>
    <col customWidth="1" min="22" max="22" width="33.57"/>
    <col customWidth="1" min="23" max="23" width="30.86"/>
    <col customWidth="1" min="24" max="24" width="41.14"/>
    <col customWidth="1" min="25" max="25" width="12.0"/>
  </cols>
  <sheetData>
    <row r="1">
      <c r="A1" s="1" t="s">
        <v>0</v>
      </c>
      <c r="B1" s="1" t="str">
        <f>IFERROR(__xludf.DUMMYFUNCTION("GOOGLETRANSLATE(menuu!B:B,""es"",""en"")"),"Category")</f>
        <v>Category</v>
      </c>
      <c r="C1" s="1" t="s">
        <v>2</v>
      </c>
      <c r="D1" s="1" t="str">
        <f>IFERROR(__xludf.DUMMYFUNCTION("GOOGLETRANSLATE(menuu!D:D,""es"",""en"")"),"sub_category")</f>
        <v>sub_category</v>
      </c>
      <c r="E1" s="1" t="str">
        <f>IFERROR(__xludf.DUMMYFUNCTION("GOOGLETRANSLATE(menuu!E:E,""es"",""en"")"),"Desc")</f>
        <v>Desc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>
      <c r="A2" s="4">
        <v>422.0</v>
      </c>
      <c r="B2" s="4" t="str">
        <f>IFERROR(__xludf.DUMMYFUNCTION("GOOGLETRANSLATE(menuu!B:B,""es"",""en"")"),"Premium (crowned)")</f>
        <v>Premium (crowned)</v>
      </c>
      <c r="C2" s="4" t="s">
        <v>26</v>
      </c>
      <c r="D2" s="4" t="str">
        <f>IFERROR(__xludf.DUMMYFUNCTION("GOOGLETRANSLATE(menuu!D:D,""es"",""en"")"),"real avocado roll")</f>
        <v>real avocado roll</v>
      </c>
      <c r="E2" s="4" t="str">
        <f>IFERROR(__xludf.DUMMYFUNCTION("GOOGLETRANSLATE(menuu!E:E,""es"",""en"")"),"Philadelphia, hearts of palm, avocado and tamago wrapped with fine cuts of salmon. Topped with guacamole.")</f>
        <v>Philadelphia, hearts of palm, avocado and tamago wrapped with fine cuts of salmon. Topped with guacamole.</v>
      </c>
      <c r="F2" s="4">
        <v>504.16701988012824</v>
      </c>
      <c r="G2" s="4">
        <v>410.3395361301282</v>
      </c>
      <c r="H2" s="4">
        <v>757.0062500000001</v>
      </c>
      <c r="I2" s="4">
        <v>1081.4375000000002</v>
      </c>
      <c r="J2" s="4">
        <v>688.1875000000001</v>
      </c>
      <c r="K2" s="4">
        <v>756.2500000000001</v>
      </c>
      <c r="N2" s="4">
        <v>10.0</v>
      </c>
      <c r="O2" s="4">
        <v>32.014653976025635</v>
      </c>
      <c r="P2" s="4">
        <v>320.14653976025636</v>
      </c>
      <c r="Q2" s="4">
        <v>368.04096023974375</v>
      </c>
      <c r="R2" s="4">
        <v>1.1496015559479524</v>
      </c>
      <c r="S2" s="4">
        <v>294.432768191795</v>
      </c>
      <c r="T2" s="4">
        <v>0.919681244758362</v>
      </c>
      <c r="U2" s="4">
        <v>180.3859927397437</v>
      </c>
      <c r="V2" s="4">
        <v>0.5634482036720647</v>
      </c>
      <c r="W2" s="4">
        <v>135.2894945548078</v>
      </c>
      <c r="X2" s="4">
        <v>0.4225861527540486</v>
      </c>
      <c r="Y2" s="4">
        <v>831.8750000000002</v>
      </c>
    </row>
    <row r="3">
      <c r="A3" s="4">
        <v>220.0</v>
      </c>
      <c r="B3" s="4" t="str">
        <f>IFERROR(__xludf.DUMMYFUNCTION("GOOGLETRANSLATE(menuu!B:B,""es"",""en"")"),"Salmon rolls")</f>
        <v>Salmon rolls</v>
      </c>
      <c r="C3" s="4" t="s">
        <v>30</v>
      </c>
      <c r="D3" s="4" t="str">
        <f>IFERROR(__xludf.DUMMYFUNCTION("GOOGLETRANSLATE(menuu!D:D,""es"",""en"")"),"Sashimi")</f>
        <v>Sashimi</v>
      </c>
      <c r="E3" s="4" t="str">
        <f>IFERROR(__xludf.DUMMYFUNCTION("GOOGLETRANSLATE(menuu!E:E,""es"",""en"")"),"4 thin cuts of salmon.")</f>
        <v>4 thin cuts of salmon.</v>
      </c>
      <c r="F3" s="4">
        <v>208.820716576087</v>
      </c>
      <c r="G3" s="4">
        <v>169.78848333608695</v>
      </c>
      <c r="H3" s="4">
        <v>314.91459999999995</v>
      </c>
      <c r="I3" s="4">
        <v>449.878</v>
      </c>
      <c r="J3" s="4">
        <v>286.28600000000006</v>
      </c>
      <c r="K3" s="4">
        <v>314.6</v>
      </c>
      <c r="L3" s="4">
        <v>10.0</v>
      </c>
      <c r="N3" s="4">
        <v>4.0</v>
      </c>
      <c r="O3" s="4">
        <v>32.83885828804348</v>
      </c>
      <c r="P3" s="4">
        <v>131.35543315217393</v>
      </c>
      <c r="Q3" s="4">
        <v>154.93056684782613</v>
      </c>
      <c r="R3" s="4">
        <v>1.1794758932303977</v>
      </c>
      <c r="S3" s="4">
        <v>123.94445347826091</v>
      </c>
      <c r="T3" s="4">
        <v>0.9435807145843181</v>
      </c>
      <c r="U3" s="4">
        <v>76.86610036782605</v>
      </c>
      <c r="V3" s="4">
        <v>0.5851764066643323</v>
      </c>
      <c r="W3" s="4">
        <v>57.64957527586954</v>
      </c>
      <c r="X3" s="4">
        <v>0.4388823049982492</v>
      </c>
      <c r="Y3" s="4">
        <v>346.06000000000006</v>
      </c>
    </row>
    <row r="4">
      <c r="A4" s="4">
        <v>222.0</v>
      </c>
      <c r="B4" s="4" t="str">
        <f>IFERROR(__xludf.DUMMYFUNCTION("GOOGLETRANSLATE(menuu!B:B,""es"",""en"")"),"Salmon rolls")</f>
        <v>Salmon rolls</v>
      </c>
      <c r="C4" s="4" t="s">
        <v>33</v>
      </c>
      <c r="D4" s="4" t="str">
        <f>IFERROR(__xludf.DUMMYFUNCTION("GOOGLETRANSLATE(menuu!D:D,""es"",""en"")"),"Sashimi grill")</f>
        <v>Sashimi grill</v>
      </c>
      <c r="E4" s="4" t="str">
        <f>IFERROR(__xludf.DUMMYFUNCTION("GOOGLETRANSLATE(menuu!E:E,""es"",""en"")"),"4 thin cuts of salmon with sealed sesame.")</f>
        <v>4 thin cuts of salmon with sealed sesame.</v>
      </c>
      <c r="F4" s="4">
        <v>208.820716576087</v>
      </c>
      <c r="G4" s="4">
        <v>169.78848333608695</v>
      </c>
      <c r="H4" s="4">
        <v>314.91459999999995</v>
      </c>
      <c r="I4" s="4">
        <v>449.878</v>
      </c>
      <c r="J4" s="4">
        <v>286.28600000000006</v>
      </c>
      <c r="K4" s="4">
        <v>314.6</v>
      </c>
      <c r="N4" s="4">
        <v>4.0</v>
      </c>
      <c r="O4" s="4">
        <v>32.83885828804348</v>
      </c>
      <c r="P4" s="4">
        <v>131.35543315217393</v>
      </c>
      <c r="Q4" s="4">
        <v>154.93056684782613</v>
      </c>
      <c r="R4" s="4">
        <v>1.1794758932303977</v>
      </c>
      <c r="S4" s="4">
        <v>123.94445347826091</v>
      </c>
      <c r="T4" s="4">
        <v>0.9435807145843181</v>
      </c>
      <c r="U4" s="4">
        <v>76.86610036782605</v>
      </c>
      <c r="V4" s="4">
        <v>0.5851764066643323</v>
      </c>
      <c r="W4" s="4">
        <v>57.64957527586954</v>
      </c>
      <c r="X4" s="4">
        <v>0.4388823049982492</v>
      </c>
      <c r="Y4" s="4">
        <v>346.06000000000006</v>
      </c>
    </row>
    <row r="5">
      <c r="A5" s="4">
        <v>226.0</v>
      </c>
      <c r="B5" s="4" t="str">
        <f>IFERROR(__xludf.DUMMYFUNCTION("GOOGLETRANSLATE(menuu!B:B,""es"",""en"")"),"Salmon rolls")</f>
        <v>Salmon rolls</v>
      </c>
      <c r="C5" s="4" t="s">
        <v>36</v>
      </c>
      <c r="D5" s="4" t="str">
        <f>IFERROR(__xludf.DUMMYFUNCTION("GOOGLETRANSLATE(menuu!D:D,""es"",""en"")"),"Salmon combo")</f>
        <v>Salmon combo</v>
      </c>
      <c r="E5" s="4" t="str">
        <f>IFERROR(__xludf.DUMMYFUNCTION("GOOGLETRANSLATE(menuu!E:E,""es"",""en"")"),"Phila, York, New York Phila, Maki, Nigiri, Geisha, Geisha Tempura, Sashimi Grill and Sashimi")</f>
        <v>Phila, York, New York Phila, Maki, Nigiri, Geisha, Geisha Tempura, Sashimi Grill and Sashimi</v>
      </c>
      <c r="F5" s="4">
        <v>2275.3610599452195</v>
      </c>
      <c r="G5" s="4">
        <v>1848.9339117982192</v>
      </c>
      <c r="H5" s="4">
        <v>3440.442005</v>
      </c>
      <c r="I5" s="4">
        <v>4914.91715</v>
      </c>
      <c r="J5" s="4">
        <v>3127.67455</v>
      </c>
      <c r="K5" s="4">
        <v>3437.005</v>
      </c>
      <c r="L5" s="4">
        <v>70.0</v>
      </c>
      <c r="M5" s="4">
        <v>2270.0</v>
      </c>
      <c r="N5" s="4">
        <v>1.0</v>
      </c>
      <c r="O5" s="4">
        <v>1423.0475698904388</v>
      </c>
      <c r="P5" s="4">
        <v>1423.0475698904388</v>
      </c>
      <c r="Q5" s="4">
        <v>1704.6269801095614</v>
      </c>
      <c r="R5" s="4">
        <v>1.1978706939788397</v>
      </c>
      <c r="S5" s="4">
        <v>1363.7015840876493</v>
      </c>
      <c r="T5" s="4">
        <v>0.9582965551830719</v>
      </c>
      <c r="U5" s="4">
        <v>851.7726838155609</v>
      </c>
      <c r="V5" s="4">
        <v>0.5985553131446893</v>
      </c>
      <c r="W5" s="4">
        <v>638.8295128616707</v>
      </c>
      <c r="X5" s="4">
        <v>0.44891648485851704</v>
      </c>
      <c r="Y5" s="4">
        <v>3780.7055000000005</v>
      </c>
    </row>
    <row r="6">
      <c r="A6" s="4">
        <v>406.0</v>
      </c>
      <c r="B6" s="4" t="str">
        <f>IFERROR(__xludf.DUMMYFUNCTION("GOOGLETRANSLATE(menuu!B:B,""es"",""en"")"),"Premium (crowned)")</f>
        <v>Premium (crowned)</v>
      </c>
      <c r="C6" s="4" t="s">
        <v>39</v>
      </c>
      <c r="D6" s="4" t="str">
        <f>IFERROR(__xludf.DUMMYFUNCTION("GOOGLETRANSLATE(menuu!D:D,""es"",""en"")"),"Real roll pleasure")</f>
        <v>Real roll pleasure</v>
      </c>
      <c r="E6" s="4" t="str">
        <f>IFERROR(__xludf.DUMMYFUNCTION("GOOGLETRANSLATE(menuu!E:E,""es"",""en"")"),"Philadelphia, hearts of palm, avocado and tamago wrapped with fine cuts of salmon. Topped with passion fruit sauce and crispy sweet potato.")</f>
        <v>Philadelphia, hearts of palm, avocado and tamago wrapped with fine cuts of salmon. Topped with passion fruit sauce and crispy sweet potato.</v>
      </c>
      <c r="F6" s="4">
        <v>498.0432948801282</v>
      </c>
      <c r="G6" s="4">
        <v>404.2158111301282</v>
      </c>
      <c r="H6" s="4">
        <v>757.0062500000001</v>
      </c>
      <c r="I6" s="4">
        <v>1081.4375000000002</v>
      </c>
      <c r="J6" s="4">
        <v>688.1875000000001</v>
      </c>
      <c r="K6" s="4">
        <v>756.2500000000001</v>
      </c>
      <c r="L6" s="4">
        <v>12.0</v>
      </c>
      <c r="N6" s="4">
        <v>10.0</v>
      </c>
      <c r="O6" s="4">
        <v>30.789908976025636</v>
      </c>
      <c r="P6" s="4">
        <v>307.89908976025635</v>
      </c>
      <c r="Q6" s="4">
        <v>380.28841023974377</v>
      </c>
      <c r="R6" s="4">
        <v>1.2351072896508168</v>
      </c>
      <c r="S6" s="4">
        <v>304.23072819179504</v>
      </c>
      <c r="T6" s="4">
        <v>0.9880858317206535</v>
      </c>
      <c r="U6" s="4">
        <v>192.6334427397437</v>
      </c>
      <c r="V6" s="4">
        <v>0.625638233908832</v>
      </c>
      <c r="W6" s="4">
        <v>144.47508205480779</v>
      </c>
      <c r="X6" s="4">
        <v>0.469228675431624</v>
      </c>
      <c r="Y6" s="4">
        <v>831.8750000000002</v>
      </c>
    </row>
    <row r="7">
      <c r="A7" s="4">
        <v>902.0</v>
      </c>
      <c r="B7" s="4" t="str">
        <f>IFERROR(__xludf.DUMMYFUNCTION("GOOGLETRANSLATE(menuu!B:B,""es"",""en"")"),"combos shop")</f>
        <v>combos shop</v>
      </c>
      <c r="C7" s="4" t="s">
        <v>43</v>
      </c>
      <c r="D7" s="4" t="str">
        <f>IFERROR(__xludf.DUMMYFUNCTION("GOOGLETRANSLATE(menuu!D:D,""es"",""en"")"),"Combo 17 varied pieces")</f>
        <v>Combo 17 varied pieces</v>
      </c>
      <c r="E7" s="4" t="str">
        <f>IFERROR(__xludf.DUMMYFUNCTION("GOOGLETRANSLATE(menuu!E:E,""es"",""en"")"),"Lemon Roll, New York Phila, California and 2 Ebi nigiris")</f>
        <v>Lemon Roll, New York Phila, California and 2 Ebi nigiris</v>
      </c>
      <c r="F7" s="4">
        <v>469.2206144546727</v>
      </c>
      <c r="G7" s="4">
        <v>144.7206144546727</v>
      </c>
      <c r="H7" s="4">
        <v>0.0</v>
      </c>
      <c r="I7" s="4">
        <v>0.0</v>
      </c>
      <c r="J7" s="4">
        <v>649.0</v>
      </c>
      <c r="L7" s="4">
        <v>14.0</v>
      </c>
      <c r="M7" s="4">
        <v>585.0</v>
      </c>
      <c r="N7" s="4">
        <v>1.0</v>
      </c>
      <c r="O7" s="4">
        <v>289.4412289093454</v>
      </c>
      <c r="P7" s="4">
        <v>289.4412289093454</v>
      </c>
      <c r="Q7" s="4">
        <v>359.5587710906546</v>
      </c>
      <c r="R7" s="4">
        <v>1.2422513974443856</v>
      </c>
      <c r="S7" s="4">
        <v>287.6470168725237</v>
      </c>
      <c r="T7" s="4">
        <v>0.9938011179555085</v>
      </c>
      <c r="U7" s="4">
        <v>-289.4412289093454</v>
      </c>
      <c r="V7" s="4">
        <v>-1.0</v>
      </c>
      <c r="W7" s="4">
        <v>-217.08092168200903</v>
      </c>
      <c r="X7" s="4">
        <v>-0.75</v>
      </c>
      <c r="Y7" s="4">
        <v>0.0</v>
      </c>
    </row>
    <row r="8">
      <c r="A8" s="4">
        <v>434.0</v>
      </c>
      <c r="B8" s="4" t="str">
        <f>IFERROR(__xludf.DUMMYFUNCTION("GOOGLETRANSLATE(menuu!B:B,""es"",""en"")"),"Premium (crowned)")</f>
        <v>Premium (crowned)</v>
      </c>
      <c r="C8" s="4" t="s">
        <v>46</v>
      </c>
      <c r="D8" s="4" t="str">
        <f>IFERROR(__xludf.DUMMYFUNCTION("GOOGLETRANSLATE(menuu!D:D,""es"",""en"")"),"Summer loyal combo (62 pieces)")</f>
        <v>Summer loyal combo (62 pieces)</v>
      </c>
      <c r="E8" s="4" t="str">
        <f>IFERROR(__xludf.DUMMYFUNCTION("GOOGLETRANSLATE(menuu!E:E,""es"",""en"")")," Avocado roll, Silk roll, Phill crunchy tamago roll, Real avocado, Geishas, ​​Sashimis and Grill Sashimis")</f>
        <v> Avocado roll, Silk roll, Phill crunchy tamago roll, Real avocado, Geishas, ​​Sashimis and Grill Sashimis</v>
      </c>
      <c r="F8" s="4">
        <v>2392.4247995295646</v>
      </c>
      <c r="G8" s="4">
        <v>1908.5541395295645</v>
      </c>
      <c r="H8" s="4">
        <v>3903.8999999999996</v>
      </c>
      <c r="I8" s="4">
        <v>5577.0</v>
      </c>
      <c r="J8" s="4">
        <v>3549.0</v>
      </c>
      <c r="K8" s="4">
        <v>3900.0</v>
      </c>
      <c r="N8" s="4">
        <v>1.0</v>
      </c>
      <c r="O8" s="4">
        <v>1235.8495990591293</v>
      </c>
      <c r="P8" s="4">
        <v>1235.8495990591293</v>
      </c>
      <c r="Q8" s="4">
        <v>2313.150400940871</v>
      </c>
      <c r="R8" s="4">
        <v>1.8717086631754436</v>
      </c>
      <c r="S8" s="4">
        <v>1850.5203207526968</v>
      </c>
      <c r="T8" s="4">
        <v>1.497366930540355</v>
      </c>
      <c r="U8" s="4">
        <v>1345.4090809408701</v>
      </c>
      <c r="V8" s="4">
        <v>1.088651144900763</v>
      </c>
      <c r="W8" s="4">
        <v>1009.0568107056527</v>
      </c>
      <c r="X8" s="4">
        <v>0.8164883586755723</v>
      </c>
      <c r="Y8" s="4">
        <v>4290.0</v>
      </c>
    </row>
    <row r="9">
      <c r="A9" s="4">
        <v>204.0</v>
      </c>
      <c r="B9" s="4" t="str">
        <f>IFERROR(__xludf.DUMMYFUNCTION("GOOGLETRANSLATE(menuu!B:B,""es"",""en"")"),"Salmon rolls")</f>
        <v>Salmon rolls</v>
      </c>
      <c r="C9" s="4" t="s">
        <v>48</v>
      </c>
      <c r="D9" s="4" t="str">
        <f>IFERROR(__xludf.DUMMYFUNCTION("GOOGLETRANSLATE(menuu!D:D,""es"",""en"")"),"maki roll")</f>
        <v>maki roll</v>
      </c>
      <c r="E9" s="4" t="str">
        <f>IFERROR(__xludf.DUMMYFUNCTION("GOOGLETRANSLATE(menuu!E:E,""es"",""en"")"),"Rice inside, salmon and seaweed on the outside.")</f>
        <v>Rice inside, salmon and seaweed on the outside.</v>
      </c>
      <c r="F9" s="4">
        <v>356.80540761297095</v>
      </c>
      <c r="G9" s="4">
        <v>289.24961931297094</v>
      </c>
      <c r="H9" s="4">
        <v>545.0445000000001</v>
      </c>
      <c r="I9" s="4">
        <v>778.6350000000001</v>
      </c>
      <c r="J9" s="4">
        <v>495.4950000000001</v>
      </c>
      <c r="K9" s="4">
        <v>544.5000000000001</v>
      </c>
      <c r="L9" s="4">
        <v>12.0</v>
      </c>
      <c r="N9" s="4">
        <v>10.0</v>
      </c>
      <c r="O9" s="4">
        <v>21.81158152259418</v>
      </c>
      <c r="P9" s="4">
        <v>218.11581522594182</v>
      </c>
      <c r="Q9" s="4">
        <v>277.37918477405833</v>
      </c>
      <c r="R9" s="4">
        <v>1.2717059718330226</v>
      </c>
      <c r="S9" s="4">
        <v>221.90334781924668</v>
      </c>
      <c r="T9" s="4">
        <v>1.017364777466418</v>
      </c>
      <c r="U9" s="4">
        <v>142.26760817405827</v>
      </c>
      <c r="V9" s="4">
        <v>0.652257187433594</v>
      </c>
      <c r="W9" s="4">
        <v>106.7007061305437</v>
      </c>
      <c r="X9" s="4">
        <v>0.4891928905751954</v>
      </c>
      <c r="Y9" s="4">
        <v>598.9500000000002</v>
      </c>
    </row>
    <row r="10">
      <c r="A10" s="4">
        <v>101.0</v>
      </c>
      <c r="B10" s="4" t="str">
        <f>IFERROR(__xludf.DUMMYFUNCTION("GOOGLETRANSLATE(menuu!B:B,""es"",""en"")"),"tickets")</f>
        <v>tickets</v>
      </c>
      <c r="C10" s="4" t="s">
        <v>52</v>
      </c>
      <c r="D10" s="4" t="str">
        <f>IFERROR(__xludf.DUMMYFUNCTION("GOOGLETRANSLATE(menuu!D:D,""es"",""en"")"),"Tiraditos")</f>
        <v>Tiraditos</v>
      </c>
      <c r="E10" s="4" t="str">
        <f>IFERROR(__xludf.DUMMYFUNCTION("GOOGLETRANSLATE(menuu!E:E,""es"",""en"")"),"20 slices of salmon with passion fruit sauce and crispy sweet potato.")</f>
        <v>20 slices of salmon with passion fruit sauce and crispy sweet potato.</v>
      </c>
      <c r="F10" s="4">
        <v>393.166675710145</v>
      </c>
      <c r="G10" s="4">
        <v>318.72503571014494</v>
      </c>
      <c r="H10" s="4">
        <v>600.5999999999999</v>
      </c>
      <c r="I10" s="4">
        <v>858.0</v>
      </c>
      <c r="J10" s="4">
        <v>546.0</v>
      </c>
      <c r="K10" s="4">
        <v>600.0</v>
      </c>
      <c r="N10" s="4">
        <v>100.0</v>
      </c>
      <c r="O10" s="4">
        <v>2.4033335142028993</v>
      </c>
      <c r="P10" s="4">
        <v>240.33335142028994</v>
      </c>
      <c r="Q10" s="4">
        <v>305.66664857971006</v>
      </c>
      <c r="R10" s="4">
        <v>1.271844489220169</v>
      </c>
      <c r="S10" s="4">
        <v>244.53331886376805</v>
      </c>
      <c r="T10" s="4">
        <v>1.0174755913761353</v>
      </c>
      <c r="U10" s="4">
        <v>156.78336857971</v>
      </c>
      <c r="V10" s="4">
        <v>0.652357933899613</v>
      </c>
      <c r="W10" s="4">
        <v>117.58752643478249</v>
      </c>
      <c r="X10" s="4">
        <v>0.4892684504247098</v>
      </c>
      <c r="Y10" s="4">
        <v>660.0</v>
      </c>
    </row>
    <row r="11">
      <c r="A11" s="4">
        <v>102.0</v>
      </c>
      <c r="B11" s="4" t="str">
        <f>IFERROR(__xludf.DUMMYFUNCTION("GOOGLETRANSLATE(menuu!B:B,""es"",""en"")"),"tickets")</f>
        <v>tickets</v>
      </c>
      <c r="C11" s="4" t="s">
        <v>55</v>
      </c>
      <c r="D11" s="4" t="str">
        <f>IFERROR(__xludf.DUMMYFUNCTION("GOOGLETRANSLATE(menuu!D:D,""es"",""en"")"),"Tiraditos")</f>
        <v>Tiraditos</v>
      </c>
      <c r="E11" s="4" t="str">
        <f>IFERROR(__xludf.DUMMYFUNCTION("GOOGLETRANSLATE(menuu!E:E,""es"",""en"")"),"20 slices of salmon with acevichada sauce, red onion and cilantro.")</f>
        <v>20 slices of salmon with acevichada sauce, red onion and cilantro.</v>
      </c>
      <c r="F11" s="4">
        <v>393.166675710145</v>
      </c>
      <c r="G11" s="4">
        <v>318.72503571014494</v>
      </c>
      <c r="H11" s="4">
        <v>600.5999999999999</v>
      </c>
      <c r="I11" s="4">
        <v>858.0</v>
      </c>
      <c r="J11" s="4">
        <v>546.0</v>
      </c>
      <c r="K11" s="4">
        <v>600.0</v>
      </c>
      <c r="N11" s="4">
        <v>100.0</v>
      </c>
      <c r="O11" s="4">
        <v>2.4033335142028993</v>
      </c>
      <c r="P11" s="4">
        <v>240.33335142028994</v>
      </c>
      <c r="Q11" s="4">
        <v>305.66664857971006</v>
      </c>
      <c r="R11" s="4">
        <v>1.271844489220169</v>
      </c>
      <c r="S11" s="4">
        <v>244.53331886376805</v>
      </c>
      <c r="T11" s="4">
        <v>1.0174755913761353</v>
      </c>
      <c r="U11" s="4">
        <v>156.78336857971</v>
      </c>
      <c r="V11" s="4">
        <v>0.652357933899613</v>
      </c>
      <c r="W11" s="4">
        <v>117.58752643478249</v>
      </c>
      <c r="X11" s="4">
        <v>0.4892684504247098</v>
      </c>
      <c r="Y11" s="4">
        <v>660.0</v>
      </c>
    </row>
    <row r="12">
      <c r="A12" s="4">
        <v>433.0</v>
      </c>
      <c r="B12" s="4" t="str">
        <f>IFERROR(__xludf.DUMMYFUNCTION("GOOGLETRANSLATE(menuu!B:B,""es"",""en"")"),"Premium (crowned)")</f>
        <v>Premium (crowned)</v>
      </c>
      <c r="C12" s="4" t="s">
        <v>57</v>
      </c>
      <c r="D12" s="4" t="str">
        <f>IFERROR(__xludf.DUMMYFUNCTION("GOOGLETRANSLATE(menuu!D:D,""es"",""en"")"),"Summer loyal combo (47 pieces)")</f>
        <v>Summer loyal combo (47 pieces)</v>
      </c>
      <c r="E12" s="4" t="str">
        <f>IFERROR(__xludf.DUMMYFUNCTION("GOOGLETRANSLATE(menuu!E:E,""es"",""en"")")," Avocado roll, Silk roll, Phill crunchy tamago roll, real avocado, geishas and Sashimis")</f>
        <v> Avocado roll, Silk roll, Phill crunchy tamago roll, real avocado, geishas and Sashimis</v>
      </c>
      <c r="F12" s="4">
        <v>1835.2191596086573</v>
      </c>
      <c r="G12" s="4">
        <v>1469.2144296086572</v>
      </c>
      <c r="H12" s="4">
        <v>2952.95</v>
      </c>
      <c r="I12" s="4">
        <v>4218.5</v>
      </c>
      <c r="J12" s="4">
        <v>2684.5</v>
      </c>
      <c r="K12" s="4">
        <v>2950.0</v>
      </c>
      <c r="N12" s="4">
        <v>1.0</v>
      </c>
      <c r="O12" s="4">
        <v>985.9383192173144</v>
      </c>
      <c r="P12" s="4">
        <v>985.9383192173144</v>
      </c>
      <c r="Q12" s="4">
        <v>1698.5616807826855</v>
      </c>
      <c r="R12" s="4">
        <v>1.7227869610860505</v>
      </c>
      <c r="S12" s="4">
        <v>1358.8493446261484</v>
      </c>
      <c r="T12" s="4">
        <v>1.3782295688688404</v>
      </c>
      <c r="U12" s="4">
        <v>966.5522207826854</v>
      </c>
      <c r="V12" s="4">
        <v>0.9803374125371062</v>
      </c>
      <c r="W12" s="4">
        <v>724.914165587014</v>
      </c>
      <c r="X12" s="4">
        <v>0.7352530594028296</v>
      </c>
      <c r="Y12" s="4">
        <v>3245.0000000000005</v>
      </c>
    </row>
    <row r="13">
      <c r="A13" s="4">
        <v>224.0</v>
      </c>
      <c r="B13" s="4" t="str">
        <f>IFERROR(__xludf.DUMMYFUNCTION("GOOGLETRANSLATE(menuu!B:B,""es"",""en"")"),"Salmon rolls")</f>
        <v>Salmon rolls</v>
      </c>
      <c r="C13" s="4" t="s">
        <v>59</v>
      </c>
      <c r="D13" s="4" t="str">
        <f>IFERROR(__xludf.DUMMYFUNCTION("GOOGLETRANSLATE(menuu!D:D,""es"",""en"")"),"Salmon combo")</f>
        <v>Salmon combo</v>
      </c>
      <c r="E13" s="4" t="str">
        <f>IFERROR(__xludf.DUMMYFUNCTION("GOOGLETRANSLATE(menuu!E:E,""es"",""en"")"),"Philla, New York, New York Phila, Maki, Salmon grill, Nigiri, Geisha and Sashimi")</f>
        <v>Philla, New York, New York Phila, Maki, Salmon grill, Nigiri, Geisha and Sashimi</v>
      </c>
      <c r="F13" s="4">
        <v>1209.9427739987495</v>
      </c>
      <c r="G13" s="4">
        <v>980.3281557657494</v>
      </c>
      <c r="H13" s="4">
        <v>3003.0</v>
      </c>
      <c r="I13" s="4">
        <v>4290.0</v>
      </c>
      <c r="J13" s="4">
        <v>2730.0</v>
      </c>
      <c r="K13" s="4">
        <v>3000.0</v>
      </c>
      <c r="L13" s="4">
        <v>30.0</v>
      </c>
      <c r="M13" s="4">
        <v>1200.0</v>
      </c>
      <c r="N13" s="4">
        <v>1.0</v>
      </c>
      <c r="O13" s="4">
        <v>0.0</v>
      </c>
      <c r="P13" s="4">
        <v>735.7530979974991</v>
      </c>
      <c r="Q13" s="4">
        <v>948.3793520025009</v>
      </c>
      <c r="R13" s="4">
        <v>1.288991313232261</v>
      </c>
      <c r="S13" s="4">
        <v>758.7034816020008</v>
      </c>
      <c r="T13" s="4">
        <v>1.031193050585809</v>
      </c>
      <c r="U13" s="4">
        <v>0.0</v>
      </c>
      <c r="V13" s="4">
        <v>0.0</v>
      </c>
      <c r="W13" s="4">
        <v>366.8625866523755</v>
      </c>
      <c r="X13" s="4">
        <v>0.49862187145506587</v>
      </c>
      <c r="Y13" s="4">
        <v>3300.0000000000005</v>
      </c>
    </row>
    <row r="14">
      <c r="A14" s="4">
        <v>225.0</v>
      </c>
      <c r="B14" s="4" t="str">
        <f>IFERROR(__xludf.DUMMYFUNCTION("GOOGLETRANSLATE(menuu!B:B,""es"",""en"")"),"Salmon rolls")</f>
        <v>Salmon rolls</v>
      </c>
      <c r="C14" s="4" t="s">
        <v>61</v>
      </c>
      <c r="D14" s="4" t="str">
        <f>IFERROR(__xludf.DUMMYFUNCTION("GOOGLETRANSLATE(menuu!D:D,""es"",""en"")"),"Salmon combo")</f>
        <v>Salmon combo</v>
      </c>
      <c r="E14" s="4" t="str">
        <f>IFERROR(__xludf.DUMMYFUNCTION("GOOGLETRANSLATE(menuu!E:E,""es"",""en"")"),"Phila, New York, New York phila, Maki, Salmon grill, Nigiri, Geisha and Sashimi")</f>
        <v>Phila, New York, New York phila, Maki, Salmon grill, Nigiri, Geisha and Sashimi</v>
      </c>
      <c r="F14" s="4">
        <v>1733.797908440853</v>
      </c>
      <c r="G14" s="4">
        <v>1403.525165640853</v>
      </c>
      <c r="H14" s="4">
        <v>3503.5</v>
      </c>
      <c r="I14" s="4">
        <v>5005.0</v>
      </c>
      <c r="J14" s="4">
        <v>3185.0</v>
      </c>
      <c r="K14" s="4">
        <v>3500.0</v>
      </c>
      <c r="L14" s="4">
        <v>40.0</v>
      </c>
      <c r="N14" s="4">
        <v>1.0</v>
      </c>
      <c r="O14" s="4">
        <v>0.0</v>
      </c>
      <c r="P14" s="4">
        <v>0.0</v>
      </c>
      <c r="Q14" s="4">
        <v>1377.2441831182941</v>
      </c>
      <c r="R14" s="4">
        <v>1.3177153172442488</v>
      </c>
      <c r="S14" s="4">
        <v>1101.7953464946354</v>
      </c>
      <c r="T14" s="4">
        <v>1.0541722537953993</v>
      </c>
      <c r="U14" s="4">
        <v>0.0</v>
      </c>
      <c r="V14" s="4">
        <v>0.0</v>
      </c>
      <c r="W14" s="4">
        <v>537.5240231387205</v>
      </c>
      <c r="X14" s="4">
        <v>0.5142905284035653</v>
      </c>
      <c r="Y14" s="4">
        <v>3850.0000000000005</v>
      </c>
    </row>
    <row r="15">
      <c r="A15" s="4">
        <v>421.0</v>
      </c>
      <c r="B15" s="4" t="str">
        <f>IFERROR(__xludf.DUMMYFUNCTION("GOOGLETRANSLATE(menuu!B:B,""es"",""en"")"),"Premium (crowned)")</f>
        <v>Premium (crowned)</v>
      </c>
      <c r="C15" s="4" t="s">
        <v>63</v>
      </c>
      <c r="D15" s="4" t="str">
        <f>IFERROR(__xludf.DUMMYFUNCTION("GOOGLETRANSLATE(menuu!D:D,""es"",""en"")"),"real avocado roll")</f>
        <v>real avocado roll</v>
      </c>
      <c r="E15" s="4" t="str">
        <f>IFERROR(__xludf.DUMMYFUNCTION("GOOGLETRANSLATE(menuu!E:E,""es"",""en"")"),"Philadelphia, hearts of palm, avocado and tamago wrapped with fine cuts of salmon. Topped with guacamole.")</f>
        <v>Philadelphia, hearts of palm, avocado and tamago wrapped with fine cuts of salmon. Topped with guacamole.</v>
      </c>
      <c r="F15" s="4">
        <v>267.22363494006413</v>
      </c>
      <c r="G15" s="4">
        <v>216.1814837800641</v>
      </c>
      <c r="H15" s="4">
        <v>411.81140000000005</v>
      </c>
      <c r="I15" s="4">
        <v>588.3020000000001</v>
      </c>
      <c r="J15" s="4">
        <v>374.3740000000001</v>
      </c>
      <c r="K15" s="4">
        <v>411.4000000000001</v>
      </c>
      <c r="N15" s="4">
        <v>5.0</v>
      </c>
      <c r="O15" s="4">
        <v>32.014653976025635</v>
      </c>
      <c r="P15" s="4">
        <v>160.07326988012818</v>
      </c>
      <c r="Q15" s="4">
        <v>214.3007301198719</v>
      </c>
      <c r="R15" s="4">
        <v>1.3387664928713725</v>
      </c>
      <c r="S15" s="4">
        <v>171.44058409589752</v>
      </c>
      <c r="T15" s="4">
        <v>1.071013194297098</v>
      </c>
      <c r="U15" s="4">
        <v>112.21642779987184</v>
      </c>
      <c r="V15" s="4">
        <v>0.7010316455952064</v>
      </c>
      <c r="W15" s="4">
        <v>84.16232084990388</v>
      </c>
      <c r="X15" s="4">
        <v>0.5257737341964047</v>
      </c>
      <c r="Y15" s="4">
        <v>452.54000000000013</v>
      </c>
    </row>
    <row r="16">
      <c r="A16" s="4">
        <v>219.0</v>
      </c>
      <c r="B16" s="4" t="str">
        <f>IFERROR(__xludf.DUMMYFUNCTION("GOOGLETRANSLATE(menuu!B:B,""es"",""en"")"),"Salmon rolls")</f>
        <v>Salmon rolls</v>
      </c>
      <c r="C16" s="4" t="s">
        <v>64</v>
      </c>
      <c r="D16" s="4" t="str">
        <f>IFERROR(__xludf.DUMMYFUNCTION("GOOGLETRANSLATE(menuu!D:D,""es"",""en"")"),"Sashimi")</f>
        <v>Sashimi</v>
      </c>
      <c r="E16" s="4" t="str">
        <f>IFERROR(__xludf.DUMMYFUNCTION("GOOGLETRANSLATE(menuu!E:E,""es"",""en"")"),"4 thin cuts of salmon.")</f>
        <v>4 thin cuts of salmon.</v>
      </c>
      <c r="F16" s="4">
        <v>54.95792914402174</v>
      </c>
      <c r="G16" s="4">
        <v>44.449250964021736</v>
      </c>
      <c r="H16" s="4">
        <v>84.78469999999999</v>
      </c>
      <c r="I16" s="4">
        <v>121.121</v>
      </c>
      <c r="J16" s="4">
        <v>77.077</v>
      </c>
      <c r="K16" s="4">
        <v>84.7</v>
      </c>
      <c r="L16" s="4">
        <v>5.0</v>
      </c>
      <c r="N16" s="4">
        <v>1.0</v>
      </c>
      <c r="O16" s="4">
        <v>32.83885828804348</v>
      </c>
      <c r="P16" s="4">
        <v>32.83885828804348</v>
      </c>
      <c r="Q16" s="4">
        <v>44.238141711956516</v>
      </c>
      <c r="R16" s="4">
        <v>1.3471278850173507</v>
      </c>
      <c r="S16" s="4">
        <v>35.39051336956521</v>
      </c>
      <c r="T16" s="4">
        <v>1.0777023080138806</v>
      </c>
      <c r="U16" s="4">
        <v>23.220785351956508</v>
      </c>
      <c r="V16" s="4">
        <v>0.7071130533308193</v>
      </c>
      <c r="W16" s="4">
        <v>17.41558901396738</v>
      </c>
      <c r="X16" s="4">
        <v>0.5303347899981145</v>
      </c>
      <c r="Y16" s="4">
        <v>93.17000000000002</v>
      </c>
    </row>
    <row r="17">
      <c r="A17" s="4">
        <v>221.0</v>
      </c>
      <c r="B17" s="4" t="str">
        <f>IFERROR(__xludf.DUMMYFUNCTION("GOOGLETRANSLATE(menuu!B:B,""es"",""en"")"),"Salmon rolls")</f>
        <v>Salmon rolls</v>
      </c>
      <c r="C17" s="4" t="s">
        <v>65</v>
      </c>
      <c r="D17" s="4" t="str">
        <f>IFERROR(__xludf.DUMMYFUNCTION("GOOGLETRANSLATE(menuu!D:D,""es"",""en"")"),"Sashimi grill")</f>
        <v>Sashimi grill</v>
      </c>
      <c r="E17" s="4" t="str">
        <f>IFERROR(__xludf.DUMMYFUNCTION("GOOGLETRANSLATE(menuu!E:E,""es"",""en"")"),"4 thin cuts of salmon with sealed sesame.")</f>
        <v>4 thin cuts of salmon with sealed sesame.</v>
      </c>
      <c r="F17" s="4">
        <v>54.95792914402174</v>
      </c>
      <c r="G17" s="4">
        <v>44.449250964021736</v>
      </c>
      <c r="H17" s="4">
        <v>84.78469999999999</v>
      </c>
      <c r="I17" s="4">
        <v>121.121</v>
      </c>
      <c r="J17" s="4">
        <v>77.077</v>
      </c>
      <c r="K17" s="4">
        <v>84.7</v>
      </c>
      <c r="N17" s="4">
        <v>1.0</v>
      </c>
      <c r="O17" s="4">
        <v>32.83885828804348</v>
      </c>
      <c r="P17" s="4">
        <v>32.83885828804348</v>
      </c>
      <c r="Q17" s="4">
        <v>44.238141711956516</v>
      </c>
      <c r="R17" s="4">
        <v>1.3471278850173507</v>
      </c>
      <c r="S17" s="4">
        <v>35.39051336956521</v>
      </c>
      <c r="T17" s="4">
        <v>1.0777023080138806</v>
      </c>
      <c r="U17" s="4">
        <v>23.220785351956508</v>
      </c>
      <c r="V17" s="4">
        <v>0.7071130533308193</v>
      </c>
      <c r="W17" s="4">
        <v>17.41558901396738</v>
      </c>
      <c r="X17" s="4">
        <v>0.5303347899981145</v>
      </c>
      <c r="Y17" s="4">
        <v>93.17000000000002</v>
      </c>
    </row>
    <row r="18">
      <c r="A18" s="4">
        <v>426.0</v>
      </c>
      <c r="B18" s="4" t="str">
        <f>IFERROR(__xludf.DUMMYFUNCTION("GOOGLETRANSLATE(menuu!B:B,""es"",""en"")"),"Premium (crowned)")</f>
        <v>Premium (crowned)</v>
      </c>
      <c r="C18" s="4" t="s">
        <v>66</v>
      </c>
      <c r="D18" s="4" t="str">
        <f>IFERROR(__xludf.DUMMYFUNCTION("GOOGLETRANSLATE(menuu!D:D,""es"",""en"")"),"Kodiak Combo (62 pieces)")</f>
        <v>Kodiak Combo (62 pieces)</v>
      </c>
      <c r="E18" s="4" t="str">
        <f>IFERROR(__xludf.DUMMYFUNCTION("GOOGLETRANSLATE(menuu!E:E,""es"",""en"")"),"Sashimi, Geisha, Tropical, tataki, mexican, Soul, Real pleasure")</f>
        <v>Sashimi, Geisha, Tropical, tataki, mexican, Soul, Real pleasure</v>
      </c>
      <c r="F18" s="4">
        <v>2384.5250461301384</v>
      </c>
      <c r="G18" s="4">
        <v>1919.290850704138</v>
      </c>
      <c r="H18" s="4">
        <v>3753.53979</v>
      </c>
      <c r="I18" s="4">
        <v>5362.1997</v>
      </c>
      <c r="J18" s="4">
        <v>3412.3089000000004</v>
      </c>
      <c r="K18" s="4">
        <v>3749.7900000000004</v>
      </c>
      <c r="N18" s="4">
        <v>1.0</v>
      </c>
      <c r="O18" s="4">
        <v>1356.7411922602762</v>
      </c>
      <c r="P18" s="4">
        <v>1356.7411922602762</v>
      </c>
      <c r="Q18" s="4">
        <v>2055.567707739724</v>
      </c>
      <c r="R18" s="4">
        <v>1.5150772449941106</v>
      </c>
      <c r="S18" s="4">
        <v>1644.4541661917792</v>
      </c>
      <c r="T18" s="4">
        <v>1.2120617959952884</v>
      </c>
      <c r="U18" s="4">
        <v>1125.0993168877237</v>
      </c>
      <c r="V18" s="4">
        <v>0.8292659818291163</v>
      </c>
      <c r="W18" s="4">
        <v>843.8244876657927</v>
      </c>
      <c r="X18" s="4">
        <v>0.6219494863718371</v>
      </c>
      <c r="Y18" s="4">
        <v>4124.769000000001</v>
      </c>
    </row>
    <row r="19">
      <c r="A19" s="4">
        <v>429.0</v>
      </c>
      <c r="B19" s="4" t="str">
        <f>IFERROR(__xludf.DUMMYFUNCTION("GOOGLETRANSLATE(menuu!B:B,""es"",""en"")"),"Premium (crowned)")</f>
        <v>Premium (crowned)</v>
      </c>
      <c r="C19" s="4" t="s">
        <v>68</v>
      </c>
      <c r="D19" s="4" t="str">
        <f>IFERROR(__xludf.DUMMYFUNCTION("GOOGLETRANSLATE(menuu!D:D,""es"",""en"")"),"Californian Malibu Combo (47 pieces)")</f>
        <v>Californian Malibu Combo (47 pieces)</v>
      </c>
      <c r="E19" s="4" t="str">
        <f>IFERROR(__xludf.DUMMYFUNCTION("GOOGLETRANSLATE(menuu!E:E,""es"",""en"")"),"Sashimi, Avocado Real, Avocado Roll, Tropical Tamago, Ibiza and Buenos Aires + 2 Wantan as a gift!")</f>
        <v>Sashimi, Avocado Real, Avocado Roll, Tropical Tamago, Ibiza and Buenos Aires + 2 Wantan as a gift!</v>
      </c>
      <c r="F19" s="4">
        <v>1903.2644110937076</v>
      </c>
      <c r="G19" s="4">
        <v>1512.9420786937071</v>
      </c>
      <c r="H19" s="4">
        <v>3149.146</v>
      </c>
      <c r="I19" s="4">
        <v>4498.780000000001</v>
      </c>
      <c r="J19" s="4">
        <v>2862.860000000001</v>
      </c>
      <c r="K19" s="4">
        <v>3146.000000000001</v>
      </c>
      <c r="N19" s="4">
        <v>1.0</v>
      </c>
      <c r="O19" s="4">
        <v>943.6688221874142</v>
      </c>
      <c r="P19" s="4">
        <v>943.6688221874142</v>
      </c>
      <c r="Q19" s="4">
        <v>1919.1911778125868</v>
      </c>
      <c r="R19" s="4">
        <v>2.0337549918878555</v>
      </c>
      <c r="S19" s="4">
        <v>1535.3529422500696</v>
      </c>
      <c r="T19" s="4">
        <v>1.6270039935102847</v>
      </c>
      <c r="U19" s="4">
        <v>1138.5465130125858</v>
      </c>
      <c r="V19" s="4">
        <v>1.2065106806998744</v>
      </c>
      <c r="W19" s="4">
        <v>853.9098847594394</v>
      </c>
      <c r="X19" s="4">
        <v>0.9048830105249057</v>
      </c>
      <c r="Y19" s="4">
        <v>3460.6000000000013</v>
      </c>
    </row>
    <row r="20">
      <c r="A20" s="4">
        <v>214.0</v>
      </c>
      <c r="B20" s="4" t="str">
        <f>IFERROR(__xludf.DUMMYFUNCTION("GOOGLETRANSLATE(menuu!B:B,""es"",""en"")"),"Salmon rolls")</f>
        <v>Salmon rolls</v>
      </c>
      <c r="C20" s="4" t="s">
        <v>70</v>
      </c>
      <c r="D20" s="4" t="str">
        <f>IFERROR(__xludf.DUMMYFUNCTION("GOOGLETRANSLATE(menuu!D:D,""es"",""en"")"),"Salmon grill roll")</f>
        <v>Salmon grill roll</v>
      </c>
      <c r="E20" s="4" t="str">
        <f>IFERROR(__xludf.DUMMYFUNCTION("GOOGLETRANSLATE(menuu!E:E,""es"",""en"")"),"Grilled salmon, philadelphia and green.")</f>
        <v>Grilled salmon, philadelphia and green.</v>
      </c>
      <c r="F20" s="4">
        <v>352.6636988745812</v>
      </c>
      <c r="G20" s="4">
        <v>285.1079105745812</v>
      </c>
      <c r="H20" s="4">
        <v>545.0445000000001</v>
      </c>
      <c r="I20" s="4">
        <v>778.6350000000001</v>
      </c>
      <c r="J20" s="4">
        <v>495.4950000000001</v>
      </c>
      <c r="K20" s="4">
        <v>544.5000000000001</v>
      </c>
      <c r="L20" s="4">
        <v>12.0</v>
      </c>
      <c r="N20" s="4">
        <v>10.0</v>
      </c>
      <c r="O20" s="4">
        <v>20.98323977491623</v>
      </c>
      <c r="P20" s="4">
        <v>209.83239774916228</v>
      </c>
      <c r="Q20" s="4">
        <v>285.66260225083784</v>
      </c>
      <c r="R20" s="4">
        <v>1.3613846351425887</v>
      </c>
      <c r="S20" s="4">
        <v>228.53008180067027</v>
      </c>
      <c r="T20" s="4">
        <v>1.089107708114071</v>
      </c>
      <c r="U20" s="4">
        <v>150.5510256508378</v>
      </c>
      <c r="V20" s="4">
        <v>0.7174822728319076</v>
      </c>
      <c r="W20" s="4">
        <v>112.91326923812835</v>
      </c>
      <c r="X20" s="4">
        <v>0.5381117046239307</v>
      </c>
      <c r="Y20" s="4">
        <v>598.9500000000002</v>
      </c>
    </row>
    <row r="21" ht="15.75" customHeight="1">
      <c r="A21" s="4">
        <v>202.0</v>
      </c>
      <c r="B21" s="4" t="str">
        <f>IFERROR(__xludf.DUMMYFUNCTION("GOOGLETRANSLATE(menuu!B:B,""es"",""en"")"),"Salmon rolls")</f>
        <v>Salmon rolls</v>
      </c>
      <c r="C21" s="4" t="s">
        <v>73</v>
      </c>
      <c r="D21" s="4" t="str">
        <f>IFERROR(__xludf.DUMMYFUNCTION("GOOGLETRANSLATE(menuu!D:D,""es"",""en"")"),"Maki phila roll")</f>
        <v>Maki phila roll</v>
      </c>
      <c r="E21" s="4" t="str">
        <f>IFERROR(__xludf.DUMMYFUNCTION("GOOGLETRANSLATE(menuu!E:E,""es"",""en"")"),"Rice inside, salmon, philadelphia and seaweed on the outside.")</f>
        <v>Rice inside, salmon, philadelphia and seaweed on the outside.</v>
      </c>
      <c r="F21" s="4">
        <v>352.607132612971</v>
      </c>
      <c r="G21" s="4">
        <v>285.05134431297097</v>
      </c>
      <c r="H21" s="4">
        <v>545.0445000000001</v>
      </c>
      <c r="I21" s="4">
        <v>778.6350000000001</v>
      </c>
      <c r="J21" s="4">
        <v>495.4950000000001</v>
      </c>
      <c r="K21" s="4">
        <v>544.5000000000001</v>
      </c>
      <c r="L21" s="4">
        <v>12.0</v>
      </c>
      <c r="N21" s="4">
        <v>10.0</v>
      </c>
      <c r="O21" s="4">
        <v>20.97192652259418</v>
      </c>
      <c r="P21" s="4">
        <v>209.7192652259418</v>
      </c>
      <c r="Q21" s="4">
        <v>285.7757347740583</v>
      </c>
      <c r="R21" s="4">
        <v>1.362658478066747</v>
      </c>
      <c r="S21" s="4">
        <v>228.62058781924668</v>
      </c>
      <c r="T21" s="4">
        <v>1.0901267824533978</v>
      </c>
      <c r="U21" s="4">
        <v>150.6641581740583</v>
      </c>
      <c r="V21" s="4">
        <v>0.7184087642675064</v>
      </c>
      <c r="W21" s="4">
        <v>112.99811863054371</v>
      </c>
      <c r="X21" s="4">
        <v>0.5388065732006299</v>
      </c>
      <c r="Y21" s="4">
        <v>598.9500000000002</v>
      </c>
    </row>
    <row r="22" ht="15.75" customHeight="1">
      <c r="A22" s="4">
        <v>425.0</v>
      </c>
      <c r="B22" s="4" t="str">
        <f>IFERROR(__xludf.DUMMYFUNCTION("GOOGLETRANSLATE(menuu!B:B,""es"",""en"")"),"Premium (crowned)")</f>
        <v>Premium (crowned)</v>
      </c>
      <c r="C22" s="4" t="s">
        <v>76</v>
      </c>
      <c r="D22" s="4" t="str">
        <f>IFERROR(__xludf.DUMMYFUNCTION("GOOGLETRANSLATE(menuu!D:D,""es"",""en"")"),"Kodiak Combo (47 pieces)")</f>
        <v>Kodiak Combo (47 pieces)</v>
      </c>
      <c r="E22" s="4" t="str">
        <f>IFERROR(__xludf.DUMMYFUNCTION("GOOGLETRANSLATE(menuu!E:E,""es"",""en"")"),"Sashimi, Geisha, Tropical, tataki, mexican, Soul, Real pleasure")</f>
        <v>Sashimi, Geisha, Tropical, tataki, mexican, Soul, Real pleasure</v>
      </c>
      <c r="F22" s="4">
        <v>1802.9926453923051</v>
      </c>
      <c r="G22" s="4">
        <v>1457.8576291663048</v>
      </c>
      <c r="H22" s="4">
        <v>2784.57179</v>
      </c>
      <c r="I22" s="4">
        <v>3977.9597000000003</v>
      </c>
      <c r="J22" s="4">
        <v>2531.4289000000003</v>
      </c>
      <c r="K22" s="4">
        <v>2781.7900000000004</v>
      </c>
      <c r="N22" s="4">
        <v>1.0</v>
      </c>
      <c r="O22" s="4">
        <v>1074.55639078461</v>
      </c>
      <c r="P22" s="4">
        <v>1074.55639078461</v>
      </c>
      <c r="Q22" s="4">
        <v>1456.8725092153904</v>
      </c>
      <c r="R22" s="4">
        <v>1.3557897209578964</v>
      </c>
      <c r="S22" s="4">
        <v>1165.4980073723125</v>
      </c>
      <c r="T22" s="4">
        <v>1.0846317767663172</v>
      </c>
      <c r="U22" s="4">
        <v>766.6024767633899</v>
      </c>
      <c r="V22" s="4">
        <v>0.7134129798470967</v>
      </c>
      <c r="W22" s="4">
        <v>574.9518575725424</v>
      </c>
      <c r="X22" s="4">
        <v>0.5350597348853225</v>
      </c>
      <c r="Y22" s="4">
        <v>3059.9690000000005</v>
      </c>
    </row>
    <row r="23" ht="15.75" customHeight="1">
      <c r="A23" s="4">
        <v>430.0</v>
      </c>
      <c r="B23" s="4" t="str">
        <f>IFERROR(__xludf.DUMMYFUNCTION("GOOGLETRANSLATE(menuu!B:B,""es"",""en"")"),"Premium (crowned)")</f>
        <v>Premium (crowned)</v>
      </c>
      <c r="C23" s="4" t="s">
        <v>77</v>
      </c>
      <c r="D23" s="4" t="str">
        <f>IFERROR(__xludf.DUMMYFUNCTION("GOOGLETRANSLATE(menuu!D:D,""es"",""en"")"),"Californian Malibu Combo (62 pieces)")</f>
        <v>Californian Malibu Combo (62 pieces)</v>
      </c>
      <c r="E23" s="4" t="str">
        <f>IFERROR(__xludf.DUMMYFUNCTION("GOOGLETRANSLATE(menuu!E:E,""es"",""en"")"),"Sashimi, Avocado Real, Avocado Roll, Tropical Tamago, Ibiza and Buenos Aires + 2 Wantan as a gift!")</f>
        <v>Sashimi, Avocado Real, Avocado Roll, Tropical Tamago, Ibiza and Buenos Aires + 2 Wantan as a gift!</v>
      </c>
      <c r="F23" s="4">
        <v>2572.6115159143947</v>
      </c>
      <c r="G23" s="4">
        <v>2077.2024017143945</v>
      </c>
      <c r="H23" s="4">
        <v>3996.9930000000004</v>
      </c>
      <c r="I23" s="4">
        <v>5709.990000000001</v>
      </c>
      <c r="J23" s="4">
        <v>3633.630000000001</v>
      </c>
      <c r="K23" s="4">
        <v>3993.000000000001</v>
      </c>
      <c r="N23" s="4">
        <v>1.0</v>
      </c>
      <c r="O23" s="4">
        <v>0.0</v>
      </c>
      <c r="P23" s="4">
        <v>1511.5930318287885</v>
      </c>
      <c r="Q23" s="4">
        <v>2122.0369681712127</v>
      </c>
      <c r="R23" s="4">
        <v>1.4038414596314217</v>
      </c>
      <c r="S23" s="4">
        <v>1697.6295745369703</v>
      </c>
      <c r="T23" s="4">
        <v>1.1230731677051375</v>
      </c>
      <c r="U23" s="4">
        <v>1131.2187397712116</v>
      </c>
      <c r="V23" s="4">
        <v>0.7483619704191252</v>
      </c>
      <c r="W23" s="4">
        <v>848.4140548284088</v>
      </c>
      <c r="X23" s="4">
        <v>0.5612714778143439</v>
      </c>
      <c r="Y23" s="4">
        <v>4392.300000000001</v>
      </c>
    </row>
    <row r="24" ht="15.75" customHeight="1">
      <c r="A24" s="4">
        <v>432.0</v>
      </c>
      <c r="B24" s="4" t="str">
        <f>IFERROR(__xludf.DUMMYFUNCTION("GOOGLETRANSLATE(menuu!B:B,""es"",""en"")"),"Premium (crowned)")</f>
        <v>Premium (crowned)</v>
      </c>
      <c r="C24" s="4" t="s">
        <v>78</v>
      </c>
      <c r="D24" s="4" t="str">
        <f>IFERROR(__xludf.DUMMYFUNCTION("GOOGLETRANSLATE(menuu!D:D,""es"",""en"")"),"Summer loyal combo (32 pieces)")</f>
        <v>Summer loyal combo (32 pieces)</v>
      </c>
      <c r="E24" s="4" t="str">
        <f>IFERROR(__xludf.DUMMYFUNCTION("GOOGLETRANSLATE(menuu!E:E,""es"",""en"")")," Avocado roll, Silk roll, Phill crunchy tamago roll, real avocado, geishas and Sashimis")</f>
        <v> Avocado roll, Silk roll, Phill crunchy tamago roll, real avocado, geishas and Sashimis</v>
      </c>
      <c r="F24" s="4">
        <v>1318.107400668035</v>
      </c>
      <c r="G24" s="4">
        <v>1055.390446168035</v>
      </c>
      <c r="H24" s="4">
        <v>2119.6175000000003</v>
      </c>
      <c r="I24" s="4">
        <v>3028.0250000000005</v>
      </c>
      <c r="J24" s="4">
        <v>1926.9250000000004</v>
      </c>
      <c r="K24" s="4">
        <v>2117.5000000000005</v>
      </c>
      <c r="N24" s="4">
        <v>1.0</v>
      </c>
      <c r="O24" s="4">
        <v>709.28980133607</v>
      </c>
      <c r="P24" s="4">
        <v>709.28980133607</v>
      </c>
      <c r="Q24" s="4">
        <v>1217.6351986639304</v>
      </c>
      <c r="R24" s="4">
        <v>1.7166963297234838</v>
      </c>
      <c r="S24" s="4">
        <v>974.1081589311443</v>
      </c>
      <c r="T24" s="4">
        <v>1.373357063778787</v>
      </c>
      <c r="U24" s="4">
        <v>692.2012896639301</v>
      </c>
      <c r="V24" s="4">
        <v>0.975907574534484</v>
      </c>
      <c r="W24" s="4">
        <v>519.1509672479476</v>
      </c>
      <c r="X24" s="4">
        <v>0.7319306809008631</v>
      </c>
      <c r="Y24" s="4">
        <v>2329.250000000001</v>
      </c>
    </row>
    <row r="25" ht="15.75" customHeight="1">
      <c r="A25" s="4">
        <v>405.0</v>
      </c>
      <c r="B25" s="4" t="str">
        <f>IFERROR(__xludf.DUMMYFUNCTION("GOOGLETRANSLATE(menuu!B:B,""es"",""en"")"),"Premium (crowned)")</f>
        <v>Premium (crowned)</v>
      </c>
      <c r="C25" s="4" t="s">
        <v>79</v>
      </c>
      <c r="D25" s="4" t="str">
        <f>IFERROR(__xludf.DUMMYFUNCTION("GOOGLETRANSLATE(menuu!D:D,""es"",""en"")"),"Real roll pleasure")</f>
        <v>Real roll pleasure</v>
      </c>
      <c r="E25" s="4" t="str">
        <f>IFERROR(__xludf.DUMMYFUNCTION("GOOGLETRANSLATE(menuu!E:E,""es"",""en"")"),"Philadelphia, hearts of palm, avocado and tamago wrapped with fine cuts of salmon. Topped with passion fruit sauce and crispy sweet potato.")</f>
        <v>Philadelphia, hearts of palm, avocado and tamago wrapped with fine cuts of salmon. Topped with passion fruit sauce and crispy sweet potato.</v>
      </c>
      <c r="F25" s="4">
        <v>264.1617724400641</v>
      </c>
      <c r="G25" s="4">
        <v>213.1196212800641</v>
      </c>
      <c r="H25" s="4">
        <v>411.81140000000005</v>
      </c>
      <c r="I25" s="4">
        <v>588.3020000000001</v>
      </c>
      <c r="J25" s="4">
        <v>374.3740000000001</v>
      </c>
      <c r="K25" s="4">
        <v>411.4000000000001</v>
      </c>
      <c r="L25" s="4">
        <v>6.0</v>
      </c>
      <c r="N25" s="4">
        <v>5.0</v>
      </c>
      <c r="O25" s="4">
        <v>30.789908976025636</v>
      </c>
      <c r="P25" s="4">
        <v>153.94954488012817</v>
      </c>
      <c r="Q25" s="4">
        <v>220.4244551198719</v>
      </c>
      <c r="R25" s="4">
        <v>1.4317967311400888</v>
      </c>
      <c r="S25" s="4">
        <v>176.33956409589754</v>
      </c>
      <c r="T25" s="4">
        <v>1.1454373849120711</v>
      </c>
      <c r="U25" s="4">
        <v>118.34015279987184</v>
      </c>
      <c r="V25" s="4">
        <v>0.7686943984928091</v>
      </c>
      <c r="W25" s="4">
        <v>88.75511459990389</v>
      </c>
      <c r="X25" s="4">
        <v>0.5765207988696068</v>
      </c>
      <c r="Y25" s="4">
        <v>452.54000000000013</v>
      </c>
    </row>
    <row r="26" ht="15.75" customHeight="1">
      <c r="A26" s="4">
        <v>424.0</v>
      </c>
      <c r="B26" s="4" t="str">
        <f>IFERROR(__xludf.DUMMYFUNCTION("GOOGLETRANSLATE(menuu!B:B,""es"",""en"")"),"Premium (crowned)")</f>
        <v>Premium (crowned)</v>
      </c>
      <c r="C26" s="4" t="s">
        <v>80</v>
      </c>
      <c r="D26" s="4" t="str">
        <f>IFERROR(__xludf.DUMMYFUNCTION("GOOGLETRANSLATE(menuu!D:D,""es"",""en"")"),"Kodiak Combo (32 pieces)")</f>
        <v>Kodiak Combo (32 pieces)</v>
      </c>
      <c r="E26" s="4" t="str">
        <f>IFERROR(__xludf.DUMMYFUNCTION("GOOGLETRANSLATE(menuu!E:E,""es"",""en"")"),"Sashimi, Geisha, Tropical, tataki, mexican, Soul, Real pleasure")</f>
        <v>Sashimi, Geisha, Tropical, tataki, mexican, Soul, Real pleasure</v>
      </c>
      <c r="F26" s="4">
        <v>1338.0010245204976</v>
      </c>
      <c r="G26" s="4">
        <v>1075.2840700204977</v>
      </c>
      <c r="H26" s="4">
        <v>2119.6175000000003</v>
      </c>
      <c r="I26" s="4">
        <v>3028.0250000000005</v>
      </c>
      <c r="J26" s="4">
        <v>1926.9250000000004</v>
      </c>
      <c r="K26" s="4">
        <v>2117.5000000000005</v>
      </c>
      <c r="N26" s="4">
        <v>1.0</v>
      </c>
      <c r="O26" s="4">
        <v>749.0770490409951</v>
      </c>
      <c r="P26" s="4">
        <v>749.0770490409951</v>
      </c>
      <c r="Q26" s="4">
        <v>1177.8479509590052</v>
      </c>
      <c r="R26" s="4">
        <v>1.5723989307467683</v>
      </c>
      <c r="S26" s="4">
        <v>942.2783607672042</v>
      </c>
      <c r="T26" s="4">
        <v>1.2579191445974145</v>
      </c>
      <c r="U26" s="4">
        <v>652.414041959005</v>
      </c>
      <c r="V26" s="4">
        <v>0.8709571903107393</v>
      </c>
      <c r="W26" s="4">
        <v>489.31053146925376</v>
      </c>
      <c r="X26" s="4">
        <v>0.6532178927330545</v>
      </c>
      <c r="Y26" s="4">
        <v>2329.250000000001</v>
      </c>
    </row>
    <row r="27" ht="15.75" customHeight="1">
      <c r="A27" s="4">
        <v>504.0</v>
      </c>
      <c r="B27" s="4" t="str">
        <f>IFERROR(__xludf.DUMMYFUNCTION("GOOGLETRANSLATE(menuu!B:B,""es"",""en"")"),"Vegetarians")</f>
        <v>Vegetarians</v>
      </c>
      <c r="C27" s="4" t="s">
        <v>82</v>
      </c>
      <c r="D27" s="4" t="str">
        <f>IFERROR(__xludf.DUMMYFUNCTION("GOOGLETRANSLATE(menuu!D:D,""es"",""en"")"),"Handle roll")</f>
        <v>Handle roll</v>
      </c>
      <c r="E27" s="4" t="str">
        <f>IFERROR(__xludf.DUMMYFUNCTION("GOOGLETRANSLATE(menuu!E:E,""es"",""en"")"),"Philadelphia, avocado wrapped in mango, bathed in passion fruit sauce and crispy red sweet potato.")</f>
        <v>Philadelphia, avocado wrapped in mango, bathed in passion fruit sauce and crispy red sweet potato.</v>
      </c>
      <c r="F27" s="4">
        <v>263.55668942136674</v>
      </c>
      <c r="G27" s="4">
        <v>201.31472683606424</v>
      </c>
      <c r="H27" s="4">
        <v>502.1722080374999</v>
      </c>
      <c r="I27" s="4">
        <v>717.3888686249999</v>
      </c>
      <c r="J27" s="4">
        <v>456.52018912499994</v>
      </c>
      <c r="K27" s="4">
        <v>501.6705374999999</v>
      </c>
      <c r="N27" s="4">
        <v>10.0</v>
      </c>
      <c r="O27" s="4">
        <v>7.0593189717733535</v>
      </c>
      <c r="P27" s="4">
        <v>70.59318971773354</v>
      </c>
      <c r="Q27" s="4">
        <v>385.9269994072664</v>
      </c>
      <c r="R27" s="4">
        <v>1.464303563133082</v>
      </c>
      <c r="S27" s="4">
        <v>308.74159952581317</v>
      </c>
      <c r="T27" s="4">
        <v>4.373532358578989</v>
      </c>
      <c r="U27" s="4">
        <v>261.4430742366614</v>
      </c>
      <c r="V27" s="4">
        <v>3.7035169438020867</v>
      </c>
      <c r="W27" s="4">
        <v>196.08230567749604</v>
      </c>
      <c r="X27" s="4">
        <v>2.777637707851565</v>
      </c>
      <c r="Y27" s="4">
        <v>551.83759125</v>
      </c>
    </row>
    <row r="28" ht="15.75" customHeight="1">
      <c r="A28" s="4">
        <v>203.0</v>
      </c>
      <c r="B28" s="4" t="str">
        <f>IFERROR(__xludf.DUMMYFUNCTION("GOOGLETRANSLATE(menuu!B:B,""es"",""en"")"),"Salmon rolls")</f>
        <v>Salmon rolls</v>
      </c>
      <c r="C28" s="4" t="s">
        <v>85</v>
      </c>
      <c r="D28" s="4" t="str">
        <f>IFERROR(__xludf.DUMMYFUNCTION("GOOGLETRANSLATE(menuu!D:D,""es"",""en"")"),"maki roll")</f>
        <v>maki roll</v>
      </c>
      <c r="E28" s="4" t="str">
        <f>IFERROR(__xludf.DUMMYFUNCTION("GOOGLETRANSLATE(menuu!E:E,""es"",""en"")"),"Rice inside, salmon and seaweed on the outside.")</f>
        <v>Rice inside, salmon and seaweed on the outside.</v>
      </c>
      <c r="F28" s="4">
        <v>189.4137038064855</v>
      </c>
      <c r="G28" s="4">
        <v>152.63333017648546</v>
      </c>
      <c r="H28" s="4">
        <v>296.74645000000004</v>
      </c>
      <c r="I28" s="4">
        <v>423.92350000000005</v>
      </c>
      <c r="J28" s="4">
        <v>269.76950000000005</v>
      </c>
      <c r="K28" s="4">
        <v>296.45000000000005</v>
      </c>
      <c r="L28" s="4">
        <v>6.0</v>
      </c>
      <c r="N28" s="4">
        <v>5.0</v>
      </c>
      <c r="O28" s="4">
        <v>21.81158152259418</v>
      </c>
      <c r="P28" s="4">
        <v>109.05790761297091</v>
      </c>
      <c r="Q28" s="4">
        <v>160.71159238702916</v>
      </c>
      <c r="R28" s="4">
        <v>1.4736353915515135</v>
      </c>
      <c r="S28" s="4">
        <v>128.56927390962332</v>
      </c>
      <c r="T28" s="4">
        <v>1.1789083132412106</v>
      </c>
      <c r="U28" s="4">
        <v>87.15084512702911</v>
      </c>
      <c r="V28" s="4">
        <v>0.7991244929832465</v>
      </c>
      <c r="W28" s="4">
        <v>65.36313384527183</v>
      </c>
      <c r="X28" s="4">
        <v>0.5993433697374349</v>
      </c>
      <c r="Y28" s="4">
        <v>326.0950000000001</v>
      </c>
    </row>
    <row r="29" ht="15.75" customHeight="1">
      <c r="A29" s="4">
        <v>506.0</v>
      </c>
      <c r="B29" s="4" t="str">
        <f>IFERROR(__xludf.DUMMYFUNCTION("GOOGLETRANSLATE(menuu!B:B,""es"",""en"")"),"Vegetarians")</f>
        <v>Vegetarians</v>
      </c>
      <c r="C29" s="4" t="s">
        <v>86</v>
      </c>
      <c r="D29" s="4" t="str">
        <f>IFERROR(__xludf.DUMMYFUNCTION("GOOGLETRANSLATE(menuu!D:D,""es"",""en"")"),"Cucumber roll")</f>
        <v>Cucumber roll</v>
      </c>
      <c r="E29" s="4" t="str">
        <f>IFERROR(__xludf.DUMMYFUNCTION("GOOGLETRANSLATE(menuu!E:E,""es"",""en"")"),"Philadelphia, avocado, wrapped in cucumber and topped with crispy red sweet potato. Bathed with teriyaki sauce.")</f>
        <v>Philadelphia, avocado, wrapped in cucumber and topped with crispy red sweet potato. Bathed with teriyaki sauce.</v>
      </c>
      <c r="F29" s="4">
        <v>261.63061910886677</v>
      </c>
      <c r="G29" s="4">
        <v>199.38865652356424</v>
      </c>
      <c r="H29" s="4">
        <v>502.1722080374999</v>
      </c>
      <c r="I29" s="4">
        <v>717.3888686249999</v>
      </c>
      <c r="J29" s="4">
        <v>456.52018912499994</v>
      </c>
      <c r="K29" s="4">
        <v>501.6705374999999</v>
      </c>
      <c r="N29" s="4">
        <v>10.0</v>
      </c>
      <c r="O29" s="4">
        <v>6.674104909273355</v>
      </c>
      <c r="P29" s="4">
        <v>66.74104909273355</v>
      </c>
      <c r="Q29" s="4">
        <v>389.7791400322664</v>
      </c>
      <c r="R29" s="4">
        <v>1.4898070468964335</v>
      </c>
      <c r="S29" s="4">
        <v>311.82331202581315</v>
      </c>
      <c r="T29" s="4">
        <v>4.672136807327516</v>
      </c>
      <c r="U29" s="4">
        <v>265.2952148616614</v>
      </c>
      <c r="V29" s="4">
        <v>3.974993178381811</v>
      </c>
      <c r="W29" s="4">
        <v>198.97141114624606</v>
      </c>
      <c r="X29" s="4">
        <v>2.981244883786358</v>
      </c>
      <c r="Y29" s="4">
        <v>551.83759125</v>
      </c>
    </row>
    <row r="30" ht="15.75" customHeight="1">
      <c r="A30" s="4">
        <v>503.0</v>
      </c>
      <c r="B30" s="4" t="str">
        <f>IFERROR(__xludf.DUMMYFUNCTION("GOOGLETRANSLATE(menuu!B:B,""es"",""en"")"),"Vegetarians")</f>
        <v>Vegetarians</v>
      </c>
      <c r="C30" s="4" t="s">
        <v>89</v>
      </c>
      <c r="D30" s="4" t="str">
        <f>IFERROR(__xludf.DUMMYFUNCTION("GOOGLETRANSLATE(menuu!D:D,""es"",""en"")"),"Handle roll")</f>
        <v>Handle roll</v>
      </c>
      <c r="E30" s="4" t="str">
        <f>IFERROR(__xludf.DUMMYFUNCTION("GOOGLETRANSLATE(menuu!E:E,""es"",""en"")"),"Philadelphia, avocado wrapped in mango, bathed in passion fruit sauce and crispy red sweet potato.")</f>
        <v>Philadelphia, avocado wrapped in mango, bathed in passion fruit sauce and crispy red sweet potato.</v>
      </c>
      <c r="F30" s="4">
        <v>142.15380355443338</v>
      </c>
      <c r="G30" s="4">
        <v>108.20364214426834</v>
      </c>
      <c r="H30" s="4">
        <v>273.9121134749999</v>
      </c>
      <c r="I30" s="4">
        <v>391.3030192499999</v>
      </c>
      <c r="J30" s="4">
        <v>249.01101225</v>
      </c>
      <c r="K30" s="4">
        <v>273.63847499999997</v>
      </c>
      <c r="N30" s="4">
        <v>5.0</v>
      </c>
      <c r="O30" s="4">
        <v>7.0593189717733535</v>
      </c>
      <c r="P30" s="4">
        <v>35.29659485886677</v>
      </c>
      <c r="Q30" s="4">
        <v>213.71441739113322</v>
      </c>
      <c r="R30" s="4">
        <v>1.5034027373688803</v>
      </c>
      <c r="S30" s="4">
        <v>170.97153391290658</v>
      </c>
      <c r="T30" s="4">
        <v>4.843853482086169</v>
      </c>
      <c r="U30" s="4">
        <v>145.81409457080315</v>
      </c>
      <c r="V30" s="4">
        <v>4.1311093932386385</v>
      </c>
      <c r="W30" s="4">
        <v>109.36057092810236</v>
      </c>
      <c r="X30" s="4">
        <v>3.098332044928979</v>
      </c>
      <c r="Y30" s="4">
        <v>301.0023225</v>
      </c>
    </row>
    <row r="31" ht="15.75" customHeight="1">
      <c r="A31" s="4">
        <v>505.0</v>
      </c>
      <c r="B31" s="4" t="str">
        <f>IFERROR(__xludf.DUMMYFUNCTION("GOOGLETRANSLATE(menuu!B:B,""es"",""en"")"),"Vegetarians")</f>
        <v>Vegetarians</v>
      </c>
      <c r="C31" s="4" t="s">
        <v>90</v>
      </c>
      <c r="D31" s="4" t="str">
        <f>IFERROR(__xludf.DUMMYFUNCTION("GOOGLETRANSLATE(menuu!D:D,""es"",""en"")"),"Cucumber roll")</f>
        <v>Cucumber roll</v>
      </c>
      <c r="E31" s="4" t="str">
        <f>IFERROR(__xludf.DUMMYFUNCTION("GOOGLETRANSLATE(menuu!E:E,""es"",""en"")"),"Philadelphia, avocado, wrapped in cucumber and topped with crispy red sweet potato. Bathed with teriyaki sauce.")</f>
        <v>Philadelphia, avocado, wrapped in cucumber and topped with crispy red sweet potato. Bathed with teriyaki sauce.</v>
      </c>
      <c r="F31" s="4">
        <v>141.1907683981834</v>
      </c>
      <c r="G31" s="4">
        <v>107.24060698801836</v>
      </c>
      <c r="H31" s="4">
        <v>273.9121134749999</v>
      </c>
      <c r="I31" s="4">
        <v>391.3030192499999</v>
      </c>
      <c r="J31" s="4">
        <v>249.01101225</v>
      </c>
      <c r="K31" s="4">
        <v>273.63847499999997</v>
      </c>
      <c r="N31" s="4">
        <v>5.0</v>
      </c>
      <c r="O31" s="4">
        <v>6.674104909273355</v>
      </c>
      <c r="P31" s="4">
        <v>33.370524546366774</v>
      </c>
      <c r="Q31" s="4">
        <v>215.64048770363323</v>
      </c>
      <c r="R31" s="4">
        <v>1.5272987756217051</v>
      </c>
      <c r="S31" s="4">
        <v>172.5123901629066</v>
      </c>
      <c r="T31" s="4">
        <v>5.169603789811837</v>
      </c>
      <c r="U31" s="4">
        <v>147.74016488330315</v>
      </c>
      <c r="V31" s="4">
        <v>4.427265285507429</v>
      </c>
      <c r="W31" s="4">
        <v>110.80512366247737</v>
      </c>
      <c r="X31" s="4">
        <v>3.3204489641305717</v>
      </c>
      <c r="Y31" s="4">
        <v>301.0023225</v>
      </c>
    </row>
    <row r="32" ht="15.75" customHeight="1">
      <c r="A32" s="4">
        <v>428.0</v>
      </c>
      <c r="B32" s="4" t="str">
        <f>IFERROR(__xludf.DUMMYFUNCTION("GOOGLETRANSLATE(menuu!B:B,""es"",""en"")"),"Premium (crowned)")</f>
        <v>Premium (crowned)</v>
      </c>
      <c r="C32" s="4" t="s">
        <v>91</v>
      </c>
      <c r="D32" s="4" t="str">
        <f>IFERROR(__xludf.DUMMYFUNCTION("GOOGLETRANSLATE(menuu!D:D,""es"",""en"")"),"Californian Malibu Combo (32 pieces)")</f>
        <v>Californian Malibu Combo (32 pieces)</v>
      </c>
      <c r="E32" s="4" t="str">
        <f>IFERROR(__xludf.DUMMYFUNCTION("GOOGLETRANSLATE(menuu!E:E,""es"",""en"")"),"Sashimi, Avocado Real, Avocado Roll, Tropical Tamago, Ibiza and Buenos Aires + 2 Wantan as a gift!")</f>
        <v>Sashimi, Avocado Real, Avocado Roll, Tropical Tamago, Ibiza and Buenos Aires + 2 Wantan as a gift!</v>
      </c>
      <c r="F32" s="4">
        <v>1383.8249004932995</v>
      </c>
      <c r="G32" s="4">
        <v>1094.8362505432992</v>
      </c>
      <c r="H32" s="4">
        <v>2331.57925</v>
      </c>
      <c r="I32" s="4">
        <v>3330.8275</v>
      </c>
      <c r="J32" s="4">
        <v>2119.6175000000003</v>
      </c>
      <c r="K32" s="4">
        <v>2329.25</v>
      </c>
      <c r="N32" s="4">
        <v>1.0</v>
      </c>
      <c r="O32" s="4">
        <v>648.0323009865987</v>
      </c>
      <c r="P32" s="4">
        <v>648.0323009865987</v>
      </c>
      <c r="Q32" s="4">
        <v>1471.5851990134015</v>
      </c>
      <c r="R32" s="4">
        <v>2.270851617694029</v>
      </c>
      <c r="S32" s="4">
        <v>1177.2681592107213</v>
      </c>
      <c r="T32" s="4">
        <v>1.8166812941552233</v>
      </c>
      <c r="U32" s="4">
        <v>893.6078991134012</v>
      </c>
      <c r="V32" s="4">
        <v>1.3789557985812209</v>
      </c>
      <c r="W32" s="4">
        <v>670.2059243350509</v>
      </c>
      <c r="X32" s="4">
        <v>1.0342168489359156</v>
      </c>
      <c r="Y32" s="4">
        <v>2562.175</v>
      </c>
    </row>
    <row r="33" ht="15.75" customHeight="1">
      <c r="A33" s="4">
        <v>502.0</v>
      </c>
      <c r="B33" s="4" t="str">
        <f>IFERROR(__xludf.DUMMYFUNCTION("GOOGLETRANSLATE(menuu!B:B,""es"",""en"")"),"Vegetarians")</f>
        <v>Vegetarians</v>
      </c>
      <c r="C33" s="4" t="s">
        <v>92</v>
      </c>
      <c r="D33" s="4" t="str">
        <f>IFERROR(__xludf.DUMMYFUNCTION("GOOGLETRANSLATE(menuu!D:D,""es"",""en"")"),"veggie phil roll")</f>
        <v>veggie phil roll</v>
      </c>
      <c r="E33" s="4" t="str">
        <f>IFERROR(__xludf.DUMMYFUNCTION("GOOGLETRANSLATE(menuu!E:E,""es"",""en"")"),"Philadelphia, palm heart, avocado and tamago. Bathed with teriyaki sauce.")</f>
        <v>Philadelphia, palm heart, avocado and tamago. Bathed with teriyaki sauce.</v>
      </c>
      <c r="F33" s="4">
        <v>255.7594469324287</v>
      </c>
      <c r="G33" s="4">
        <v>193.51748434712619</v>
      </c>
      <c r="H33" s="4">
        <v>502.1722080374999</v>
      </c>
      <c r="I33" s="4">
        <v>717.3888686249999</v>
      </c>
      <c r="J33" s="4">
        <v>456.52018912499994</v>
      </c>
      <c r="K33" s="4">
        <v>501.6705374999999</v>
      </c>
      <c r="N33" s="4">
        <v>10.0</v>
      </c>
      <c r="O33" s="4">
        <v>5.499870473985744</v>
      </c>
      <c r="P33" s="4">
        <v>54.99870473985744</v>
      </c>
      <c r="Q33" s="4">
        <v>401.5214843851425</v>
      </c>
      <c r="R33" s="4">
        <v>1.5699184886461846</v>
      </c>
      <c r="S33" s="4">
        <v>321.217187508114</v>
      </c>
      <c r="T33" s="4">
        <v>5.840450043823099</v>
      </c>
      <c r="U33" s="4">
        <v>277.0375592145375</v>
      </c>
      <c r="V33" s="4">
        <v>5.03716515734177</v>
      </c>
      <c r="W33" s="4">
        <v>207.77816941090313</v>
      </c>
      <c r="X33" s="4">
        <v>3.777873868006327</v>
      </c>
      <c r="Y33" s="4">
        <v>551.83759125</v>
      </c>
    </row>
    <row r="34" ht="15.75" customHeight="1">
      <c r="A34" s="4">
        <v>213.0</v>
      </c>
      <c r="B34" s="4" t="str">
        <f>IFERROR(__xludf.DUMMYFUNCTION("GOOGLETRANSLATE(menuu!B:B,""es"",""en"")"),"Salmon rolls")</f>
        <v>Salmon rolls</v>
      </c>
      <c r="C34" s="4" t="s">
        <v>95</v>
      </c>
      <c r="D34" s="4" t="str">
        <f>IFERROR(__xludf.DUMMYFUNCTION("GOOGLETRANSLATE(menuu!D:D,""es"",""en"")"),"Salmon grill roll")</f>
        <v>Salmon grill roll</v>
      </c>
      <c r="E34" s="4" t="str">
        <f>IFERROR(__xludf.DUMMYFUNCTION("GOOGLETRANSLATE(menuu!E:E,""es"",""en"")"),"Grilled salmon, philadelphia and green.")</f>
        <v>Grilled salmon, philadelphia and green.</v>
      </c>
      <c r="F34" s="4">
        <v>187.3428494372906</v>
      </c>
      <c r="G34" s="4">
        <v>150.56247580729058</v>
      </c>
      <c r="H34" s="4">
        <v>296.74645000000004</v>
      </c>
      <c r="I34" s="4">
        <v>423.92350000000005</v>
      </c>
      <c r="J34" s="4">
        <v>269.76950000000005</v>
      </c>
      <c r="K34" s="4">
        <v>296.45000000000005</v>
      </c>
      <c r="L34" s="4">
        <v>6.0</v>
      </c>
      <c r="N34" s="4">
        <v>5.0</v>
      </c>
      <c r="O34" s="4">
        <v>20.98323977491623</v>
      </c>
      <c r="P34" s="4">
        <v>104.91619887458114</v>
      </c>
      <c r="Q34" s="4">
        <v>164.8533011254189</v>
      </c>
      <c r="R34" s="4">
        <v>1.5712854915997074</v>
      </c>
      <c r="S34" s="4">
        <v>131.88264090033513</v>
      </c>
      <c r="T34" s="4">
        <v>1.2570283932797661</v>
      </c>
      <c r="U34" s="4">
        <v>91.29255386541888</v>
      </c>
      <c r="V34" s="4">
        <v>0.8701473637502991</v>
      </c>
      <c r="W34" s="4">
        <v>68.46941539906416</v>
      </c>
      <c r="X34" s="4">
        <v>0.6526105228127244</v>
      </c>
      <c r="Y34" s="4">
        <v>326.0950000000001</v>
      </c>
    </row>
    <row r="35" ht="15.75" customHeight="1">
      <c r="A35" s="4">
        <v>427.0</v>
      </c>
      <c r="B35" s="4" t="str">
        <f>IFERROR(__xludf.DUMMYFUNCTION("GOOGLETRANSLATE(menuu!B:B,""es"",""en"")"),"Premium (crowned)")</f>
        <v>Premium (crowned)</v>
      </c>
      <c r="C35" s="4" t="s">
        <v>96</v>
      </c>
      <c r="D35" s="4" t="str">
        <f>IFERROR(__xludf.DUMMYFUNCTION("GOOGLETRANSLATE(menuu!D:D,""es"",""en"")"),"Californian Malibu Combo (17 pieces)")</f>
        <v>Californian Malibu Combo (17 pieces)</v>
      </c>
      <c r="E35" s="4" t="str">
        <f>IFERROR(__xludf.DUMMYFUNCTION("GOOGLETRANSLATE(menuu!E:E,""es"",""en"")"),"Sashimi, Real Avocado, Avocado Roll, Ibiza")</f>
        <v>Sashimi, Real Avocado, Avocado Roll, Ibiza</v>
      </c>
      <c r="F35" s="4">
        <v>732.9550795721811</v>
      </c>
      <c r="G35" s="4">
        <v>575.3249068721811</v>
      </c>
      <c r="H35" s="4">
        <v>1271.7704999999999</v>
      </c>
      <c r="I35" s="4">
        <v>1816.8149999999998</v>
      </c>
      <c r="J35" s="4">
        <v>1156.155</v>
      </c>
      <c r="K35" s="4">
        <v>1270.5</v>
      </c>
      <c r="N35" s="4">
        <v>1.0</v>
      </c>
      <c r="O35" s="4">
        <v>309.7551591443622</v>
      </c>
      <c r="P35" s="4">
        <v>309.7551591443622</v>
      </c>
      <c r="Q35" s="4">
        <v>846.3998408556378</v>
      </c>
      <c r="R35" s="4">
        <v>2.73248020531329</v>
      </c>
      <c r="S35" s="4">
        <v>677.1198726845103</v>
      </c>
      <c r="T35" s="4">
        <v>2.1859841642506326</v>
      </c>
      <c r="U35" s="4">
        <v>531.1394954556378</v>
      </c>
      <c r="V35" s="4">
        <v>1.7147075029284622</v>
      </c>
      <c r="W35" s="4">
        <v>398.35462159172835</v>
      </c>
      <c r="X35" s="4">
        <v>1.2860306271963469</v>
      </c>
      <c r="Y35" s="4">
        <v>1397.5500000000002</v>
      </c>
    </row>
    <row r="36" ht="15.75" customHeight="1">
      <c r="A36" s="4">
        <v>201.0</v>
      </c>
      <c r="B36" s="4" t="str">
        <f>IFERROR(__xludf.DUMMYFUNCTION("GOOGLETRANSLATE(menuu!B:B,""es"",""en"")"),"Salmon rolls")</f>
        <v>Salmon rolls</v>
      </c>
      <c r="C36" s="4" t="s">
        <v>98</v>
      </c>
      <c r="D36" s="4" t="str">
        <f>IFERROR(__xludf.DUMMYFUNCTION("GOOGLETRANSLATE(menuu!D:D,""es"",""en"")"),"Maki phila roll")</f>
        <v>Maki phila roll</v>
      </c>
      <c r="E36" s="4" t="str">
        <f>IFERROR(__xludf.DUMMYFUNCTION("GOOGLETRANSLATE(menuu!E:E,""es"",""en"")"),"Rice inside, salmon, philadelphia and seaweed on the outside.")</f>
        <v>Rice inside, salmon, philadelphia and seaweed on the outside.</v>
      </c>
      <c r="F36" s="4">
        <v>187.31456630648546</v>
      </c>
      <c r="G36" s="4">
        <v>150.53419267648547</v>
      </c>
      <c r="H36" s="4">
        <v>296.74645000000004</v>
      </c>
      <c r="I36" s="4">
        <v>423.92350000000005</v>
      </c>
      <c r="J36" s="4">
        <v>269.76950000000005</v>
      </c>
      <c r="K36" s="4">
        <v>296.45000000000005</v>
      </c>
      <c r="L36" s="4">
        <v>6.0</v>
      </c>
      <c r="N36" s="4">
        <v>5.0</v>
      </c>
      <c r="O36" s="4">
        <v>20.97192652259418</v>
      </c>
      <c r="P36" s="4">
        <v>104.8596326129709</v>
      </c>
      <c r="Q36" s="4">
        <v>164.90986738702915</v>
      </c>
      <c r="R36" s="4">
        <v>1.5726725650060134</v>
      </c>
      <c r="S36" s="4">
        <v>131.92789390962332</v>
      </c>
      <c r="T36" s="4">
        <v>1.2581380520048107</v>
      </c>
      <c r="U36" s="4">
        <v>91.34912012702912</v>
      </c>
      <c r="V36" s="4">
        <v>0.8711562099801735</v>
      </c>
      <c r="W36" s="4">
        <v>68.51184009527185</v>
      </c>
      <c r="X36" s="4">
        <v>0.6533671574851302</v>
      </c>
      <c r="Y36" s="4">
        <v>326.0950000000001</v>
      </c>
    </row>
    <row r="37" ht="15.75" customHeight="1">
      <c r="A37" s="4">
        <v>501.0</v>
      </c>
      <c r="B37" s="4" t="str">
        <f>IFERROR(__xludf.DUMMYFUNCTION("GOOGLETRANSLATE(menuu!B:B,""es"",""en"")"),"Vegetarians")</f>
        <v>Vegetarians</v>
      </c>
      <c r="C37" s="4" t="s">
        <v>99</v>
      </c>
      <c r="D37" s="4" t="str">
        <f>IFERROR(__xludf.DUMMYFUNCTION("GOOGLETRANSLATE(menuu!D:D,""es"",""en"")"),"veggie phil roll")</f>
        <v>veggie phil roll</v>
      </c>
      <c r="E37" s="4" t="str">
        <f>IFERROR(__xludf.DUMMYFUNCTION("GOOGLETRANSLATE(menuu!E:E,""es"",""en"")"),"Philadelphia, palm heart, avocado and tamago. Bathed with teriyaki sauce.")</f>
        <v>Philadelphia, palm heart, avocado and tamago. Bathed with teriyaki sauce.</v>
      </c>
      <c r="F37" s="4">
        <v>138.25518230996437</v>
      </c>
      <c r="G37" s="4">
        <v>104.30502089979932</v>
      </c>
      <c r="H37" s="4">
        <v>273.9121134749999</v>
      </c>
      <c r="I37" s="4">
        <v>391.3030192499999</v>
      </c>
      <c r="J37" s="4">
        <v>249.01101225</v>
      </c>
      <c r="K37" s="4">
        <v>273.63847499999997</v>
      </c>
      <c r="N37" s="4">
        <v>5.0</v>
      </c>
      <c r="O37" s="4">
        <v>5.499870473985744</v>
      </c>
      <c r="P37" s="4">
        <v>27.49935236992872</v>
      </c>
      <c r="Q37" s="4">
        <v>221.51165988007128</v>
      </c>
      <c r="R37" s="4">
        <v>1.6021942626602461</v>
      </c>
      <c r="S37" s="4">
        <v>177.20932790405703</v>
      </c>
      <c r="T37" s="4">
        <v>6.44412732053429</v>
      </c>
      <c r="U37" s="4">
        <v>153.6113370597412</v>
      </c>
      <c r="V37" s="4">
        <v>5.585998353463746</v>
      </c>
      <c r="W37" s="4">
        <v>115.2085027948059</v>
      </c>
      <c r="X37" s="4">
        <v>4.1894987650978095</v>
      </c>
      <c r="Y37" s="4">
        <v>301.0023225</v>
      </c>
    </row>
    <row r="38" ht="15.75" customHeight="1">
      <c r="A38" s="4">
        <v>508.0</v>
      </c>
      <c r="B38" s="4" t="str">
        <f>IFERROR(__xludf.DUMMYFUNCTION("GOOGLETRANSLATE(menuu!B:B,""es"",""en"")"),"Vegetarians")</f>
        <v>Vegetarians</v>
      </c>
      <c r="C38" s="4" t="s">
        <v>100</v>
      </c>
      <c r="D38" s="4" t="str">
        <f>IFERROR(__xludf.DUMMYFUNCTION("GOOGLETRANSLATE(menuu!D:D,""es"",""en"")"),"Veggie grill")</f>
        <v>Veggie grill</v>
      </c>
      <c r="E38" s="4" t="str">
        <f>IFERROR(__xludf.DUMMYFUNCTION("GOOGLETRANSLATE(menuu!E:E,""es"",""en"")"),"Grilled vegetables, philadelphia and crispy sweet potato.")</f>
        <v>Grilled vegetables, philadelphia and crispy sweet potato.</v>
      </c>
      <c r="F38" s="4">
        <v>249.2425892897079</v>
      </c>
      <c r="G38" s="4">
        <v>187.00062670440536</v>
      </c>
      <c r="H38" s="4">
        <v>502.1722080374999</v>
      </c>
      <c r="I38" s="4">
        <v>717.3888686249999</v>
      </c>
      <c r="J38" s="4">
        <v>456.52018912499994</v>
      </c>
      <c r="K38" s="4">
        <v>501.6705374999999</v>
      </c>
      <c r="N38" s="4">
        <v>10.0</v>
      </c>
      <c r="O38" s="4">
        <v>4.196498945441583</v>
      </c>
      <c r="P38" s="4">
        <v>41.96498945441583</v>
      </c>
      <c r="Q38" s="4">
        <v>414.5551996705841</v>
      </c>
      <c r="R38" s="4">
        <v>1.6632598820770739</v>
      </c>
      <c r="S38" s="4">
        <v>331.6441597364673</v>
      </c>
      <c r="T38" s="4">
        <v>7.902877232858915</v>
      </c>
      <c r="U38" s="4">
        <v>290.0712744999791</v>
      </c>
      <c r="V38" s="4">
        <v>6.912220836253681</v>
      </c>
      <c r="W38" s="4">
        <v>217.5534558749843</v>
      </c>
      <c r="X38" s="4">
        <v>5.184165627190261</v>
      </c>
      <c r="Y38" s="4">
        <v>551.83759125</v>
      </c>
    </row>
    <row r="39" ht="15.75" customHeight="1">
      <c r="A39" s="4">
        <v>507.0</v>
      </c>
      <c r="B39" s="4" t="str">
        <f>IFERROR(__xludf.DUMMYFUNCTION("GOOGLETRANSLATE(menuu!B:B,""es"",""en"")"),"Vegetarians")</f>
        <v>Vegetarians</v>
      </c>
      <c r="C39" s="4" t="s">
        <v>103</v>
      </c>
      <c r="D39" s="4" t="str">
        <f>IFERROR(__xludf.DUMMYFUNCTION("GOOGLETRANSLATE(menuu!D:D,""es"",""en"")"),"Veggie grill")</f>
        <v>Veggie grill</v>
      </c>
      <c r="E39" s="4" t="str">
        <f>IFERROR(__xludf.DUMMYFUNCTION("GOOGLETRANSLATE(menuu!E:E,""es"",""en"")"),"Grilled vegetables, philadelphia and crispy sweet potato.")</f>
        <v>Grilled vegetables, philadelphia and crispy sweet potato.</v>
      </c>
      <c r="F39" s="4">
        <v>134.99675348860396</v>
      </c>
      <c r="G39" s="4">
        <v>101.04659207843892</v>
      </c>
      <c r="H39" s="4">
        <v>273.9121134749999</v>
      </c>
      <c r="I39" s="4">
        <v>391.3030192499999</v>
      </c>
      <c r="J39" s="4">
        <v>249.01101225</v>
      </c>
      <c r="K39" s="4">
        <v>273.63847499999997</v>
      </c>
      <c r="N39" s="4">
        <v>5.0</v>
      </c>
      <c r="O39" s="4">
        <v>4.196498945441583</v>
      </c>
      <c r="P39" s="4">
        <v>20.982494727207914</v>
      </c>
      <c r="Q39" s="4">
        <v>228.02851752279207</v>
      </c>
      <c r="R39" s="4">
        <v>1.6891407506480636</v>
      </c>
      <c r="S39" s="4">
        <v>182.42281401823368</v>
      </c>
      <c r="T39" s="4">
        <v>8.694047890391545</v>
      </c>
      <c r="U39" s="4">
        <v>160.128194702462</v>
      </c>
      <c r="V39" s="4">
        <v>7.6315136395494685</v>
      </c>
      <c r="W39" s="4">
        <v>120.0961460268465</v>
      </c>
      <c r="X39" s="4">
        <v>5.723635229662102</v>
      </c>
      <c r="Y39" s="4">
        <v>301.0023225</v>
      </c>
    </row>
    <row r="40" ht="15.75" customHeight="1">
      <c r="A40" s="4">
        <v>410.0</v>
      </c>
      <c r="B40" s="4" t="str">
        <f>IFERROR(__xludf.DUMMYFUNCTION("GOOGLETRANSLATE(menuu!B:B,""es"",""en"")"),"Premium (crowned)")</f>
        <v>Premium (crowned)</v>
      </c>
      <c r="C40" s="4" t="s">
        <v>104</v>
      </c>
      <c r="D40" s="4" t="str">
        <f>IFERROR(__xludf.DUMMYFUNCTION("GOOGLETRANSLATE(menuu!D:D,""es"",""en"")"),"soul roll")</f>
        <v>soul roll</v>
      </c>
      <c r="E40" s="4" t="str">
        <f>IFERROR(__xludf.DUMMYFUNCTION("GOOGLETRANSLATE(menuu!E:E,""es"",""en"")"),"Salmon, hearts of palm and tamago wrapped with Philadelphia topping. Topped with an almond praline.")</f>
        <v>Salmon, hearts of palm and tamago wrapped with Philadelphia topping. Topped with an almond praline.</v>
      </c>
      <c r="F40" s="4">
        <v>396.30236213847184</v>
      </c>
      <c r="G40" s="4">
        <v>317.0853188480868</v>
      </c>
      <c r="H40" s="4">
        <v>639.1282647749999</v>
      </c>
      <c r="I40" s="4">
        <v>913.04037825</v>
      </c>
      <c r="J40" s="4">
        <v>581.02569525</v>
      </c>
      <c r="K40" s="4">
        <v>638.489775</v>
      </c>
      <c r="N40" s="4">
        <v>10.0</v>
      </c>
      <c r="O40" s="4">
        <v>21.15790290269437</v>
      </c>
      <c r="P40" s="4">
        <v>211.57902902694372</v>
      </c>
      <c r="Q40" s="4">
        <v>369.4466662230563</v>
      </c>
      <c r="R40" s="4">
        <v>1.7461402858409412</v>
      </c>
      <c r="S40" s="4">
        <v>295.55733297844506</v>
      </c>
      <c r="T40" s="4">
        <v>1.396912228672753</v>
      </c>
      <c r="U40" s="4">
        <v>211.0125796422862</v>
      </c>
      <c r="V40" s="4">
        <v>0.9973227526978329</v>
      </c>
      <c r="W40" s="4">
        <v>158.25943473171463</v>
      </c>
      <c r="X40" s="4">
        <v>0.7479920645233746</v>
      </c>
      <c r="Y40" s="4">
        <v>702.3387525</v>
      </c>
    </row>
    <row r="41" ht="15.75" customHeight="1">
      <c r="A41" s="4">
        <v>404.0</v>
      </c>
      <c r="B41" s="4" t="str">
        <f>IFERROR(__xludf.DUMMYFUNCTION("GOOGLETRANSLATE(menuu!B:B,""es"",""en"")"),"Premium (crowned)")</f>
        <v>Premium (crowned)</v>
      </c>
      <c r="C41" s="4" t="s">
        <v>107</v>
      </c>
      <c r="D41" s="4" t="str">
        <f>IFERROR(__xludf.DUMMYFUNCTION("GOOGLETRANSLATE(menuu!D:D,""es"",""en"")"),"Buenos Aires roll")</f>
        <v>Buenos Aires roll</v>
      </c>
      <c r="E41" s="4" t="str">
        <f>IFERROR(__xludf.DUMMYFUNCTION("GOOGLETRANSLATE(menuu!E:E,""es"",""en"")"),"Prawn, salmon, philadelphia and avocado bathed in sesame sauce")</f>
        <v>Prawn, salmon, philadelphia and avocado bathed in sesame sauce</v>
      </c>
      <c r="F41" s="4">
        <v>395.78785507645046</v>
      </c>
      <c r="G41" s="4">
        <v>316.5708117860654</v>
      </c>
      <c r="H41" s="4">
        <v>639.1282647749999</v>
      </c>
      <c r="I41" s="4">
        <v>913.04037825</v>
      </c>
      <c r="J41" s="4">
        <v>581.02569525</v>
      </c>
      <c r="K41" s="4">
        <v>638.489775</v>
      </c>
      <c r="L41" s="4">
        <v>12.0</v>
      </c>
      <c r="N41" s="4">
        <v>10.0</v>
      </c>
      <c r="O41" s="4">
        <v>21.05500149029009</v>
      </c>
      <c r="P41" s="4">
        <v>210.5500149029009</v>
      </c>
      <c r="Q41" s="4">
        <v>370.4756803470991</v>
      </c>
      <c r="R41" s="4">
        <v>1.759561406433293</v>
      </c>
      <c r="S41" s="4">
        <v>296.3805442776793</v>
      </c>
      <c r="T41" s="4">
        <v>1.4076491251466345</v>
      </c>
      <c r="U41" s="4">
        <v>212.04159376632902</v>
      </c>
      <c r="V41" s="4">
        <v>1.0070842021270623</v>
      </c>
      <c r="W41" s="4">
        <v>159.03119532474676</v>
      </c>
      <c r="X41" s="4">
        <v>0.7553131515952967</v>
      </c>
      <c r="Y41" s="4">
        <v>702.3387525</v>
      </c>
    </row>
    <row r="42" ht="15.75" customHeight="1">
      <c r="A42" s="4">
        <v>431.0</v>
      </c>
      <c r="B42" s="4" t="str">
        <f>IFERROR(__xludf.DUMMYFUNCTION("GOOGLETRANSLATE(menuu!B:B,""es"",""en"")"),"Premium (crowned)")</f>
        <v>Premium (crowned)</v>
      </c>
      <c r="C42" s="4" t="s">
        <v>110</v>
      </c>
      <c r="D42" s="4" t="str">
        <f>IFERROR(__xludf.DUMMYFUNCTION("GOOGLETRANSLATE(menuu!D:D,""es"",""en"")"),"Summer loyal combo (17 pieces)")</f>
        <v>Summer loyal combo (17 pieces)</v>
      </c>
      <c r="E42" s="4" t="str">
        <f>IFERROR(__xludf.DUMMYFUNCTION("GOOGLETRANSLATE(menuu!E:E,""es"",""en"")")," Avocado roll, Silk roll, Phill crunchy tamago roll and Sashimis")</f>
        <v> Avocado roll, Silk roll, Phill crunchy tamago roll and Sashimis</v>
      </c>
      <c r="F42" s="4">
        <v>677.3475271710574</v>
      </c>
      <c r="G42" s="4">
        <v>534.7297518710573</v>
      </c>
      <c r="H42" s="4">
        <v>1150.6494999999998</v>
      </c>
      <c r="I42" s="4">
        <v>1643.7849999999999</v>
      </c>
      <c r="J42" s="4">
        <v>1046.045</v>
      </c>
      <c r="K42" s="4">
        <v>1149.5</v>
      </c>
      <c r="N42" s="4">
        <v>1.0</v>
      </c>
      <c r="O42" s="4">
        <v>308.65005434211463</v>
      </c>
      <c r="P42" s="4">
        <v>308.65005434211463</v>
      </c>
      <c r="Q42" s="4">
        <v>737.3949456578855</v>
      </c>
      <c r="R42" s="4">
        <v>2.389097086762669</v>
      </c>
      <c r="S42" s="4">
        <v>589.9159565263084</v>
      </c>
      <c r="T42" s="4">
        <v>1.911277669410135</v>
      </c>
      <c r="U42" s="4">
        <v>452.1593950578852</v>
      </c>
      <c r="V42" s="4">
        <v>1.4649580931442234</v>
      </c>
      <c r="W42" s="4">
        <v>339.1195462934139</v>
      </c>
      <c r="X42" s="4">
        <v>1.0987185698581676</v>
      </c>
      <c r="Y42" s="4">
        <v>1264.45</v>
      </c>
    </row>
    <row r="43" ht="15.75" customHeight="1">
      <c r="A43" s="4">
        <v>105.0</v>
      </c>
      <c r="B43" s="4" t="str">
        <f>IFERROR(__xludf.DUMMYFUNCTION("GOOGLETRANSLATE(menuu!B:B,""es"",""en"")"),"tickets")</f>
        <v>tickets</v>
      </c>
      <c r="C43" s="4" t="s">
        <v>112</v>
      </c>
      <c r="D43" s="4" t="str">
        <f>IFERROR(__xludf.DUMMYFUNCTION("GOOGLETRANSLATE(menuu!D:D,""es"",""en"")"),"Ebi tempura")</f>
        <v>Ebi tempura</v>
      </c>
      <c r="E43" s="4" t="str">
        <f>IFERROR(__xludf.DUMMYFUNCTION("GOOGLETRANSLATE(menuu!E:E,""es"",""en"")"),"Tempura prawns bathed in teriyaki sauce")</f>
        <v>Tempura prawns bathed in teriyaki sauce</v>
      </c>
      <c r="F43" s="4">
        <v>261.7989975295884</v>
      </c>
      <c r="G43" s="4">
        <v>209.25560662958839</v>
      </c>
      <c r="H43" s="4">
        <v>423.92350000000005</v>
      </c>
      <c r="I43" s="4">
        <v>605.6050000000001</v>
      </c>
      <c r="J43" s="4">
        <v>385.3850000000001</v>
      </c>
      <c r="K43" s="4">
        <v>423.5000000000001</v>
      </c>
      <c r="L43" s="4">
        <v>10.0</v>
      </c>
      <c r="N43" s="4">
        <v>4.0</v>
      </c>
      <c r="O43" s="4">
        <v>34.553248764794176</v>
      </c>
      <c r="P43" s="4">
        <v>138.2129950591767</v>
      </c>
      <c r="Q43" s="4">
        <v>247.1720049408234</v>
      </c>
      <c r="R43" s="4">
        <v>1.788341283212879</v>
      </c>
      <c r="S43" s="4">
        <v>197.73760395265873</v>
      </c>
      <c r="T43" s="4">
        <v>1.4306730265703034</v>
      </c>
      <c r="U43" s="4">
        <v>142.08522314082336</v>
      </c>
      <c r="V43" s="4">
        <v>1.0280163821063912</v>
      </c>
      <c r="W43" s="4">
        <v>106.56391735561752</v>
      </c>
      <c r="X43" s="4">
        <v>0.7710122865797934</v>
      </c>
      <c r="Y43" s="4">
        <v>465.85000000000014</v>
      </c>
    </row>
    <row r="44" ht="15.75" customHeight="1">
      <c r="A44" s="4">
        <v>104.0</v>
      </c>
      <c r="B44" s="4" t="str">
        <f>IFERROR(__xludf.DUMMYFUNCTION("GOOGLETRANSLATE(menuu!B:B,""es"",""en"")"),"tickets")</f>
        <v>tickets</v>
      </c>
      <c r="C44" s="4" t="s">
        <v>115</v>
      </c>
      <c r="D44" s="4" t="str">
        <f>IFERROR(__xludf.DUMMYFUNCTION("GOOGLETRANSLATE(menuu!D:D,""es"",""en"")"),"Ebi fried")</f>
        <v>Ebi fried</v>
      </c>
      <c r="E44" s="4" t="str">
        <f>IFERROR(__xludf.DUMMYFUNCTION("GOOGLETRANSLATE(menuu!E:E,""es"",""en"")"),"Panko-crusted prawns bathed in Futurama sauce.")</f>
        <v>Panko-crusted prawns bathed in Futurama sauce.</v>
      </c>
      <c r="F44" s="4">
        <v>261.0539826282726</v>
      </c>
      <c r="G44" s="4">
        <v>208.51059172827257</v>
      </c>
      <c r="H44" s="4">
        <v>423.92350000000005</v>
      </c>
      <c r="I44" s="4">
        <v>605.6050000000001</v>
      </c>
      <c r="J44" s="4">
        <v>385.3850000000001</v>
      </c>
      <c r="K44" s="4">
        <v>423.5000000000001</v>
      </c>
      <c r="L44" s="4">
        <v>10.0</v>
      </c>
      <c r="N44" s="4">
        <v>4.0</v>
      </c>
      <c r="O44" s="4">
        <v>34.18074131413628</v>
      </c>
      <c r="P44" s="4">
        <v>136.7229652565451</v>
      </c>
      <c r="Q44" s="4">
        <v>248.662034743455</v>
      </c>
      <c r="R44" s="4">
        <v>1.818729094098193</v>
      </c>
      <c r="S44" s="4">
        <v>198.929627794764</v>
      </c>
      <c r="T44" s="4">
        <v>1.4549832752785543</v>
      </c>
      <c r="U44" s="4">
        <v>143.57525294345496</v>
      </c>
      <c r="V44" s="4">
        <v>1.0501180447194975</v>
      </c>
      <c r="W44" s="4">
        <v>107.68143970759121</v>
      </c>
      <c r="X44" s="4">
        <v>0.7875885335396232</v>
      </c>
      <c r="Y44" s="4">
        <v>465.85000000000014</v>
      </c>
    </row>
    <row r="45" ht="15.75" customHeight="1">
      <c r="A45" s="4">
        <v>208.0</v>
      </c>
      <c r="B45" s="4" t="str">
        <f>IFERROR(__xludf.DUMMYFUNCTION("GOOGLETRANSLATE(menuu!B:B,""es"",""en"")"),"Salmon rolls")</f>
        <v>Salmon rolls</v>
      </c>
      <c r="C45" s="4" t="s">
        <v>118</v>
      </c>
      <c r="D45" s="4" t="str">
        <f>IFERROR(__xludf.DUMMYFUNCTION("GOOGLETRANSLATE(menuu!D:D,""es"",""en"")"),"new york roll")</f>
        <v>new york roll</v>
      </c>
      <c r="E45" s="4" t="str">
        <f>IFERROR(__xludf.DUMMYFUNCTION("GOOGLETRANSLATE(menuu!E:E,""es"",""en"")"),"Salmon and avocado.")</f>
        <v>Salmon and avocado.</v>
      </c>
      <c r="F45" s="4">
        <v>334.62163043104647</v>
      </c>
      <c r="G45" s="4">
        <v>267.06584213104645</v>
      </c>
      <c r="H45" s="4">
        <v>545.0445000000001</v>
      </c>
      <c r="I45" s="4">
        <v>778.6350000000001</v>
      </c>
      <c r="J45" s="4">
        <v>495.4950000000001</v>
      </c>
      <c r="K45" s="4">
        <v>544.5000000000001</v>
      </c>
      <c r="L45" s="4">
        <v>12.0</v>
      </c>
      <c r="N45" s="4">
        <v>10.0</v>
      </c>
      <c r="O45" s="4">
        <v>17.37482608620928</v>
      </c>
      <c r="P45" s="4">
        <v>173.7482608620928</v>
      </c>
      <c r="Q45" s="4">
        <v>321.7467391379073</v>
      </c>
      <c r="R45" s="4">
        <v>1.851798329039297</v>
      </c>
      <c r="S45" s="4">
        <v>257.3973913103259</v>
      </c>
      <c r="T45" s="4">
        <v>1.4814386632314378</v>
      </c>
      <c r="U45" s="4">
        <v>186.6351625379073</v>
      </c>
      <c r="V45" s="4">
        <v>1.0741699606768615</v>
      </c>
      <c r="W45" s="4">
        <v>139.97637190343048</v>
      </c>
      <c r="X45" s="4">
        <v>0.8056274705076462</v>
      </c>
      <c r="Y45" s="4">
        <v>598.9500000000002</v>
      </c>
    </row>
    <row r="46" ht="15.75" customHeight="1">
      <c r="A46" s="4">
        <v>223.0</v>
      </c>
      <c r="B46" s="4" t="str">
        <f>IFERROR(__xludf.DUMMYFUNCTION("GOOGLETRANSLATE(menuu!B:B,""es"",""en"")"),"Salmon rolls")</f>
        <v>Salmon rolls</v>
      </c>
      <c r="C46" s="4" t="s">
        <v>43</v>
      </c>
      <c r="D46" s="4" t="str">
        <f>IFERROR(__xludf.DUMMYFUNCTION("GOOGLETRANSLATE(menuu!D:D,""es"",""en"")"),"Salmon combo")</f>
        <v>Salmon combo</v>
      </c>
      <c r="E46" s="4" t="str">
        <f>IFERROR(__xludf.DUMMYFUNCTION("GOOGLETRANSLATE(menuu!E:E,""es"",""en"")"),"Phila, New York, New York Phila and Sashimi")</f>
        <v>Phila, New York, New York Phila and Sashimi</v>
      </c>
      <c r="F46" s="4">
        <v>686.8348494701783</v>
      </c>
      <c r="G46" s="4">
        <v>547.9701735201782</v>
      </c>
      <c r="H46" s="4">
        <v>1120.36925</v>
      </c>
      <c r="I46" s="4">
        <v>1600.5275000000001</v>
      </c>
      <c r="J46" s="4">
        <v>1018.5175000000003</v>
      </c>
      <c r="K46" s="4">
        <v>1119.2500000000002</v>
      </c>
      <c r="L46" s="4">
        <v>14.0</v>
      </c>
      <c r="M46" s="4">
        <v>585.0</v>
      </c>
      <c r="N46" s="4">
        <v>1.0</v>
      </c>
      <c r="O46" s="4">
        <v>355.15219894035624</v>
      </c>
      <c r="P46" s="4">
        <v>355.15219894035624</v>
      </c>
      <c r="Q46" s="4">
        <v>663.365301059644</v>
      </c>
      <c r="R46" s="4">
        <v>1.8678338555663812</v>
      </c>
      <c r="S46" s="4">
        <v>530.6922408477152</v>
      </c>
      <c r="T46" s="4">
        <v>1.4942670844531047</v>
      </c>
      <c r="U46" s="4">
        <v>385.6359491596437</v>
      </c>
      <c r="V46" s="4">
        <v>1.0858329198305396</v>
      </c>
      <c r="W46" s="4">
        <v>289.2269618697328</v>
      </c>
      <c r="X46" s="4">
        <v>0.8143746898729048</v>
      </c>
      <c r="Y46" s="4">
        <v>1231.1750000000004</v>
      </c>
    </row>
    <row r="47" ht="15.75" customHeight="1">
      <c r="A47" s="4">
        <v>206.0</v>
      </c>
      <c r="B47" s="4" t="str">
        <f>IFERROR(__xludf.DUMMYFUNCTION("GOOGLETRANSLATE(menuu!B:B,""es"",""en"")"),"Salmon rolls")</f>
        <v>Salmon rolls</v>
      </c>
      <c r="C47" s="4" t="s">
        <v>122</v>
      </c>
      <c r="D47" s="4" t="str">
        <f>IFERROR(__xludf.DUMMYFUNCTION("GOOGLETRANSLATE(menuu!D:D,""es"",""en"")"),"Phila roll")</f>
        <v>Phila roll</v>
      </c>
      <c r="E47" s="4" t="str">
        <f>IFERROR(__xludf.DUMMYFUNCTION("GOOGLETRANSLATE(menuu!E:E,""es"",""en"")"),"Salmon and Philadelphia.")</f>
        <v>Salmon and Philadelphia.</v>
      </c>
      <c r="F47" s="4">
        <v>332.71546235464365</v>
      </c>
      <c r="G47" s="4">
        <v>265.15967405464363</v>
      </c>
      <c r="H47" s="4">
        <v>545.0445000000001</v>
      </c>
      <c r="I47" s="4">
        <v>778.6350000000001</v>
      </c>
      <c r="J47" s="4">
        <v>495.4950000000001</v>
      </c>
      <c r="K47" s="4">
        <v>544.5000000000001</v>
      </c>
      <c r="L47" s="4">
        <v>12.0</v>
      </c>
      <c r="N47" s="4">
        <v>10.0</v>
      </c>
      <c r="O47" s="4">
        <v>16.993592470928718</v>
      </c>
      <c r="P47" s="4">
        <v>169.93592470928718</v>
      </c>
      <c r="Q47" s="4">
        <v>325.55907529071294</v>
      </c>
      <c r="R47" s="4">
        <v>1.9157754656506765</v>
      </c>
      <c r="S47" s="4">
        <v>260.4472602325704</v>
      </c>
      <c r="T47" s="4">
        <v>1.5326203725205414</v>
      </c>
      <c r="U47" s="4">
        <v>190.4474986907129</v>
      </c>
      <c r="V47" s="4">
        <v>1.12070181167705</v>
      </c>
      <c r="W47" s="4">
        <v>142.83562401803468</v>
      </c>
      <c r="X47" s="4">
        <v>0.8405263587577875</v>
      </c>
      <c r="Y47" s="4">
        <v>598.9500000000002</v>
      </c>
    </row>
    <row r="48" ht="15.75" customHeight="1">
      <c r="A48" s="4">
        <v>423.0</v>
      </c>
      <c r="B48" s="4" t="str">
        <f>IFERROR(__xludf.DUMMYFUNCTION("GOOGLETRANSLATE(menuu!B:B,""es"",""en"")"),"Premium (crowned)")</f>
        <v>Premium (crowned)</v>
      </c>
      <c r="C48" s="4" t="s">
        <v>125</v>
      </c>
      <c r="D48" s="4" t="str">
        <f>IFERROR(__xludf.DUMMYFUNCTION("GOOGLETRANSLATE(menuu!D:D,""es"",""en"")"),"Kodiak Combo (17 pieces)")</f>
        <v>Kodiak Combo (17 pieces)</v>
      </c>
      <c r="E48" s="4" t="str">
        <f>IFERROR(__xludf.DUMMYFUNCTION("GOOGLETRANSLATE(menuu!E:E,""es"",""en"")"),"Geisha, tataki, mexican, Soul, Real pleasure")</f>
        <v>Geisha, tataki, mexican, Soul, Real pleasure</v>
      </c>
      <c r="F48" s="4">
        <v>718.569656432913</v>
      </c>
      <c r="G48" s="4">
        <v>575.951881132913</v>
      </c>
      <c r="H48" s="4">
        <v>1150.6494999999998</v>
      </c>
      <c r="I48" s="4">
        <v>1643.7849999999999</v>
      </c>
      <c r="J48" s="4">
        <v>1046.045</v>
      </c>
      <c r="K48" s="4">
        <v>1149.5</v>
      </c>
      <c r="L48" s="4">
        <v>17.0</v>
      </c>
      <c r="N48" s="4">
        <v>1.0</v>
      </c>
      <c r="O48" s="4">
        <v>391.094312865826</v>
      </c>
      <c r="P48" s="4">
        <v>391.094312865826</v>
      </c>
      <c r="Q48" s="4">
        <v>654.9506871341741</v>
      </c>
      <c r="R48" s="4">
        <v>1.674661751879962</v>
      </c>
      <c r="S48" s="4">
        <v>523.9605497073393</v>
      </c>
      <c r="T48" s="4">
        <v>1.3397294015039696</v>
      </c>
      <c r="U48" s="4">
        <v>369.71513653417384</v>
      </c>
      <c r="V48" s="4">
        <v>0.9453349853773333</v>
      </c>
      <c r="W48" s="4">
        <v>277.2863524006304</v>
      </c>
      <c r="X48" s="4">
        <v>0.709001239033</v>
      </c>
      <c r="Y48" s="4">
        <v>1264.45</v>
      </c>
    </row>
    <row r="49" ht="15.75" customHeight="1">
      <c r="A49" s="4">
        <v>212.0</v>
      </c>
      <c r="B49" s="4" t="str">
        <f>IFERROR(__xludf.DUMMYFUNCTION("GOOGLETRANSLATE(menuu!B:B,""es"",""en"")"),"Salmon rolls")</f>
        <v>Salmon rolls</v>
      </c>
      <c r="C49" s="4" t="s">
        <v>127</v>
      </c>
      <c r="D49" s="4" t="str">
        <f>IFERROR(__xludf.DUMMYFUNCTION("GOOGLETRANSLATE(menuu!D:D,""es"",""en"")"),"Phil Tamago roll")</f>
        <v>Phil Tamago roll</v>
      </c>
      <c r="E49" s="4" t="str">
        <f>IFERROR(__xludf.DUMMYFUNCTION("GOOGLETRANSLATE(menuu!E:E,""es"",""en"")"),"Salmon and philadelphia with greenery wrapped in tamago.")</f>
        <v>Salmon and philadelphia with greenery wrapped in tamago.</v>
      </c>
      <c r="F49" s="4">
        <v>330.20920677866525</v>
      </c>
      <c r="G49" s="4">
        <v>262.6534184786653</v>
      </c>
      <c r="H49" s="4">
        <v>545.0445000000001</v>
      </c>
      <c r="I49" s="4">
        <v>778.6350000000001</v>
      </c>
      <c r="J49" s="4">
        <v>495.4950000000001</v>
      </c>
      <c r="K49" s="4">
        <v>544.5000000000001</v>
      </c>
      <c r="L49" s="4">
        <v>12.0</v>
      </c>
      <c r="N49" s="4">
        <v>10.0</v>
      </c>
      <c r="O49" s="4">
        <v>16.492341355733046</v>
      </c>
      <c r="P49" s="4">
        <v>164.92341355733046</v>
      </c>
      <c r="Q49" s="4">
        <v>330.5715864426696</v>
      </c>
      <c r="R49" s="4">
        <v>2.0043945205375997</v>
      </c>
      <c r="S49" s="4">
        <v>264.4572691541357</v>
      </c>
      <c r="T49" s="4">
        <v>1.6035156164300797</v>
      </c>
      <c r="U49" s="4">
        <v>195.46000984266962</v>
      </c>
      <c r="V49" s="4">
        <v>1.185156222677407</v>
      </c>
      <c r="W49" s="4">
        <v>146.59500738200222</v>
      </c>
      <c r="X49" s="4">
        <v>0.8888671670080552</v>
      </c>
      <c r="Y49" s="4">
        <v>598.9500000000002</v>
      </c>
    </row>
    <row r="50" ht="15.75" customHeight="1">
      <c r="A50" s="4">
        <v>314.0</v>
      </c>
      <c r="B50" s="4" t="str">
        <f>IFERROR(__xludf.DUMMYFUNCTION("GOOGLETRANSLATE(menuu!B:B,""es"",""en"")"),"varied")</f>
        <v>varied</v>
      </c>
      <c r="C50" s="4" t="s">
        <v>131</v>
      </c>
      <c r="D50" s="4" t="str">
        <f>IFERROR(__xludf.DUMMYFUNCTION("GOOGLETRANSLATE(menuu!D:D,""es"",""en"")"),"Ibiza roll")</f>
        <v>Ibiza roll</v>
      </c>
      <c r="E50" s="4" t="str">
        <f>IFERROR(__xludf.DUMMYFUNCTION("GOOGLETRANSLATE(menuu!E:E,""es"",""en"")")," Breaded prawn and philadelphia topped with fine slices of lemon and teriyaki sauce.")</f>
        <v> Breaded prawn and philadelphia topped with fine slices of lemon and teriyaki sauce.</v>
      </c>
      <c r="F50" s="4">
        <v>387.0630578838519</v>
      </c>
      <c r="G50" s="4">
        <v>307.84601459346686</v>
      </c>
      <c r="H50" s="4">
        <v>639.1282647749999</v>
      </c>
      <c r="I50" s="4">
        <v>913.04037825</v>
      </c>
      <c r="J50" s="4">
        <v>581.02569525</v>
      </c>
      <c r="K50" s="4">
        <v>638.489775</v>
      </c>
      <c r="N50" s="4">
        <v>10.0</v>
      </c>
      <c r="O50" s="4">
        <v>19.310042051770385</v>
      </c>
      <c r="P50" s="4">
        <v>193.10042051770384</v>
      </c>
      <c r="Q50" s="4">
        <v>387.9252747322962</v>
      </c>
      <c r="R50" s="4">
        <v>2.008930243094579</v>
      </c>
      <c r="S50" s="4">
        <v>310.340219785837</v>
      </c>
      <c r="T50" s="4">
        <v>1.6071441944756635</v>
      </c>
      <c r="U50" s="4">
        <v>229.49118815152607</v>
      </c>
      <c r="V50" s="4">
        <v>1.1884551444075486</v>
      </c>
      <c r="W50" s="4">
        <v>172.11839111364455</v>
      </c>
      <c r="X50" s="4">
        <v>0.8913413583056614</v>
      </c>
      <c r="Y50" s="4">
        <v>702.3387525</v>
      </c>
    </row>
    <row r="51" ht="15.75" customHeight="1">
      <c r="A51" s="4">
        <v>103.0</v>
      </c>
      <c r="B51" s="4" t="str">
        <f>IFERROR(__xludf.DUMMYFUNCTION("GOOGLETRANSLATE(menuu!B:B,""es"",""en"")"),"tickets")</f>
        <v>tickets</v>
      </c>
      <c r="C51" s="4" t="s">
        <v>134</v>
      </c>
      <c r="D51" s="4" t="str">
        <f>IFERROR(__xludf.DUMMYFUNCTION("GOOGLETRANSLATE(menuu!D:D,""es"",""en"")"),"Harumakis")</f>
        <v>Harumakis</v>
      </c>
      <c r="E51" s="4" t="str">
        <f>IFERROR(__xludf.DUMMYFUNCTION("GOOGLETRANSLATE(menuu!E:E,""es"",""en"")"),"Meat or vegetable empanadas.")</f>
        <v>Meat or vegetable empanadas.</v>
      </c>
      <c r="F51" s="4">
        <v>204.7715</v>
      </c>
      <c r="G51" s="4">
        <v>162.73678728</v>
      </c>
      <c r="H51" s="4">
        <v>339.13879999999995</v>
      </c>
      <c r="I51" s="4">
        <v>484.484</v>
      </c>
      <c r="J51" s="4">
        <v>308.308</v>
      </c>
      <c r="K51" s="4">
        <v>338.8</v>
      </c>
      <c r="N51" s="4">
        <v>4.0</v>
      </c>
      <c r="O51" s="4">
        <v>25.30875</v>
      </c>
      <c r="P51" s="4">
        <v>101.235</v>
      </c>
      <c r="Q51" s="4">
        <v>207.07299999999998</v>
      </c>
      <c r="R51" s="4">
        <v>2.045468464463871</v>
      </c>
      <c r="S51" s="4">
        <v>165.6584</v>
      </c>
      <c r="T51" s="4">
        <v>1.636374771571097</v>
      </c>
      <c r="U51" s="4">
        <v>123.00357455999996</v>
      </c>
      <c r="V51" s="4">
        <v>1.2150301235738625</v>
      </c>
      <c r="W51" s="4">
        <v>92.25268091999997</v>
      </c>
      <c r="X51" s="4">
        <v>0.9112725926803968</v>
      </c>
      <c r="Y51" s="4">
        <v>372.68000000000006</v>
      </c>
    </row>
    <row r="52" ht="15.75" customHeight="1">
      <c r="A52" s="4">
        <v>207.0</v>
      </c>
      <c r="B52" s="4" t="str">
        <f>IFERROR(__xludf.DUMMYFUNCTION("GOOGLETRANSLATE(menuu!B:B,""es"",""en"")"),"Salmon rolls")</f>
        <v>Salmon rolls</v>
      </c>
      <c r="C52" s="4" t="s">
        <v>137</v>
      </c>
      <c r="D52" s="4" t="str">
        <f>IFERROR(__xludf.DUMMYFUNCTION("GOOGLETRANSLATE(menuu!D:D,""es"",""en"")"),"new york roll")</f>
        <v>new york roll</v>
      </c>
      <c r="E52" s="4" t="str">
        <f>IFERROR(__xludf.DUMMYFUNCTION("GOOGLETRANSLATE(menuu!E:E,""es"",""en"")"),"Salmon and avocado.")</f>
        <v>Salmon and avocado.</v>
      </c>
      <c r="F52" s="4">
        <v>178.3218152155232</v>
      </c>
      <c r="G52" s="4">
        <v>141.54144158552322</v>
      </c>
      <c r="H52" s="4">
        <v>296.74645000000004</v>
      </c>
      <c r="I52" s="4">
        <v>423.92350000000005</v>
      </c>
      <c r="J52" s="4">
        <v>269.76950000000005</v>
      </c>
      <c r="K52" s="4">
        <v>296.45000000000005</v>
      </c>
      <c r="L52" s="4">
        <v>6.0</v>
      </c>
      <c r="N52" s="4">
        <v>5.0</v>
      </c>
      <c r="O52" s="4">
        <v>17.37482608620928</v>
      </c>
      <c r="P52" s="4">
        <v>86.8741304310464</v>
      </c>
      <c r="Q52" s="4">
        <v>182.89536956895364</v>
      </c>
      <c r="R52" s="4">
        <v>2.10529151384279</v>
      </c>
      <c r="S52" s="4">
        <v>146.31629565516292</v>
      </c>
      <c r="T52" s="4">
        <v>1.684233211074232</v>
      </c>
      <c r="U52" s="4">
        <v>109.33462230895363</v>
      </c>
      <c r="V52" s="4">
        <v>1.2585406238481378</v>
      </c>
      <c r="W52" s="4">
        <v>82.00096673171522</v>
      </c>
      <c r="X52" s="4">
        <v>0.9439054678861034</v>
      </c>
      <c r="Y52" s="4">
        <v>326.0950000000001</v>
      </c>
    </row>
    <row r="53" ht="15.75" customHeight="1">
      <c r="A53" s="4">
        <v>107.0</v>
      </c>
      <c r="B53" s="4" t="str">
        <f>IFERROR(__xludf.DUMMYFUNCTION("GOOGLETRANSLATE(menuu!B:B,""es"",""en"")"),"tickets")</f>
        <v>tickets</v>
      </c>
      <c r="C53" s="4" t="s">
        <v>138</v>
      </c>
      <c r="D53" s="4" t="str">
        <f>IFERROR(__xludf.DUMMYFUNCTION("GOOGLETRANSLATE(menuu!D:D,""es"",""en"")"),"salmon wantan")</f>
        <v>salmon wantan</v>
      </c>
      <c r="E53" s="4" t="str">
        <f>IFERROR(__xludf.DUMMYFUNCTION("GOOGLETRANSLATE(menuu!E:E,""es"",""en"")"),"salmon wantan")</f>
        <v>salmon wantan</v>
      </c>
      <c r="F53" s="4">
        <v>228.3809016464239</v>
      </c>
      <c r="G53" s="4">
        <v>181.22789968786137</v>
      </c>
      <c r="H53" s="4">
        <v>380.43349093750004</v>
      </c>
      <c r="I53" s="4">
        <v>543.4764156250001</v>
      </c>
      <c r="J53" s="4">
        <v>345.84862812500006</v>
      </c>
      <c r="K53" s="4">
        <v>380.05343750000003</v>
      </c>
      <c r="L53" s="4">
        <v>6.0</v>
      </c>
      <c r="N53" s="4">
        <v>6.0</v>
      </c>
      <c r="O53" s="4">
        <v>18.485529194641288</v>
      </c>
      <c r="P53" s="4">
        <v>110.91317516784773</v>
      </c>
      <c r="Q53" s="4">
        <v>234.93545295715234</v>
      </c>
      <c r="R53" s="4">
        <v>2.1181924744433522</v>
      </c>
      <c r="S53" s="4">
        <v>187.9483623657219</v>
      </c>
      <c r="T53" s="4">
        <v>1.694553979554682</v>
      </c>
      <c r="U53" s="4">
        <v>140.62944904002728</v>
      </c>
      <c r="V53" s="4">
        <v>1.2679237505121386</v>
      </c>
      <c r="W53" s="4">
        <v>105.47208678002046</v>
      </c>
      <c r="X53" s="4">
        <v>0.9509428128841039</v>
      </c>
      <c r="Y53" s="4">
        <v>418.05878125000004</v>
      </c>
    </row>
    <row r="54" ht="15.75" customHeight="1">
      <c r="A54" s="4">
        <v>418.0</v>
      </c>
      <c r="B54" s="4" t="str">
        <f>IFERROR(__xludf.DUMMYFUNCTION("GOOGLETRANSLATE(menuu!B:B,""es"",""en"")"),"Premium (crowned)")</f>
        <v>Premium (crowned)</v>
      </c>
      <c r="C54" s="4" t="s">
        <v>139</v>
      </c>
      <c r="D54" s="4" t="str">
        <f>IFERROR(__xludf.DUMMYFUNCTION("GOOGLETRANSLATE(menuu!D:D,""es"",""en"")"),"Phil crunchi tamago roll")</f>
        <v>Phil crunchi tamago roll</v>
      </c>
      <c r="E54" s="4" t="str">
        <f>IFERROR(__xludf.DUMMYFUNCTION("GOOGLETRANSLATE(menuu!E:E,""es"",""en"")"),"Salmon and philadelphia wrapped in tamago with almond crown")</f>
        <v>Salmon and philadelphia wrapped in tamago with almond crown</v>
      </c>
      <c r="F54" s="4">
        <v>382.95414190366523</v>
      </c>
      <c r="G54" s="4">
        <v>303.7370986132802</v>
      </c>
      <c r="H54" s="4">
        <v>639.1282647749999</v>
      </c>
      <c r="I54" s="4">
        <v>913.04037825</v>
      </c>
      <c r="J54" s="4">
        <v>581.02569525</v>
      </c>
      <c r="K54" s="4">
        <v>638.489775</v>
      </c>
      <c r="N54" s="4">
        <v>10.0</v>
      </c>
      <c r="O54" s="4">
        <v>18.488258855733044</v>
      </c>
      <c r="P54" s="4">
        <v>184.88258855733045</v>
      </c>
      <c r="Q54" s="4">
        <v>396.14310669266956</v>
      </c>
      <c r="R54" s="4">
        <v>2.14267395206785</v>
      </c>
      <c r="S54" s="4">
        <v>316.91448535413565</v>
      </c>
      <c r="T54" s="4">
        <v>1.7141391616542803</v>
      </c>
      <c r="U54" s="4">
        <v>237.70902011189946</v>
      </c>
      <c r="V54" s="4">
        <v>1.2857296188179883</v>
      </c>
      <c r="W54" s="4">
        <v>178.2817650839246</v>
      </c>
      <c r="X54" s="4">
        <v>0.9642972141134913</v>
      </c>
      <c r="Y54" s="4">
        <v>702.3387525</v>
      </c>
    </row>
    <row r="55" ht="15.75" customHeight="1">
      <c r="A55" s="4">
        <v>416.0</v>
      </c>
      <c r="B55" s="4" t="str">
        <f>IFERROR(__xludf.DUMMYFUNCTION("GOOGLETRANSLATE(menuu!B:B,""es"",""en"")"),"Premium (crowned)")</f>
        <v>Premium (crowned)</v>
      </c>
      <c r="C55" s="4" t="s">
        <v>142</v>
      </c>
      <c r="D55" s="4" t="str">
        <f>IFERROR(__xludf.DUMMYFUNCTION("GOOGLETRANSLATE(menuu!D:D,""es"",""en"")"),"silk roll")</f>
        <v>silk roll</v>
      </c>
      <c r="E55" s="4" t="str">
        <f>IFERROR(__xludf.DUMMYFUNCTION("GOOGLETRANSLATE(menuu!E:E,""es"",""en"")"),"Salmon, philadelphia, avocado and mango wrapped in rice paper, with a hazelnut crown.")</f>
        <v>Salmon, philadelphia, avocado and mango wrapped in rice paper, with a hazelnut crown.</v>
      </c>
      <c r="F55" s="4">
        <v>382.0826333134014</v>
      </c>
      <c r="G55" s="4">
        <v>302.86559002301635</v>
      </c>
      <c r="H55" s="4">
        <v>639.1282647749999</v>
      </c>
      <c r="I55" s="4">
        <v>913.04037825</v>
      </c>
      <c r="J55" s="4">
        <v>581.02569525</v>
      </c>
      <c r="K55" s="4">
        <v>638.489775</v>
      </c>
      <c r="N55" s="4">
        <v>10.0</v>
      </c>
      <c r="O55" s="4">
        <v>18.313957137680273</v>
      </c>
      <c r="P55" s="4">
        <v>183.13957137680273</v>
      </c>
      <c r="Q55" s="4">
        <v>397.8861238731973</v>
      </c>
      <c r="R55" s="4">
        <v>2.1725841164854627</v>
      </c>
      <c r="S55" s="4">
        <v>318.30889909855784</v>
      </c>
      <c r="T55" s="4">
        <v>1.7380672931883703</v>
      </c>
      <c r="U55" s="4">
        <v>239.45203729242718</v>
      </c>
      <c r="V55" s="4">
        <v>1.3074838796022061</v>
      </c>
      <c r="W55" s="4">
        <v>179.5890279693204</v>
      </c>
      <c r="X55" s="4">
        <v>0.9806129097016546</v>
      </c>
      <c r="Y55" s="4">
        <v>702.3387525</v>
      </c>
    </row>
    <row r="56" ht="15.75" customHeight="1">
      <c r="A56" s="4">
        <v>205.0</v>
      </c>
      <c r="B56" s="4" t="str">
        <f>IFERROR(__xludf.DUMMYFUNCTION("GOOGLETRANSLATE(menuu!B:B,""es"",""en"")"),"Salmon rolls")</f>
        <v>Salmon rolls</v>
      </c>
      <c r="C56" s="4" t="s">
        <v>145</v>
      </c>
      <c r="D56" s="4" t="str">
        <f>IFERROR(__xludf.DUMMYFUNCTION("GOOGLETRANSLATE(menuu!D:D,""es"",""en"")"),"Phila roll")</f>
        <v>Phila roll</v>
      </c>
      <c r="E56" s="4" t="str">
        <f>IFERROR(__xludf.DUMMYFUNCTION("GOOGLETRANSLATE(menuu!E:E,""es"",""en"")"),"Salmon and Philadelphia.")</f>
        <v>Salmon and Philadelphia.</v>
      </c>
      <c r="F56" s="4">
        <v>177.36873117732182</v>
      </c>
      <c r="G56" s="4">
        <v>140.5883575473218</v>
      </c>
      <c r="H56" s="4">
        <v>296.74645000000004</v>
      </c>
      <c r="I56" s="4">
        <v>423.92350000000005</v>
      </c>
      <c r="J56" s="4">
        <v>269.76950000000005</v>
      </c>
      <c r="K56" s="4">
        <v>296.45000000000005</v>
      </c>
      <c r="L56" s="4">
        <v>6.0</v>
      </c>
      <c r="N56" s="4">
        <v>5.0</v>
      </c>
      <c r="O56" s="4">
        <v>16.993592470928718</v>
      </c>
      <c r="P56" s="4">
        <v>84.96796235464359</v>
      </c>
      <c r="Q56" s="4">
        <v>184.80153764535646</v>
      </c>
      <c r="R56" s="4">
        <v>2.1749555070418474</v>
      </c>
      <c r="S56" s="4">
        <v>147.84123011628517</v>
      </c>
      <c r="T56" s="4">
        <v>1.7399644056334782</v>
      </c>
      <c r="U56" s="4">
        <v>111.24079038535643</v>
      </c>
      <c r="V56" s="4">
        <v>1.3092086393816764</v>
      </c>
      <c r="W56" s="4">
        <v>83.43059278901733</v>
      </c>
      <c r="X56" s="4">
        <v>0.9819064795362573</v>
      </c>
      <c r="Y56" s="4">
        <v>326.0950000000001</v>
      </c>
    </row>
    <row r="57" ht="15.75" customHeight="1">
      <c r="A57" s="4">
        <v>402.0</v>
      </c>
      <c r="B57" s="4" t="str">
        <f>IFERROR(__xludf.DUMMYFUNCTION("GOOGLETRANSLATE(menuu!B:B,""es"",""en"")"),"Premium (crowned)")</f>
        <v>Premium (crowned)</v>
      </c>
      <c r="C57" s="4" t="s">
        <v>146</v>
      </c>
      <c r="D57" s="4" t="str">
        <f>IFERROR(__xludf.DUMMYFUNCTION("GOOGLETRANSLATE(menuu!D:D,""es"",""en"")"),"tropical roll")</f>
        <v>tropical roll</v>
      </c>
      <c r="E57" s="4" t="str">
        <f>IFERROR(__xludf.DUMMYFUNCTION("GOOGLETRANSLATE(menuu!E:E,""es"",""en"")"),"Salmon, philadelphia wrapped in mango. Topped with passion fruit sauce and crispy sweet potato.")</f>
        <v>Salmon, philadelphia wrapped in mango. Topped with passion fruit sauce and crispy sweet potato.</v>
      </c>
      <c r="F57" s="4">
        <v>381.1008412296436</v>
      </c>
      <c r="G57" s="4">
        <v>301.88379793925856</v>
      </c>
      <c r="H57" s="4">
        <v>639.1282647749999</v>
      </c>
      <c r="I57" s="4">
        <v>913.04037825</v>
      </c>
      <c r="J57" s="4">
        <v>581.02569525</v>
      </c>
      <c r="K57" s="4">
        <v>638.489775</v>
      </c>
      <c r="N57" s="4">
        <v>10.0</v>
      </c>
      <c r="O57" s="4">
        <v>18.11759872092872</v>
      </c>
      <c r="P57" s="4">
        <v>181.1759872092872</v>
      </c>
      <c r="Q57" s="4">
        <v>399.8497080407128</v>
      </c>
      <c r="R57" s="4">
        <v>2.2069685624443296</v>
      </c>
      <c r="S57" s="4">
        <v>319.87976643257025</v>
      </c>
      <c r="T57" s="4">
        <v>1.7655748499554635</v>
      </c>
      <c r="U57" s="4">
        <v>241.4156214599427</v>
      </c>
      <c r="V57" s="4">
        <v>1.3324923748370092</v>
      </c>
      <c r="W57" s="4">
        <v>181.06171609495703</v>
      </c>
      <c r="X57" s="4">
        <v>0.9993692811277569</v>
      </c>
      <c r="Y57" s="4">
        <v>702.3387525</v>
      </c>
    </row>
    <row r="58" ht="15.75" customHeight="1">
      <c r="A58" s="4">
        <v>210.0</v>
      </c>
      <c r="B58" s="4" t="str">
        <f>IFERROR(__xludf.DUMMYFUNCTION("GOOGLETRANSLATE(menuu!B:B,""es"",""en"")"),"Salmon rolls")</f>
        <v>Salmon rolls</v>
      </c>
      <c r="C58" s="4" t="s">
        <v>149</v>
      </c>
      <c r="D58" s="4" t="str">
        <f>IFERROR(__xludf.DUMMYFUNCTION("GOOGLETRANSLATE(menuu!D:D,""es"",""en"")"),"New York Phila roll")</f>
        <v>New York Phila roll</v>
      </c>
      <c r="E58" s="4" t="str">
        <f>IFERROR(__xludf.DUMMYFUNCTION("GOOGLETRANSLATE(menuu!E:E,""es"",""en"")"),"Salmon, avocado and philadelphia.")</f>
        <v>Salmon, avocado and philadelphia.</v>
      </c>
      <c r="F58" s="4">
        <v>323.9666360785793</v>
      </c>
      <c r="G58" s="4">
        <v>256.41084777857935</v>
      </c>
      <c r="H58" s="4">
        <v>545.0445000000001</v>
      </c>
      <c r="I58" s="4">
        <v>778.6350000000001</v>
      </c>
      <c r="J58" s="4">
        <v>495.4950000000001</v>
      </c>
      <c r="K58" s="4">
        <v>544.5000000000001</v>
      </c>
      <c r="L58" s="4">
        <v>12.0</v>
      </c>
      <c r="N58" s="4">
        <v>10.0</v>
      </c>
      <c r="O58" s="4">
        <v>15.243827215715859</v>
      </c>
      <c r="P58" s="4">
        <v>152.4382721571586</v>
      </c>
      <c r="Q58" s="4">
        <v>343.0567278428415</v>
      </c>
      <c r="R58" s="4">
        <v>2.2504632398953057</v>
      </c>
      <c r="S58" s="4">
        <v>274.4453822742732</v>
      </c>
      <c r="T58" s="4">
        <v>1.8003705919162445</v>
      </c>
      <c r="U58" s="4">
        <v>207.9451512428415</v>
      </c>
      <c r="V58" s="4">
        <v>1.364126923640654</v>
      </c>
      <c r="W58" s="4">
        <v>155.95886343213112</v>
      </c>
      <c r="X58" s="4">
        <v>1.0230951927304905</v>
      </c>
      <c r="Y58" s="4">
        <v>598.9500000000002</v>
      </c>
    </row>
    <row r="59" ht="15.75" customHeight="1">
      <c r="A59" s="4">
        <v>409.0</v>
      </c>
      <c r="B59" s="4" t="str">
        <f>IFERROR(__xludf.DUMMYFUNCTION("GOOGLETRANSLATE(menuu!B:B,""es"",""en"")"),"Premium (crowned)")</f>
        <v>Premium (crowned)</v>
      </c>
      <c r="C59" s="4" t="s">
        <v>152</v>
      </c>
      <c r="D59" s="4" t="str">
        <f>IFERROR(__xludf.DUMMYFUNCTION("GOOGLETRANSLATE(menuu!D:D,""es"",""en"")"),"soul roll")</f>
        <v>soul roll</v>
      </c>
      <c r="E59" s="4" t="str">
        <f>IFERROR(__xludf.DUMMYFUNCTION("GOOGLETRANSLATE(menuu!E:E,""es"",""en"")"),"Salmon, hearts of palm and tamago wrapped with Philadelphia topping. Topped with an almond praline.")</f>
        <v>Salmon, hearts of palm and tamago wrapped with Philadelphia topping. Topped with an almond praline.</v>
      </c>
      <c r="F59" s="4">
        <v>225.81907131923595</v>
      </c>
      <c r="G59" s="4">
        <v>178.66606936067342</v>
      </c>
      <c r="H59" s="4">
        <v>380.43349093750004</v>
      </c>
      <c r="I59" s="4">
        <v>543.4764156250001</v>
      </c>
      <c r="J59" s="4">
        <v>345.84862812500006</v>
      </c>
      <c r="K59" s="4">
        <v>380.05343750000003</v>
      </c>
      <c r="N59" s="4">
        <v>5.0</v>
      </c>
      <c r="O59" s="4">
        <v>21.15790290269437</v>
      </c>
      <c r="P59" s="4">
        <v>105.78951451347186</v>
      </c>
      <c r="Q59" s="4">
        <v>240.0591136115282</v>
      </c>
      <c r="R59" s="4">
        <v>2.269214626001121</v>
      </c>
      <c r="S59" s="4">
        <v>192.04729088922258</v>
      </c>
      <c r="T59" s="4">
        <v>1.815371700800897</v>
      </c>
      <c r="U59" s="4">
        <v>145.75310969440315</v>
      </c>
      <c r="V59" s="4">
        <v>1.377765181783135</v>
      </c>
      <c r="W59" s="4">
        <v>109.31483227080236</v>
      </c>
      <c r="X59" s="4">
        <v>1.033323886337351</v>
      </c>
      <c r="Y59" s="4">
        <v>418.05878125000004</v>
      </c>
    </row>
    <row r="60" ht="15.75" customHeight="1">
      <c r="A60" s="4">
        <v>211.0</v>
      </c>
      <c r="B60" s="4" t="str">
        <f>IFERROR(__xludf.DUMMYFUNCTION("GOOGLETRANSLATE(menuu!B:B,""es"",""en"")"),"Salmon rolls")</f>
        <v>Salmon rolls</v>
      </c>
      <c r="C60" s="4" t="s">
        <v>153</v>
      </c>
      <c r="D60" s="4" t="str">
        <f>IFERROR(__xludf.DUMMYFUNCTION("GOOGLETRANSLATE(menuu!D:D,""es"",""en"")"),"Phil Tamago roll")</f>
        <v>Phil Tamago roll</v>
      </c>
      <c r="E60" s="4" t="str">
        <f>IFERROR(__xludf.DUMMYFUNCTION("GOOGLETRANSLATE(menuu!E:E,""es"",""en"")"),"Salmon and philadelphia with greenery wrapped in tamago.")</f>
        <v>Salmon and philadelphia with greenery wrapped in tamago.</v>
      </c>
      <c r="F60" s="4">
        <v>176.11560338933265</v>
      </c>
      <c r="G60" s="4">
        <v>139.33522975933263</v>
      </c>
      <c r="H60" s="4">
        <v>296.74645000000004</v>
      </c>
      <c r="I60" s="4">
        <v>423.92350000000005</v>
      </c>
      <c r="J60" s="4">
        <v>269.76950000000005</v>
      </c>
      <c r="K60" s="4">
        <v>296.45000000000005</v>
      </c>
      <c r="L60" s="4">
        <v>6.0</v>
      </c>
      <c r="N60" s="4">
        <v>5.0</v>
      </c>
      <c r="O60" s="4">
        <v>16.492341355733046</v>
      </c>
      <c r="P60" s="4">
        <v>82.46170677866523</v>
      </c>
      <c r="Q60" s="4">
        <v>187.3077932213348</v>
      </c>
      <c r="R60" s="4">
        <v>2.2714518112520525</v>
      </c>
      <c r="S60" s="4">
        <v>149.84623457706786</v>
      </c>
      <c r="T60" s="4">
        <v>1.8171614490016423</v>
      </c>
      <c r="U60" s="4">
        <v>113.74704596133479</v>
      </c>
      <c r="V60" s="4">
        <v>1.3793923313598428</v>
      </c>
      <c r="W60" s="4">
        <v>85.3102844710011</v>
      </c>
      <c r="X60" s="4">
        <v>1.0345442485198821</v>
      </c>
      <c r="Y60" s="4">
        <v>326.0950000000001</v>
      </c>
    </row>
    <row r="61" ht="15.75" customHeight="1">
      <c r="A61" s="4">
        <v>403.0</v>
      </c>
      <c r="B61" s="4" t="str">
        <f>IFERROR(__xludf.DUMMYFUNCTION("GOOGLETRANSLATE(menuu!B:B,""es"",""en"")"),"Premium (crowned)")</f>
        <v>Premium (crowned)</v>
      </c>
      <c r="C61" s="4" t="s">
        <v>154</v>
      </c>
      <c r="D61" s="4" t="str">
        <f>IFERROR(__xludf.DUMMYFUNCTION("GOOGLETRANSLATE(menuu!D:D,""es"",""en"")"),"Buenos Aires roll")</f>
        <v>Buenos Aires roll</v>
      </c>
      <c r="E61" s="4" t="str">
        <f>IFERROR(__xludf.DUMMYFUNCTION("GOOGLETRANSLATE(menuu!E:E,""es"",""en"")"),"Prawn, salmon, philadelphia and avocado bathed in sesame sauce.")</f>
        <v>Prawn, salmon, philadelphia and avocado bathed in sesame sauce.</v>
      </c>
      <c r="F61" s="4">
        <v>225.56181778822526</v>
      </c>
      <c r="G61" s="4">
        <v>178.40881582966273</v>
      </c>
      <c r="H61" s="4">
        <v>380.43349093750004</v>
      </c>
      <c r="I61" s="4">
        <v>543.4764156250001</v>
      </c>
      <c r="J61" s="4">
        <v>345.84862812500006</v>
      </c>
      <c r="K61" s="4">
        <v>380.05343750000003</v>
      </c>
      <c r="L61" s="4">
        <v>6.0</v>
      </c>
      <c r="N61" s="4">
        <v>5.0</v>
      </c>
      <c r="O61" s="4">
        <v>21.05500149029009</v>
      </c>
      <c r="P61" s="4">
        <v>105.27500745145045</v>
      </c>
      <c r="Q61" s="4">
        <v>240.5736206735496</v>
      </c>
      <c r="R61" s="4">
        <v>2.2851921505158255</v>
      </c>
      <c r="S61" s="4">
        <v>192.4588965388397</v>
      </c>
      <c r="T61" s="4">
        <v>1.8281537204126606</v>
      </c>
      <c r="U61" s="4">
        <v>146.26761675642456</v>
      </c>
      <c r="V61" s="4">
        <v>1.38938595491317</v>
      </c>
      <c r="W61" s="4">
        <v>109.70071256731842</v>
      </c>
      <c r="X61" s="4">
        <v>1.0420394661848775</v>
      </c>
      <c r="Y61" s="4">
        <v>418.05878125000004</v>
      </c>
    </row>
    <row r="62" ht="15.75" customHeight="1">
      <c r="A62" s="4">
        <v>420.0</v>
      </c>
      <c r="B62" s="4" t="str">
        <f>IFERROR(__xludf.DUMMYFUNCTION("GOOGLETRANSLATE(menuu!B:B,""es"",""en"")"),"Premium (crowned)")</f>
        <v>Premium (crowned)</v>
      </c>
      <c r="C62" s="4" t="s">
        <v>156</v>
      </c>
      <c r="D62" s="4" t="str">
        <f>IFERROR(__xludf.DUMMYFUNCTION("GOOGLETRANSLATE(menuu!D:D,""es"",""en"")"),"Tropical tamago roll")</f>
        <v>Tropical tamago roll</v>
      </c>
      <c r="E62" s="4" t="str">
        <f>IFERROR(__xludf.DUMMYFUNCTION("GOOGLETRANSLATE(menuu!E:E,""es"",""en"")"),"Salmon and philadelphia with greenery wrapped in tamago, topped with crispy sweet potato and passion fruit sauce.")</f>
        <v>Salmon and philadelphia with greenery wrapped in tamago, topped with crispy sweet potato and passion fruit sauce.</v>
      </c>
      <c r="F62" s="4">
        <v>376.85274815366523</v>
      </c>
      <c r="G62" s="4">
        <v>297.6357048632802</v>
      </c>
      <c r="H62" s="4">
        <v>639.1282647749999</v>
      </c>
      <c r="I62" s="4">
        <v>913.04037825</v>
      </c>
      <c r="J62" s="4">
        <v>581.02569525</v>
      </c>
      <c r="K62" s="4">
        <v>638.489775</v>
      </c>
      <c r="N62" s="4">
        <v>10.0</v>
      </c>
      <c r="O62" s="4">
        <v>17.267980105733045</v>
      </c>
      <c r="P62" s="4">
        <v>172.67980105733045</v>
      </c>
      <c r="Q62" s="4">
        <v>408.34589419266956</v>
      </c>
      <c r="R62" s="4">
        <v>2.3647577290009556</v>
      </c>
      <c r="S62" s="4">
        <v>326.6767153541357</v>
      </c>
      <c r="T62" s="4">
        <v>1.8918061832007647</v>
      </c>
      <c r="U62" s="4">
        <v>249.91180761189946</v>
      </c>
      <c r="V62" s="4">
        <v>1.4472555914569745</v>
      </c>
      <c r="W62" s="4">
        <v>187.4338557089246</v>
      </c>
      <c r="X62" s="4">
        <v>1.085441693592731</v>
      </c>
      <c r="Y62" s="4">
        <v>702.3387525</v>
      </c>
    </row>
    <row r="63" ht="15.75" customHeight="1">
      <c r="A63" s="4">
        <v>414.0</v>
      </c>
      <c r="B63" s="4" t="str">
        <f>IFERROR(__xludf.DUMMYFUNCTION("GOOGLETRANSLATE(menuu!B:B,""es"",""en"")"),"Premium (crowned)")</f>
        <v>Premium (crowned)</v>
      </c>
      <c r="C63" s="4" t="s">
        <v>159</v>
      </c>
      <c r="D63" s="4" t="str">
        <f>IFERROR(__xludf.DUMMYFUNCTION("GOOGLETRANSLATE(menuu!D:D,""es"",""en"")"),"avocado roll")</f>
        <v>avocado roll</v>
      </c>
      <c r="E63" s="4" t="str">
        <f>IFERROR(__xludf.DUMMYFUNCTION("GOOGLETRANSLATE(menuu!E:E,""es"",""en"")"),"Salmon, mango and philadelphia, topped with thin slices of avocado.")</f>
        <v>Salmon, mango and philadelphia, topped with thin slices of avocado.</v>
      </c>
      <c r="F63" s="4">
        <v>376.3617753819366</v>
      </c>
      <c r="G63" s="4">
        <v>297.14473209155153</v>
      </c>
      <c r="H63" s="4">
        <v>639.1282647749999</v>
      </c>
      <c r="I63" s="4">
        <v>913.04037825</v>
      </c>
      <c r="J63" s="4">
        <v>581.02569525</v>
      </c>
      <c r="K63" s="4">
        <v>638.489775</v>
      </c>
      <c r="N63" s="4">
        <v>10.0</v>
      </c>
      <c r="O63" s="4">
        <v>17.16978555138731</v>
      </c>
      <c r="P63" s="4">
        <v>171.6978555138731</v>
      </c>
      <c r="Q63" s="4">
        <v>409.3278397361269</v>
      </c>
      <c r="R63" s="4">
        <v>2.3840008863887845</v>
      </c>
      <c r="S63" s="4">
        <v>327.46227178890155</v>
      </c>
      <c r="T63" s="4">
        <v>1.9072007091110277</v>
      </c>
      <c r="U63" s="4">
        <v>250.89375315535682</v>
      </c>
      <c r="V63" s="4">
        <v>1.4612515246882902</v>
      </c>
      <c r="W63" s="4">
        <v>188.17031486651763</v>
      </c>
      <c r="X63" s="4">
        <v>1.0959386435162177</v>
      </c>
      <c r="Y63" s="4">
        <v>702.3387525</v>
      </c>
    </row>
    <row r="64" ht="15.75" customHeight="1">
      <c r="A64" s="4">
        <v>209.0</v>
      </c>
      <c r="B64" s="4" t="str">
        <f>IFERROR(__xludf.DUMMYFUNCTION("GOOGLETRANSLATE(menuu!B:B,""es"",""en"")"),"Salmon rolls")</f>
        <v>Salmon rolls</v>
      </c>
      <c r="C64" s="4" t="s">
        <v>162</v>
      </c>
      <c r="D64" s="4" t="str">
        <f>IFERROR(__xludf.DUMMYFUNCTION("GOOGLETRANSLATE(menuu!D:D,""es"",""en"")"),"New York Phila roll")</f>
        <v>New York Phila roll</v>
      </c>
      <c r="E64" s="4" t="str">
        <f>IFERROR(__xludf.DUMMYFUNCTION("GOOGLETRANSLATE(menuu!E:E,""es"",""en"")"),"Salmon, avocado and philadelphia.")</f>
        <v>Salmon, avocado and philadelphia.</v>
      </c>
      <c r="F64" s="4">
        <v>172.99431803928968</v>
      </c>
      <c r="G64" s="4">
        <v>136.21394440928967</v>
      </c>
      <c r="H64" s="4">
        <v>296.74645000000004</v>
      </c>
      <c r="I64" s="4">
        <v>423.92350000000005</v>
      </c>
      <c r="J64" s="4">
        <v>269.76950000000005</v>
      </c>
      <c r="K64" s="4">
        <v>296.45000000000005</v>
      </c>
      <c r="L64" s="4">
        <v>6.0</v>
      </c>
      <c r="N64" s="4">
        <v>5.0</v>
      </c>
      <c r="O64" s="4">
        <v>15.243827215715859</v>
      </c>
      <c r="P64" s="4">
        <v>76.2191360785793</v>
      </c>
      <c r="Q64" s="4">
        <v>193.55036392142074</v>
      </c>
      <c r="R64" s="4">
        <v>2.539393305663777</v>
      </c>
      <c r="S64" s="4">
        <v>154.8402911371366</v>
      </c>
      <c r="T64" s="4">
        <v>2.031514644531022</v>
      </c>
      <c r="U64" s="4">
        <v>119.98961666142073</v>
      </c>
      <c r="V64" s="4">
        <v>1.5742715390753783</v>
      </c>
      <c r="W64" s="4">
        <v>89.99221249606555</v>
      </c>
      <c r="X64" s="4">
        <v>1.180703654306534</v>
      </c>
      <c r="Y64" s="4">
        <v>326.0950000000001</v>
      </c>
    </row>
    <row r="65" ht="15.75" customHeight="1">
      <c r="A65" s="4">
        <v>313.0</v>
      </c>
      <c r="B65" s="4" t="str">
        <f>IFERROR(__xludf.DUMMYFUNCTION("GOOGLETRANSLATE(menuu!B:B,""es"",""en"")"),"varied")</f>
        <v>varied</v>
      </c>
      <c r="C65" s="4" t="s">
        <v>163</v>
      </c>
      <c r="D65" s="4" t="str">
        <f>IFERROR(__xludf.DUMMYFUNCTION("GOOGLETRANSLATE(menuu!D:D,""es"",""en"")"),"Ibiza roll")</f>
        <v>Ibiza roll</v>
      </c>
      <c r="E65" s="4" t="str">
        <f>IFERROR(__xludf.DUMMYFUNCTION("GOOGLETRANSLATE(menuu!E:E,""es"",""en"")")," Breaded prawn and philadelphia topped with fine slices of lemon and teriyaki sauce.")</f>
        <v> Breaded prawn and philadelphia topped with fine slices of lemon and teriyaki sauce.</v>
      </c>
      <c r="F65" s="4">
        <v>221.19941919192598</v>
      </c>
      <c r="G65" s="4">
        <v>174.04641723336346</v>
      </c>
      <c r="H65" s="4">
        <v>380.43349093750004</v>
      </c>
      <c r="I65" s="4">
        <v>543.4764156250001</v>
      </c>
      <c r="J65" s="4">
        <v>345.84862812500006</v>
      </c>
      <c r="K65" s="4">
        <v>380.05343750000003</v>
      </c>
      <c r="N65" s="4">
        <v>5.0</v>
      </c>
      <c r="O65" s="4">
        <v>19.310042051770385</v>
      </c>
      <c r="P65" s="4">
        <v>96.55021025885192</v>
      </c>
      <c r="Q65" s="4">
        <v>249.29841786614816</v>
      </c>
      <c r="R65" s="4">
        <v>2.5820598132078327</v>
      </c>
      <c r="S65" s="4">
        <v>199.43873429291853</v>
      </c>
      <c r="T65" s="4">
        <v>2.065647850566266</v>
      </c>
      <c r="U65" s="4">
        <v>154.9924139490231</v>
      </c>
      <c r="V65" s="4">
        <v>1.6053037433423205</v>
      </c>
      <c r="W65" s="4">
        <v>116.24431046176733</v>
      </c>
      <c r="X65" s="4">
        <v>1.2039778075067404</v>
      </c>
      <c r="Y65" s="4">
        <v>418.05878125000004</v>
      </c>
    </row>
    <row r="66" ht="15.75" customHeight="1">
      <c r="A66" s="4">
        <v>417.0</v>
      </c>
      <c r="B66" s="4" t="str">
        <f>IFERROR(__xludf.DUMMYFUNCTION("GOOGLETRANSLATE(menuu!B:B,""es"",""en"")"),"Premium (crowned)")</f>
        <v>Premium (crowned)</v>
      </c>
      <c r="C66" s="4" t="s">
        <v>164</v>
      </c>
      <c r="D66" s="4" t="str">
        <f>IFERROR(__xludf.DUMMYFUNCTION("GOOGLETRANSLATE(menuu!D:D,""es"",""en"")"),"Phil crunchi tamago roll")</f>
        <v>Phil crunchi tamago roll</v>
      </c>
      <c r="E66" s="4" t="str">
        <f>IFERROR(__xludf.DUMMYFUNCTION("GOOGLETRANSLATE(menuu!E:E,""es"",""en"")"),"Salmon and philadelphia wrapped in tamago with an almond crown.")</f>
        <v>Salmon and philadelphia wrapped in tamago with an almond crown.</v>
      </c>
      <c r="F66" s="4">
        <v>219.14496120183264</v>
      </c>
      <c r="G66" s="4">
        <v>171.99195924327012</v>
      </c>
      <c r="H66" s="4">
        <v>380.43349093750004</v>
      </c>
      <c r="I66" s="4">
        <v>543.4764156250001</v>
      </c>
      <c r="J66" s="4">
        <v>345.84862812500006</v>
      </c>
      <c r="K66" s="4">
        <v>380.05343750000003</v>
      </c>
      <c r="N66" s="4">
        <v>5.0</v>
      </c>
      <c r="O66" s="4">
        <v>18.488258855733044</v>
      </c>
      <c r="P66" s="4">
        <v>92.44129427866523</v>
      </c>
      <c r="Q66" s="4">
        <v>253.40733384633484</v>
      </c>
      <c r="R66" s="4">
        <v>2.7412785143664893</v>
      </c>
      <c r="S66" s="4">
        <v>202.72586707706787</v>
      </c>
      <c r="T66" s="4">
        <v>2.1930228114931913</v>
      </c>
      <c r="U66" s="4">
        <v>159.10132992920978</v>
      </c>
      <c r="V66" s="4">
        <v>1.7211066890690345</v>
      </c>
      <c r="W66" s="4">
        <v>119.32599744690734</v>
      </c>
      <c r="X66" s="4">
        <v>1.290830016801776</v>
      </c>
      <c r="Y66" s="4">
        <v>418.05878125000004</v>
      </c>
    </row>
    <row r="67" ht="15.75" customHeight="1">
      <c r="A67" s="4">
        <v>304.0</v>
      </c>
      <c r="B67" s="4" t="str">
        <f>IFERROR(__xludf.DUMMYFUNCTION("GOOGLETRANSLATE(menuu!B:B,""es"",""en"")"),"varied")</f>
        <v>varied</v>
      </c>
      <c r="C67" s="4" t="s">
        <v>166</v>
      </c>
      <c r="D67" s="4" t="str">
        <f>IFERROR(__xludf.DUMMYFUNCTION("GOOGLETRANSLATE(menuu!D:D,""es"",""en"")"),"futurama roll")</f>
        <v>futurama roll</v>
      </c>
      <c r="E67" s="4" t="str">
        <f>IFERROR(__xludf.DUMMYFUNCTION("GOOGLETRANSLATE(menuu!E:E,""es"",""en"")"),"Breaded prawn, philadelphia and green.")</f>
        <v>Breaded prawn, philadelphia and green.</v>
      </c>
      <c r="F67" s="4">
        <v>313.72745903507246</v>
      </c>
      <c r="G67" s="4">
        <v>246.1716707350724</v>
      </c>
      <c r="H67" s="4">
        <v>545.0445000000001</v>
      </c>
      <c r="I67" s="4">
        <v>778.6350000000001</v>
      </c>
      <c r="J67" s="4">
        <v>495.4950000000001</v>
      </c>
      <c r="K67" s="4">
        <v>544.5000000000001</v>
      </c>
      <c r="L67" s="4">
        <v>12.0</v>
      </c>
      <c r="N67" s="4">
        <v>10.0</v>
      </c>
      <c r="O67" s="4">
        <v>13.195991807014474</v>
      </c>
      <c r="P67" s="4">
        <v>131.95991807014474</v>
      </c>
      <c r="Q67" s="4">
        <v>363.5350819298554</v>
      </c>
      <c r="R67" s="4">
        <v>2.754890176095853</v>
      </c>
      <c r="S67" s="4">
        <v>290.8280655438843</v>
      </c>
      <c r="T67" s="4">
        <v>2.203912140876682</v>
      </c>
      <c r="U67" s="4">
        <v>228.42350532985535</v>
      </c>
      <c r="V67" s="4">
        <v>1.731006722878036</v>
      </c>
      <c r="W67" s="4">
        <v>171.31762899739152</v>
      </c>
      <c r="X67" s="4">
        <v>1.298255042158527</v>
      </c>
      <c r="Y67" s="4">
        <v>598.9500000000002</v>
      </c>
    </row>
    <row r="68" ht="15.75" customHeight="1">
      <c r="A68" s="4">
        <v>415.0</v>
      </c>
      <c r="B68" s="4" t="str">
        <f>IFERROR(__xludf.DUMMYFUNCTION("GOOGLETRANSLATE(menuu!B:B,""es"",""en"")"),"Premium (crowned)")</f>
        <v>Premium (crowned)</v>
      </c>
      <c r="C68" s="4" t="s">
        <v>169</v>
      </c>
      <c r="D68" s="4" t="str">
        <f>IFERROR(__xludf.DUMMYFUNCTION("GOOGLETRANSLATE(menuu!D:D,""es"",""en"")"),"silk roll")</f>
        <v>silk roll</v>
      </c>
      <c r="E68" s="4" t="str">
        <f>IFERROR(__xludf.DUMMYFUNCTION("GOOGLETRANSLATE(menuu!E:E,""es"",""en"")"),"Salmon, philadelphia, avocado and mango wrapped in rice paper, with a hazelnut crown.")</f>
        <v>Salmon, philadelphia, avocado and mango wrapped in rice paper, with a hazelnut crown.</v>
      </c>
      <c r="F68" s="4">
        <v>218.70920690670073</v>
      </c>
      <c r="G68" s="4">
        <v>171.5562049481382</v>
      </c>
      <c r="H68" s="4">
        <v>380.43349093750004</v>
      </c>
      <c r="I68" s="4">
        <v>543.4764156250001</v>
      </c>
      <c r="J68" s="4">
        <v>345.84862812500006</v>
      </c>
      <c r="K68" s="4">
        <v>380.05343750000003</v>
      </c>
      <c r="N68" s="4">
        <v>5.0</v>
      </c>
      <c r="O68" s="4">
        <v>18.313957137680273</v>
      </c>
      <c r="P68" s="4">
        <v>91.56978568840137</v>
      </c>
      <c r="Q68" s="4">
        <v>254.2788424365987</v>
      </c>
      <c r="R68" s="4">
        <v>2.7768858529588845</v>
      </c>
      <c r="S68" s="4">
        <v>203.42307394927897</v>
      </c>
      <c r="T68" s="4">
        <v>2.2215086823671077</v>
      </c>
      <c r="U68" s="4">
        <v>159.97283851947364</v>
      </c>
      <c r="V68" s="4">
        <v>1.7470046185740555</v>
      </c>
      <c r="W68" s="4">
        <v>119.97962888960524</v>
      </c>
      <c r="X68" s="4">
        <v>1.3102534639305417</v>
      </c>
      <c r="Y68" s="4">
        <v>418.05878125000004</v>
      </c>
    </row>
    <row r="69" ht="15.75" customHeight="1">
      <c r="A69" s="4">
        <v>401.0</v>
      </c>
      <c r="B69" s="4" t="str">
        <f>IFERROR(__xludf.DUMMYFUNCTION("GOOGLETRANSLATE(menuu!B:B,""es"",""en"")"),"Premium (crowned)")</f>
        <v>Premium (crowned)</v>
      </c>
      <c r="C69" s="4" t="s">
        <v>170</v>
      </c>
      <c r="D69" s="4" t="str">
        <f>IFERROR(__xludf.DUMMYFUNCTION("GOOGLETRANSLATE(menuu!D:D,""es"",""en"")"),"tropical roll")</f>
        <v>tropical roll</v>
      </c>
      <c r="E69" s="4" t="str">
        <f>IFERROR(__xludf.DUMMYFUNCTION("GOOGLETRANSLATE(menuu!E:E,""es"",""en"")"),"Salmon, philadelphia wrapped in mango. Topped with passion fruit sauce and crispy sweet potato.")</f>
        <v>Salmon, philadelphia wrapped in mango. Topped with passion fruit sauce and crispy sweet potato.</v>
      </c>
      <c r="F69" s="4">
        <v>218.21831086482183</v>
      </c>
      <c r="G69" s="4">
        <v>171.0653089062593</v>
      </c>
      <c r="H69" s="4">
        <v>380.43349093750004</v>
      </c>
      <c r="I69" s="4">
        <v>543.4764156250001</v>
      </c>
      <c r="J69" s="4">
        <v>345.84862812500006</v>
      </c>
      <c r="K69" s="4">
        <v>380.05343750000003</v>
      </c>
      <c r="N69" s="4">
        <v>5.0</v>
      </c>
      <c r="O69" s="4">
        <v>18.11759872092872</v>
      </c>
      <c r="P69" s="4">
        <v>90.5879936046436</v>
      </c>
      <c r="Q69" s="4">
        <v>255.26063452035646</v>
      </c>
      <c r="R69" s="4">
        <v>2.817819717195631</v>
      </c>
      <c r="S69" s="4">
        <v>204.20850761628517</v>
      </c>
      <c r="T69" s="4">
        <v>2.2542557737565048</v>
      </c>
      <c r="U69" s="4">
        <v>160.9546306032314</v>
      </c>
      <c r="V69" s="4">
        <v>1.776776636710726</v>
      </c>
      <c r="W69" s="4">
        <v>120.71597295242356</v>
      </c>
      <c r="X69" s="4">
        <v>1.3325824775330444</v>
      </c>
      <c r="Y69" s="4">
        <v>418.05878125000004</v>
      </c>
    </row>
    <row r="70" ht="15.75" customHeight="1">
      <c r="A70" s="4">
        <v>706.0</v>
      </c>
      <c r="B70" s="4" t="str">
        <f>IFERROR(__xludf.DUMMYFUNCTION("GOOGLETRANSLATE(menuu!B:B,""es"",""en"")"),"Warm")</f>
        <v>Warm</v>
      </c>
      <c r="C70" s="4" t="s">
        <v>172</v>
      </c>
      <c r="D70" s="4" t="str">
        <f>IFERROR(__xludf.DUMMYFUNCTION("GOOGLETRANSLATE(menuu!D:D,""es"",""en"")"),"Geysha tempura")</f>
        <v>Geysha tempura</v>
      </c>
      <c r="E70" s="4" t="str">
        <f>IFERROR(__xludf.DUMMYFUNCTION("GOOGLETRANSLATE(menuu!E:E,""es"",""en"")"),"Salmon, philadelphia and battered avocado in tempura.")</f>
        <v>Salmon, philadelphia and battered avocado in tempura.</v>
      </c>
      <c r="F70" s="4">
        <v>207.8600388187346</v>
      </c>
      <c r="G70" s="4">
        <v>162.82284661873462</v>
      </c>
      <c r="H70" s="4">
        <v>363.363</v>
      </c>
      <c r="I70" s="4">
        <v>519.09</v>
      </c>
      <c r="J70" s="4">
        <v>330.33000000000004</v>
      </c>
      <c r="K70" s="4">
        <v>363.00000000000006</v>
      </c>
      <c r="L70" s="4">
        <v>8.0</v>
      </c>
      <c r="N70" s="4">
        <v>4.0</v>
      </c>
      <c r="O70" s="4">
        <v>21.347519409367305</v>
      </c>
      <c r="P70" s="4">
        <v>85.39007763746922</v>
      </c>
      <c r="Q70" s="4">
        <v>244.9399223625308</v>
      </c>
      <c r="R70" s="4">
        <v>2.8684822539035966</v>
      </c>
      <c r="S70" s="4">
        <v>195.95193789002465</v>
      </c>
      <c r="T70" s="4">
        <v>2.294785803122877</v>
      </c>
      <c r="U70" s="4">
        <v>154.86553796253077</v>
      </c>
      <c r="V70" s="4">
        <v>1.8136245129091635</v>
      </c>
      <c r="W70" s="4">
        <v>116.14915347189807</v>
      </c>
      <c r="X70" s="4">
        <v>1.3602183846818727</v>
      </c>
      <c r="Y70" s="4">
        <v>399.30000000000007</v>
      </c>
    </row>
    <row r="71" ht="15.75" customHeight="1">
      <c r="A71" s="4">
        <v>702.0</v>
      </c>
      <c r="B71" s="4" t="str">
        <f>IFERROR(__xludf.DUMMYFUNCTION("GOOGLETRANSLATE(menuu!B:B,""es"",""en"")"),"Warm")</f>
        <v>Warm</v>
      </c>
      <c r="C71" s="4" t="s">
        <v>175</v>
      </c>
      <c r="D71" s="4" t="str">
        <f>IFERROR(__xludf.DUMMYFUNCTION("GOOGLETRANSLATE(menuu!D:D,""es"",""en"")"),"Hot Phila (new york) roll")</f>
        <v>Hot Phila (new york) roll</v>
      </c>
      <c r="E71" s="4" t="str">
        <f>IFERROR(__xludf.DUMMYFUNCTION("GOOGLETRANSLATE(menuu!E:E,""es"",""en"")"),"Salmon, avocado and philadelphia breaded in panko.")</f>
        <v>Salmon, avocado and philadelphia breaded in panko.</v>
      </c>
      <c r="F71" s="4">
        <v>354.4341182935701</v>
      </c>
      <c r="G71" s="4">
        <v>277.34921074392</v>
      </c>
      <c r="H71" s="4">
        <v>621.92605475</v>
      </c>
      <c r="I71" s="4">
        <v>888.4657925000001</v>
      </c>
      <c r="J71" s="4">
        <v>565.3873225000001</v>
      </c>
      <c r="K71" s="4">
        <v>621.3047500000001</v>
      </c>
      <c r="N71" s="4">
        <v>10.0</v>
      </c>
      <c r="O71" s="4">
        <v>14.348091408714007</v>
      </c>
      <c r="P71" s="4">
        <v>143.48091408714006</v>
      </c>
      <c r="Q71" s="4">
        <v>421.90640841286006</v>
      </c>
      <c r="R71" s="4">
        <v>2.9405054400240593</v>
      </c>
      <c r="S71" s="4">
        <v>337.5251267302881</v>
      </c>
      <c r="T71" s="4">
        <v>2.352404352019248</v>
      </c>
      <c r="U71" s="4">
        <v>267.73659331356</v>
      </c>
      <c r="V71" s="4">
        <v>1.8660084166382986</v>
      </c>
      <c r="W71" s="4">
        <v>200.80244498516998</v>
      </c>
      <c r="X71" s="4">
        <v>1.399506312478724</v>
      </c>
      <c r="Y71" s="4">
        <v>683.4352250000002</v>
      </c>
    </row>
    <row r="72" ht="15.75" customHeight="1">
      <c r="A72" s="4">
        <v>408.0</v>
      </c>
      <c r="B72" s="4" t="str">
        <f>IFERROR(__xludf.DUMMYFUNCTION("GOOGLETRANSLATE(menuu!B:B,""es"",""en"")"),"Premium (crowned)")</f>
        <v>Premium (crowned)</v>
      </c>
      <c r="C72" s="4" t="s">
        <v>178</v>
      </c>
      <c r="D72" s="4" t="str">
        <f>IFERROR(__xludf.DUMMYFUNCTION("GOOGLETRANSLATE(menuu!D:D,""es"",""en"")"),"Tataki roll")</f>
        <v>Tataki roll</v>
      </c>
      <c r="E72" s="4" t="str">
        <f>IFERROR(__xludf.DUMMYFUNCTION("GOOGLETRANSLATE(menuu!E:E,""es"",""en"")"),"Breaded salmon and philadelphia topped with salmon and crispy sweet potato.")</f>
        <v>Breaded salmon and philadelphia topped with salmon and crispy sweet potato.</v>
      </c>
      <c r="F72" s="4">
        <v>363.21794271232</v>
      </c>
      <c r="G72" s="4">
        <v>284.00089942193495</v>
      </c>
      <c r="H72" s="4">
        <v>639.1282647749999</v>
      </c>
      <c r="I72" s="4">
        <v>913.04037825</v>
      </c>
      <c r="J72" s="4">
        <v>581.02569525</v>
      </c>
      <c r="K72" s="4">
        <v>638.489775</v>
      </c>
      <c r="N72" s="4">
        <v>10.0</v>
      </c>
      <c r="O72" s="4">
        <v>14.541019017464006</v>
      </c>
      <c r="P72" s="4">
        <v>145.41019017464006</v>
      </c>
      <c r="Q72" s="4">
        <v>435.6155050753599</v>
      </c>
      <c r="R72" s="4">
        <v>2.995770135175385</v>
      </c>
      <c r="S72" s="4">
        <v>348.492404060288</v>
      </c>
      <c r="T72" s="4">
        <v>2.3966161081403086</v>
      </c>
      <c r="U72" s="4">
        <v>277.1814184945898</v>
      </c>
      <c r="V72" s="4">
        <v>1.9062035347157604</v>
      </c>
      <c r="W72" s="4">
        <v>207.88606387094237</v>
      </c>
      <c r="X72" s="4">
        <v>1.4296526510368204</v>
      </c>
      <c r="Y72" s="4">
        <v>702.3387525</v>
      </c>
    </row>
    <row r="73" ht="15.75" customHeight="1">
      <c r="A73" s="4">
        <v>412.0</v>
      </c>
      <c r="B73" s="4" t="str">
        <f>IFERROR(__xludf.DUMMYFUNCTION("GOOGLETRANSLATE(menuu!B:B,""es"",""en"")"),"Premium (crowned)")</f>
        <v>Premium (crowned)</v>
      </c>
      <c r="C73" s="4" t="s">
        <v>181</v>
      </c>
      <c r="D73" s="4" t="str">
        <f>IFERROR(__xludf.DUMMYFUNCTION("GOOGLETRANSLATE(menuu!D:D,""es"",""en"")"),"Mexican roll")</f>
        <v>Mexican roll</v>
      </c>
      <c r="E73" s="4" t="str">
        <f>IFERROR(__xludf.DUMMYFUNCTION("GOOGLETRANSLATE(menuu!E:E,""es"",""en"")"),"Salmon breaded in panko, philadelphia, topped with guacamole and nachos.")</f>
        <v>Salmon breaded in panko, philadelphia, topped with guacamole and nachos.</v>
      </c>
      <c r="F73" s="4">
        <v>363.21794271232</v>
      </c>
      <c r="G73" s="4">
        <v>284.00089942193495</v>
      </c>
      <c r="H73" s="4">
        <v>639.1282647749999</v>
      </c>
      <c r="I73" s="4">
        <v>913.04037825</v>
      </c>
      <c r="J73" s="4">
        <v>581.02569525</v>
      </c>
      <c r="K73" s="4">
        <v>638.489775</v>
      </c>
      <c r="L73" s="4">
        <v>12.0</v>
      </c>
      <c r="N73" s="4">
        <v>10.0</v>
      </c>
      <c r="O73" s="4">
        <v>14.541019017464006</v>
      </c>
      <c r="P73" s="4">
        <v>145.41019017464006</v>
      </c>
      <c r="Q73" s="4">
        <v>435.6155050753599</v>
      </c>
      <c r="R73" s="4">
        <v>2.995770135175385</v>
      </c>
      <c r="S73" s="4">
        <v>348.492404060288</v>
      </c>
      <c r="T73" s="4">
        <v>2.3966161081403086</v>
      </c>
      <c r="U73" s="4">
        <v>277.1814184945898</v>
      </c>
      <c r="V73" s="4">
        <v>1.9062035347157604</v>
      </c>
      <c r="W73" s="4">
        <v>207.88606387094237</v>
      </c>
      <c r="X73" s="4">
        <v>1.4296526510368204</v>
      </c>
      <c r="Y73" s="4">
        <v>702.3387525</v>
      </c>
    </row>
    <row r="74" ht="15.75" customHeight="1">
      <c r="A74" s="4">
        <v>308.0</v>
      </c>
      <c r="B74" s="4" t="str">
        <f>IFERROR(__xludf.DUMMYFUNCTION("GOOGLETRANSLATE(menuu!B:B,""es"",""en"")"),"varied")</f>
        <v>varied</v>
      </c>
      <c r="C74" s="4" t="s">
        <v>184</v>
      </c>
      <c r="D74" s="4" t="str">
        <f>IFERROR(__xludf.DUMMYFUNCTION("GOOGLETRANSLATE(menuu!D:D,""es"",""en"")"),"skin roll")</f>
        <v>skin roll</v>
      </c>
      <c r="E74" s="4" t="str">
        <f>IFERROR(__xludf.DUMMYFUNCTION("GOOGLETRANSLATE(menuu!E:E,""es"",""en"")"),"Salmon and philadelphia skin topped with avocado.")</f>
        <v>Salmon and philadelphia skin topped with avocado.</v>
      </c>
      <c r="F74" s="4">
        <v>302.79823308651044</v>
      </c>
      <c r="G74" s="4">
        <v>236.74368452651044</v>
      </c>
      <c r="H74" s="4">
        <v>532.9324</v>
      </c>
      <c r="I74" s="4">
        <v>761.3320000000001</v>
      </c>
      <c r="J74" s="4">
        <v>484.4840000000001</v>
      </c>
      <c r="K74" s="4">
        <v>532.4000000000001</v>
      </c>
      <c r="L74" s="4">
        <v>12.0</v>
      </c>
      <c r="N74" s="4">
        <v>10.0</v>
      </c>
      <c r="O74" s="4">
        <v>12.111246617302086</v>
      </c>
      <c r="P74" s="4">
        <v>121.11246617302086</v>
      </c>
      <c r="Q74" s="4">
        <v>363.3715338269792</v>
      </c>
      <c r="R74" s="4">
        <v>3.0002818480128037</v>
      </c>
      <c r="S74" s="4">
        <v>290.69722706158336</v>
      </c>
      <c r="T74" s="4">
        <v>2.400225478410243</v>
      </c>
      <c r="U74" s="4">
        <v>231.26243670697917</v>
      </c>
      <c r="V74" s="4">
        <v>1.9094849936966722</v>
      </c>
      <c r="W74" s="4">
        <v>173.44682753023437</v>
      </c>
      <c r="X74" s="4">
        <v>1.4321137452725041</v>
      </c>
      <c r="Y74" s="4">
        <v>585.6400000000001</v>
      </c>
    </row>
    <row r="75" ht="15.75" customHeight="1">
      <c r="A75" s="4">
        <v>419.0</v>
      </c>
      <c r="B75" s="4" t="str">
        <f>IFERROR(__xludf.DUMMYFUNCTION("GOOGLETRANSLATE(menuu!B:B,""es"",""en"")"),"Premium (crowned)")</f>
        <v>Premium (crowned)</v>
      </c>
      <c r="C75" s="4" t="s">
        <v>187</v>
      </c>
      <c r="D75" s="4" t="str">
        <f>IFERROR(__xludf.DUMMYFUNCTION("GOOGLETRANSLATE(menuu!D:D,""es"",""en"")"),"Tropical tamago roll")</f>
        <v>Tropical tamago roll</v>
      </c>
      <c r="E75" s="4" t="str">
        <f>IFERROR(__xludf.DUMMYFUNCTION("GOOGLETRANSLATE(menuu!E:E,""es"",""en"")"),"Salmon and philadelphia with greenery wrapped in tamago, topped with crispy sweet potato and passion fruit sauce.")</f>
        <v>Salmon and philadelphia with greenery wrapped in tamago, topped with crispy sweet potato and passion fruit sauce.</v>
      </c>
      <c r="F75" s="4">
        <v>216.09426432683264</v>
      </c>
      <c r="G75" s="4">
        <v>168.94126236827012</v>
      </c>
      <c r="H75" s="4">
        <v>380.43349093750004</v>
      </c>
      <c r="I75" s="4">
        <v>543.4764156250001</v>
      </c>
      <c r="J75" s="4">
        <v>345.84862812500006</v>
      </c>
      <c r="K75" s="4">
        <v>380.05343750000003</v>
      </c>
      <c r="N75" s="4">
        <v>5.0</v>
      </c>
      <c r="O75" s="4">
        <v>17.267980105733045</v>
      </c>
      <c r="P75" s="4">
        <v>86.33990052866523</v>
      </c>
      <c r="Q75" s="4">
        <v>259.50872759633484</v>
      </c>
      <c r="R75" s="4">
        <v>3.005663963096376</v>
      </c>
      <c r="S75" s="4">
        <v>207.60698207706787</v>
      </c>
      <c r="T75" s="4">
        <v>2.404531170477101</v>
      </c>
      <c r="U75" s="4">
        <v>165.20272367920978</v>
      </c>
      <c r="V75" s="4">
        <v>1.9133995136392559</v>
      </c>
      <c r="W75" s="4">
        <v>123.90204275940734</v>
      </c>
      <c r="X75" s="4">
        <v>1.435049635229442</v>
      </c>
      <c r="Y75" s="4">
        <v>418.05878125000004</v>
      </c>
    </row>
    <row r="76" ht="15.75" customHeight="1">
      <c r="A76" s="4">
        <v>413.0</v>
      </c>
      <c r="B76" s="4" t="str">
        <f>IFERROR(__xludf.DUMMYFUNCTION("GOOGLETRANSLATE(menuu!B:B,""es"",""en"")"),"Premium (crowned)")</f>
        <v>Premium (crowned)</v>
      </c>
      <c r="C76" s="4" t="s">
        <v>188</v>
      </c>
      <c r="D76" s="4" t="str">
        <f>IFERROR(__xludf.DUMMYFUNCTION("GOOGLETRANSLATE(menuu!D:D,""es"",""en"")"),"avocado roll")</f>
        <v>avocado roll</v>
      </c>
      <c r="E76" s="4" t="str">
        <f>IFERROR(__xludf.DUMMYFUNCTION("GOOGLETRANSLATE(menuu!E:E,""es"",""en"")"),"Salmon, mango and philadelphia, topped with thin slices of avocado.")</f>
        <v>Salmon, mango and philadelphia, topped with thin slices of avocado.</v>
      </c>
      <c r="F76" s="4">
        <v>215.8487779409683</v>
      </c>
      <c r="G76" s="4">
        <v>168.6957759824058</v>
      </c>
      <c r="H76" s="4">
        <v>380.43349093750004</v>
      </c>
      <c r="I76" s="4">
        <v>543.4764156250001</v>
      </c>
      <c r="J76" s="4">
        <v>345.84862812500006</v>
      </c>
      <c r="K76" s="4">
        <v>380.05343750000003</v>
      </c>
      <c r="N76" s="4">
        <v>5.0</v>
      </c>
      <c r="O76" s="4">
        <v>17.16978555138731</v>
      </c>
      <c r="P76" s="4">
        <v>85.84892775693655</v>
      </c>
      <c r="Q76" s="4">
        <v>259.9997003680635</v>
      </c>
      <c r="R76" s="4">
        <v>3.0285724837961725</v>
      </c>
      <c r="S76" s="4">
        <v>207.9997602944508</v>
      </c>
      <c r="T76" s="4">
        <v>2.422857987036938</v>
      </c>
      <c r="U76" s="4">
        <v>165.69369645093846</v>
      </c>
      <c r="V76" s="4">
        <v>1.930061338914632</v>
      </c>
      <c r="W76" s="4">
        <v>124.27027233820385</v>
      </c>
      <c r="X76" s="4">
        <v>1.447546004185974</v>
      </c>
      <c r="Y76" s="4">
        <v>418.05878125000004</v>
      </c>
    </row>
    <row r="77" ht="15.75" customHeight="1">
      <c r="A77" s="4">
        <v>218.0</v>
      </c>
      <c r="B77" s="4" t="str">
        <f>IFERROR(__xludf.DUMMYFUNCTION("GOOGLETRANSLATE(menuu!B:B,""es"",""en"")"),"Salmon rolls")</f>
        <v>Salmon rolls</v>
      </c>
      <c r="C77" s="4" t="s">
        <v>189</v>
      </c>
      <c r="D77" s="4" t="str">
        <f>IFERROR(__xludf.DUMMYFUNCTION("GOOGLETRANSLATE(menuu!D:D,""es"",""en"")"),"Geisha")</f>
        <v>Geisha</v>
      </c>
      <c r="E77" s="4" t="str">
        <f>IFERROR(__xludf.DUMMYFUNCTION("GOOGLETRANSLATE(menuu!E:E,""es"",""en"")"),"4 slices of salmon, philadelphia and avocado.")</f>
        <v>4 slices of salmon, philadelphia and avocado.</v>
      </c>
      <c r="F77" s="4">
        <v>171.79353105498768</v>
      </c>
      <c r="G77" s="4">
        <v>134.26253755498766</v>
      </c>
      <c r="H77" s="4">
        <v>302.80249999999995</v>
      </c>
      <c r="I77" s="4">
        <v>432.575</v>
      </c>
      <c r="J77" s="4">
        <v>275.27500000000003</v>
      </c>
      <c r="K77" s="4">
        <v>302.5</v>
      </c>
      <c r="L77" s="4">
        <v>8.0</v>
      </c>
      <c r="N77" s="4">
        <v>4.0</v>
      </c>
      <c r="O77" s="4">
        <v>17.078015527493843</v>
      </c>
      <c r="P77" s="4">
        <v>68.31206210997537</v>
      </c>
      <c r="Q77" s="4">
        <v>206.96293789002465</v>
      </c>
      <c r="R77" s="4">
        <v>3.0296690144829133</v>
      </c>
      <c r="S77" s="4">
        <v>165.57035031201974</v>
      </c>
      <c r="T77" s="4">
        <v>2.423735211586331</v>
      </c>
      <c r="U77" s="4">
        <v>131.9009508900246</v>
      </c>
      <c r="V77" s="4">
        <v>1.930858867613712</v>
      </c>
      <c r="W77" s="4">
        <v>98.92571316751845</v>
      </c>
      <c r="X77" s="4">
        <v>1.448144150710284</v>
      </c>
      <c r="Y77" s="4">
        <v>332.75</v>
      </c>
    </row>
    <row r="78" ht="15.75" customHeight="1">
      <c r="A78" s="4">
        <v>315.0</v>
      </c>
      <c r="B78" s="4" t="str">
        <f>IFERROR(__xludf.DUMMYFUNCTION("GOOGLETRANSLATE(menuu!B:B,""es"",""en"")"),"varied")</f>
        <v>varied</v>
      </c>
      <c r="C78" s="4" t="s">
        <v>192</v>
      </c>
      <c r="D78" s="4" t="str">
        <f>IFERROR(__xludf.DUMMYFUNCTION("GOOGLETRANSLATE(menuu!D:D,""es"",""en"")"),"Varied combo")</f>
        <v>Varied combo</v>
      </c>
      <c r="E78" s="4" t="str">
        <f>IFERROR(__xludf.DUMMYFUNCTION("GOOGLETRANSLATE(menuu!E:E,""es"",""en"")"),"Ebi Maki, Skin California and nigiri")</f>
        <v>Ebi Maki, Skin California and nigiri</v>
      </c>
      <c r="F78" s="4">
        <v>549.4820397916014</v>
      </c>
      <c r="G78" s="4">
        <v>429.3828605916013</v>
      </c>
      <c r="H78" s="4">
        <v>968.9680000000001</v>
      </c>
      <c r="I78" s="4">
        <v>1384.2400000000002</v>
      </c>
      <c r="J78" s="4">
        <v>880.8800000000002</v>
      </c>
      <c r="K78" s="4">
        <v>968.0000000000002</v>
      </c>
      <c r="L78" s="4">
        <v>14.0</v>
      </c>
      <c r="M78" s="4">
        <v>470.0</v>
      </c>
      <c r="N78" s="4">
        <v>1.0</v>
      </c>
      <c r="O78" s="4">
        <v>218.08407958320254</v>
      </c>
      <c r="P78" s="4">
        <v>218.08407958320254</v>
      </c>
      <c r="Q78" s="4">
        <v>662.7959204167977</v>
      </c>
      <c r="R78" s="4">
        <v>3.0391760906321936</v>
      </c>
      <c r="S78" s="4">
        <v>530.2367363334382</v>
      </c>
      <c r="T78" s="4">
        <v>2.4313408725057553</v>
      </c>
      <c r="U78" s="4">
        <v>422.5975620167975</v>
      </c>
      <c r="V78" s="4">
        <v>1.9377735542386065</v>
      </c>
      <c r="W78" s="4">
        <v>316.94817151259815</v>
      </c>
      <c r="X78" s="4">
        <v>1.453330165678955</v>
      </c>
      <c r="Y78" s="4">
        <v>1064.8000000000004</v>
      </c>
    </row>
    <row r="79" ht="15.75" customHeight="1">
      <c r="A79" s="4">
        <v>216.0</v>
      </c>
      <c r="B79" s="4" t="str">
        <f>IFERROR(__xludf.DUMMYFUNCTION("GOOGLETRANSLATE(menuu!B:B,""es"",""en"")"),"Salmon rolls")</f>
        <v>Salmon rolls</v>
      </c>
      <c r="C79" s="4" t="s">
        <v>195</v>
      </c>
      <c r="D79" s="4" t="str">
        <f>IFERROR(__xludf.DUMMYFUNCTION("GOOGLETRANSLATE(menuu!D:D,""es"",""en"")"),"Nigiri")</f>
        <v>Nigiri</v>
      </c>
      <c r="E79" s="4" t="str">
        <f>IFERROR(__xludf.DUMMYFUNCTION("GOOGLETRANSLATE(menuu!E:E,""es"",""en"")"),"Rice canape wrapped with salmon.")</f>
        <v>Rice canape wrapped with salmon.</v>
      </c>
      <c r="F79" s="4">
        <v>171.5229927765218</v>
      </c>
      <c r="G79" s="4">
        <v>133.9919992765217</v>
      </c>
      <c r="H79" s="4">
        <v>302.80249999999995</v>
      </c>
      <c r="I79" s="4">
        <v>432.575</v>
      </c>
      <c r="J79" s="4">
        <v>275.27500000000003</v>
      </c>
      <c r="K79" s="4">
        <v>302.5</v>
      </c>
      <c r="L79" s="4">
        <v>6.0</v>
      </c>
      <c r="N79" s="4">
        <v>4.0</v>
      </c>
      <c r="O79" s="4">
        <v>16.942746388260876</v>
      </c>
      <c r="P79" s="4">
        <v>67.7709855530435</v>
      </c>
      <c r="Q79" s="4">
        <v>207.50401444695655</v>
      </c>
      <c r="R79" s="4">
        <v>3.061841476166017</v>
      </c>
      <c r="S79" s="4">
        <v>166.00321155756524</v>
      </c>
      <c r="T79" s="4">
        <v>2.449473180932814</v>
      </c>
      <c r="U79" s="4">
        <v>132.44202744695644</v>
      </c>
      <c r="V79" s="4">
        <v>1.9542585424450665</v>
      </c>
      <c r="W79" s="4">
        <v>99.33152058521733</v>
      </c>
      <c r="X79" s="4">
        <v>1.4656939068337997</v>
      </c>
      <c r="Y79" s="4">
        <v>332.75</v>
      </c>
    </row>
    <row r="80" ht="15.75" customHeight="1">
      <c r="A80" s="4">
        <v>303.0</v>
      </c>
      <c r="B80" s="4" t="str">
        <f>IFERROR(__xludf.DUMMYFUNCTION("GOOGLETRANSLATE(menuu!B:B,""es"",""en"")"),"varied")</f>
        <v>varied</v>
      </c>
      <c r="C80" s="4" t="s">
        <v>198</v>
      </c>
      <c r="D80" s="4" t="str">
        <f>IFERROR(__xludf.DUMMYFUNCTION("GOOGLETRANSLATE(menuu!D:D,""es"",""en"")"),"futurama roll")</f>
        <v>futurama roll</v>
      </c>
      <c r="E80" s="4" t="str">
        <f>IFERROR(__xludf.DUMMYFUNCTION("GOOGLETRANSLATE(menuu!E:E,""es"",""en"")"),"Breaded prawn, philadelphia and green.")</f>
        <v>Breaded prawn, philadelphia and green.</v>
      </c>
      <c r="F80" s="4">
        <v>167.8747295175362</v>
      </c>
      <c r="G80" s="4">
        <v>131.0943558875362</v>
      </c>
      <c r="H80" s="4">
        <v>296.74645000000004</v>
      </c>
      <c r="I80" s="4">
        <v>423.92350000000005</v>
      </c>
      <c r="J80" s="4">
        <v>269.76950000000005</v>
      </c>
      <c r="K80" s="4">
        <v>296.45000000000005</v>
      </c>
      <c r="L80" s="4">
        <v>6.0</v>
      </c>
      <c r="N80" s="4">
        <v>5.0</v>
      </c>
      <c r="O80" s="4">
        <v>13.195991807014474</v>
      </c>
      <c r="P80" s="4">
        <v>65.97995903507237</v>
      </c>
      <c r="Q80" s="4">
        <v>203.78954096492768</v>
      </c>
      <c r="R80" s="4">
        <v>3.0886581917488174</v>
      </c>
      <c r="S80" s="4">
        <v>163.03163277194216</v>
      </c>
      <c r="T80" s="4">
        <v>2.470926553399054</v>
      </c>
      <c r="U80" s="4">
        <v>130.22879370492765</v>
      </c>
      <c r="V80" s="4">
        <v>1.9737628760227497</v>
      </c>
      <c r="W80" s="4">
        <v>97.67159527869575</v>
      </c>
      <c r="X80" s="4">
        <v>1.4803221570170624</v>
      </c>
      <c r="Y80" s="4">
        <v>326.0950000000001</v>
      </c>
    </row>
    <row r="81" ht="15.75" customHeight="1">
      <c r="A81" s="4">
        <v>509.0</v>
      </c>
      <c r="B81" s="4" t="str">
        <f>IFERROR(__xludf.DUMMYFUNCTION("GOOGLETRANSLATE(menuu!B:B,""es"",""en"")"),"Vegetarians")</f>
        <v>Vegetarians</v>
      </c>
      <c r="C81" s="4" t="s">
        <v>199</v>
      </c>
      <c r="D81" s="4" t="str">
        <f>IFERROR(__xludf.DUMMYFUNCTION("GOOGLETRANSLATE(menuu!D:D,""es"",""en"")"),"Vegetarian combo")</f>
        <v>Vegetarian combo</v>
      </c>
      <c r="E81" s="4" t="str">
        <f>IFERROR(__xludf.DUMMYFUNCTION("GOOGLETRANSLATE(menuu!E:E,""es"",""en"")"),"Veggie phill roll, Mango roll, Cucumber roll, Veggie grill.")</f>
        <v>Veggie phill roll, Mango roll, Cucumber roll, Veggie grill.</v>
      </c>
      <c r="F81" s="4">
        <v>565.3875317909612</v>
      </c>
      <c r="G81" s="4">
        <v>453.04037929838614</v>
      </c>
      <c r="H81" s="4">
        <v>906.4241436249997</v>
      </c>
      <c r="I81" s="4">
        <v>1294.8916337499998</v>
      </c>
      <c r="J81" s="4">
        <v>824.02194875</v>
      </c>
      <c r="K81" s="4">
        <v>905.5186249999999</v>
      </c>
      <c r="N81" s="4">
        <v>1.0</v>
      </c>
      <c r="O81" s="4">
        <v>306.75311483192246</v>
      </c>
      <c r="P81" s="4">
        <v>306.75311483192246</v>
      </c>
      <c r="Q81" s="4">
        <v>517.2688339180775</v>
      </c>
      <c r="R81" s="4">
        <v>1.6862708442308785</v>
      </c>
      <c r="S81" s="4">
        <v>413.81506713446197</v>
      </c>
      <c r="T81" s="4">
        <v>1.3490166753847026</v>
      </c>
      <c r="U81" s="4">
        <v>292.5745289329274</v>
      </c>
      <c r="V81" s="4">
        <v>0.9537785104260023</v>
      </c>
      <c r="W81" s="4">
        <v>219.43089669969555</v>
      </c>
      <c r="X81" s="4">
        <v>0.7153338828195016</v>
      </c>
      <c r="Y81" s="4">
        <v>996.0704875</v>
      </c>
    </row>
    <row r="82" ht="15.75" customHeight="1">
      <c r="A82" s="4">
        <v>217.0</v>
      </c>
      <c r="B82" s="4" t="str">
        <f>IFERROR(__xludf.DUMMYFUNCTION("GOOGLETRANSLATE(menuu!B:B,""es"",""en"")"),"Salmon rolls")</f>
        <v>Salmon rolls</v>
      </c>
      <c r="C82" s="4" t="s">
        <v>202</v>
      </c>
      <c r="D82" s="4" t="str">
        <f>IFERROR(__xludf.DUMMYFUNCTION("GOOGLETRANSLATE(menuu!D:D,""es"",""en"")"),"Geisha")</f>
        <v>Geisha</v>
      </c>
      <c r="E82" s="4" t="str">
        <f>IFERROR(__xludf.DUMMYFUNCTION("GOOGLETRANSLATE(menuu!E:E,""es"",""en"")"),"1 slice of salmon, philadelphia and avocado.")</f>
        <v>1 slice of salmon, philadelphia and avocado.</v>
      </c>
      <c r="F82" s="4">
        <v>44.32475776374693</v>
      </c>
      <c r="G82" s="4">
        <v>34.56669945374692</v>
      </c>
      <c r="H82" s="4">
        <v>78.72864999999999</v>
      </c>
      <c r="I82" s="4">
        <v>112.4695</v>
      </c>
      <c r="J82" s="4">
        <v>71.57150000000001</v>
      </c>
      <c r="K82" s="4">
        <v>78.65</v>
      </c>
      <c r="L82" s="4">
        <v>4.0</v>
      </c>
      <c r="N82" s="4">
        <v>1.0</v>
      </c>
      <c r="O82" s="4">
        <v>17.078015527493843</v>
      </c>
      <c r="P82" s="4">
        <v>17.078015527493843</v>
      </c>
      <c r="Q82" s="4">
        <v>54.49348447250617</v>
      </c>
      <c r="R82" s="4">
        <v>3.19085577506223</v>
      </c>
      <c r="S82" s="4">
        <v>43.59478757800494</v>
      </c>
      <c r="T82" s="4">
        <v>2.5526846200497846</v>
      </c>
      <c r="U82" s="4">
        <v>34.97736785250615</v>
      </c>
      <c r="V82" s="4">
        <v>2.0480932223182604</v>
      </c>
      <c r="W82" s="4">
        <v>26.23302588937961</v>
      </c>
      <c r="X82" s="4">
        <v>1.5360699167386953</v>
      </c>
      <c r="Y82" s="4">
        <v>86.51500000000001</v>
      </c>
    </row>
    <row r="83" ht="15.75" customHeight="1">
      <c r="A83" s="4">
        <v>215.0</v>
      </c>
      <c r="B83" s="4" t="str">
        <f>IFERROR(__xludf.DUMMYFUNCTION("GOOGLETRANSLATE(menuu!B:B,""es"",""en"")"),"Salmon rolls")</f>
        <v>Salmon rolls</v>
      </c>
      <c r="C83" s="4" t="s">
        <v>204</v>
      </c>
      <c r="D83" s="4" t="str">
        <f>IFERROR(__xludf.DUMMYFUNCTION("GOOGLETRANSLATE(menuu!D:D,""es"",""en"")"),"Nigiri")</f>
        <v>Nigiri</v>
      </c>
      <c r="E83" s="4" t="str">
        <f>IFERROR(__xludf.DUMMYFUNCTION("GOOGLETRANSLATE(menuu!E:E,""es"",""en"")"),"Rice canape wrapped with salmon.")</f>
        <v>Rice canape wrapped with salmon.</v>
      </c>
      <c r="F83" s="4">
        <v>44.25712319413044</v>
      </c>
      <c r="G83" s="4">
        <v>34.49906488413043</v>
      </c>
      <c r="H83" s="4">
        <v>78.72864999999999</v>
      </c>
      <c r="I83" s="4">
        <v>112.4695</v>
      </c>
      <c r="J83" s="4">
        <v>71.57150000000001</v>
      </c>
      <c r="K83" s="4">
        <v>78.65</v>
      </c>
      <c r="L83" s="4">
        <v>3.0</v>
      </c>
      <c r="N83" s="4">
        <v>1.0</v>
      </c>
      <c r="O83" s="4">
        <v>16.942746388260876</v>
      </c>
      <c r="P83" s="4">
        <v>16.942746388260876</v>
      </c>
      <c r="Q83" s="4">
        <v>54.62875361173914</v>
      </c>
      <c r="R83" s="4">
        <v>3.2243151352126582</v>
      </c>
      <c r="S83" s="4">
        <v>43.703002889391314</v>
      </c>
      <c r="T83" s="4">
        <v>2.5794521081701265</v>
      </c>
      <c r="U83" s="4">
        <v>35.11263699173912</v>
      </c>
      <c r="V83" s="4">
        <v>2.07242888414287</v>
      </c>
      <c r="W83" s="4">
        <v>26.334477743804342</v>
      </c>
      <c r="X83" s="4">
        <v>1.5543216631071524</v>
      </c>
      <c r="Y83" s="4">
        <v>86.51500000000001</v>
      </c>
    </row>
    <row r="84" ht="15.75" customHeight="1">
      <c r="A84" s="4">
        <v>701.0</v>
      </c>
      <c r="B84" s="4" t="str">
        <f>IFERROR(__xludf.DUMMYFUNCTION("GOOGLETRANSLATE(menuu!B:B,""es"",""en"")"),"Warm")</f>
        <v>Warm</v>
      </c>
      <c r="C84" s="4" t="s">
        <v>205</v>
      </c>
      <c r="D84" s="4" t="str">
        <f>IFERROR(__xludf.DUMMYFUNCTION("GOOGLETRANSLATE(menuu!D:D,""es"",""en"")"),"Hot Phila (new york) roll")</f>
        <v>Hot Phila (new york) roll</v>
      </c>
      <c r="E84" s="4" t="str">
        <f>IFERROR(__xludf.DUMMYFUNCTION("GOOGLETRANSLATE(menuu!E:E,""es"",""en"")"),"Salmon, avocado and philadelphia breaded in panko.")</f>
        <v>Salmon, avocado and philadelphia breaded in panko.</v>
      </c>
      <c r="F84" s="4">
        <v>192.2539560217851</v>
      </c>
      <c r="G84" s="4">
        <v>149.61124120708502</v>
      </c>
      <c r="H84" s="4">
        <v>344.04420050000004</v>
      </c>
      <c r="I84" s="4">
        <v>491.4917150000001</v>
      </c>
      <c r="J84" s="4">
        <v>312.7674550000001</v>
      </c>
      <c r="K84" s="4">
        <v>343.7005000000001</v>
      </c>
      <c r="N84" s="4">
        <v>5.0</v>
      </c>
      <c r="O84" s="4">
        <v>14.348091408714007</v>
      </c>
      <c r="P84" s="4">
        <v>71.74045704357003</v>
      </c>
      <c r="Q84" s="4">
        <v>241.02699795643008</v>
      </c>
      <c r="R84" s="4">
        <v>3.359708146409598</v>
      </c>
      <c r="S84" s="4">
        <v>192.82159836514407</v>
      </c>
      <c r="T84" s="4">
        <v>2.687766517127679</v>
      </c>
      <c r="U84" s="4">
        <v>155.74156832703</v>
      </c>
      <c r="V84" s="4">
        <v>2.1709029290466284</v>
      </c>
      <c r="W84" s="4">
        <v>116.8061762452725</v>
      </c>
      <c r="X84" s="4">
        <v>1.6281771967849712</v>
      </c>
      <c r="Y84" s="4">
        <v>378.07055000000014</v>
      </c>
    </row>
    <row r="85" ht="15.75" customHeight="1">
      <c r="A85" s="4">
        <v>307.0</v>
      </c>
      <c r="B85" s="4" t="str">
        <f>IFERROR(__xludf.DUMMYFUNCTION("GOOGLETRANSLATE(menuu!B:B,""es"",""en"")"),"varied")</f>
        <v>varied</v>
      </c>
      <c r="C85" s="4" t="s">
        <v>206</v>
      </c>
      <c r="D85" s="4" t="str">
        <f>IFERROR(__xludf.DUMMYFUNCTION("GOOGLETRANSLATE(menuu!D:D,""es"",""en"")"),"skin roll")</f>
        <v>skin roll</v>
      </c>
      <c r="E85" s="4" t="str">
        <f>IFERROR(__xludf.DUMMYFUNCTION("GOOGLETRANSLATE(menuu!E:E,""es"",""en"")"),"Salmon and philadelphia skin topped with avocado.")</f>
        <v>Salmon and philadelphia skin topped with avocado.</v>
      </c>
      <c r="F85" s="4">
        <v>162.41011654325524</v>
      </c>
      <c r="G85" s="4">
        <v>126.38036278325522</v>
      </c>
      <c r="H85" s="4">
        <v>290.6904</v>
      </c>
      <c r="I85" s="4">
        <v>415.27200000000005</v>
      </c>
      <c r="J85" s="4">
        <v>264.26400000000007</v>
      </c>
      <c r="K85" s="4">
        <v>290.40000000000003</v>
      </c>
      <c r="L85" s="4">
        <v>6.0</v>
      </c>
      <c r="N85" s="4">
        <v>5.0</v>
      </c>
      <c r="O85" s="4">
        <v>12.111246617302086</v>
      </c>
      <c r="P85" s="4">
        <v>60.55623308651043</v>
      </c>
      <c r="Q85" s="4">
        <v>203.70776691348965</v>
      </c>
      <c r="R85" s="4">
        <v>3.3639438341957866</v>
      </c>
      <c r="S85" s="4">
        <v>162.96621353079172</v>
      </c>
      <c r="T85" s="4">
        <v>2.6911550673566293</v>
      </c>
      <c r="U85" s="4">
        <v>131.64825939348958</v>
      </c>
      <c r="V85" s="4">
        <v>2.1739836294872785</v>
      </c>
      <c r="W85" s="4">
        <v>98.73619454511719</v>
      </c>
      <c r="X85" s="4">
        <v>1.630487722115459</v>
      </c>
      <c r="Y85" s="4">
        <v>319.44000000000005</v>
      </c>
    </row>
    <row r="86" ht="15.75" customHeight="1">
      <c r="A86" s="4">
        <v>407.0</v>
      </c>
      <c r="B86" s="4" t="str">
        <f>IFERROR(__xludf.DUMMYFUNCTION("GOOGLETRANSLATE(menuu!B:B,""es"",""en"")"),"Premium (crowned)")</f>
        <v>Premium (crowned)</v>
      </c>
      <c r="C86" s="4" t="s">
        <v>207</v>
      </c>
      <c r="D86" s="4" t="str">
        <f>IFERROR(__xludf.DUMMYFUNCTION("GOOGLETRANSLATE(menuu!D:D,""es"",""en"")"),"Tataki roll")</f>
        <v>Tataki roll</v>
      </c>
      <c r="E86" s="4" t="str">
        <f>IFERROR(__xludf.DUMMYFUNCTION("GOOGLETRANSLATE(menuu!E:E,""es"",""en"")"),"Breaded salmon and philadelphia topped with salmon and crispy sweet potato.")</f>
        <v>Breaded salmon and philadelphia topped with salmon and crispy sweet potato.</v>
      </c>
      <c r="F86" s="4">
        <v>209.27686160616003</v>
      </c>
      <c r="G86" s="4">
        <v>162.1238596475975</v>
      </c>
      <c r="H86" s="4">
        <v>380.43349093750004</v>
      </c>
      <c r="I86" s="4">
        <v>543.4764156250001</v>
      </c>
      <c r="J86" s="4">
        <v>345.84862812500006</v>
      </c>
      <c r="K86" s="4">
        <v>380.05343750000003</v>
      </c>
      <c r="N86" s="4">
        <v>5.0</v>
      </c>
      <c r="O86" s="4">
        <v>14.541019017464006</v>
      </c>
      <c r="P86" s="4">
        <v>72.70509508732003</v>
      </c>
      <c r="Q86" s="4">
        <v>273.14353303768</v>
      </c>
      <c r="R86" s="4">
        <v>3.756869208542126</v>
      </c>
      <c r="S86" s="4">
        <v>218.514826430144</v>
      </c>
      <c r="T86" s="4">
        <v>3.0054953668337006</v>
      </c>
      <c r="U86" s="4">
        <v>178.83752912055496</v>
      </c>
      <c r="V86" s="4">
        <v>2.4597661127568586</v>
      </c>
      <c r="W86" s="4">
        <v>134.1281468404162</v>
      </c>
      <c r="X86" s="4">
        <v>1.8448245845676436</v>
      </c>
      <c r="Y86" s="4">
        <v>418.05878125000004</v>
      </c>
    </row>
    <row r="87" ht="15.75" customHeight="1">
      <c r="A87" s="4">
        <v>411.0</v>
      </c>
      <c r="B87" s="4" t="str">
        <f>IFERROR(__xludf.DUMMYFUNCTION("GOOGLETRANSLATE(menuu!B:B,""es"",""en"")"),"Premium (crowned)")</f>
        <v>Premium (crowned)</v>
      </c>
      <c r="C87" s="4" t="s">
        <v>209</v>
      </c>
      <c r="D87" s="4" t="str">
        <f>IFERROR(__xludf.DUMMYFUNCTION("GOOGLETRANSLATE(menuu!D:D,""es"",""en"")"),"Mexican roll")</f>
        <v>Mexican roll</v>
      </c>
      <c r="E87" s="4" t="str">
        <f>IFERROR(__xludf.DUMMYFUNCTION("GOOGLETRANSLATE(menuu!E:E,""es"",""en"")"),"Salmon breaded in panko, philadelphia, topped with guacamole and nachos.")</f>
        <v>Salmon breaded in panko, philadelphia, topped with guacamole and nachos.</v>
      </c>
      <c r="F87" s="4">
        <v>209.27686160616003</v>
      </c>
      <c r="G87" s="4">
        <v>162.1238596475975</v>
      </c>
      <c r="H87" s="4">
        <v>380.43349093750004</v>
      </c>
      <c r="I87" s="4">
        <v>543.4764156250001</v>
      </c>
      <c r="J87" s="4">
        <v>345.84862812500006</v>
      </c>
      <c r="K87" s="4">
        <v>380.05343750000003</v>
      </c>
      <c r="L87" s="4">
        <v>6.0</v>
      </c>
      <c r="N87" s="4">
        <v>5.0</v>
      </c>
      <c r="O87" s="4">
        <v>14.541019017464006</v>
      </c>
      <c r="P87" s="4">
        <v>72.70509508732003</v>
      </c>
      <c r="Q87" s="4">
        <v>273.14353303768</v>
      </c>
      <c r="R87" s="4">
        <v>3.756869208542126</v>
      </c>
      <c r="S87" s="4">
        <v>218.514826430144</v>
      </c>
      <c r="T87" s="4">
        <v>3.0054953668337006</v>
      </c>
      <c r="U87" s="4">
        <v>178.83752912055496</v>
      </c>
      <c r="V87" s="4">
        <v>2.4597661127568586</v>
      </c>
      <c r="W87" s="4">
        <v>134.1281468404162</v>
      </c>
      <c r="X87" s="4">
        <v>1.8448245845676436</v>
      </c>
      <c r="Y87" s="4">
        <v>418.05878125000004</v>
      </c>
    </row>
    <row r="88" ht="15.75" customHeight="1">
      <c r="A88" s="4">
        <v>302.0</v>
      </c>
      <c r="B88" s="4" t="str">
        <f>IFERROR(__xludf.DUMMYFUNCTION("GOOGLETRANSLATE(menuu!B:B,""es"",""en"")"),"varied")</f>
        <v>varied</v>
      </c>
      <c r="C88" s="4" t="s">
        <v>210</v>
      </c>
      <c r="D88" s="4" t="str">
        <f>IFERROR(__xludf.DUMMYFUNCTION("GOOGLETRANSLATE(menuu!D:D,""es"",""en"")"),"Ebi maki roll")</f>
        <v>Ebi maki roll</v>
      </c>
      <c r="E88" s="4" t="str">
        <f>IFERROR(__xludf.DUMMYFUNCTION("GOOGLETRANSLATE(menuu!E:E,""es"",""en"")"),"Prawn and philadelphia.")</f>
        <v>Prawn and philadelphia.</v>
      </c>
      <c r="F88" s="4">
        <v>296.9694525405072</v>
      </c>
      <c r="G88" s="4">
        <v>229.4136642405072</v>
      </c>
      <c r="H88" s="4">
        <v>545.0445000000001</v>
      </c>
      <c r="I88" s="4">
        <v>778.6350000000001</v>
      </c>
      <c r="J88" s="4">
        <v>495.4950000000001</v>
      </c>
      <c r="K88" s="4">
        <v>544.5000000000001</v>
      </c>
      <c r="L88" s="4">
        <v>12.0</v>
      </c>
      <c r="N88" s="4">
        <v>10.0</v>
      </c>
      <c r="O88" s="4">
        <v>9.84439050810143</v>
      </c>
      <c r="P88" s="4">
        <v>98.4439050810143</v>
      </c>
      <c r="Q88" s="4">
        <v>397.0510949189858</v>
      </c>
      <c r="R88" s="4">
        <v>4.033272497593763</v>
      </c>
      <c r="S88" s="4">
        <v>317.64087593518866</v>
      </c>
      <c r="T88" s="4">
        <v>3.2266179980750103</v>
      </c>
      <c r="U88" s="4">
        <v>261.9395183189858</v>
      </c>
      <c r="V88" s="4">
        <v>2.6607997529498957</v>
      </c>
      <c r="W88" s="4">
        <v>196.45463873923933</v>
      </c>
      <c r="X88" s="4">
        <v>1.9955998147124214</v>
      </c>
      <c r="Y88" s="4">
        <v>598.9500000000002</v>
      </c>
    </row>
    <row r="89" ht="15.75" customHeight="1">
      <c r="A89" s="4">
        <v>312.0</v>
      </c>
      <c r="B89" s="4" t="str">
        <f>IFERROR(__xludf.DUMMYFUNCTION("GOOGLETRANSLATE(menuu!B:B,""es"",""en"")"),"varied")</f>
        <v>varied</v>
      </c>
      <c r="C89" s="4" t="s">
        <v>213</v>
      </c>
      <c r="D89" s="4" t="str">
        <f>IFERROR(__xludf.DUMMYFUNCTION("GOOGLETRANSLATE(menuu!D:D,""es"",""en"")"),"spring roll roll")</f>
        <v>spring roll roll</v>
      </c>
      <c r="E89" s="4" t="str">
        <f>IFERROR(__xludf.DUMMYFUNCTION("GOOGLETRANSLATE(menuu!E:E,""es"",""en"")"),"Prawn, avocado, philadelphia and green.")</f>
        <v>Prawn, avocado, philadelphia and green.</v>
      </c>
      <c r="F89" s="4">
        <v>296.41863222500126</v>
      </c>
      <c r="G89" s="4">
        <v>228.86284392500121</v>
      </c>
      <c r="H89" s="4">
        <v>545.0445000000001</v>
      </c>
      <c r="I89" s="4">
        <v>778.6350000000001</v>
      </c>
      <c r="J89" s="4">
        <v>495.4950000000001</v>
      </c>
      <c r="K89" s="4">
        <v>544.5000000000001</v>
      </c>
      <c r="L89" s="4">
        <v>12.0</v>
      </c>
      <c r="N89" s="4">
        <v>10.0</v>
      </c>
      <c r="O89" s="4">
        <v>9.734226445000237</v>
      </c>
      <c r="P89" s="4">
        <v>97.34226445000238</v>
      </c>
      <c r="Q89" s="4">
        <v>398.1527355499977</v>
      </c>
      <c r="R89" s="4">
        <v>4.090234984768612</v>
      </c>
      <c r="S89" s="4">
        <v>318.5221884399982</v>
      </c>
      <c r="T89" s="4">
        <v>3.2721879878148905</v>
      </c>
      <c r="U89" s="4">
        <v>263.0411589499977</v>
      </c>
      <c r="V89" s="4">
        <v>2.702229709121907</v>
      </c>
      <c r="W89" s="4">
        <v>197.28086921249826</v>
      </c>
      <c r="X89" s="4">
        <v>2.0266722818414302</v>
      </c>
      <c r="Y89" s="4">
        <v>598.9500000000002</v>
      </c>
    </row>
    <row r="90" ht="15.75" customHeight="1">
      <c r="A90" s="4">
        <v>704.0</v>
      </c>
      <c r="B90" s="4" t="str">
        <f>IFERROR(__xludf.DUMMYFUNCTION("GOOGLETRANSLATE(menuu!B:B,""es"",""en"")"),"Warm")</f>
        <v>Warm</v>
      </c>
      <c r="C90" s="4" t="s">
        <v>216</v>
      </c>
      <c r="D90" s="4" t="str">
        <f>IFERROR(__xludf.DUMMYFUNCTION("GOOGLETRANSLATE(menuu!D:D,""es"",""en"")"),"Hot Futurama roll")</f>
        <v>Hot Futurama roll</v>
      </c>
      <c r="E90" s="4" t="str">
        <f>IFERROR(__xludf.DUMMYFUNCTION("GOOGLETRANSLATE(menuu!E:E,""es"",""en"")"),"Prawn, philadelphia and greenery coated in panko.")</f>
        <v>Prawn, philadelphia and greenery coated in panko.</v>
      </c>
      <c r="F90" s="4">
        <v>336.02208922909415</v>
      </c>
      <c r="G90" s="4">
        <v>258.9371816794441</v>
      </c>
      <c r="H90" s="4">
        <v>621.92605475</v>
      </c>
      <c r="I90" s="4">
        <v>888.4657925000001</v>
      </c>
      <c r="J90" s="4">
        <v>565.3873225000001</v>
      </c>
      <c r="K90" s="4">
        <v>621.3047500000001</v>
      </c>
      <c r="L90" s="4">
        <v>12.0</v>
      </c>
      <c r="N90" s="4">
        <v>10.0</v>
      </c>
      <c r="O90" s="4">
        <v>10.66568559581882</v>
      </c>
      <c r="P90" s="4">
        <v>106.6568559581882</v>
      </c>
      <c r="Q90" s="4">
        <v>458.7304665418119</v>
      </c>
      <c r="R90" s="4">
        <v>4.300993709411837</v>
      </c>
      <c r="S90" s="4">
        <v>366.98437323344956</v>
      </c>
      <c r="T90" s="4">
        <v>3.4407949675294702</v>
      </c>
      <c r="U90" s="4">
        <v>304.5606514425118</v>
      </c>
      <c r="V90" s="4">
        <v>2.855518744729417</v>
      </c>
      <c r="W90" s="4">
        <v>228.42048858188386</v>
      </c>
      <c r="X90" s="4">
        <v>2.141639058547063</v>
      </c>
      <c r="Y90" s="4">
        <v>683.4352250000002</v>
      </c>
    </row>
    <row r="91" ht="15.75" customHeight="1">
      <c r="A91" s="4">
        <v>301.0</v>
      </c>
      <c r="B91" s="4" t="str">
        <f>IFERROR(__xludf.DUMMYFUNCTION("GOOGLETRANSLATE(menuu!B:B,""es"",""en"")"),"varied")</f>
        <v>varied</v>
      </c>
      <c r="C91" s="4" t="s">
        <v>219</v>
      </c>
      <c r="D91" s="4" t="str">
        <f>IFERROR(__xludf.DUMMYFUNCTION("GOOGLETRANSLATE(menuu!D:D,""es"",""en"")"),"Ebi maki roll")</f>
        <v>Ebi maki roll</v>
      </c>
      <c r="E91" s="4" t="str">
        <f>IFERROR(__xludf.DUMMYFUNCTION("GOOGLETRANSLATE(menuu!E:E,""es"",""en"")"),"Prawn and philadelphia.")</f>
        <v>Prawn and philadelphia.</v>
      </c>
      <c r="F91" s="4">
        <v>159.4957262702536</v>
      </c>
      <c r="G91" s="4">
        <v>122.71535264025358</v>
      </c>
      <c r="H91" s="4">
        <v>296.74645000000004</v>
      </c>
      <c r="I91" s="4">
        <v>423.92350000000005</v>
      </c>
      <c r="J91" s="4">
        <v>269.76950000000005</v>
      </c>
      <c r="K91" s="4">
        <v>296.45000000000005</v>
      </c>
      <c r="L91" s="4">
        <v>6.0</v>
      </c>
      <c r="N91" s="4">
        <v>5.0</v>
      </c>
      <c r="O91" s="4">
        <v>9.84439050810143</v>
      </c>
      <c r="P91" s="4">
        <v>49.22195254050715</v>
      </c>
      <c r="Q91" s="4">
        <v>220.5475474594929</v>
      </c>
      <c r="R91" s="4">
        <v>4.480674497379875</v>
      </c>
      <c r="S91" s="4">
        <v>176.43803796759434</v>
      </c>
      <c r="T91" s="4">
        <v>3.5845395979039</v>
      </c>
      <c r="U91" s="4">
        <v>146.98680019949288</v>
      </c>
      <c r="V91" s="4">
        <v>2.98620417543433</v>
      </c>
      <c r="W91" s="4">
        <v>110.24010014961965</v>
      </c>
      <c r="X91" s="4">
        <v>2.2396531315757473</v>
      </c>
      <c r="Y91" s="4">
        <v>326.0950000000001</v>
      </c>
    </row>
    <row r="92" ht="15.75" customHeight="1">
      <c r="A92" s="4">
        <v>311.0</v>
      </c>
      <c r="B92" s="4" t="str">
        <f>IFERROR(__xludf.DUMMYFUNCTION("GOOGLETRANSLATE(menuu!B:B,""es"",""en"")"),"varied")</f>
        <v>varied</v>
      </c>
      <c r="C92" s="4" t="s">
        <v>220</v>
      </c>
      <c r="D92" s="4" t="str">
        <f>IFERROR(__xludf.DUMMYFUNCTION("GOOGLETRANSLATE(menuu!D:D,""es"",""en"")"),"spring roll roll")</f>
        <v>spring roll roll</v>
      </c>
      <c r="E92" s="4" t="str">
        <f>IFERROR(__xludf.DUMMYFUNCTION("GOOGLETRANSLATE(menuu!E:E,""es"",""en"")"),"Prawn, avocado, philadelphia and green.")</f>
        <v>Prawn, avocado, philadelphia and green.</v>
      </c>
      <c r="F92" s="4">
        <v>159.2203161125006</v>
      </c>
      <c r="G92" s="4">
        <v>122.4399424825006</v>
      </c>
      <c r="H92" s="4">
        <v>296.74645000000004</v>
      </c>
      <c r="I92" s="4">
        <v>423.92350000000005</v>
      </c>
      <c r="J92" s="4">
        <v>269.76950000000005</v>
      </c>
      <c r="K92" s="4">
        <v>296.45000000000005</v>
      </c>
      <c r="L92" s="4">
        <v>6.0</v>
      </c>
      <c r="N92" s="4">
        <v>5.0</v>
      </c>
      <c r="O92" s="4">
        <v>9.734226445000237</v>
      </c>
      <c r="P92" s="4">
        <v>48.67113222500119</v>
      </c>
      <c r="Q92" s="4">
        <v>221.09836777499885</v>
      </c>
      <c r="R92" s="4">
        <v>4.542700316748045</v>
      </c>
      <c r="S92" s="4">
        <v>176.8786942199991</v>
      </c>
      <c r="T92" s="4">
        <v>3.6341602533984356</v>
      </c>
      <c r="U92" s="4">
        <v>147.53762051499882</v>
      </c>
      <c r="V92" s="4">
        <v>3.0313167943771875</v>
      </c>
      <c r="W92" s="4">
        <v>110.65321538624912</v>
      </c>
      <c r="X92" s="4">
        <v>2.2734875957828904</v>
      </c>
      <c r="Y92" s="4">
        <v>326.0950000000001</v>
      </c>
    </row>
    <row r="93" ht="15.75" customHeight="1">
      <c r="A93" s="4">
        <v>703.0</v>
      </c>
      <c r="B93" s="4" t="str">
        <f>IFERROR(__xludf.DUMMYFUNCTION("GOOGLETRANSLATE(menuu!B:B,""es"",""en"")"),"Warm")</f>
        <v>Warm</v>
      </c>
      <c r="C93" s="4" t="s">
        <v>221</v>
      </c>
      <c r="D93" s="4" t="str">
        <f>IFERROR(__xludf.DUMMYFUNCTION("GOOGLETRANSLATE(menuu!D:D,""es"",""en"")"),"Hot Futurama roll")</f>
        <v>Hot Futurama roll</v>
      </c>
      <c r="E93" s="4" t="str">
        <f>IFERROR(__xludf.DUMMYFUNCTION("GOOGLETRANSLATE(menuu!E:E,""es"",""en"")"),"Prawn, philadelphia and greenery coated in panko.")</f>
        <v>Prawn, philadelphia and greenery coated in panko.</v>
      </c>
      <c r="F93" s="4">
        <v>183.0479414895471</v>
      </c>
      <c r="G93" s="4">
        <v>140.40522667484706</v>
      </c>
      <c r="H93" s="4">
        <v>344.04420050000004</v>
      </c>
      <c r="I93" s="4">
        <v>491.4917150000001</v>
      </c>
      <c r="J93" s="4">
        <v>312.7674550000001</v>
      </c>
      <c r="K93" s="4">
        <v>343.7005000000001</v>
      </c>
      <c r="L93" s="4">
        <v>6.0</v>
      </c>
      <c r="N93" s="4">
        <v>5.0</v>
      </c>
      <c r="O93" s="4">
        <v>10.66568559581882</v>
      </c>
      <c r="P93" s="4">
        <v>53.3284279790941</v>
      </c>
      <c r="Q93" s="4">
        <v>259.439027020906</v>
      </c>
      <c r="R93" s="4">
        <v>4.864929210413098</v>
      </c>
      <c r="S93" s="4">
        <v>207.5512216167248</v>
      </c>
      <c r="T93" s="4">
        <v>3.891943368330478</v>
      </c>
      <c r="U93" s="4">
        <v>174.1535973915059</v>
      </c>
      <c r="V93" s="4">
        <v>3.265680313317653</v>
      </c>
      <c r="W93" s="4">
        <v>130.61519804362945</v>
      </c>
      <c r="X93" s="4">
        <v>2.4492602349882397</v>
      </c>
      <c r="Y93" s="4">
        <v>378.07055000000014</v>
      </c>
    </row>
    <row r="94" ht="15.75" customHeight="1">
      <c r="A94" s="4">
        <v>106.0</v>
      </c>
      <c r="B94" s="4" t="str">
        <f>IFERROR(__xludf.DUMMYFUNCTION("GOOGLETRANSLATE(menuu!B:B,""es"",""en"")"),"tickets")</f>
        <v>tickets</v>
      </c>
      <c r="C94" s="4" t="s">
        <v>222</v>
      </c>
      <c r="D94" s="4" t="str">
        <f>IFERROR(__xludf.DUMMYFUNCTION("GOOGLETRANSLATE(menuu!D:D,""es"",""en"")"),"Rabas")</f>
        <v>Rabas</v>
      </c>
      <c r="E94" s="4" t="str">
        <f>IFERROR(__xludf.DUMMYFUNCTION("GOOGLETRANSLATE(menuu!E:E,""es"",""en"")"),"Breaded in panko")</f>
        <v>Breaded in panko</v>
      </c>
      <c r="F94" s="4">
        <v>402.3839750000001</v>
      </c>
      <c r="G94" s="4">
        <v>308.2153004</v>
      </c>
      <c r="H94" s="4">
        <v>759.759</v>
      </c>
      <c r="I94" s="4">
        <v>1085.3700000000001</v>
      </c>
      <c r="J94" s="4">
        <v>690.6900000000002</v>
      </c>
      <c r="K94" s="4">
        <v>759.0000000000001</v>
      </c>
      <c r="L94" s="4">
        <v>10.0</v>
      </c>
      <c r="N94" s="4">
        <v>1.0</v>
      </c>
      <c r="O94" s="4">
        <v>114.07795</v>
      </c>
      <c r="P94" s="4">
        <v>114.07795</v>
      </c>
      <c r="Q94" s="4">
        <v>576.6120500000002</v>
      </c>
      <c r="R94" s="4">
        <v>5.0545442830976555</v>
      </c>
      <c r="S94" s="4">
        <v>461.2896400000002</v>
      </c>
      <c r="T94" s="4">
        <v>4.043635426478125</v>
      </c>
      <c r="U94" s="4">
        <v>388.2747008</v>
      </c>
      <c r="V94" s="4">
        <v>3.4035911479825858</v>
      </c>
      <c r="W94" s="4">
        <v>291.2060256</v>
      </c>
      <c r="X94" s="4">
        <v>2.552693360986939</v>
      </c>
      <c r="Y94" s="4">
        <v>834.9000000000002</v>
      </c>
    </row>
    <row r="95" ht="15.75" customHeight="1">
      <c r="A95" s="4">
        <v>310.0</v>
      </c>
      <c r="B95" s="4" t="str">
        <f>IFERROR(__xludf.DUMMYFUNCTION("GOOGLETRANSLATE(menuu!B:B,""es"",""en"")"),"varied")</f>
        <v>varied</v>
      </c>
      <c r="C95" s="4" t="s">
        <v>224</v>
      </c>
      <c r="D95" s="4" t="str">
        <f>IFERROR(__xludf.DUMMYFUNCTION("GOOGLETRANSLATE(menuu!D:D,""es"",""en"")"),"California roll")</f>
        <v>California roll</v>
      </c>
      <c r="E95" s="4" t="str">
        <f>IFERROR(__xludf.DUMMYFUNCTION("GOOGLETRANSLATE(menuu!E:E,""es"",""en"")"),"Kanikama, Philadelphia and avocado.")</f>
        <v>Kanikama, Philadelphia and avocado.</v>
      </c>
      <c r="F95" s="4">
        <v>275.2491476796633</v>
      </c>
      <c r="G95" s="4">
        <v>209.19459911966325</v>
      </c>
      <c r="H95" s="4">
        <v>532.9324</v>
      </c>
      <c r="I95" s="4">
        <v>761.3320000000001</v>
      </c>
      <c r="J95" s="4">
        <v>484.4840000000001</v>
      </c>
      <c r="K95" s="4">
        <v>532.4000000000001</v>
      </c>
      <c r="L95" s="4">
        <v>12.0</v>
      </c>
      <c r="N95" s="4">
        <v>10.0</v>
      </c>
      <c r="O95" s="4">
        <v>6.601429535932647</v>
      </c>
      <c r="P95" s="4">
        <v>66.01429535932647</v>
      </c>
      <c r="Q95" s="4">
        <v>418.4697046406736</v>
      </c>
      <c r="R95" s="4">
        <v>6.339077049340229</v>
      </c>
      <c r="S95" s="4">
        <v>334.77576371253895</v>
      </c>
      <c r="T95" s="4">
        <v>5.071261639472184</v>
      </c>
      <c r="U95" s="4">
        <v>286.36060752067357</v>
      </c>
      <c r="V95" s="4">
        <v>4.3378575195261355</v>
      </c>
      <c r="W95" s="4">
        <v>214.7704556405052</v>
      </c>
      <c r="X95" s="4">
        <v>3.2533931396446016</v>
      </c>
      <c r="Y95" s="4">
        <v>585.6400000000001</v>
      </c>
    </row>
    <row r="96" ht="15.75" customHeight="1">
      <c r="A96" s="4">
        <v>309.0</v>
      </c>
      <c r="B96" s="4" t="str">
        <f>IFERROR(__xludf.DUMMYFUNCTION("GOOGLETRANSLATE(menuu!B:B,""es"",""en"")"),"varied")</f>
        <v>varied</v>
      </c>
      <c r="C96" s="4" t="s">
        <v>227</v>
      </c>
      <c r="D96" s="4" t="str">
        <f>IFERROR(__xludf.DUMMYFUNCTION("GOOGLETRANSLATE(menuu!D:D,""es"",""en"")"),"California roll")</f>
        <v>California roll</v>
      </c>
      <c r="E96" s="4" t="str">
        <f>IFERROR(__xludf.DUMMYFUNCTION("GOOGLETRANSLATE(menuu!E:E,""es"",""en"")"),"Kanikama, Philadelphia and avocado.")</f>
        <v>Kanikama, Philadelphia and avocado.</v>
      </c>
      <c r="F96" s="4">
        <v>148.63557383983164</v>
      </c>
      <c r="G96" s="4">
        <v>112.60582007983162</v>
      </c>
      <c r="H96" s="4">
        <v>290.6904</v>
      </c>
      <c r="I96" s="4">
        <v>415.27200000000005</v>
      </c>
      <c r="J96" s="4">
        <v>264.26400000000007</v>
      </c>
      <c r="K96" s="4">
        <v>290.40000000000003</v>
      </c>
      <c r="L96" s="4">
        <v>6.0</v>
      </c>
      <c r="N96" s="4">
        <v>5.0</v>
      </c>
      <c r="O96" s="4">
        <v>6.601429535932647</v>
      </c>
      <c r="P96" s="4">
        <v>33.007147679663234</v>
      </c>
      <c r="Q96" s="4">
        <v>231.25685232033683</v>
      </c>
      <c r="R96" s="4">
        <v>7.006265872007523</v>
      </c>
      <c r="S96" s="4">
        <v>185.00548185626948</v>
      </c>
      <c r="T96" s="4">
        <v>5.6050126976060195</v>
      </c>
      <c r="U96" s="4">
        <v>159.19734480033677</v>
      </c>
      <c r="V96" s="4">
        <v>4.823117294028511</v>
      </c>
      <c r="W96" s="4">
        <v>119.39800860025258</v>
      </c>
      <c r="X96" s="4">
        <v>3.6173379705213833</v>
      </c>
      <c r="Y96" s="4">
        <v>319.44000000000005</v>
      </c>
    </row>
    <row r="97" ht="15.75" customHeight="1">
      <c r="A97" s="4">
        <v>305.0</v>
      </c>
      <c r="B97" s="4" t="str">
        <f>IFERROR(__xludf.DUMMYFUNCTION("GOOGLETRANSLATE(menuu!B:B,""es"",""en"")"),"varied")</f>
        <v>varied</v>
      </c>
      <c r="C97" s="4" t="s">
        <v>228</v>
      </c>
      <c r="D97" s="4" t="str">
        <f>IFERROR(__xludf.DUMMYFUNCTION("GOOGLETRANSLATE(menuu!D:D,""es"",""en"")"),"Tuna roll")</f>
        <v>Tuna roll</v>
      </c>
      <c r="E97" s="4" t="str">
        <f>IFERROR(__xludf.DUMMYFUNCTION("GOOGLETRANSLATE(menuu!E:E,""es"",""en"")"),"Dressed tuna.")</f>
        <v>Dressed tuna.</v>
      </c>
      <c r="H97" s="4">
        <v>296.74645000000004</v>
      </c>
      <c r="I97" s="4">
        <v>423.92350000000005</v>
      </c>
      <c r="J97" s="4">
        <v>269.76950000000005</v>
      </c>
      <c r="K97" s="4">
        <v>296.45000000000005</v>
      </c>
      <c r="L97" s="4">
        <v>6.0</v>
      </c>
      <c r="N97" s="4">
        <v>5.0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326.0950000000001</v>
      </c>
    </row>
    <row r="98" ht="15.75" customHeight="1">
      <c r="A98" s="4">
        <v>306.0</v>
      </c>
      <c r="B98" s="4" t="str">
        <f>IFERROR(__xludf.DUMMYFUNCTION("GOOGLETRANSLATE(menuu!B:B,""es"",""en"")"),"varied")</f>
        <v>varied</v>
      </c>
      <c r="C98" s="4" t="s">
        <v>231</v>
      </c>
      <c r="D98" s="4" t="str">
        <f>IFERROR(__xludf.DUMMYFUNCTION("GOOGLETRANSLATE(menuu!D:D,""es"",""en"")"),"Tuna roll")</f>
        <v>Tuna roll</v>
      </c>
      <c r="E98" s="4" t="str">
        <f>IFERROR(__xludf.DUMMYFUNCTION("GOOGLETRANSLATE(menuu!E:E,""es"",""en"")"),"Dressed tuna.")</f>
        <v>Dressed tuna.</v>
      </c>
      <c r="H98" s="4">
        <v>545.0445000000001</v>
      </c>
      <c r="I98" s="4">
        <v>778.6350000000001</v>
      </c>
      <c r="J98" s="4">
        <v>495.4950000000001</v>
      </c>
      <c r="K98" s="4">
        <v>544.5000000000001</v>
      </c>
      <c r="L98" s="4">
        <v>12.0</v>
      </c>
      <c r="N98" s="4">
        <v>10.0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598.9500000000002</v>
      </c>
    </row>
    <row r="99" ht="15.75" customHeight="1">
      <c r="A99" s="4">
        <v>316.0</v>
      </c>
      <c r="B99" s="4" t="str">
        <f>IFERROR(__xludf.DUMMYFUNCTION("GOOGLETRANSLATE(menuu!B:B,""es"",""en"")"),"varied")</f>
        <v>varied</v>
      </c>
      <c r="C99" s="4" t="s">
        <v>232</v>
      </c>
      <c r="D99" s="4" t="str">
        <f>IFERROR(__xludf.DUMMYFUNCTION("GOOGLETRANSLATE(menuu!D:D,""es"",""en"")"),"Varied combo")</f>
        <v>Varied combo</v>
      </c>
      <c r="E99" s="4" t="str">
        <f>IFERROR(__xludf.DUMMYFUNCTION("GOOGLETRANSLATE(menuu!E:E,""es"",""en"")"),"Ebi Maki, Skin, California, Tuna, Spring, Futurama and nigiri.")</f>
        <v>Ebi Maki, Skin, California, Tuna, Spring, Futurama and nigiri.</v>
      </c>
      <c r="H99" s="4">
        <v>1573.36179</v>
      </c>
      <c r="I99" s="4">
        <v>2247.6597</v>
      </c>
      <c r="J99" s="4">
        <v>1430.3289000000002</v>
      </c>
      <c r="K99" s="4">
        <v>1571.7900000000002</v>
      </c>
      <c r="L99" s="4">
        <v>32.0</v>
      </c>
      <c r="M99" s="4">
        <v>955.0</v>
      </c>
      <c r="N99" s="4">
        <v>1.0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1728.9690000000003</v>
      </c>
    </row>
    <row r="100" ht="15.75" customHeight="1">
      <c r="A100" s="4">
        <v>317.0</v>
      </c>
      <c r="B100" s="4" t="str">
        <f>IFERROR(__xludf.DUMMYFUNCTION("GOOGLETRANSLATE(menuu!B:B,""es"",""en"")"),"varied")</f>
        <v>varied</v>
      </c>
      <c r="C100" s="4" t="s">
        <v>234</v>
      </c>
      <c r="D100" s="4" t="str">
        <f>IFERROR(__xludf.DUMMYFUNCTION("GOOGLETRANSLATE(menuu!D:D,""es"",""en"")"),"Varied combo")</f>
        <v>Varied combo</v>
      </c>
      <c r="E100" s="4" t="str">
        <f>IFERROR(__xludf.DUMMYFUNCTION("GOOGLETRANSLATE(menuu!E:E,""es"",""en"")"),"Ebi Maki, Skin, California, Tuna, Spring, Futurama, Ibiza, Salmon grill, Nigiri and Sashimi")</f>
        <v>Ebi Maki, Skin, California, Tuna, Spring, Futurama, Ibiza, Salmon grill, Nigiri and Sashimi</v>
      </c>
      <c r="H100" s="4">
        <v>2422.4199999999996</v>
      </c>
      <c r="I100" s="4">
        <v>3460.6</v>
      </c>
      <c r="J100" s="4">
        <v>2202.2000000000003</v>
      </c>
      <c r="K100" s="4">
        <v>2420.0</v>
      </c>
      <c r="N100" s="4">
        <v>1.0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2662.0</v>
      </c>
    </row>
    <row r="101" ht="15.75" customHeight="1">
      <c r="A101" s="4">
        <v>318.0</v>
      </c>
      <c r="B101" s="4" t="str">
        <f>IFERROR(__xludf.DUMMYFUNCTION("GOOGLETRANSLATE(menuu!B:B,""es"",""en"")"),"varied")</f>
        <v>varied</v>
      </c>
      <c r="C101" s="4" t="s">
        <v>236</v>
      </c>
      <c r="D101" s="4" t="str">
        <f>IFERROR(__xludf.DUMMYFUNCTION("GOOGLETRANSLATE(menuu!D:D,""es"",""en"")"),"Varied combo")</f>
        <v>Varied combo</v>
      </c>
      <c r="E101" s="4" t="str">
        <f>IFERROR(__xludf.DUMMYFUNCTION("GOOGLETRANSLATE(menuu!E:E,""es"",""en"")"),"Ebi Maki, Skin, California, Tuna, Spring, Futurama, Ibiza, Salmon grill, Nigiri and Sashimi")</f>
        <v>Ebi Maki, Skin, California, Tuna, Spring, Futurama, Ibiza, Salmon grill, Nigiri and Sashimi</v>
      </c>
      <c r="H101" s="4">
        <v>3028.0250000000005</v>
      </c>
      <c r="I101" s="4">
        <v>4325.750000000001</v>
      </c>
      <c r="J101" s="4">
        <v>2752.7500000000005</v>
      </c>
      <c r="K101" s="4">
        <v>3025.0000000000005</v>
      </c>
      <c r="L101" s="4">
        <v>70.0</v>
      </c>
      <c r="M101" s="4">
        <v>2000.0</v>
      </c>
      <c r="N101" s="4">
        <v>1.0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3327.500000000001</v>
      </c>
    </row>
    <row r="102" ht="15.75" customHeight="1">
      <c r="A102" s="4">
        <v>601.0</v>
      </c>
      <c r="B102" s="4" t="str">
        <f>IFERROR(__xludf.DUMMYFUNCTION("GOOGLETRANSLATE(menuu!B:B,""es"",""en"")"),"rice wok")</f>
        <v>rice wok</v>
      </c>
      <c r="C102" s="4" t="s">
        <v>239</v>
      </c>
      <c r="D102" s="4" t="str">
        <f>IFERROR(__xludf.DUMMYFUNCTION("GOOGLETRANSLATE(menuu!D:D,""es"",""en"")"),"Wok seafood")</f>
        <v>Wok seafood</v>
      </c>
      <c r="E102" s="4" t="str">
        <f>IFERROR(__xludf.DUMMYFUNCTION("GOOGLETRANSLATE(menuu!E:E,""es"",""en"")"),"Carrot, onion, zucchini, bell pepper, salmon, shrimp, kanikama.")</f>
        <v>Carrot, onion, zucchini, bell pepper, salmon, shrimp, kanikama.</v>
      </c>
      <c r="F102" s="4" t="e">
        <v>#N/A</v>
      </c>
      <c r="G102" s="4" t="e">
        <v>#N/A</v>
      </c>
      <c r="H102" s="4">
        <v>899.8079089999999</v>
      </c>
      <c r="I102" s="4">
        <v>1285.43987</v>
      </c>
      <c r="J102" s="4">
        <v>818.00719</v>
      </c>
      <c r="K102" s="4">
        <v>898.909</v>
      </c>
      <c r="N102" s="4" t="s">
        <v>241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988.7999000000001</v>
      </c>
    </row>
    <row r="103" ht="15.75" customHeight="1">
      <c r="A103" s="4">
        <v>602.0</v>
      </c>
      <c r="B103" s="4" t="str">
        <f>IFERROR(__xludf.DUMMYFUNCTION("GOOGLETRANSLATE(menuu!B:B,""es"",""en"")"),"rice wok")</f>
        <v>rice wok</v>
      </c>
      <c r="C103" s="4" t="s">
        <v>242</v>
      </c>
      <c r="D103" s="4" t="str">
        <f>IFERROR(__xludf.DUMMYFUNCTION("GOOGLETRANSLATE(menuu!D:D,""es"",""en"")"),"pork wok")</f>
        <v>pork wok</v>
      </c>
      <c r="E103" s="4" t="str">
        <f>IFERROR(__xludf.DUMMYFUNCTION("GOOGLETRANSLATE(menuu!E:E,""es"",""en"")"),"Pork accompanied by carrot, onion, zucchini and bell pepper with a rice base.")</f>
        <v>Pork accompanied by carrot, onion, zucchini and bell pepper with a rice base.</v>
      </c>
      <c r="F103" s="4" t="e">
        <v>#N/A</v>
      </c>
      <c r="G103" s="4" t="e">
        <v>#N/A</v>
      </c>
      <c r="H103" s="4">
        <v>827.0293281250001</v>
      </c>
      <c r="I103" s="4">
        <v>1181.4704687500002</v>
      </c>
      <c r="J103" s="4">
        <v>751.8448437500002</v>
      </c>
      <c r="K103" s="4">
        <v>826.2031250000002</v>
      </c>
      <c r="N103" s="4" t="s">
        <v>241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0.0</v>
      </c>
      <c r="X103" s="4">
        <v>0.0</v>
      </c>
      <c r="Y103" s="4">
        <v>908.8234375000003</v>
      </c>
    </row>
    <row r="104" ht="15.75" customHeight="1">
      <c r="A104" s="4">
        <v>603.0</v>
      </c>
      <c r="B104" s="4" t="str">
        <f>IFERROR(__xludf.DUMMYFUNCTION("GOOGLETRANSLATE(menuu!B:B,""es"",""en"")"),"rice wok")</f>
        <v>rice wok</v>
      </c>
      <c r="C104" s="4" t="s">
        <v>244</v>
      </c>
      <c r="D104" s="4" t="str">
        <f>IFERROR(__xludf.DUMMYFUNCTION("GOOGLETRANSLATE(menuu!D:D,""es"",""en"")"),"meat wok")</f>
        <v>meat wok</v>
      </c>
      <c r="E104" s="4" t="str">
        <f>IFERROR(__xludf.DUMMYFUNCTION("GOOGLETRANSLATE(menuu!E:E,""es"",""en"")"),"Meat accompanied by carrot, onion, zucchini and bell pepper with a rice base.")</f>
        <v>Meat accompanied by carrot, onion, zucchini and bell pepper with a rice base.</v>
      </c>
      <c r="F104" s="4" t="e">
        <v>#N/A</v>
      </c>
      <c r="G104" s="4" t="e">
        <v>#N/A</v>
      </c>
      <c r="H104" s="4">
        <v>827.0293281250001</v>
      </c>
      <c r="I104" s="4">
        <v>1181.4704687500002</v>
      </c>
      <c r="J104" s="4">
        <v>751.8448437500002</v>
      </c>
      <c r="K104" s="4">
        <v>826.2031250000002</v>
      </c>
      <c r="N104" s="4" t="s">
        <v>241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908.8234375000003</v>
      </c>
    </row>
    <row r="105" ht="15.75" customHeight="1">
      <c r="A105" s="4">
        <v>604.0</v>
      </c>
      <c r="B105" s="4" t="str">
        <f>IFERROR(__xludf.DUMMYFUNCTION("GOOGLETRANSLATE(menuu!B:B,""es"",""en"")"),"rice wok")</f>
        <v>rice wok</v>
      </c>
      <c r="C105" s="4" t="s">
        <v>246</v>
      </c>
      <c r="D105" s="4" t="str">
        <f>IFERROR(__xludf.DUMMYFUNCTION("GOOGLETRANSLATE(menuu!D:D,""es"",""en"")"),"chicken wok")</f>
        <v>chicken wok</v>
      </c>
      <c r="E105" s="4" t="str">
        <f>IFERROR(__xludf.DUMMYFUNCTION("GOOGLETRANSLATE(menuu!E:E,""es"",""en"")"),"Chicken accompanied by carrot, onion, zucchini and bell pepper with a rice base.")</f>
        <v>Chicken accompanied by carrot, onion, zucchini and bell pepper with a rice base.</v>
      </c>
      <c r="F105" s="4" t="e">
        <v>#N/A</v>
      </c>
      <c r="G105" s="4" t="e">
        <v>#N/A</v>
      </c>
      <c r="H105" s="4">
        <v>827.0293281250001</v>
      </c>
      <c r="I105" s="4">
        <v>1181.4704687500002</v>
      </c>
      <c r="J105" s="4">
        <v>751.8448437500002</v>
      </c>
      <c r="K105" s="4">
        <v>826.2031250000002</v>
      </c>
      <c r="N105" s="4" t="s">
        <v>241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0.0</v>
      </c>
      <c r="X105" s="4">
        <v>0.0</v>
      </c>
      <c r="Y105" s="4">
        <v>908.8234375000003</v>
      </c>
    </row>
    <row r="106" ht="15.75" customHeight="1">
      <c r="A106" s="4">
        <v>605.0</v>
      </c>
      <c r="B106" s="4" t="str">
        <f>IFERROR(__xludf.DUMMYFUNCTION("GOOGLETRANSLATE(menuu!B:B,""es"",""en"")"),"rice wok")</f>
        <v>rice wok</v>
      </c>
      <c r="C106" s="4" t="s">
        <v>248</v>
      </c>
      <c r="D106" s="4" t="str">
        <f>IFERROR(__xludf.DUMMYFUNCTION("GOOGLETRANSLATE(menuu!D:D,""es"",""en"")"),"Vegetable wok")</f>
        <v>Vegetable wok</v>
      </c>
      <c r="E106" s="4" t="str">
        <f>IFERROR(__xludf.DUMMYFUNCTION("GOOGLETRANSLATE(menuu!E:E,""es"",""en"")"),"Carrot, onion, zucchini and bell pepper with a rice base.")</f>
        <v>Carrot, onion, zucchini and bell pepper with a rice base.</v>
      </c>
      <c r="F106" s="4" t="e">
        <v>#N/A</v>
      </c>
      <c r="G106" s="4" t="e">
        <v>#N/A</v>
      </c>
      <c r="H106" s="4">
        <v>793.9481549999999</v>
      </c>
      <c r="I106" s="4">
        <v>1134.21165</v>
      </c>
      <c r="J106" s="4">
        <v>721.7710500000001</v>
      </c>
      <c r="K106" s="4">
        <v>793.1550000000001</v>
      </c>
      <c r="N106" s="4" t="s">
        <v>241</v>
      </c>
      <c r="O106" s="4">
        <v>0.0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872.4705000000001</v>
      </c>
    </row>
    <row r="107" ht="15.75" customHeight="1">
      <c r="A107" s="4">
        <v>801.0</v>
      </c>
      <c r="B107" s="4" t="str">
        <f>IFERROR(__xludf.DUMMYFUNCTION("GOOGLETRANSLATE(menuu!B:B,""es"",""en"")"),"Our sauces")</f>
        <v>Our sauces</v>
      </c>
      <c r="C107" s="4" t="s">
        <v>251</v>
      </c>
      <c r="F107" s="4" t="e">
        <v>#N/A</v>
      </c>
      <c r="G107" s="4" t="e">
        <v>#N/A</v>
      </c>
      <c r="H107" s="4">
        <v>60.869358549999994</v>
      </c>
      <c r="I107" s="4">
        <v>86.9562265</v>
      </c>
      <c r="J107" s="4">
        <v>55.335780500000006</v>
      </c>
      <c r="K107" s="4">
        <v>60.808550000000004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66.88940500000001</v>
      </c>
    </row>
    <row r="108" ht="15.75" customHeight="1">
      <c r="A108" s="4">
        <v>802.0</v>
      </c>
      <c r="B108" s="4" t="str">
        <f>IFERROR(__xludf.DUMMYFUNCTION("GOOGLETRANSLATE(menuu!B:B,""es"",""en"")"),"Our sauces")</f>
        <v>Our sauces</v>
      </c>
      <c r="C108" s="4" t="s">
        <v>252</v>
      </c>
      <c r="F108" s="4" t="e">
        <v>#N/A</v>
      </c>
      <c r="G108" s="4" t="e">
        <v>#N/A</v>
      </c>
      <c r="H108" s="4">
        <v>60.869358549999994</v>
      </c>
      <c r="I108" s="4">
        <v>86.9562265</v>
      </c>
      <c r="J108" s="4">
        <v>55.335780500000006</v>
      </c>
      <c r="K108" s="4">
        <v>60.808550000000004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66.88940500000001</v>
      </c>
    </row>
    <row r="109" ht="15.75" customHeight="1">
      <c r="A109" s="4">
        <v>803.0</v>
      </c>
      <c r="B109" s="4" t="str">
        <f>IFERROR(__xludf.DUMMYFUNCTION("GOOGLETRANSLATE(menuu!B:B,""es"",""en"")"),"Our sauces")</f>
        <v>Our sauces</v>
      </c>
      <c r="C109" s="4" t="s">
        <v>253</v>
      </c>
      <c r="F109" s="4" t="e">
        <v>#N/A</v>
      </c>
      <c r="G109" s="4" t="e">
        <v>#N/A</v>
      </c>
      <c r="H109" s="4">
        <v>60.869358549999994</v>
      </c>
      <c r="I109" s="4">
        <v>86.9562265</v>
      </c>
      <c r="J109" s="4">
        <v>55.335780500000006</v>
      </c>
      <c r="K109" s="4">
        <v>60.808550000000004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66.88940500000001</v>
      </c>
    </row>
    <row r="110" ht="15.75" customHeight="1">
      <c r="A110" s="4">
        <v>804.0</v>
      </c>
      <c r="B110" s="4" t="str">
        <f>IFERROR(__xludf.DUMMYFUNCTION("GOOGLETRANSLATE(menuu!B:B,""es"",""en"")"),"Our sauces")</f>
        <v>Our sauces</v>
      </c>
      <c r="C110" s="4" t="s">
        <v>254</v>
      </c>
      <c r="F110" s="4" t="e">
        <v>#N/A</v>
      </c>
      <c r="G110" s="4" t="e">
        <v>#N/A</v>
      </c>
      <c r="H110" s="4">
        <v>60.869358549999994</v>
      </c>
      <c r="I110" s="4">
        <v>86.9562265</v>
      </c>
      <c r="J110" s="4">
        <v>55.335780500000006</v>
      </c>
      <c r="K110" s="4">
        <v>60.808550000000004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66.88940500000001</v>
      </c>
    </row>
    <row r="111" ht="15.75" customHeight="1">
      <c r="A111" s="4">
        <v>805.0</v>
      </c>
      <c r="B111" s="4" t="str">
        <f>IFERROR(__xludf.DUMMYFUNCTION("GOOGLETRANSLATE(menuu!B:B,""es"",""en"")"),"Our sauces")</f>
        <v>Our sauces</v>
      </c>
      <c r="C111" s="4" t="s">
        <v>255</v>
      </c>
      <c r="F111" s="4" t="e">
        <v>#N/A</v>
      </c>
      <c r="G111" s="4" t="e">
        <v>#N/A</v>
      </c>
      <c r="H111" s="4">
        <v>60.869358549999994</v>
      </c>
      <c r="I111" s="4">
        <v>86.9562265</v>
      </c>
      <c r="J111" s="4">
        <v>55.335780500000006</v>
      </c>
      <c r="K111" s="4">
        <v>60.808550000000004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66.88940500000001</v>
      </c>
    </row>
    <row r="112" ht="15.75" customHeight="1">
      <c r="A112" s="4">
        <v>806.0</v>
      </c>
      <c r="B112" s="4" t="str">
        <f>IFERROR(__xludf.DUMMYFUNCTION("GOOGLETRANSLATE(menuu!B:B,""es"",""en"")"),"Our sauces")</f>
        <v>Our sauces</v>
      </c>
      <c r="C112" s="4" t="s">
        <v>256</v>
      </c>
      <c r="E112" s="4" t="str">
        <f>IFERROR(__xludf.DUMMYFUNCTION("GOOGLETRANSLATE(menuu!E:E,""es"",""en"")"),"Sauce based on tomato extract, sugar, fruits and vinegar")</f>
        <v>Sauce based on tomato extract, sugar, fruits and vinegar</v>
      </c>
      <c r="F112" s="4">
        <v>27.667890250000003</v>
      </c>
      <c r="G112" s="4">
        <v>20.123409936629997</v>
      </c>
      <c r="H112" s="4">
        <v>60.869358549999994</v>
      </c>
      <c r="I112" s="4">
        <v>86.9562265</v>
      </c>
      <c r="J112" s="4">
        <v>55.335780500000006</v>
      </c>
      <c r="K112" s="4">
        <v>60.808550000000004</v>
      </c>
      <c r="Q112" s="4">
        <v>55.335780500000006</v>
      </c>
      <c r="R112" s="4" t="e">
        <v>#DIV/0!</v>
      </c>
      <c r="S112" s="4">
        <v>44.26862440000001</v>
      </c>
      <c r="U112" s="4">
        <v>40.246819873259994</v>
      </c>
      <c r="V112" s="4" t="e">
        <v>#DIV/0!</v>
      </c>
      <c r="W112" s="4">
        <v>30.185114904944996</v>
      </c>
      <c r="Y112" s="4">
        <v>66.88940500000001</v>
      </c>
    </row>
    <row r="113" ht="15.75" customHeight="1">
      <c r="A113" s="4">
        <v>901.0</v>
      </c>
      <c r="B113" s="4" t="str">
        <f>IFERROR(__xludf.DUMMYFUNCTION("GOOGLETRANSLATE(menuu!B:B,""es"",""en"")"),"menu after")</f>
        <v>menu after</v>
      </c>
      <c r="C113" s="4" t="s">
        <v>259</v>
      </c>
      <c r="E113" s="4" t="str">
        <f>IFERROR(__xludf.DUMMYFUNCTION("GOOGLETRANSLATE(menuu!E:E,""es"",""en"")"),"Salmon grill roll, skin roll, California roll and harumakis")</f>
        <v>Salmon grill roll, skin roll, California roll and harumakis</v>
      </c>
      <c r="F113" s="4" t="e">
        <v>#N/A</v>
      </c>
      <c r="G113" s="4" t="e">
        <v>#N/A</v>
      </c>
      <c r="H113" s="4">
        <v>899.8079089999999</v>
      </c>
      <c r="I113" s="4">
        <v>1285.43987</v>
      </c>
      <c r="J113" s="4">
        <v>818.00719</v>
      </c>
      <c r="K113" s="4">
        <v>898.909</v>
      </c>
      <c r="O113" s="4" t="e">
        <v>#N/A</v>
      </c>
      <c r="P113" s="4" t="e">
        <v>#N/A</v>
      </c>
      <c r="Q113" s="4" t="e">
        <v>#N/A</v>
      </c>
      <c r="R113" s="4" t="e">
        <v>#N/A</v>
      </c>
      <c r="S113" s="4" t="e">
        <v>#N/A</v>
      </c>
      <c r="Y113" s="4">
        <v>988.7999000000001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