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_5G需求和评估\03. 标准会议\03. 3GPP RAN\RAN全会\2019.06 #84\HW contribution\20190605\"/>
    </mc:Choice>
  </mc:AlternateContent>
  <bookViews>
    <workbookView xWindow="3720" yWindow="0" windowWidth="19200" windowHeight="7050" tabRatio="645" firstSheet="11" activeTab="14"/>
  </bookViews>
  <sheets>
    <sheet name="General note" sheetId="15" r:id="rId1"/>
    <sheet name="InH-eMBB (4GHz, NR DDDSU)" sheetId="1" r:id="rId2"/>
    <sheet name="InH-eMBB (4GHz, NR DSUUD)" sheetId="12" r:id="rId3"/>
    <sheet name="InH-eMBB (4GHz, NR DDDSU DDSUU)" sheetId="19" r:id="rId4"/>
    <sheet name="InH-eMBB (4GHz, NR DDDDD DDSUU)" sheetId="22" r:id="rId5"/>
    <sheet name="DU-eMBB (4GHz, NR DDDSU)" sheetId="2" r:id="rId6"/>
    <sheet name="DU-eMBB (4GHz, NR DSUUD)" sheetId="13" r:id="rId7"/>
    <sheet name="DU-eMBB (4GHz, NR DDDSU DDSUU)" sheetId="20" r:id="rId8"/>
    <sheet name="DU-eMBB (4GHz, NR DDDDD DDSUU)" sheetId="23" r:id="rId9"/>
    <sheet name="Rural-eMBB (700MHz, NR FDD)" sheetId="6" r:id="rId10"/>
    <sheet name="Rural-eMBB (700 MHz, NR DSUUD)" sheetId="14" r:id="rId11"/>
    <sheet name="Rural(700MHz, NR DDDSU DDSUU)" sheetId="21" r:id="rId12"/>
    <sheet name="Rural(700MHz, NR DDDDD DDSUU)" sheetId="24" r:id="rId13"/>
    <sheet name="UMa-mMTC (NR FDD)" sheetId="28" r:id="rId14"/>
    <sheet name="UMa-URLLC (700MHz NR )" sheetId="27" r:id="rId15"/>
    <sheet name="MaxN_RB" sheetId="10" r:id="rId16"/>
  </sheets>
  <externalReferences>
    <externalReference r:id="rId17"/>
    <externalReference r:id="rId18"/>
    <externalReference r:id="rId19"/>
    <externalReference r:id="rId20"/>
    <externalReference r:id="rId21"/>
  </externalReferences>
  <definedNames>
    <definedName name="OLE_LINK1" localSheetId="4">'InH-eMBB (4GHz, NR DDDDD DDSUU)'!$A$62</definedName>
    <definedName name="OLE_LINK1" localSheetId="3">'InH-eMBB (4GHz, NR DDDSU DDSUU)'!$A$62</definedName>
    <definedName name="OLE_LINK1" localSheetId="1">'InH-eMBB (4GHz, NR DDDSU)'!$A$62</definedName>
  </definedNames>
  <calcPr calcId="152511"/>
</workbook>
</file>

<file path=xl/calcChain.xml><?xml version="1.0" encoding="utf-8"?>
<calcChain xmlns="http://schemas.openxmlformats.org/spreadsheetml/2006/main">
  <c r="I56" i="2" l="1"/>
  <c r="E56" i="2"/>
  <c r="I57" i="27" l="1"/>
  <c r="G57" i="27"/>
  <c r="H57" i="23" l="1"/>
  <c r="I56" i="23"/>
  <c r="D57" i="23"/>
  <c r="E56" i="23"/>
  <c r="H57" i="20"/>
  <c r="I56" i="20"/>
  <c r="D57" i="20"/>
  <c r="E56" i="20"/>
  <c r="H57" i="13"/>
  <c r="I56" i="13"/>
  <c r="D57" i="13"/>
  <c r="E56" i="13"/>
  <c r="H57" i="2"/>
  <c r="D57" i="2"/>
  <c r="I59" i="28" l="1"/>
  <c r="H59" i="28"/>
  <c r="E59" i="28"/>
  <c r="D59" i="28"/>
  <c r="I43" i="28"/>
  <c r="I50" i="28" s="1"/>
  <c r="C43" i="28"/>
  <c r="C50" i="28" s="1"/>
  <c r="D42" i="28"/>
  <c r="B42" i="28"/>
  <c r="B13" i="28" s="1"/>
  <c r="I41" i="28"/>
  <c r="G41" i="28"/>
  <c r="E41" i="28"/>
  <c r="C41" i="28"/>
  <c r="H40" i="28"/>
  <c r="H44" i="28" s="1"/>
  <c r="H51" i="28" s="1"/>
  <c r="F40" i="28"/>
  <c r="F44" i="28" s="1"/>
  <c r="F51" i="28" s="1"/>
  <c r="D40" i="28"/>
  <c r="D44" i="28" s="1"/>
  <c r="D51" i="28" s="1"/>
  <c r="B40" i="28"/>
  <c r="B44" i="28" s="1"/>
  <c r="B51" i="28" s="1"/>
  <c r="I39" i="28"/>
  <c r="G39" i="28"/>
  <c r="G43" i="28" s="1"/>
  <c r="G50" i="28" s="1"/>
  <c r="E39" i="28"/>
  <c r="E43" i="28" s="1"/>
  <c r="E50" i="28" s="1"/>
  <c r="C39" i="28"/>
  <c r="I33" i="28"/>
  <c r="H33" i="28"/>
  <c r="G33" i="28"/>
  <c r="F33" i="28"/>
  <c r="E33" i="28"/>
  <c r="D33" i="28"/>
  <c r="C33" i="28"/>
  <c r="B33" i="28"/>
  <c r="I23" i="28"/>
  <c r="H23" i="28"/>
  <c r="G23" i="28"/>
  <c r="F23" i="28"/>
  <c r="E23" i="28"/>
  <c r="D23" i="28"/>
  <c r="C23" i="28"/>
  <c r="B23" i="28"/>
  <c r="E22" i="28"/>
  <c r="D22" i="28"/>
  <c r="C22" i="28"/>
  <c r="B22" i="28"/>
  <c r="E21" i="28"/>
  <c r="D21" i="28"/>
  <c r="C21" i="28"/>
  <c r="C28" i="28" s="1"/>
  <c r="B21" i="28"/>
  <c r="I20" i="28"/>
  <c r="I21" i="28" s="1"/>
  <c r="H20" i="28"/>
  <c r="H21" i="28" s="1"/>
  <c r="G20" i="28"/>
  <c r="G21" i="28" s="1"/>
  <c r="F20" i="28"/>
  <c r="F21" i="28" s="1"/>
  <c r="H13" i="28"/>
  <c r="F13" i="28"/>
  <c r="D13" i="28"/>
  <c r="I9" i="28"/>
  <c r="G9" i="28"/>
  <c r="E9" i="28"/>
  <c r="C9" i="28"/>
  <c r="B28" i="28" l="1"/>
  <c r="B53" i="28" s="1"/>
  <c r="B62" i="28" s="1"/>
  <c r="B66" i="28" s="1"/>
  <c r="B68" i="28" s="1"/>
  <c r="D28" i="28"/>
  <c r="E28" i="28"/>
  <c r="D53" i="28"/>
  <c r="D62" i="28" s="1"/>
  <c r="D66" i="28" s="1"/>
  <c r="D68" i="28" s="1"/>
  <c r="H28" i="28"/>
  <c r="H53" i="28" s="1"/>
  <c r="H62" i="28" s="1"/>
  <c r="H66" i="28" s="1"/>
  <c r="H68" i="28" s="1"/>
  <c r="H27" i="28"/>
  <c r="G28" i="28"/>
  <c r="G27" i="28"/>
  <c r="G52" i="28" s="1"/>
  <c r="G61" i="28" s="1"/>
  <c r="G65" i="28" s="1"/>
  <c r="G67" i="28" s="1"/>
  <c r="I28" i="28"/>
  <c r="I27" i="28"/>
  <c r="I52" i="28" s="1"/>
  <c r="I61" i="28" s="1"/>
  <c r="I65" i="28" s="1"/>
  <c r="I67" i="28" s="1"/>
  <c r="F28" i="28"/>
  <c r="F53" i="28" s="1"/>
  <c r="F62" i="28" s="1"/>
  <c r="F66" i="28" s="1"/>
  <c r="F68" i="28" s="1"/>
  <c r="F27" i="28"/>
  <c r="C27" i="28"/>
  <c r="C52" i="28" s="1"/>
  <c r="C61" i="28" s="1"/>
  <c r="C65" i="28" s="1"/>
  <c r="C67" i="28" s="1"/>
  <c r="D27" i="28"/>
  <c r="E27" i="28"/>
  <c r="E52" i="28" s="1"/>
  <c r="E61" i="28" s="1"/>
  <c r="E65" i="28" s="1"/>
  <c r="E67" i="28" s="1"/>
  <c r="B27" i="28"/>
  <c r="F58" i="27" l="1"/>
  <c r="E57" i="27"/>
  <c r="B58" i="27"/>
  <c r="I60" i="27"/>
  <c r="I41" i="27"/>
  <c r="I39" i="27"/>
  <c r="I33" i="27"/>
  <c r="I23" i="27"/>
  <c r="I21" i="27"/>
  <c r="F60" i="27"/>
  <c r="F42" i="27"/>
  <c r="E41" i="27"/>
  <c r="F40" i="27"/>
  <c r="E39" i="27"/>
  <c r="E43" i="27" s="1"/>
  <c r="E50" i="27" s="1"/>
  <c r="F33" i="27"/>
  <c r="E33" i="27"/>
  <c r="F23" i="27"/>
  <c r="E23" i="27"/>
  <c r="F21" i="27"/>
  <c r="E21" i="27"/>
  <c r="F10" i="27"/>
  <c r="B42" i="27"/>
  <c r="B40" i="27"/>
  <c r="B44" i="27" s="1"/>
  <c r="B51" i="27" s="1"/>
  <c r="B33" i="27"/>
  <c r="B23" i="27"/>
  <c r="B21" i="27"/>
  <c r="B10" i="27"/>
  <c r="F13" i="27" l="1"/>
  <c r="F44" i="27"/>
  <c r="F51" i="27" s="1"/>
  <c r="I43" i="27"/>
  <c r="I50" i="27" s="1"/>
  <c r="B13" i="27"/>
  <c r="F28" i="27"/>
  <c r="I28" i="27"/>
  <c r="I27" i="27"/>
  <c r="E28" i="27"/>
  <c r="B28" i="27"/>
  <c r="B53" i="27" s="1"/>
  <c r="B63" i="27" s="1"/>
  <c r="B66" i="27" s="1"/>
  <c r="B68" i="27" s="1"/>
  <c r="F27" i="27"/>
  <c r="E27" i="27"/>
  <c r="E52" i="27" s="1"/>
  <c r="E62" i="27" s="1"/>
  <c r="E65" i="27" s="1"/>
  <c r="E67" i="27" s="1"/>
  <c r="B27" i="27"/>
  <c r="F53" i="27" l="1"/>
  <c r="F63" i="27" s="1"/>
  <c r="F66" i="27" s="1"/>
  <c r="F68" i="27" s="1"/>
  <c r="I52" i="27"/>
  <c r="I62" i="27" s="1"/>
  <c r="I65" i="27" s="1"/>
  <c r="I67" i="27" s="1"/>
  <c r="D58" i="27"/>
  <c r="C57" i="27"/>
  <c r="H58" i="27" l="1"/>
  <c r="M60" i="27" l="1"/>
  <c r="L60" i="27"/>
  <c r="H60" i="27"/>
  <c r="G60" i="27"/>
  <c r="H46" i="27"/>
  <c r="D46" i="27"/>
  <c r="G45" i="27"/>
  <c r="C45" i="27"/>
  <c r="M42" i="27"/>
  <c r="K42" i="27"/>
  <c r="H42" i="27"/>
  <c r="D42" i="27"/>
  <c r="L41" i="27"/>
  <c r="J41" i="27"/>
  <c r="G41" i="27"/>
  <c r="C41" i="27"/>
  <c r="M40" i="27"/>
  <c r="K40" i="27"/>
  <c r="H40" i="27"/>
  <c r="D40" i="27"/>
  <c r="L39" i="27"/>
  <c r="J39" i="27"/>
  <c r="G39" i="27"/>
  <c r="C39" i="27"/>
  <c r="M33" i="27"/>
  <c r="L33" i="27"/>
  <c r="K33" i="27"/>
  <c r="J33" i="27"/>
  <c r="H33" i="27"/>
  <c r="G33" i="27"/>
  <c r="D33" i="27"/>
  <c r="C33" i="27"/>
  <c r="M23" i="27"/>
  <c r="L23" i="27"/>
  <c r="K23" i="27"/>
  <c r="J23" i="27"/>
  <c r="H23" i="27"/>
  <c r="G23" i="27"/>
  <c r="D23" i="27"/>
  <c r="C23" i="27"/>
  <c r="M21" i="27"/>
  <c r="L21" i="27"/>
  <c r="K21" i="27"/>
  <c r="J21" i="27"/>
  <c r="H21" i="27"/>
  <c r="G21" i="27"/>
  <c r="D21" i="27"/>
  <c r="C21" i="27"/>
  <c r="M10" i="27"/>
  <c r="M13" i="27" s="1"/>
  <c r="K10" i="27"/>
  <c r="H10" i="27"/>
  <c r="D10" i="27"/>
  <c r="D13" i="27" s="1"/>
  <c r="G43" i="27" l="1"/>
  <c r="G50" i="27" s="1"/>
  <c r="D44" i="27"/>
  <c r="D51" i="27" s="1"/>
  <c r="M44" i="27"/>
  <c r="M51" i="27" s="1"/>
  <c r="J28" i="27"/>
  <c r="K13" i="27"/>
  <c r="M28" i="27"/>
  <c r="L43" i="27"/>
  <c r="L50" i="27" s="1"/>
  <c r="K44" i="27"/>
  <c r="K51" i="27" s="1"/>
  <c r="C28" i="27"/>
  <c r="G28" i="27"/>
  <c r="K28" i="27"/>
  <c r="H13" i="27"/>
  <c r="D28" i="27"/>
  <c r="H28" i="27"/>
  <c r="L28" i="27"/>
  <c r="C43" i="27"/>
  <c r="C50" i="27" s="1"/>
  <c r="J43" i="27"/>
  <c r="J50" i="27" s="1"/>
  <c r="H44" i="27"/>
  <c r="H51" i="27" s="1"/>
  <c r="D27" i="27"/>
  <c r="H27" i="27"/>
  <c r="L27" i="27"/>
  <c r="M27" i="27"/>
  <c r="J27" i="27"/>
  <c r="C27" i="27"/>
  <c r="G27" i="27"/>
  <c r="K27" i="27"/>
  <c r="H53" i="27" l="1"/>
  <c r="H63" i="27" s="1"/>
  <c r="H66" i="27" s="1"/>
  <c r="H68" i="27" s="1"/>
  <c r="M53" i="27"/>
  <c r="M63" i="27" s="1"/>
  <c r="M66" i="27" s="1"/>
  <c r="M68" i="27" s="1"/>
  <c r="D53" i="27"/>
  <c r="D63" i="27" s="1"/>
  <c r="D66" i="27" s="1"/>
  <c r="D68" i="27" s="1"/>
  <c r="K53" i="27"/>
  <c r="K63" i="27" s="1"/>
  <c r="K66" i="27" s="1"/>
  <c r="K68" i="27" s="1"/>
  <c r="L52" i="27"/>
  <c r="L62" i="27" s="1"/>
  <c r="L65" i="27" s="1"/>
  <c r="L67" i="27" s="1"/>
  <c r="G52" i="27"/>
  <c r="G62" i="27" s="1"/>
  <c r="G65" i="27" s="1"/>
  <c r="G67" i="27" s="1"/>
  <c r="C52" i="27"/>
  <c r="C62" i="27" s="1"/>
  <c r="C65" i="27" s="1"/>
  <c r="C67" i="27" s="1"/>
  <c r="J52" i="27"/>
  <c r="J62" i="27" s="1"/>
  <c r="J65" i="27" s="1"/>
  <c r="J67" i="27" s="1"/>
  <c r="H42" i="24" l="1"/>
  <c r="F42" i="24"/>
  <c r="D42" i="24"/>
  <c r="B42" i="24"/>
  <c r="I41" i="24"/>
  <c r="G41" i="24"/>
  <c r="E41" i="24"/>
  <c r="C41" i="24"/>
  <c r="H40" i="24"/>
  <c r="H44" i="24" s="1"/>
  <c r="H51" i="24" s="1"/>
  <c r="F40" i="24"/>
  <c r="F44" i="24" s="1"/>
  <c r="F51" i="24" s="1"/>
  <c r="D40" i="24"/>
  <c r="B40" i="24"/>
  <c r="I39" i="24"/>
  <c r="G39" i="24"/>
  <c r="G43" i="24" s="1"/>
  <c r="G50" i="24" s="1"/>
  <c r="E39" i="24"/>
  <c r="C39" i="24"/>
  <c r="I33" i="24"/>
  <c r="H33" i="24"/>
  <c r="G33" i="24"/>
  <c r="F33" i="24"/>
  <c r="E33" i="24"/>
  <c r="D33" i="24"/>
  <c r="C33" i="24"/>
  <c r="B33" i="24"/>
  <c r="I23" i="24"/>
  <c r="H23" i="24"/>
  <c r="G23" i="24"/>
  <c r="F23" i="24"/>
  <c r="E23" i="24"/>
  <c r="D23" i="24"/>
  <c r="C23" i="24"/>
  <c r="B23" i="24"/>
  <c r="I21" i="24"/>
  <c r="I28" i="24" s="1"/>
  <c r="H21" i="24"/>
  <c r="H28" i="24" s="1"/>
  <c r="G21" i="24"/>
  <c r="G28" i="24" s="1"/>
  <c r="F21" i="24"/>
  <c r="F28" i="24" s="1"/>
  <c r="F53" i="24" s="1"/>
  <c r="F62" i="24" s="1"/>
  <c r="F65" i="24" s="1"/>
  <c r="F67" i="24" s="1"/>
  <c r="E21" i="24"/>
  <c r="E27" i="24" s="1"/>
  <c r="D21" i="24"/>
  <c r="D27" i="24" s="1"/>
  <c r="C21" i="24"/>
  <c r="C27" i="24" s="1"/>
  <c r="B21" i="24"/>
  <c r="B27" i="24" s="1"/>
  <c r="H10" i="24"/>
  <c r="H13" i="24" s="1"/>
  <c r="F10" i="24"/>
  <c r="F13" i="24" s="1"/>
  <c r="D10" i="24"/>
  <c r="D13" i="24" s="1"/>
  <c r="B10" i="24"/>
  <c r="I9" i="24"/>
  <c r="G9" i="24"/>
  <c r="E9" i="24"/>
  <c r="C9" i="24"/>
  <c r="I59" i="23"/>
  <c r="H59" i="23"/>
  <c r="E59" i="23"/>
  <c r="D59" i="23"/>
  <c r="H42" i="23"/>
  <c r="F42" i="23"/>
  <c r="D42" i="23"/>
  <c r="B42" i="23"/>
  <c r="I41" i="23"/>
  <c r="G41" i="23"/>
  <c r="E41" i="23"/>
  <c r="C41" i="23"/>
  <c r="H40" i="23"/>
  <c r="H44" i="23" s="1"/>
  <c r="H51" i="23" s="1"/>
  <c r="F40" i="23"/>
  <c r="F44" i="23" s="1"/>
  <c r="F51" i="23" s="1"/>
  <c r="D40" i="23"/>
  <c r="B40" i="23"/>
  <c r="I39" i="23"/>
  <c r="I43" i="23" s="1"/>
  <c r="I50" i="23" s="1"/>
  <c r="G39" i="23"/>
  <c r="G43" i="23" s="1"/>
  <c r="G50" i="23" s="1"/>
  <c r="E39" i="23"/>
  <c r="C39" i="23"/>
  <c r="I33" i="23"/>
  <c r="H33" i="23"/>
  <c r="G33" i="23"/>
  <c r="F33" i="23"/>
  <c r="E33" i="23"/>
  <c r="D33" i="23"/>
  <c r="C33" i="23"/>
  <c r="B33" i="23"/>
  <c r="F27" i="23"/>
  <c r="I23" i="23"/>
  <c r="H23" i="23"/>
  <c r="G23" i="23"/>
  <c r="F23" i="23"/>
  <c r="E23" i="23"/>
  <c r="D23" i="23"/>
  <c r="C23" i="23"/>
  <c r="B23" i="23"/>
  <c r="I21" i="23"/>
  <c r="H21" i="23"/>
  <c r="H27" i="23" s="1"/>
  <c r="G21" i="23"/>
  <c r="G27" i="23" s="1"/>
  <c r="F21" i="23"/>
  <c r="F28" i="23" s="1"/>
  <c r="E21" i="23"/>
  <c r="E27" i="23" s="1"/>
  <c r="D21" i="23"/>
  <c r="D27" i="23" s="1"/>
  <c r="C21" i="23"/>
  <c r="C28" i="23" s="1"/>
  <c r="B21" i="23"/>
  <c r="H10" i="23"/>
  <c r="H13" i="23" s="1"/>
  <c r="F10" i="23"/>
  <c r="D10" i="23"/>
  <c r="B10" i="23"/>
  <c r="I9" i="23"/>
  <c r="G9" i="23"/>
  <c r="E9" i="23"/>
  <c r="C9" i="23"/>
  <c r="D42" i="22"/>
  <c r="B42" i="22"/>
  <c r="E41" i="22"/>
  <c r="C41" i="22"/>
  <c r="D40" i="22"/>
  <c r="B40" i="22"/>
  <c r="E39" i="22"/>
  <c r="E43" i="22" s="1"/>
  <c r="E50" i="22" s="1"/>
  <c r="C39" i="22"/>
  <c r="E33" i="22"/>
  <c r="D33" i="22"/>
  <c r="C33" i="22"/>
  <c r="B33" i="22"/>
  <c r="E23" i="22"/>
  <c r="D23" i="22"/>
  <c r="C23" i="22"/>
  <c r="B23" i="22"/>
  <c r="E21" i="22"/>
  <c r="E27" i="22" s="1"/>
  <c r="D21" i="22"/>
  <c r="C21" i="22"/>
  <c r="B21" i="22"/>
  <c r="D10" i="22"/>
  <c r="B10" i="22"/>
  <c r="E9" i="22"/>
  <c r="C9" i="22"/>
  <c r="I28" i="23" l="1"/>
  <c r="I27" i="23"/>
  <c r="D44" i="22"/>
  <c r="D51" i="22" s="1"/>
  <c r="B27" i="23"/>
  <c r="C28" i="22"/>
  <c r="G52" i="23"/>
  <c r="G61" i="23" s="1"/>
  <c r="G64" i="23" s="1"/>
  <c r="G66" i="23" s="1"/>
  <c r="B28" i="22"/>
  <c r="D27" i="22"/>
  <c r="B13" i="24"/>
  <c r="B44" i="24"/>
  <c r="B51" i="24" s="1"/>
  <c r="B13" i="22"/>
  <c r="B44" i="23"/>
  <c r="B51" i="23" s="1"/>
  <c r="D44" i="23"/>
  <c r="D51" i="23" s="1"/>
  <c r="C43" i="22"/>
  <c r="C50" i="22" s="1"/>
  <c r="C52" i="22" s="1"/>
  <c r="C62" i="22" s="1"/>
  <c r="C65" i="22" s="1"/>
  <c r="C67" i="22" s="1"/>
  <c r="B13" i="23"/>
  <c r="E43" i="23"/>
  <c r="E50" i="23" s="1"/>
  <c r="E52" i="23" s="1"/>
  <c r="E61" i="23" s="1"/>
  <c r="E64" i="23" s="1"/>
  <c r="E66" i="23" s="1"/>
  <c r="D44" i="24"/>
  <c r="D51" i="24" s="1"/>
  <c r="D13" i="23"/>
  <c r="C27" i="22"/>
  <c r="I52" i="23"/>
  <c r="I61" i="23" s="1"/>
  <c r="I64" i="23" s="1"/>
  <c r="I66" i="23" s="1"/>
  <c r="G27" i="24"/>
  <c r="G52" i="24" s="1"/>
  <c r="G61" i="24" s="1"/>
  <c r="G64" i="24" s="1"/>
  <c r="G66" i="24" s="1"/>
  <c r="E43" i="24"/>
  <c r="E50" i="24" s="1"/>
  <c r="E52" i="24" s="1"/>
  <c r="E61" i="24" s="1"/>
  <c r="E64" i="24" s="1"/>
  <c r="E66" i="24" s="1"/>
  <c r="D13" i="22"/>
  <c r="E52" i="22"/>
  <c r="E62" i="22" s="1"/>
  <c r="E65" i="22" s="1"/>
  <c r="E67" i="22" s="1"/>
  <c r="C43" i="23"/>
  <c r="C50" i="23" s="1"/>
  <c r="H27" i="24"/>
  <c r="B27" i="22"/>
  <c r="F13" i="23"/>
  <c r="F53" i="23"/>
  <c r="F62" i="23" s="1"/>
  <c r="F65" i="23" s="1"/>
  <c r="F67" i="23" s="1"/>
  <c r="B28" i="23"/>
  <c r="C27" i="23"/>
  <c r="I27" i="24"/>
  <c r="I52" i="24" s="1"/>
  <c r="I61" i="24" s="1"/>
  <c r="I64" i="24" s="1"/>
  <c r="I66" i="24" s="1"/>
  <c r="I43" i="24"/>
  <c r="I50" i="24" s="1"/>
  <c r="F27" i="24"/>
  <c r="C43" i="24"/>
  <c r="C50" i="24" s="1"/>
  <c r="C52" i="24" s="1"/>
  <c r="C61" i="24" s="1"/>
  <c r="C64" i="24" s="1"/>
  <c r="C66" i="24" s="1"/>
  <c r="B44" i="22"/>
  <c r="B51" i="22" s="1"/>
  <c r="H53" i="24"/>
  <c r="H62" i="24" s="1"/>
  <c r="H65" i="24" s="1"/>
  <c r="H67" i="24" s="1"/>
  <c r="B28" i="24"/>
  <c r="B53" i="24" s="1"/>
  <c r="B62" i="24" s="1"/>
  <c r="B65" i="24" s="1"/>
  <c r="B67" i="24" s="1"/>
  <c r="C28" i="24"/>
  <c r="D28" i="24"/>
  <c r="E28" i="24"/>
  <c r="D28" i="23"/>
  <c r="E28" i="23"/>
  <c r="G28" i="23"/>
  <c r="H28" i="23"/>
  <c r="H53" i="23" s="1"/>
  <c r="H62" i="23" s="1"/>
  <c r="H65" i="23" s="1"/>
  <c r="H67" i="23" s="1"/>
  <c r="E28" i="22"/>
  <c r="D28" i="22"/>
  <c r="D53" i="22" s="1"/>
  <c r="D63" i="22" s="1"/>
  <c r="D66" i="22" s="1"/>
  <c r="D68" i="22" s="1"/>
  <c r="B53" i="22" l="1"/>
  <c r="B63" i="22" s="1"/>
  <c r="B66" i="22" s="1"/>
  <c r="B68" i="22" s="1"/>
  <c r="B53" i="23"/>
  <c r="B62" i="23" s="1"/>
  <c r="B65" i="23" s="1"/>
  <c r="B67" i="23" s="1"/>
  <c r="C52" i="23"/>
  <c r="C61" i="23" s="1"/>
  <c r="C64" i="23" s="1"/>
  <c r="C66" i="23" s="1"/>
  <c r="D53" i="23"/>
  <c r="D62" i="23" s="1"/>
  <c r="D65" i="23" s="1"/>
  <c r="D67" i="23" s="1"/>
  <c r="D53" i="24"/>
  <c r="D62" i="24" s="1"/>
  <c r="D65" i="24" s="1"/>
  <c r="D67" i="24" s="1"/>
  <c r="H46" i="21"/>
  <c r="F46" i="21"/>
  <c r="D46" i="21"/>
  <c r="B46" i="21"/>
  <c r="I45" i="21"/>
  <c r="G45" i="21"/>
  <c r="E45" i="21"/>
  <c r="C45" i="21"/>
  <c r="H42" i="21"/>
  <c r="F42" i="21"/>
  <c r="D42" i="21"/>
  <c r="B42" i="21"/>
  <c r="I41" i="21"/>
  <c r="G41" i="21"/>
  <c r="E41" i="21"/>
  <c r="C41" i="21"/>
  <c r="H40" i="21"/>
  <c r="H44" i="21" s="1"/>
  <c r="H51" i="21" s="1"/>
  <c r="F40" i="21"/>
  <c r="F44" i="21" s="1"/>
  <c r="F51" i="21" s="1"/>
  <c r="D40" i="21"/>
  <c r="B40" i="21"/>
  <c r="I39" i="21"/>
  <c r="I43" i="21" s="1"/>
  <c r="I50" i="21" s="1"/>
  <c r="G39" i="21"/>
  <c r="G43" i="21" s="1"/>
  <c r="G50" i="21" s="1"/>
  <c r="E39" i="21"/>
  <c r="C39" i="21"/>
  <c r="I33" i="21"/>
  <c r="H33" i="21"/>
  <c r="G33" i="21"/>
  <c r="F33" i="21"/>
  <c r="E33" i="21"/>
  <c r="D33" i="21"/>
  <c r="C33" i="21"/>
  <c r="B33" i="21"/>
  <c r="I23" i="21"/>
  <c r="H23" i="21"/>
  <c r="G23" i="21"/>
  <c r="F23" i="21"/>
  <c r="E23" i="21"/>
  <c r="D23" i="21"/>
  <c r="C23" i="21"/>
  <c r="B23" i="21"/>
  <c r="I21" i="21"/>
  <c r="I27" i="21" s="1"/>
  <c r="H21" i="21"/>
  <c r="H28" i="21" s="1"/>
  <c r="G21" i="21"/>
  <c r="G28" i="21" s="1"/>
  <c r="F21" i="21"/>
  <c r="F27" i="21" s="1"/>
  <c r="E21" i="21"/>
  <c r="E27" i="21" s="1"/>
  <c r="D21" i="21"/>
  <c r="D28" i="21" s="1"/>
  <c r="C21" i="21"/>
  <c r="C28" i="21" s="1"/>
  <c r="B21" i="21"/>
  <c r="B28" i="21" s="1"/>
  <c r="H10" i="21"/>
  <c r="H13" i="21" s="1"/>
  <c r="F10" i="21"/>
  <c r="F13" i="21" s="1"/>
  <c r="D10" i="21"/>
  <c r="B10" i="21"/>
  <c r="I9" i="21"/>
  <c r="G9" i="21"/>
  <c r="E9" i="21"/>
  <c r="C9" i="21"/>
  <c r="I59" i="20"/>
  <c r="H59" i="20"/>
  <c r="E59" i="20"/>
  <c r="D59" i="20"/>
  <c r="H46" i="20"/>
  <c r="F46" i="20"/>
  <c r="D46" i="20"/>
  <c r="B46" i="20"/>
  <c r="E45" i="20"/>
  <c r="C45" i="20"/>
  <c r="H42" i="20"/>
  <c r="F42" i="20"/>
  <c r="D42" i="20"/>
  <c r="B42" i="20"/>
  <c r="I41" i="20"/>
  <c r="G41" i="20"/>
  <c r="E41" i="20"/>
  <c r="C41" i="20"/>
  <c r="H40" i="20"/>
  <c r="F40" i="20"/>
  <c r="F44" i="20" s="1"/>
  <c r="D40" i="20"/>
  <c r="B40" i="20"/>
  <c r="I39" i="20"/>
  <c r="I43" i="20" s="1"/>
  <c r="I50" i="20" s="1"/>
  <c r="G39" i="20"/>
  <c r="E39" i="20"/>
  <c r="C39" i="20"/>
  <c r="I33" i="20"/>
  <c r="H33" i="20"/>
  <c r="G33" i="20"/>
  <c r="F33" i="20"/>
  <c r="E33" i="20"/>
  <c r="D33" i="20"/>
  <c r="C33" i="20"/>
  <c r="B33" i="20"/>
  <c r="E27" i="20"/>
  <c r="I23" i="20"/>
  <c r="H23" i="20"/>
  <c r="G23" i="20"/>
  <c r="F23" i="20"/>
  <c r="E23" i="20"/>
  <c r="D23" i="20"/>
  <c r="C23" i="20"/>
  <c r="B23" i="20"/>
  <c r="I21" i="20"/>
  <c r="I28" i="20" s="1"/>
  <c r="H21" i="20"/>
  <c r="H28" i="20" s="1"/>
  <c r="G21" i="20"/>
  <c r="G28" i="20" s="1"/>
  <c r="F21" i="20"/>
  <c r="F28" i="20" s="1"/>
  <c r="E21" i="20"/>
  <c r="E28" i="20" s="1"/>
  <c r="D21" i="20"/>
  <c r="D28" i="20" s="1"/>
  <c r="C21" i="20"/>
  <c r="C28" i="20" s="1"/>
  <c r="B21" i="20"/>
  <c r="B28" i="20" s="1"/>
  <c r="H10" i="20"/>
  <c r="F10" i="20"/>
  <c r="F13" i="20" s="1"/>
  <c r="D10" i="20"/>
  <c r="B10" i="20"/>
  <c r="I9" i="20"/>
  <c r="G9" i="20"/>
  <c r="E9" i="20"/>
  <c r="C9" i="20"/>
  <c r="C41" i="19"/>
  <c r="C43" i="19" s="1"/>
  <c r="C50" i="19" s="1"/>
  <c r="B42" i="19"/>
  <c r="D46" i="19"/>
  <c r="B46" i="19"/>
  <c r="E45" i="19"/>
  <c r="C45" i="19"/>
  <c r="D42" i="19"/>
  <c r="E41" i="19"/>
  <c r="D40" i="19"/>
  <c r="B40" i="19"/>
  <c r="E39" i="19"/>
  <c r="C39" i="19"/>
  <c r="E33" i="19"/>
  <c r="D33" i="19"/>
  <c r="C33" i="19"/>
  <c r="B33" i="19"/>
  <c r="E23" i="19"/>
  <c r="D23" i="19"/>
  <c r="C23" i="19"/>
  <c r="B23" i="19"/>
  <c r="E21" i="19"/>
  <c r="D21" i="19"/>
  <c r="D27" i="19" s="1"/>
  <c r="C21" i="19"/>
  <c r="C27" i="19" s="1"/>
  <c r="B21" i="19"/>
  <c r="B28" i="19" s="1"/>
  <c r="D10" i="19"/>
  <c r="B10" i="19"/>
  <c r="E9" i="19"/>
  <c r="C9" i="19"/>
  <c r="E28" i="19" l="1"/>
  <c r="D44" i="19"/>
  <c r="D51" i="19" s="1"/>
  <c r="B13" i="19"/>
  <c r="E43" i="19"/>
  <c r="E50" i="19" s="1"/>
  <c r="H13" i="20"/>
  <c r="F51" i="20"/>
  <c r="D44" i="20"/>
  <c r="D51" i="20" s="1"/>
  <c r="D53" i="20" s="1"/>
  <c r="D62" i="20" s="1"/>
  <c r="D65" i="20" s="1"/>
  <c r="D67" i="20" s="1"/>
  <c r="G43" i="20"/>
  <c r="G50" i="20" s="1"/>
  <c r="H27" i="20"/>
  <c r="G27" i="20"/>
  <c r="H44" i="20"/>
  <c r="H51" i="20" s="1"/>
  <c r="H53" i="20" s="1"/>
  <c r="H62" i="20" s="1"/>
  <c r="H65" i="20" s="1"/>
  <c r="H67" i="20" s="1"/>
  <c r="F53" i="20"/>
  <c r="F62" i="20" s="1"/>
  <c r="F65" i="20" s="1"/>
  <c r="F67" i="20" s="1"/>
  <c r="B27" i="20"/>
  <c r="E43" i="20"/>
  <c r="E50" i="20" s="1"/>
  <c r="E52" i="20" s="1"/>
  <c r="E61" i="20" s="1"/>
  <c r="E64" i="20" s="1"/>
  <c r="E66" i="20" s="1"/>
  <c r="D13" i="20"/>
  <c r="C27" i="21"/>
  <c r="G27" i="21"/>
  <c r="G52" i="21" s="1"/>
  <c r="G61" i="21" s="1"/>
  <c r="G64" i="21" s="1"/>
  <c r="G66" i="21" s="1"/>
  <c r="C27" i="20"/>
  <c r="F27" i="20"/>
  <c r="H53" i="21"/>
  <c r="H62" i="21" s="1"/>
  <c r="H65" i="21" s="1"/>
  <c r="H67" i="21" s="1"/>
  <c r="D27" i="21"/>
  <c r="H27" i="21"/>
  <c r="B44" i="19"/>
  <c r="B51" i="19" s="1"/>
  <c r="B53" i="19" s="1"/>
  <c r="B62" i="19" s="1"/>
  <c r="B65" i="19" s="1"/>
  <c r="B67" i="19" s="1"/>
  <c r="D13" i="19"/>
  <c r="C43" i="20"/>
  <c r="C50" i="20" s="1"/>
  <c r="B13" i="20"/>
  <c r="B27" i="21"/>
  <c r="E43" i="21"/>
  <c r="E50" i="21" s="1"/>
  <c r="E52" i="21" s="1"/>
  <c r="E61" i="21" s="1"/>
  <c r="E64" i="21" s="1"/>
  <c r="E66" i="21" s="1"/>
  <c r="D13" i="21"/>
  <c r="C43" i="21"/>
  <c r="C50" i="21" s="1"/>
  <c r="B44" i="20"/>
  <c r="B51" i="20" s="1"/>
  <c r="B53" i="20" s="1"/>
  <c r="B62" i="20" s="1"/>
  <c r="B65" i="20" s="1"/>
  <c r="B67" i="20" s="1"/>
  <c r="B13" i="21"/>
  <c r="B44" i="21"/>
  <c r="B51" i="21" s="1"/>
  <c r="B53" i="21" s="1"/>
  <c r="B62" i="21" s="1"/>
  <c r="B65" i="21" s="1"/>
  <c r="B67" i="21" s="1"/>
  <c r="D44" i="21"/>
  <c r="D51" i="21" s="1"/>
  <c r="D53" i="21" s="1"/>
  <c r="D62" i="21" s="1"/>
  <c r="D65" i="21" s="1"/>
  <c r="D67" i="21" s="1"/>
  <c r="I52" i="21"/>
  <c r="I61" i="21" s="1"/>
  <c r="I64" i="21" s="1"/>
  <c r="I66" i="21" s="1"/>
  <c r="E28" i="21"/>
  <c r="F28" i="21"/>
  <c r="F53" i="21" s="1"/>
  <c r="F62" i="21" s="1"/>
  <c r="F65" i="21" s="1"/>
  <c r="F67" i="21" s="1"/>
  <c r="I28" i="21"/>
  <c r="D27" i="20"/>
  <c r="I27" i="20"/>
  <c r="I52" i="20" s="1"/>
  <c r="I61" i="20" s="1"/>
  <c r="I64" i="20" s="1"/>
  <c r="I66" i="20" s="1"/>
  <c r="C52" i="19"/>
  <c r="C61" i="19" s="1"/>
  <c r="C64" i="19" s="1"/>
  <c r="C66" i="19" s="1"/>
  <c r="C28" i="19"/>
  <c r="B27" i="19"/>
  <c r="D28" i="19"/>
  <c r="D53" i="19" s="1"/>
  <c r="D62" i="19" s="1"/>
  <c r="D65" i="19" s="1"/>
  <c r="D67" i="19" s="1"/>
  <c r="E27" i="19"/>
  <c r="E52" i="19" s="1"/>
  <c r="E61" i="19" s="1"/>
  <c r="E64" i="19" s="1"/>
  <c r="E66" i="19" s="1"/>
  <c r="C52" i="20" l="1"/>
  <c r="C61" i="20" s="1"/>
  <c r="C64" i="20" s="1"/>
  <c r="C66" i="20" s="1"/>
  <c r="C52" i="21"/>
  <c r="C61" i="21" s="1"/>
  <c r="C64" i="21" s="1"/>
  <c r="C66" i="21" s="1"/>
  <c r="G52" i="20"/>
  <c r="G61" i="20" s="1"/>
  <c r="G64" i="20" s="1"/>
  <c r="G66" i="20" s="1"/>
  <c r="M41" i="14"/>
  <c r="L42" i="14" l="1"/>
  <c r="K41" i="14"/>
  <c r="J42" i="14"/>
  <c r="P42" i="14"/>
  <c r="N42" i="14"/>
  <c r="Q41" i="14"/>
  <c r="O41" i="14"/>
  <c r="P40" i="14"/>
  <c r="P44" i="14" s="1"/>
  <c r="P51" i="14" s="1"/>
  <c r="N40" i="14"/>
  <c r="L40" i="14"/>
  <c r="J40" i="14"/>
  <c r="Q39" i="14"/>
  <c r="O39" i="14"/>
  <c r="O43" i="14" s="1"/>
  <c r="O50" i="14" s="1"/>
  <c r="M39" i="14"/>
  <c r="M43" i="14" s="1"/>
  <c r="M50" i="14" s="1"/>
  <c r="K39" i="14"/>
  <c r="Q33" i="14"/>
  <c r="P33" i="14"/>
  <c r="O33" i="14"/>
  <c r="N33" i="14"/>
  <c r="M33" i="14"/>
  <c r="L33" i="14"/>
  <c r="K33" i="14"/>
  <c r="J33" i="14"/>
  <c r="Q23" i="14"/>
  <c r="P23" i="14"/>
  <c r="O23" i="14"/>
  <c r="N23" i="14"/>
  <c r="M23" i="14"/>
  <c r="L23" i="14"/>
  <c r="K23" i="14"/>
  <c r="J23" i="14"/>
  <c r="Q21" i="14"/>
  <c r="Q28" i="14" s="1"/>
  <c r="P21" i="14"/>
  <c r="P28" i="14" s="1"/>
  <c r="O21" i="14"/>
  <c r="O28" i="14" s="1"/>
  <c r="N21" i="14"/>
  <c r="N27" i="14" s="1"/>
  <c r="M21" i="14"/>
  <c r="M27" i="14" s="1"/>
  <c r="L21" i="14"/>
  <c r="L28" i="14" s="1"/>
  <c r="K21" i="14"/>
  <c r="K28" i="14" s="1"/>
  <c r="J21" i="14"/>
  <c r="J28" i="14" s="1"/>
  <c r="P13" i="14"/>
  <c r="P10" i="14"/>
  <c r="N10" i="14"/>
  <c r="N13" i="14" s="1"/>
  <c r="L10" i="14"/>
  <c r="J10" i="14"/>
  <c r="Q9" i="14"/>
  <c r="O9" i="14"/>
  <c r="M9" i="14"/>
  <c r="K9" i="14"/>
  <c r="M41" i="13"/>
  <c r="L42" i="13"/>
  <c r="K41" i="13"/>
  <c r="J42" i="13"/>
  <c r="P42" i="13"/>
  <c r="N42" i="13"/>
  <c r="Q41" i="13"/>
  <c r="O41" i="13"/>
  <c r="P40" i="13"/>
  <c r="N40" i="13"/>
  <c r="N44" i="13" s="1"/>
  <c r="N51" i="13" s="1"/>
  <c r="L40" i="13"/>
  <c r="L44" i="13" s="1"/>
  <c r="L51" i="13" s="1"/>
  <c r="J40" i="13"/>
  <c r="J44" i="13" s="1"/>
  <c r="J51" i="13" s="1"/>
  <c r="Q39" i="13"/>
  <c r="O39" i="13"/>
  <c r="M39" i="13"/>
  <c r="K39" i="13"/>
  <c r="Q33" i="13"/>
  <c r="P33" i="13"/>
  <c r="O33" i="13"/>
  <c r="N33" i="13"/>
  <c r="M33" i="13"/>
  <c r="L33" i="13"/>
  <c r="K33" i="13"/>
  <c r="J33" i="13"/>
  <c r="Q23" i="13"/>
  <c r="P23" i="13"/>
  <c r="O23" i="13"/>
  <c r="N23" i="13"/>
  <c r="M23" i="13"/>
  <c r="L23" i="13"/>
  <c r="K23" i="13"/>
  <c r="J23" i="13"/>
  <c r="Q21" i="13"/>
  <c r="Q27" i="13" s="1"/>
  <c r="P21" i="13"/>
  <c r="P28" i="13" s="1"/>
  <c r="O21" i="13"/>
  <c r="O27" i="13" s="1"/>
  <c r="N21" i="13"/>
  <c r="N28" i="13" s="1"/>
  <c r="M21" i="13"/>
  <c r="L21" i="13"/>
  <c r="L28" i="13" s="1"/>
  <c r="K21" i="13"/>
  <c r="K28" i="13" s="1"/>
  <c r="J21" i="13"/>
  <c r="J28" i="13" s="1"/>
  <c r="P10" i="13"/>
  <c r="N10" i="13"/>
  <c r="N13" i="13" s="1"/>
  <c r="L10" i="13"/>
  <c r="L13" i="13" s="1"/>
  <c r="J10" i="13"/>
  <c r="J13" i="13" s="1"/>
  <c r="Q9" i="13"/>
  <c r="O9" i="13"/>
  <c r="M9" i="13"/>
  <c r="K9" i="13"/>
  <c r="G41" i="12"/>
  <c r="F42" i="12"/>
  <c r="H42" i="12"/>
  <c r="F44" i="12"/>
  <c r="F51" i="12" s="1"/>
  <c r="I41" i="12"/>
  <c r="H40" i="12"/>
  <c r="F40" i="12"/>
  <c r="I39" i="12"/>
  <c r="G39" i="12"/>
  <c r="I33" i="12"/>
  <c r="H33" i="12"/>
  <c r="G33" i="12"/>
  <c r="F33" i="12"/>
  <c r="I23" i="12"/>
  <c r="H23" i="12"/>
  <c r="G23" i="12"/>
  <c r="F23" i="12"/>
  <c r="I21" i="12"/>
  <c r="I27" i="12" s="1"/>
  <c r="H21" i="12"/>
  <c r="H27" i="12" s="1"/>
  <c r="G21" i="12"/>
  <c r="G27" i="12" s="1"/>
  <c r="F21" i="12"/>
  <c r="F27" i="12" s="1"/>
  <c r="H10" i="12"/>
  <c r="F10" i="12"/>
  <c r="I9" i="12"/>
  <c r="G9" i="12"/>
  <c r="J13" i="14" l="1"/>
  <c r="M43" i="13"/>
  <c r="M50" i="13" s="1"/>
  <c r="M28" i="13"/>
  <c r="Q43" i="14"/>
  <c r="Q50" i="14" s="1"/>
  <c r="P13" i="13"/>
  <c r="P44" i="13"/>
  <c r="P51" i="13" s="1"/>
  <c r="P53" i="13" s="1"/>
  <c r="P62" i="13" s="1"/>
  <c r="P65" i="13" s="1"/>
  <c r="P67" i="13" s="1"/>
  <c r="I43" i="12"/>
  <c r="I50" i="12" s="1"/>
  <c r="K43" i="13"/>
  <c r="K50" i="13" s="1"/>
  <c r="N44" i="14"/>
  <c r="N51" i="14" s="1"/>
  <c r="L27" i="14"/>
  <c r="L27" i="13"/>
  <c r="O43" i="13"/>
  <c r="O50" i="13" s="1"/>
  <c r="O52" i="13" s="1"/>
  <c r="O61" i="13" s="1"/>
  <c r="O64" i="13" s="1"/>
  <c r="O66" i="13" s="1"/>
  <c r="J27" i="14"/>
  <c r="J27" i="13"/>
  <c r="P27" i="14"/>
  <c r="K27" i="13"/>
  <c r="K52" i="13" s="1"/>
  <c r="K61" i="13" s="1"/>
  <c r="K64" i="13" s="1"/>
  <c r="K66" i="13" s="1"/>
  <c r="Q27" i="14"/>
  <c r="Q52" i="14" s="1"/>
  <c r="Q61" i="14" s="1"/>
  <c r="Q64" i="14" s="1"/>
  <c r="Q66" i="14" s="1"/>
  <c r="H13" i="12"/>
  <c r="H44" i="12"/>
  <c r="H51" i="12" s="1"/>
  <c r="M27" i="13"/>
  <c r="Q43" i="13"/>
  <c r="Q50" i="13" s="1"/>
  <c r="Q52" i="13" s="1"/>
  <c r="Q61" i="13" s="1"/>
  <c r="Q64" i="13" s="1"/>
  <c r="Q66" i="13" s="1"/>
  <c r="K27" i="14"/>
  <c r="M52" i="14"/>
  <c r="M61" i="14" s="1"/>
  <c r="M64" i="14" s="1"/>
  <c r="M66" i="14" s="1"/>
  <c r="L13" i="14"/>
  <c r="L44" i="14"/>
  <c r="L51" i="14" s="1"/>
  <c r="L53" i="14" s="1"/>
  <c r="L62" i="14" s="1"/>
  <c r="L65" i="14" s="1"/>
  <c r="L67" i="14" s="1"/>
  <c r="K43" i="14"/>
  <c r="K50" i="14" s="1"/>
  <c r="J44" i="14"/>
  <c r="J51" i="14" s="1"/>
  <c r="J53" i="14" s="1"/>
  <c r="J62" i="14" s="1"/>
  <c r="J65" i="14" s="1"/>
  <c r="J67" i="14" s="1"/>
  <c r="P53" i="14"/>
  <c r="P62" i="14" s="1"/>
  <c r="P65" i="14" s="1"/>
  <c r="P67" i="14" s="1"/>
  <c r="N28" i="14"/>
  <c r="N53" i="14" s="1"/>
  <c r="N62" i="14" s="1"/>
  <c r="N65" i="14" s="1"/>
  <c r="N67" i="14" s="1"/>
  <c r="O27" i="14"/>
  <c r="O52" i="14" s="1"/>
  <c r="O61" i="14" s="1"/>
  <c r="O64" i="14" s="1"/>
  <c r="O66" i="14" s="1"/>
  <c r="M28" i="14"/>
  <c r="L53" i="13"/>
  <c r="L62" i="13" s="1"/>
  <c r="L65" i="13" s="1"/>
  <c r="L67" i="13" s="1"/>
  <c r="J53" i="13"/>
  <c r="J62" i="13" s="1"/>
  <c r="J65" i="13" s="1"/>
  <c r="J67" i="13" s="1"/>
  <c r="N53" i="13"/>
  <c r="N62" i="13" s="1"/>
  <c r="N65" i="13" s="1"/>
  <c r="N67" i="13" s="1"/>
  <c r="M52" i="13"/>
  <c r="M61" i="13" s="1"/>
  <c r="M64" i="13" s="1"/>
  <c r="M66" i="13" s="1"/>
  <c r="O28" i="13"/>
  <c r="Q28" i="13"/>
  <c r="P27" i="13"/>
  <c r="N27" i="13"/>
  <c r="G43" i="12"/>
  <c r="G50" i="12" s="1"/>
  <c r="G52" i="12" s="1"/>
  <c r="G61" i="12" s="1"/>
  <c r="F13" i="12"/>
  <c r="I52" i="12"/>
  <c r="I61" i="12" s="1"/>
  <c r="I28" i="12"/>
  <c r="F28" i="12"/>
  <c r="F53" i="12" s="1"/>
  <c r="F62" i="12" s="1"/>
  <c r="G28" i="12"/>
  <c r="H28" i="12"/>
  <c r="H53" i="12" s="1"/>
  <c r="H62" i="12" s="1"/>
  <c r="K52" i="14" l="1"/>
  <c r="K61" i="14" s="1"/>
  <c r="K64" i="14" s="1"/>
  <c r="K66" i="14" s="1"/>
  <c r="G64" i="12"/>
  <c r="G66" i="12" s="1"/>
  <c r="H65" i="12"/>
  <c r="H67" i="12" s="1"/>
  <c r="I64" i="12"/>
  <c r="I66" i="12" s="1"/>
  <c r="F65" i="12"/>
  <c r="F67" i="12" s="1"/>
  <c r="I59" i="6"/>
  <c r="F33" i="13" l="1"/>
  <c r="B23" i="12"/>
  <c r="H42" i="14"/>
  <c r="F42" i="14"/>
  <c r="D42" i="14"/>
  <c r="B42" i="14"/>
  <c r="I41" i="14"/>
  <c r="G41" i="14"/>
  <c r="E41" i="14"/>
  <c r="C41" i="14"/>
  <c r="H40" i="14"/>
  <c r="H44" i="14" s="1"/>
  <c r="H51" i="14" s="1"/>
  <c r="F40" i="14"/>
  <c r="F44" i="14" s="1"/>
  <c r="F51" i="14" s="1"/>
  <c r="D40" i="14"/>
  <c r="B40" i="14"/>
  <c r="B44" i="14" s="1"/>
  <c r="B51" i="14" s="1"/>
  <c r="I39" i="14"/>
  <c r="I43" i="14" s="1"/>
  <c r="I50" i="14" s="1"/>
  <c r="G39" i="14"/>
  <c r="G43" i="14" s="1"/>
  <c r="G50" i="14" s="1"/>
  <c r="E39" i="14"/>
  <c r="C39" i="14"/>
  <c r="I33" i="14"/>
  <c r="H33" i="14"/>
  <c r="G33" i="14"/>
  <c r="F33" i="14"/>
  <c r="E33" i="14"/>
  <c r="D33" i="14"/>
  <c r="C33" i="14"/>
  <c r="B33" i="14"/>
  <c r="I23" i="14"/>
  <c r="H23" i="14"/>
  <c r="G23" i="14"/>
  <c r="F23" i="14"/>
  <c r="E23" i="14"/>
  <c r="D23" i="14"/>
  <c r="C23" i="14"/>
  <c r="B23" i="14"/>
  <c r="I21" i="14"/>
  <c r="I28" i="14" s="1"/>
  <c r="H21" i="14"/>
  <c r="H28" i="14" s="1"/>
  <c r="H53" i="14" s="1"/>
  <c r="H62" i="14" s="1"/>
  <c r="H65" i="14" s="1"/>
  <c r="H67" i="14" s="1"/>
  <c r="G21" i="14"/>
  <c r="G28" i="14" s="1"/>
  <c r="F21" i="14"/>
  <c r="E21" i="14"/>
  <c r="E28" i="14" s="1"/>
  <c r="D21" i="14"/>
  <c r="D28" i="14" s="1"/>
  <c r="C21" i="14"/>
  <c r="C28" i="14" s="1"/>
  <c r="B21" i="14"/>
  <c r="B28" i="14" s="1"/>
  <c r="H10" i="14"/>
  <c r="H13" i="14" s="1"/>
  <c r="F10" i="14"/>
  <c r="F13" i="14" s="1"/>
  <c r="D10" i="14"/>
  <c r="D13" i="14" s="1"/>
  <c r="B10" i="14"/>
  <c r="B13" i="14" s="1"/>
  <c r="I9" i="14"/>
  <c r="G9" i="14"/>
  <c r="E9" i="14"/>
  <c r="C9" i="14"/>
  <c r="H42" i="13"/>
  <c r="F42" i="13"/>
  <c r="D42" i="13"/>
  <c r="B42" i="13"/>
  <c r="I41" i="13"/>
  <c r="G41" i="13"/>
  <c r="E41" i="13"/>
  <c r="C41" i="13"/>
  <c r="H40" i="13"/>
  <c r="H44" i="13" s="1"/>
  <c r="H51" i="13" s="1"/>
  <c r="F40" i="13"/>
  <c r="F44" i="13" s="1"/>
  <c r="F51" i="13" s="1"/>
  <c r="D40" i="13"/>
  <c r="B40" i="13"/>
  <c r="B44" i="13" s="1"/>
  <c r="B51" i="13" s="1"/>
  <c r="I39" i="13"/>
  <c r="I43" i="13" s="1"/>
  <c r="I50" i="13" s="1"/>
  <c r="G39" i="13"/>
  <c r="G43" i="13" s="1"/>
  <c r="G50" i="13" s="1"/>
  <c r="E39" i="13"/>
  <c r="C39" i="13"/>
  <c r="I33" i="13"/>
  <c r="H33" i="13"/>
  <c r="G33" i="13"/>
  <c r="E33" i="13"/>
  <c r="D33" i="13"/>
  <c r="C33" i="13"/>
  <c r="B33" i="13"/>
  <c r="I23" i="13"/>
  <c r="H23" i="13"/>
  <c r="G23" i="13"/>
  <c r="F23" i="13"/>
  <c r="E23" i="13"/>
  <c r="D23" i="13"/>
  <c r="C23" i="13"/>
  <c r="B23" i="13"/>
  <c r="I21" i="13"/>
  <c r="I28" i="13" s="1"/>
  <c r="H21" i="13"/>
  <c r="H28" i="13" s="1"/>
  <c r="G21" i="13"/>
  <c r="G28" i="13" s="1"/>
  <c r="F21" i="13"/>
  <c r="F28" i="13" s="1"/>
  <c r="E21" i="13"/>
  <c r="E28" i="13" s="1"/>
  <c r="D21" i="13"/>
  <c r="D28" i="13" s="1"/>
  <c r="C21" i="13"/>
  <c r="C28" i="13" s="1"/>
  <c r="B21" i="13"/>
  <c r="B28" i="13" s="1"/>
  <c r="H10" i="13"/>
  <c r="F10" i="13"/>
  <c r="D10" i="13"/>
  <c r="B10" i="13"/>
  <c r="I9" i="13"/>
  <c r="G9" i="13"/>
  <c r="E9" i="13"/>
  <c r="C9" i="13"/>
  <c r="D42" i="12"/>
  <c r="B42" i="12"/>
  <c r="E41" i="12"/>
  <c r="C41" i="12"/>
  <c r="D40" i="12"/>
  <c r="B40" i="12"/>
  <c r="E39" i="12"/>
  <c r="C39" i="12"/>
  <c r="E33" i="12"/>
  <c r="D33" i="12"/>
  <c r="C33" i="12"/>
  <c r="B33" i="12"/>
  <c r="E23" i="12"/>
  <c r="D23" i="12"/>
  <c r="C23" i="12"/>
  <c r="E21" i="12"/>
  <c r="D21" i="12"/>
  <c r="C21" i="12"/>
  <c r="B21" i="12"/>
  <c r="D10" i="12"/>
  <c r="D13" i="12" s="1"/>
  <c r="B10" i="12"/>
  <c r="B13" i="12" s="1"/>
  <c r="E9" i="12"/>
  <c r="C9" i="12"/>
  <c r="B28" i="12" l="1"/>
  <c r="F28" i="14"/>
  <c r="F53" i="14" s="1"/>
  <c r="F62" i="14" s="1"/>
  <c r="F65" i="14" s="1"/>
  <c r="F67" i="14" s="1"/>
  <c r="E28" i="12"/>
  <c r="E43" i="12"/>
  <c r="E50" i="12" s="1"/>
  <c r="D13" i="13"/>
  <c r="D28" i="12"/>
  <c r="H13" i="13"/>
  <c r="C28" i="12"/>
  <c r="F13" i="13"/>
  <c r="H53" i="13"/>
  <c r="H62" i="13" s="1"/>
  <c r="H65" i="13" s="1"/>
  <c r="H67" i="13" s="1"/>
  <c r="F53" i="13"/>
  <c r="F62" i="13" s="1"/>
  <c r="F65" i="13" s="1"/>
  <c r="F67" i="13" s="1"/>
  <c r="B13" i="13"/>
  <c r="B53" i="13"/>
  <c r="B62" i="13" s="1"/>
  <c r="B65" i="13" s="1"/>
  <c r="B67" i="13" s="1"/>
  <c r="C43" i="14"/>
  <c r="C50" i="14" s="1"/>
  <c r="E43" i="13"/>
  <c r="E50" i="13" s="1"/>
  <c r="D44" i="13"/>
  <c r="D51" i="13" s="1"/>
  <c r="D53" i="13" s="1"/>
  <c r="D62" i="13" s="1"/>
  <c r="D65" i="13" s="1"/>
  <c r="D67" i="13" s="1"/>
  <c r="B53" i="14"/>
  <c r="B62" i="14" s="1"/>
  <c r="B65" i="14" s="1"/>
  <c r="B67" i="14" s="1"/>
  <c r="E43" i="14"/>
  <c r="E50" i="14" s="1"/>
  <c r="D44" i="14"/>
  <c r="D51" i="14" s="1"/>
  <c r="D53" i="14" s="1"/>
  <c r="D62" i="14" s="1"/>
  <c r="D65" i="14" s="1"/>
  <c r="D67" i="14" s="1"/>
  <c r="C43" i="13"/>
  <c r="C50" i="13" s="1"/>
  <c r="C43" i="12"/>
  <c r="C50" i="12" s="1"/>
  <c r="D53" i="12"/>
  <c r="D62" i="12" s="1"/>
  <c r="D65" i="12" s="1"/>
  <c r="D67" i="12" s="1"/>
  <c r="D44" i="12"/>
  <c r="D51" i="12" s="1"/>
  <c r="B44" i="12"/>
  <c r="B51" i="12" s="1"/>
  <c r="B53" i="12" s="1"/>
  <c r="B62" i="12" s="1"/>
  <c r="B65" i="12" s="1"/>
  <c r="B67" i="12" s="1"/>
  <c r="D27" i="14"/>
  <c r="C27" i="14"/>
  <c r="E27" i="14"/>
  <c r="I27" i="14"/>
  <c r="I52" i="14" s="1"/>
  <c r="I61" i="14" s="1"/>
  <c r="I64" i="14" s="1"/>
  <c r="I66" i="14" s="1"/>
  <c r="H27" i="14"/>
  <c r="G27" i="14"/>
  <c r="G52" i="14" s="1"/>
  <c r="G61" i="14" s="1"/>
  <c r="G64" i="14" s="1"/>
  <c r="G66" i="14" s="1"/>
  <c r="B27" i="14"/>
  <c r="F27" i="14"/>
  <c r="E27" i="13"/>
  <c r="I27" i="13"/>
  <c r="I52" i="13" s="1"/>
  <c r="I61" i="13" s="1"/>
  <c r="I64" i="13" s="1"/>
  <c r="I66" i="13" s="1"/>
  <c r="D27" i="13"/>
  <c r="H27" i="13"/>
  <c r="C27" i="13"/>
  <c r="C52" i="13" s="1"/>
  <c r="C61" i="13" s="1"/>
  <c r="C64" i="13" s="1"/>
  <c r="C66" i="13" s="1"/>
  <c r="G27" i="13"/>
  <c r="G52" i="13" s="1"/>
  <c r="G61" i="13" s="1"/>
  <c r="G64" i="13" s="1"/>
  <c r="G66" i="13" s="1"/>
  <c r="B27" i="13"/>
  <c r="F27" i="13"/>
  <c r="C27" i="12"/>
  <c r="E27" i="12"/>
  <c r="E52" i="12" s="1"/>
  <c r="E61" i="12" s="1"/>
  <c r="E64" i="12" s="1"/>
  <c r="E66" i="12" s="1"/>
  <c r="D27" i="12"/>
  <c r="B27" i="12"/>
  <c r="E52" i="13" l="1"/>
  <c r="E61" i="13" s="1"/>
  <c r="E64" i="13" s="1"/>
  <c r="E66" i="13" s="1"/>
  <c r="C52" i="14"/>
  <c r="C61" i="14" s="1"/>
  <c r="C64" i="14" s="1"/>
  <c r="C66" i="14" s="1"/>
  <c r="E52" i="14"/>
  <c r="E61" i="14" s="1"/>
  <c r="E64" i="14" s="1"/>
  <c r="E66" i="14" s="1"/>
  <c r="C52" i="12"/>
  <c r="C61" i="12" s="1"/>
  <c r="C64" i="12" s="1"/>
  <c r="C66" i="12" s="1"/>
  <c r="I9" i="6" l="1"/>
  <c r="G9" i="6"/>
  <c r="E9" i="6"/>
  <c r="C9" i="6"/>
  <c r="H59" i="6" l="1"/>
  <c r="E59" i="6"/>
  <c r="D59" i="6"/>
  <c r="I59" i="2"/>
  <c r="H59" i="2"/>
  <c r="E59" i="2"/>
  <c r="D59" i="2"/>
  <c r="I41" i="6" l="1"/>
  <c r="G41" i="6"/>
  <c r="H42" i="6"/>
  <c r="F42" i="6"/>
  <c r="H10" i="6"/>
  <c r="F10" i="6"/>
  <c r="I33" i="6"/>
  <c r="H33" i="6"/>
  <c r="G33" i="6"/>
  <c r="F33" i="6"/>
  <c r="E33" i="6"/>
  <c r="D33" i="6"/>
  <c r="C33" i="6"/>
  <c r="B33" i="6"/>
  <c r="I33" i="2"/>
  <c r="H33" i="2"/>
  <c r="G33" i="2"/>
  <c r="F33" i="2"/>
  <c r="E33" i="2"/>
  <c r="D33" i="2"/>
  <c r="C33" i="2"/>
  <c r="B33" i="2"/>
  <c r="E33" i="1"/>
  <c r="D33" i="1"/>
  <c r="C33" i="1"/>
  <c r="B33" i="1"/>
  <c r="B23" i="6"/>
  <c r="C23" i="6"/>
  <c r="D23" i="6"/>
  <c r="E23" i="6"/>
  <c r="I23" i="6"/>
  <c r="H23" i="6"/>
  <c r="G23" i="6"/>
  <c r="F23" i="6"/>
  <c r="E23" i="1"/>
  <c r="D23" i="1"/>
  <c r="C23" i="1"/>
  <c r="B23" i="1"/>
  <c r="I23" i="2"/>
  <c r="H23" i="2"/>
  <c r="G23" i="2"/>
  <c r="F23" i="2"/>
  <c r="E23" i="2"/>
  <c r="D23" i="2"/>
  <c r="C23" i="2"/>
  <c r="B23" i="2"/>
  <c r="E41" i="6"/>
  <c r="C41" i="6"/>
  <c r="D42" i="6"/>
  <c r="B42" i="6"/>
  <c r="D10" i="6"/>
  <c r="B10" i="6"/>
  <c r="I21" i="6"/>
  <c r="H21" i="6"/>
  <c r="G21" i="6"/>
  <c r="F21" i="6"/>
  <c r="E21" i="6"/>
  <c r="D21" i="6"/>
  <c r="C21" i="6"/>
  <c r="B21" i="6"/>
  <c r="E41" i="1"/>
  <c r="E9" i="1"/>
  <c r="D42" i="1"/>
  <c r="D10" i="1"/>
  <c r="D13" i="1" s="1"/>
  <c r="C41" i="1"/>
  <c r="C9" i="1"/>
  <c r="B42" i="1"/>
  <c r="E21" i="1"/>
  <c r="D21" i="1"/>
  <c r="C21" i="1"/>
  <c r="B21" i="1"/>
  <c r="B10" i="1"/>
  <c r="I41" i="2"/>
  <c r="G41" i="2"/>
  <c r="H42" i="2"/>
  <c r="F42" i="2"/>
  <c r="H10" i="2"/>
  <c r="F10" i="2"/>
  <c r="E41" i="2"/>
  <c r="C41" i="2"/>
  <c r="I21" i="2"/>
  <c r="G21" i="2"/>
  <c r="E21" i="2"/>
  <c r="C21" i="2"/>
  <c r="I9" i="2"/>
  <c r="G9" i="2"/>
  <c r="E9" i="2"/>
  <c r="C9" i="2"/>
  <c r="H21" i="2"/>
  <c r="F21" i="2"/>
  <c r="D42" i="2"/>
  <c r="B42" i="2"/>
  <c r="D21" i="2"/>
  <c r="B21" i="2"/>
  <c r="D10" i="2"/>
  <c r="B10" i="2"/>
  <c r="B13" i="2" s="1"/>
  <c r="D13" i="2" l="1"/>
  <c r="B13" i="1"/>
  <c r="H13" i="2"/>
  <c r="F13" i="2"/>
  <c r="B13" i="6"/>
  <c r="H13" i="6"/>
  <c r="F13" i="6"/>
  <c r="D13" i="6"/>
  <c r="B40" i="6" l="1"/>
  <c r="B44" i="6" s="1"/>
  <c r="B51" i="6" s="1"/>
  <c r="D40" i="6"/>
  <c r="D44" i="6" s="1"/>
  <c r="D51" i="6" s="1"/>
  <c r="F40" i="6"/>
  <c r="F44" i="6" s="1"/>
  <c r="F51" i="6" s="1"/>
  <c r="H40" i="6"/>
  <c r="H44" i="6" s="1"/>
  <c r="H51" i="6" s="1"/>
  <c r="C39" i="6"/>
  <c r="C43" i="6" s="1"/>
  <c r="C50" i="6" s="1"/>
  <c r="E39" i="6"/>
  <c r="E43" i="6" s="1"/>
  <c r="E50" i="6" s="1"/>
  <c r="G39" i="6"/>
  <c r="G43" i="6" s="1"/>
  <c r="G50" i="6" s="1"/>
  <c r="I39" i="6"/>
  <c r="I43" i="6" s="1"/>
  <c r="I50" i="6" s="1"/>
  <c r="B28" i="6"/>
  <c r="C28" i="6"/>
  <c r="D28" i="6"/>
  <c r="E28" i="6"/>
  <c r="F28" i="6"/>
  <c r="G28" i="6"/>
  <c r="H28" i="6"/>
  <c r="I28" i="6"/>
  <c r="B27" i="6"/>
  <c r="C27" i="6"/>
  <c r="D27" i="6"/>
  <c r="E27" i="6"/>
  <c r="F27" i="6"/>
  <c r="G27" i="6"/>
  <c r="H27" i="6"/>
  <c r="I27" i="6"/>
  <c r="B40" i="2"/>
  <c r="B44" i="2" s="1"/>
  <c r="B51" i="2" s="1"/>
  <c r="D40" i="2"/>
  <c r="D44" i="2" s="1"/>
  <c r="D51" i="2" s="1"/>
  <c r="F40" i="2"/>
  <c r="F44" i="2" s="1"/>
  <c r="F51" i="2" s="1"/>
  <c r="H40" i="2"/>
  <c r="H44" i="2" s="1"/>
  <c r="H51" i="2" s="1"/>
  <c r="C39" i="2"/>
  <c r="C43" i="2" s="1"/>
  <c r="C50" i="2" s="1"/>
  <c r="E39" i="2"/>
  <c r="E43" i="2" s="1"/>
  <c r="E50" i="2" s="1"/>
  <c r="G39" i="2"/>
  <c r="G43" i="2" s="1"/>
  <c r="G50" i="2" s="1"/>
  <c r="I39" i="2"/>
  <c r="I43" i="2" s="1"/>
  <c r="I50" i="2" s="1"/>
  <c r="B28" i="2"/>
  <c r="C28" i="2"/>
  <c r="D28" i="2"/>
  <c r="E28" i="2"/>
  <c r="F28" i="2"/>
  <c r="G28" i="2"/>
  <c r="H28" i="2"/>
  <c r="I28" i="2"/>
  <c r="B27" i="2"/>
  <c r="C27" i="2"/>
  <c r="D27" i="2"/>
  <c r="E27" i="2"/>
  <c r="F27" i="2"/>
  <c r="G27" i="2"/>
  <c r="H27" i="2"/>
  <c r="I27" i="2"/>
  <c r="B40" i="1"/>
  <c r="B44" i="1" s="1"/>
  <c r="B51" i="1" s="1"/>
  <c r="D40" i="1"/>
  <c r="D44" i="1" s="1"/>
  <c r="D51" i="1" s="1"/>
  <c r="C39" i="1"/>
  <c r="C43" i="1" s="1"/>
  <c r="C50" i="1" s="1"/>
  <c r="E39" i="1"/>
  <c r="E43" i="1" s="1"/>
  <c r="E50" i="1" s="1"/>
  <c r="D27" i="1"/>
  <c r="B28" i="1"/>
  <c r="C28" i="1"/>
  <c r="D28" i="1"/>
  <c r="E28" i="1"/>
  <c r="B27" i="1"/>
  <c r="C27" i="1"/>
  <c r="E27" i="1"/>
  <c r="C52" i="1" l="1"/>
  <c r="C62" i="1" s="1"/>
  <c r="C65" i="1" s="1"/>
  <c r="C67" i="1" s="1"/>
  <c r="B53" i="1"/>
  <c r="B63" i="1" s="1"/>
  <c r="B66" i="1" s="1"/>
  <c r="B68" i="1" s="1"/>
  <c r="D53" i="1"/>
  <c r="D63" i="1" s="1"/>
  <c r="D66" i="1" s="1"/>
  <c r="D68" i="1" s="1"/>
  <c r="E52" i="1"/>
  <c r="E62" i="1" s="1"/>
  <c r="E65" i="1" s="1"/>
  <c r="E67" i="1" s="1"/>
  <c r="I52" i="2"/>
  <c r="I61" i="2" s="1"/>
  <c r="I64" i="2" s="1"/>
  <c r="I66" i="2" s="1"/>
  <c r="G52" i="2"/>
  <c r="G61" i="2" s="1"/>
  <c r="G64" i="2" s="1"/>
  <c r="G66" i="2" s="1"/>
  <c r="E52" i="2"/>
  <c r="E61" i="2" s="1"/>
  <c r="E64" i="2" s="1"/>
  <c r="E66" i="2" s="1"/>
  <c r="C52" i="2"/>
  <c r="C61" i="2" s="1"/>
  <c r="C64" i="2" s="1"/>
  <c r="C66" i="2" s="1"/>
  <c r="B53" i="6"/>
  <c r="B62" i="6" s="1"/>
  <c r="B65" i="6" s="1"/>
  <c r="B67" i="6" s="1"/>
  <c r="I52" i="6"/>
  <c r="I61" i="6" s="1"/>
  <c r="I64" i="6" s="1"/>
  <c r="I66" i="6" s="1"/>
  <c r="H53" i="6"/>
  <c r="H62" i="6" s="1"/>
  <c r="H65" i="6" s="1"/>
  <c r="H67" i="6" s="1"/>
  <c r="G52" i="6"/>
  <c r="G61" i="6" s="1"/>
  <c r="G64" i="6" s="1"/>
  <c r="G66" i="6" s="1"/>
  <c r="F53" i="6"/>
  <c r="F62" i="6" s="1"/>
  <c r="F65" i="6" s="1"/>
  <c r="F67" i="6" s="1"/>
  <c r="C52" i="6"/>
  <c r="C61" i="6" s="1"/>
  <c r="C64" i="6" s="1"/>
  <c r="C66" i="6" s="1"/>
  <c r="E52" i="6"/>
  <c r="E61" i="6" s="1"/>
  <c r="E64" i="6" s="1"/>
  <c r="E66" i="6" s="1"/>
  <c r="D53" i="6"/>
  <c r="D62" i="6" s="1"/>
  <c r="D65" i="6" s="1"/>
  <c r="D67" i="6" s="1"/>
  <c r="H53" i="2"/>
  <c r="H62" i="2" s="1"/>
  <c r="H65" i="2" s="1"/>
  <c r="H67" i="2" s="1"/>
  <c r="F53" i="2"/>
  <c r="D53" i="2"/>
  <c r="D62" i="2" s="1"/>
  <c r="D65" i="2" s="1"/>
  <c r="D67" i="2" s="1"/>
  <c r="B53" i="2"/>
  <c r="B62" i="2" s="1"/>
  <c r="B65" i="2" l="1"/>
  <c r="B67" i="2" s="1"/>
  <c r="F62" i="2"/>
  <c r="F65" i="2" s="1"/>
  <c r="F67" i="2" s="1"/>
</calcChain>
</file>

<file path=xl/sharedStrings.xml><?xml version="1.0" encoding="utf-8"?>
<sst xmlns="http://schemas.openxmlformats.org/spreadsheetml/2006/main" count="3111" uniqueCount="343">
  <si>
    <t>Item</t>
  </si>
  <si>
    <t>System configuration</t>
  </si>
  <si>
    <t>Carrier frequency (GHz)</t>
  </si>
  <si>
    <t>BS antenna heights (m)</t>
  </si>
  <si>
    <t>UT antenna heights (m)</t>
  </si>
  <si>
    <t>Transmission bit rate for control channel (bit/s)</t>
  </si>
  <si>
    <t>Transmission bit rate for data channel (bit/s)</t>
  </si>
  <si>
    <t>Target packet error rate for the required SNR in item (19a) for control channel</t>
  </si>
  <si>
    <t>Target packet error rate for the required SNR in item (19b) for data channel</t>
  </si>
  <si>
    <t>Feeder loss (dB)</t>
  </si>
  <si>
    <t>Transmitter</t>
  </si>
  <si>
    <t>(2) Maximal transmit power per antenna (dBm)</t>
  </si>
  <si>
    <t>(4) Transmitter antenna gain (dBi)</t>
  </si>
  <si>
    <t>(5) Transmitter array gain (depends on transmitter array configurations and technologies such as adaptive beam forming, CDD (cyclic delay diversity), etc.) (dB)</t>
  </si>
  <si>
    <t>(6) Control channel power boosting gain (dB)</t>
  </si>
  <si>
    <t>(7) Data channel power loss due to pilot/control boosting (dB)</t>
  </si>
  <si>
    <t>(8) Cable, connector, combiner, body losses, etc. (enumerate sources) (dB) (feeder loss must be included for and only for downlink)</t>
  </si>
  <si>
    <t>(9a) Control channel EIRP = (3) + (4) + (5) + (6) – (8) dBm</t>
  </si>
  <si>
    <t>(9b) Data channel EIRP = (3) + (4) + (5) – (7) – (8)  dBm</t>
  </si>
  <si>
    <t>Receiver</t>
  </si>
  <si>
    <t>(11) Receiver antenna gain (dBi)</t>
  </si>
  <si>
    <t>(12) Cable, connector, combiner, body losses, etc. (enumerate sources) (dB) (feeder loss must be included for and only for uplink)</t>
  </si>
  <si>
    <t>(13) Receiver noise figure (dB)</t>
  </si>
  <si>
    <t>(14) Thermal noise density (dBm/Hz)</t>
  </si>
  <si>
    <t>(15a) Receiver interference density for control channel (dBm/Hz) (See 3GPP note at bottom of the table (i) )</t>
  </si>
  <si>
    <t xml:space="preserve">(15b) Receiver interference density for data channel (dBm/Hz) </t>
  </si>
  <si>
    <t>(17a) Occupied channel bandwidth for control channel (for meeting the requirements of the traffic type) (Hz)</t>
  </si>
  <si>
    <t>(17b) Occupied channel bandwidth for data channel (for meeting the requirements of the traffic type) (Hz)</t>
  </si>
  <si>
    <t>(18a) Effective noise power for control channel = (16a) + 10 log((17a)) dBm</t>
  </si>
  <si>
    <t>(18b) Effective noise power for data channel = (16b) + 10 log((17b)) dBm</t>
  </si>
  <si>
    <t xml:space="preserve">(19a) Required SNR for the control channel (dB) </t>
  </si>
  <si>
    <t xml:space="preserve">(19b) Required SNR for the data channel (dB) </t>
  </si>
  <si>
    <t>(20) Receiver implementation margin (dB)</t>
  </si>
  <si>
    <t>(21a) H-ARQ gain for control channel (dB)</t>
  </si>
  <si>
    <t>(21b) H-ARQ gain for data channel (dB)</t>
  </si>
  <si>
    <t>Calculation of available pathloss</t>
  </si>
  <si>
    <t>(24) Lognormal shadow fading std deviation (dB)</t>
  </si>
  <si>
    <t>(25a) Shadow fading margin for control channel (function of the cell area reliability and (24)) (dB)</t>
  </si>
  <si>
    <t xml:space="preserve">(25b) Shadow fading margin for data channel (function of the cell area reliability and (24)) (dB) </t>
  </si>
  <si>
    <t>(26) BS selection/macro-diversity gain (dB)</t>
  </si>
  <si>
    <t>(27) Penetration margin (dB)</t>
  </si>
  <si>
    <t>(28) Other gains (dB) (if any please specify)</t>
  </si>
  <si>
    <t>Range/coverage efficiency calculation</t>
  </si>
  <si>
    <t>(30a) Maximum range for control channel (based on (29a) and according to the system configuration section of the link budget) (m)</t>
  </si>
  <si>
    <t>(30b) Maximum range for data channel (based on (29b) and according to the system configuration section of the link budget) (m)</t>
  </si>
  <si>
    <t>(16a) Total noise plus interference density for control channel        = 10 log (10^(((13) + (14))/10) + 10^((15a)/10))  dBm/Hz  (See 3GPP note at bottom of the table (i) )</t>
  </si>
  <si>
    <t>(16b) Total noise plus interference density for data channel        = 10 log (10^(((13) + (14))/10) + 10^((15b)/10))  dBm/Hz  (See 3GPP note at bottom of the table (i) )</t>
  </si>
  <si>
    <t>(22a) Receiver sensitivity for control channel         = (18a) + (19a) + (20) – (21a)  dBm</t>
  </si>
  <si>
    <t>(22b) Receiver sensitivity for data channel          = (18b) + (19b) + (20) – (21b)  dBm</t>
  </si>
  <si>
    <t>(29b) Available path loss for data channel           = (23b) – (25b) + (26) – (27) + (28) – (12)   dB</t>
  </si>
  <si>
    <t>DL</t>
    <phoneticPr fontId="1" type="noConversion"/>
  </si>
  <si>
    <t>UL</t>
    <phoneticPr fontId="1" type="noConversion"/>
  </si>
  <si>
    <t>(29a) Available path loss for control channel          = (23a) – (25a) + (26) – (27) + (28) – (12)   dB</t>
    <phoneticPr fontId="1" type="noConversion"/>
  </si>
  <si>
    <t>NR PDSCH (NLOS O-to-I)</t>
    <phoneticPr fontId="1" type="noConversion"/>
  </si>
  <si>
    <t>NR PDCCH (NLOS O-to-I)</t>
    <phoneticPr fontId="1" type="noConversion"/>
  </si>
  <si>
    <t>NR PDCCH (NLOS)</t>
    <phoneticPr fontId="1" type="noConversion"/>
  </si>
  <si>
    <t>NR PDSCH (NLOS)</t>
    <phoneticPr fontId="1" type="noConversion"/>
  </si>
  <si>
    <t>-</t>
    <phoneticPr fontId="1" type="noConversion"/>
  </si>
  <si>
    <t>-</t>
    <phoneticPr fontId="1" type="noConversion"/>
  </si>
  <si>
    <t>-</t>
    <phoneticPr fontId="1" type="noConversion"/>
  </si>
  <si>
    <t>FR1</t>
    <phoneticPr fontId="7" type="noConversion"/>
  </si>
  <si>
    <t>SCS (kHz)</t>
  </si>
  <si>
    <t>5MHz</t>
  </si>
  <si>
    <t>10MHz</t>
  </si>
  <si>
    <t>15MHz</t>
  </si>
  <si>
    <t>20 MHz</t>
  </si>
  <si>
    <t>25 MHz</t>
  </si>
  <si>
    <t>30 MHz</t>
  </si>
  <si>
    <t>40 MHz</t>
  </si>
  <si>
    <t>50MHz</t>
  </si>
  <si>
    <t>60 MHz</t>
  </si>
  <si>
    <t>80 MHz</t>
  </si>
  <si>
    <t>90 MHz</t>
  </si>
  <si>
    <t>100 MHz</t>
  </si>
  <si>
    <t>MHz</t>
  </si>
  <si>
    <r>
      <t>N</t>
    </r>
    <r>
      <rPr>
        <b/>
        <vertAlign val="subscript"/>
        <sz val="9"/>
        <color theme="1"/>
        <rFont val="Arial"/>
        <family val="2"/>
      </rPr>
      <t>RB</t>
    </r>
  </si>
  <si>
    <t>N/A</t>
  </si>
  <si>
    <t>N.A</t>
  </si>
  <si>
    <t>FR2</t>
    <phoneticPr fontId="7" type="noConversion"/>
  </si>
  <si>
    <t>SCS [kHz]</t>
  </si>
  <si>
    <t>50 MHz</t>
  </si>
  <si>
    <t>100 MHz</t>
  </si>
  <si>
    <t>200 MHz</t>
  </si>
  <si>
    <t>400 MHz</t>
  </si>
  <si>
    <t>(10) Number of receive antennas (The number shall be within the indicated range in § 8.4 of Report ITU-R M.2412-0)</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</si>
  <si>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</si>
  <si>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</si>
  <si>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UE speed (km/h)</t>
    <phoneticPr fontId="1" type="noConversion"/>
  </si>
  <si>
    <t>NLOS</t>
    <phoneticPr fontId="1" type="noConversion"/>
  </si>
  <si>
    <t>NLOS O-to-I</t>
    <phoneticPr fontId="1" type="noConversion"/>
  </si>
  <si>
    <t>-</t>
    <phoneticPr fontId="1" type="noConversion"/>
  </si>
  <si>
    <t>-</t>
    <phoneticPr fontId="1" type="noConversion"/>
  </si>
  <si>
    <t>-</t>
    <phoneticPr fontId="1" type="noConversion"/>
  </si>
  <si>
    <t>-</t>
    <phoneticPr fontId="1" type="noConversion"/>
  </si>
  <si>
    <t>-</t>
    <phoneticPr fontId="1" type="noConversion"/>
  </si>
  <si>
    <t>NLOS</t>
    <phoneticPr fontId="1" type="noConversion"/>
  </si>
  <si>
    <t>NLOS O-to-I</t>
    <phoneticPr fontId="1" type="noConversion"/>
  </si>
  <si>
    <t>-</t>
    <phoneticPr fontId="1" type="noConversion"/>
  </si>
  <si>
    <t>-</t>
    <phoneticPr fontId="1" type="noConversion"/>
  </si>
  <si>
    <t>-</t>
    <phoneticPr fontId="1" type="noConversion"/>
  </si>
  <si>
    <t>-</t>
    <phoneticPr fontId="1" type="noConversion"/>
  </si>
  <si>
    <t>(23a) Hardware link budget for control channel          = (9a) + (11) + (11bis) − (22a)   dB</t>
  </si>
  <si>
    <t>(23b) Hardware link budget for data channel           = (9b) + (11) + (11bis) − (22b)  dB</t>
  </si>
  <si>
    <r>
      <t>Cell area reliability</t>
    </r>
    <r>
      <rPr>
        <vertAlign val="superscript"/>
        <sz val="10"/>
        <color theme="1"/>
        <rFont val="Times New Roman"/>
        <family val="1"/>
      </rPr>
      <t>(1)</t>
    </r>
    <r>
      <rPr>
        <sz val="11"/>
        <color theme="1"/>
        <rFont val="Times New Roman"/>
        <family val="1"/>
      </rPr>
      <t xml:space="preserve"> for control channel  (%) (Please specify how it is calculated.) (See 3GPP note at bottom of the table (i) )</t>
    </r>
  </si>
  <si>
    <r>
      <t>Cell area reliability</t>
    </r>
    <r>
      <rPr>
        <vertAlign val="superscript"/>
        <sz val="10"/>
        <color theme="1"/>
        <rFont val="Times New Roman"/>
        <family val="1"/>
      </rPr>
      <t>(1)</t>
    </r>
    <r>
      <rPr>
        <sz val="11"/>
        <color theme="1"/>
        <rFont val="Times New Roman"/>
        <family val="1"/>
      </rPr>
      <t xml:space="preserve"> for data channel (%) (Please specify how it is calculated.) (See 3GPP note at bottom of the table (i) )</t>
    </r>
  </si>
  <si>
    <r>
      <t>Spectral efficiency</t>
    </r>
    <r>
      <rPr>
        <vertAlign val="superscript"/>
        <sz val="10"/>
        <color theme="1"/>
        <rFont val="Times New Roman"/>
        <family val="1"/>
      </rPr>
      <t>(2)</t>
    </r>
    <r>
      <rPr>
        <sz val="11"/>
        <color theme="1"/>
        <rFont val="Times New Roman"/>
        <family val="1"/>
      </rPr>
      <t xml:space="preserve"> (bit/s/Hz)</t>
    </r>
  </si>
  <si>
    <r>
      <t>Pathloss model</t>
    </r>
    <r>
      <rPr>
        <vertAlign val="superscript"/>
        <sz val="10"/>
        <color theme="1"/>
        <rFont val="Times New Roman"/>
        <family val="1"/>
      </rPr>
      <t>(3)</t>
    </r>
    <r>
      <rPr>
        <sz val="11"/>
        <color theme="1"/>
        <rFont val="Times New Roman"/>
        <family val="1"/>
      </rPr>
      <t xml:space="preserve"> (select from LoS or NLoS)</t>
    </r>
  </si>
  <si>
    <r>
      <t>Penetration Loss std deviation (dB)</t>
    </r>
    <r>
      <rPr>
        <vertAlign val="superscript"/>
        <sz val="11"/>
        <color theme="1"/>
        <rFont val="Times New Roman"/>
        <family val="1"/>
      </rPr>
      <t>(ii)</t>
    </r>
  </si>
  <si>
    <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</si>
  <si>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</si>
  <si>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</si>
  <si>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</si>
  <si>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</si>
  <si>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</si>
  <si>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</si>
  <si>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</si>
  <si>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</si>
  <si>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</si>
  <si>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</si>
  <si>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</si>
  <si>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</si>
  <si>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</si>
  <si>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</si>
  <si>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t>
    <phoneticPr fontId="1" type="noConversion"/>
  </si>
  <si>
    <t>DL</t>
  </si>
  <si>
    <t>UL</t>
  </si>
  <si>
    <t>(1bis) Number of transmit antenna ports</t>
    <phoneticPr fontId="1" type="noConversion"/>
  </si>
  <si>
    <r>
      <t>Cell area reliability</t>
    </r>
    <r>
      <rPr>
        <vertAlign val="superscript"/>
        <sz val="10"/>
        <rFont val="Times New Roman"/>
        <family val="1"/>
      </rPr>
      <t>(1)</t>
    </r>
    <r>
      <rPr>
        <sz val="11"/>
        <rFont val="Times New Roman"/>
        <family val="1"/>
      </rPr>
      <t xml:space="preserve"> for control channel  (%) (Please specify how it is calculated.) (See 3GPP note at bottom of the table (i) )</t>
    </r>
  </si>
  <si>
    <r>
      <t>Cell area reliability</t>
    </r>
    <r>
      <rPr>
        <vertAlign val="superscript"/>
        <sz val="10"/>
        <rFont val="Times New Roman"/>
        <family val="1"/>
      </rPr>
      <t>(1)</t>
    </r>
    <r>
      <rPr>
        <sz val="11"/>
        <rFont val="Times New Roman"/>
        <family val="1"/>
      </rPr>
      <t xml:space="preserve"> for data channel (%) (Please specify how it is calculated.) (See 3GPP note at bottom of the table (i) )</t>
    </r>
  </si>
  <si>
    <r>
      <t>Spectral efficiency</t>
    </r>
    <r>
      <rPr>
        <vertAlign val="superscript"/>
        <sz val="10"/>
        <rFont val="Times New Roman"/>
        <family val="1"/>
      </rPr>
      <t>(2)</t>
    </r>
    <r>
      <rPr>
        <sz val="11"/>
        <rFont val="Times New Roman"/>
        <family val="1"/>
      </rPr>
      <t xml:space="preserve"> (bit/s/Hz)</t>
    </r>
  </si>
  <si>
    <r>
      <t>Pathloss model</t>
    </r>
    <r>
      <rPr>
        <vertAlign val="superscript"/>
        <sz val="10"/>
        <rFont val="Times New Roman"/>
        <family val="1"/>
      </rPr>
      <t>(3)</t>
    </r>
    <r>
      <rPr>
        <sz val="11"/>
        <rFont val="Times New Roman"/>
        <family val="1"/>
      </rPr>
      <t xml:space="preserve"> (select from LoS or NLoS)</t>
    </r>
  </si>
  <si>
    <t>LOS</t>
    <phoneticPr fontId="1" type="noConversion"/>
  </si>
  <si>
    <t>(10) Number of receive antennas (The number shall be within the indicated range in § 8.4 of Report ITU-R M.2412-0)</t>
    <phoneticPr fontId="1" type="noConversion"/>
  </si>
  <si>
    <r>
      <t>(31a) Coverage Area for control channel = (π (30a)</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</si>
  <si>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r>
      <t>(31b) Coverage Area for data channel = (π (30b)</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</si>
  <si>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t>NR PDCCH 
(30 kHz)
(NLOS)</t>
    <phoneticPr fontId="1" type="noConversion"/>
  </si>
  <si>
    <t>NR PDSCH 
(NLOS)</t>
    <phoneticPr fontId="1" type="noConversion"/>
  </si>
  <si>
    <t>NR PUSCH
(NLOS)</t>
    <phoneticPr fontId="1" type="noConversion"/>
  </si>
  <si>
    <t>NR PUCCH
 (NLOS)</t>
    <phoneticPr fontId="1" type="noConversion"/>
  </si>
  <si>
    <t>NR PDCCH 
(NLOS)</t>
    <phoneticPr fontId="1" type="noConversion"/>
  </si>
  <si>
    <t>NR PDSCH
(NLOS O-to-I)</t>
    <phoneticPr fontId="1" type="noConversion"/>
  </si>
  <si>
    <t>NR PDCCH 
(NLOS O-to-I)</t>
    <phoneticPr fontId="1" type="noConversion"/>
  </si>
  <si>
    <t>NR PUSCH 
(NLOS)</t>
    <phoneticPr fontId="1" type="noConversion"/>
  </si>
  <si>
    <t>NR PUCCH 
 (NLOS)</t>
    <phoneticPr fontId="1" type="noConversion"/>
  </si>
  <si>
    <t>NR PUSCH 
(NLOS O-to-I)</t>
    <phoneticPr fontId="1" type="noConversion"/>
  </si>
  <si>
    <t>NR PUCCH 
 (NLOS O-to-I)</t>
    <phoneticPr fontId="1" type="noConversion"/>
  </si>
  <si>
    <t>NR PDSCH
 (NLOS)</t>
    <phoneticPr fontId="1" type="noConversion"/>
  </si>
  <si>
    <t>NR PDSCH
 (NLOS O-to-I)</t>
    <phoneticPr fontId="1" type="noConversion"/>
  </si>
  <si>
    <t>NR PDCCH  (NLOS O-to-I)</t>
    <phoneticPr fontId="1" type="noConversion"/>
  </si>
  <si>
    <t>NR PUSCH
 (NLOS)</t>
    <phoneticPr fontId="1" type="noConversion"/>
  </si>
  <si>
    <t>NR PUCCH
(NLOS)</t>
    <phoneticPr fontId="1" type="noConversion"/>
  </si>
  <si>
    <t>NR PUSCH
 (NLOS O-to-I)</t>
    <phoneticPr fontId="1" type="noConversion"/>
  </si>
  <si>
    <t>NR PUCCH
 (NLOS O-to-I)</t>
    <phoneticPr fontId="1" type="noConversion"/>
  </si>
  <si>
    <t>NR PDSCH (NLOS)</t>
    <phoneticPr fontId="1" type="noConversion"/>
  </si>
  <si>
    <t>NR PDCCH (NLOS)</t>
    <phoneticPr fontId="1" type="noConversion"/>
  </si>
  <si>
    <t>NR PUSCH (NLOS)</t>
    <phoneticPr fontId="1" type="noConversion"/>
  </si>
  <si>
    <t>NR PUCCH (NLOS)</t>
    <phoneticPr fontId="1" type="noConversion"/>
  </si>
  <si>
    <t>-</t>
    <phoneticPr fontId="1" type="noConversion"/>
  </si>
  <si>
    <t>NLOS</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</si>
  <si>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</si>
  <si>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</si>
  <si>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</si>
  <si>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(29a) Available path loss for control channel          = (23a) – (25a) + (26) – (27) + (28) – (12)   dB</t>
    <phoneticPr fontId="1" type="noConversion"/>
  </si>
  <si>
    <t>DL</t>
    <phoneticPr fontId="1" type="noConversion"/>
  </si>
  <si>
    <t>UL</t>
    <phoneticPr fontId="1" type="noConversion"/>
  </si>
  <si>
    <t>DL</t>
    <phoneticPr fontId="1" type="noConversion"/>
  </si>
  <si>
    <t>UL</t>
    <phoneticPr fontId="1" type="noConversion"/>
  </si>
  <si>
    <t xml:space="preserve">NR PDCCH (NLOS) </t>
    <phoneticPr fontId="1" type="noConversion"/>
  </si>
  <si>
    <t>NR PDSCH (NLOS O-to-I)</t>
    <phoneticPr fontId="1" type="noConversion"/>
  </si>
  <si>
    <t xml:space="preserve">NR PDCCH (NLOS O-to-I) </t>
    <phoneticPr fontId="1" type="noConversion"/>
  </si>
  <si>
    <t>NR PUSCH (NLOS O-to-I)</t>
    <phoneticPr fontId="1" type="noConversion"/>
  </si>
  <si>
    <t>NR PUCCH (NLOS O-to-I)</t>
    <phoneticPr fontId="1" type="noConversion"/>
  </si>
  <si>
    <t>NLOS O-to-I</t>
    <phoneticPr fontId="1" type="noConversion"/>
  </si>
  <si>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</si>
  <si>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</si>
  <si>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</si>
  <si>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DL</t>
    <phoneticPr fontId="1" type="noConversion"/>
  </si>
  <si>
    <t>UL</t>
    <phoneticPr fontId="1" type="noConversion"/>
  </si>
  <si>
    <t>NR PDSCH 
(NLOS)</t>
    <phoneticPr fontId="1" type="noConversion"/>
  </si>
  <si>
    <t xml:space="preserve">NR PDCCH
(NLOS) </t>
    <phoneticPr fontId="1" type="noConversion"/>
  </si>
  <si>
    <t>NR PDSCH 
(NLOS O-to-I)</t>
    <phoneticPr fontId="1" type="noConversion"/>
  </si>
  <si>
    <t xml:space="preserve">NR PDCCH
 (NLOS O-to-I) </t>
    <phoneticPr fontId="1" type="noConversion"/>
  </si>
  <si>
    <t>NR PUSCH 
(NLOS)</t>
    <phoneticPr fontId="1" type="noConversion"/>
  </si>
  <si>
    <t>NR PUCCH
(NLOS)</t>
    <phoneticPr fontId="1" type="noConversion"/>
  </si>
  <si>
    <t>NR PUSCH 
(NLOS O-to-I)</t>
    <phoneticPr fontId="1" type="noConversion"/>
  </si>
  <si>
    <t>NR PUCCH
 (NLOS O-to-I)</t>
    <phoneticPr fontId="1" type="noConversion"/>
  </si>
  <si>
    <r>
      <t>Cell area reliability</t>
    </r>
    <r>
      <rPr>
        <vertAlign val="superscript"/>
        <sz val="10"/>
        <color theme="1"/>
        <rFont val="Times New Roman"/>
        <family val="1"/>
      </rPr>
      <t>(1)</t>
    </r>
    <r>
      <rPr>
        <sz val="11"/>
        <color theme="1"/>
        <rFont val="Times New Roman"/>
        <family val="1"/>
      </rPr>
      <t xml:space="preserve"> for control channel  (%) (Please specify how it is calculated.) (See 3GPP note at bottom of the table (i) )</t>
    </r>
    <phoneticPr fontId="1" type="noConversion"/>
  </si>
  <si>
    <t>-</t>
    <phoneticPr fontId="1" type="noConversion"/>
  </si>
  <si>
    <t>NLOS</t>
    <phoneticPr fontId="1" type="noConversion"/>
  </si>
  <si>
    <t>NLOS O-to-I</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</si>
  <si>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</si>
  <si>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</si>
  <si>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</si>
  <si>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</si>
  <si>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(29a) Available path loss for control channel          = (23a) – (25a) + (26) – (27) + (28) – (12)   dB</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</si>
  <si>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</si>
  <si>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</si>
  <si>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(1bis) Number of  transmit antenna ports</t>
    <phoneticPr fontId="1" type="noConversion"/>
  </si>
  <si>
    <t>(10bis) Number of receive antenna ports</t>
    <phoneticPr fontId="1" type="noConversion"/>
  </si>
  <si>
    <t>(1bis) Number of transmit antenna ports</t>
    <phoneticPr fontId="1" type="noConversion"/>
  </si>
  <si>
    <t>(10bis) Number of receive antenna ports</t>
    <phoneticPr fontId="1" type="noConversion"/>
  </si>
  <si>
    <t>(11bis) Receiver array gain (depends on receive array configurations and technologies such as adaptive beam forming, etc.) (dB)</t>
    <phoneticPr fontId="1" type="noConversion"/>
  </si>
  <si>
    <t>(11bis) Receiver array gain (depends on receive array configurations and technologies such as adaptive beam forming, etc.) (dB)</t>
    <phoneticPr fontId="1" type="noConversion"/>
  </si>
  <si>
    <t>(1bis) Number of antenna ports</t>
    <phoneticPr fontId="1" type="noConversion"/>
  </si>
  <si>
    <t>(1bis) Number of transmit antenna ports</t>
    <phoneticPr fontId="1" type="noConversion"/>
  </si>
  <si>
    <t>(10bis) Number of  receive antenna ports</t>
    <phoneticPr fontId="1" type="noConversion"/>
  </si>
  <si>
    <t>-</t>
    <phoneticPr fontId="1" type="noConversion"/>
  </si>
  <si>
    <t>(12) Cable, connector, combiner, body losses, etc. (enumerate sources) (dB) (feeder loss must be included for and only for uplink)</t>
    <phoneticPr fontId="1" type="noConversion"/>
  </si>
  <si>
    <t>-</t>
    <phoneticPr fontId="1" type="noConversion"/>
  </si>
  <si>
    <r>
      <t>Transmission bandwidth configuration N</t>
    </r>
    <r>
      <rPr>
        <b/>
        <vertAlign val="subscript"/>
        <sz val="10"/>
        <color theme="1"/>
        <rFont val="Arial"/>
        <family val="2"/>
      </rPr>
      <t>RB</t>
    </r>
    <r>
      <rPr>
        <b/>
        <sz val="10"/>
        <color theme="1"/>
        <rFont val="Arial"/>
        <family val="2"/>
      </rPr>
      <t xml:space="preserve"> in NR</t>
    </r>
    <phoneticPr fontId="1" type="noConversion"/>
  </si>
  <si>
    <t>NR PDSCH (LOS)</t>
    <phoneticPr fontId="1" type="noConversion"/>
  </si>
  <si>
    <t>NR PUSCH (LOS)</t>
    <phoneticPr fontId="1" type="noConversion"/>
  </si>
  <si>
    <t>NR PUCCH (LOS)</t>
    <phoneticPr fontId="1" type="noConversion"/>
  </si>
  <si>
    <t>-</t>
    <phoneticPr fontId="1" type="noConversion"/>
  </si>
  <si>
    <t>LOS</t>
    <phoneticPr fontId="1" type="noConversion"/>
  </si>
  <si>
    <t>NR PDCCH (LOS)</t>
    <phoneticPr fontId="1" type="noConversion"/>
  </si>
  <si>
    <t>NR PUSCH (LOS)</t>
    <phoneticPr fontId="1" type="noConversion"/>
  </si>
  <si>
    <t>-</t>
    <phoneticPr fontId="1" type="noConversion"/>
  </si>
  <si>
    <t>-</t>
    <phoneticPr fontId="1" type="noConversion"/>
  </si>
  <si>
    <t>-</t>
    <phoneticPr fontId="1" type="noConversion"/>
  </si>
  <si>
    <t xml:space="preserve">NR PDCCH (LOS) </t>
    <phoneticPr fontId="1" type="noConversion"/>
  </si>
  <si>
    <t>NR PDSCH (LOS O-to-I)</t>
    <phoneticPr fontId="1" type="noConversion"/>
  </si>
  <si>
    <t xml:space="preserve">NR PDCCH (LOS O-to-I) </t>
    <phoneticPr fontId="1" type="noConversion"/>
  </si>
  <si>
    <t>NR PUCCH (LOS)</t>
    <phoneticPr fontId="1" type="noConversion"/>
  </si>
  <si>
    <t>NR PUSCH (LOS O-to-I)</t>
    <phoneticPr fontId="1" type="noConversion"/>
  </si>
  <si>
    <t>NR PUCCH (LOS O-to-I)</t>
    <phoneticPr fontId="1" type="noConversion"/>
  </si>
  <si>
    <t>-</t>
    <phoneticPr fontId="1" type="noConversion"/>
  </si>
  <si>
    <t>-</t>
    <phoneticPr fontId="1" type="noConversion"/>
  </si>
  <si>
    <t>LOS</t>
  </si>
  <si>
    <t>LOS O-to-I</t>
  </si>
  <si>
    <t>-</t>
    <phoneticPr fontId="1" type="noConversion"/>
  </si>
  <si>
    <t>-</t>
    <phoneticPr fontId="1" type="noConversion"/>
  </si>
  <si>
    <t>NR PDSCH 
(LOS)</t>
    <phoneticPr fontId="1" type="noConversion"/>
  </si>
  <si>
    <t xml:space="preserve">NR PDCCH
(LOS) </t>
    <phoneticPr fontId="1" type="noConversion"/>
  </si>
  <si>
    <t>NR PDSCH 
(LOS O-to-I)</t>
    <phoneticPr fontId="1" type="noConversion"/>
  </si>
  <si>
    <t xml:space="preserve">NR PDCCH
 (LOS O-to-I) </t>
    <phoneticPr fontId="1" type="noConversion"/>
  </si>
  <si>
    <t>NR PUSCH 
(LOS)</t>
    <phoneticPr fontId="1" type="noConversion"/>
  </si>
  <si>
    <t>NR PUCCH
(LOS)</t>
    <phoneticPr fontId="1" type="noConversion"/>
  </si>
  <si>
    <t>NR PUSCH 
(LOS O-to-I)</t>
    <phoneticPr fontId="1" type="noConversion"/>
  </si>
  <si>
    <t>NR PUCCH
 (LOS O-to-I)</t>
    <phoneticPr fontId="1" type="noConversion"/>
  </si>
  <si>
    <t>NR PDSCH 
(NLOS)</t>
  </si>
  <si>
    <t>NR PDCCH 
(30 kHz)
(NLOS)</t>
  </si>
  <si>
    <t>NR PUSCH
(NLOS)</t>
  </si>
  <si>
    <t>NR PUCCH
 (NLOS)</t>
  </si>
  <si>
    <r>
      <rPr>
        <sz val="11"/>
        <color theme="1"/>
        <rFont val="Times New Roman"/>
        <family val="1"/>
      </rPr>
      <t>Cell area reliability</t>
    </r>
    <r>
      <rPr>
        <vertAlign val="superscript"/>
        <sz val="10"/>
        <color theme="1"/>
        <rFont val="Times New Roman"/>
        <family val="1"/>
      </rPr>
      <t>(1)</t>
    </r>
    <r>
      <rPr>
        <sz val="11"/>
        <color theme="1"/>
        <rFont val="Times New Roman"/>
        <family val="1"/>
      </rPr>
      <t xml:space="preserve"> for control channel  (%) (Please specify how it is calculated.) (See 3GPP note at bottom of the table (i) )</t>
    </r>
  </si>
  <si>
    <t>-</t>
  </si>
  <si>
    <r>
      <rPr>
        <sz val="11"/>
        <color theme="1"/>
        <rFont val="Times New Roman"/>
        <family val="1"/>
      </rPr>
      <t>Cell area reliability</t>
    </r>
    <r>
      <rPr>
        <vertAlign val="superscript"/>
        <sz val="10"/>
        <color theme="1"/>
        <rFont val="Times New Roman"/>
        <family val="1"/>
      </rPr>
      <t>(1)</t>
    </r>
    <r>
      <rPr>
        <sz val="11"/>
        <color theme="1"/>
        <rFont val="Times New Roman"/>
        <family val="1"/>
      </rPr>
      <t xml:space="preserve"> for data channel (%) (Please specify how it is calculated.) (See 3GPP note at bottom of the table (i) )</t>
    </r>
  </si>
  <si>
    <r>
      <rPr>
        <sz val="11"/>
        <color theme="1"/>
        <rFont val="Times New Roman"/>
        <family val="1"/>
      </rPr>
      <t>Spectral efficiency</t>
    </r>
    <r>
      <rPr>
        <vertAlign val="superscript"/>
        <sz val="10"/>
        <color theme="1"/>
        <rFont val="Times New Roman"/>
        <family val="1"/>
      </rPr>
      <t>(2)</t>
    </r>
    <r>
      <rPr>
        <sz val="11"/>
        <color theme="1"/>
        <rFont val="Times New Roman"/>
        <family val="1"/>
      </rPr>
      <t xml:space="preserve"> (bit/s/Hz)</t>
    </r>
  </si>
  <si>
    <r>
      <rPr>
        <sz val="11"/>
        <color theme="1"/>
        <rFont val="Times New Roman"/>
        <family val="1"/>
      </rPr>
      <t>Pathloss model</t>
    </r>
    <r>
      <rPr>
        <vertAlign val="superscript"/>
        <sz val="10"/>
        <color theme="1"/>
        <rFont val="Times New Roman"/>
        <family val="1"/>
      </rPr>
      <t>(3)</t>
    </r>
    <r>
      <rPr>
        <sz val="11"/>
        <color theme="1"/>
        <rFont val="Times New Roman"/>
        <family val="1"/>
      </rPr>
      <t xml:space="preserve"> (select from LoS or NLoS)</t>
    </r>
  </si>
  <si>
    <t>NLOS</t>
  </si>
  <si>
    <t>UE speed (km/h)</t>
  </si>
  <si>
    <t>(1) Number of transmit antennas. (The number shall be within the indicated range in  § 8.4 of Report ITU-R M.2412-0)</t>
  </si>
  <si>
    <t>(1bis) Number of  transmit antenna ports</t>
  </si>
  <si>
    <t>(3) Total transmit power = function of (1) and (2) (dBm) (The value shall not exceed the indicated value in § 8.4 of Report ITU-R M.2412-0)</t>
  </si>
  <si>
    <t>(10) Number of receive antennas (The number shall be within the indicated range in § 8.4 of Report ITU-R M.2412-0)</t>
  </si>
  <si>
    <t>(10bis) Number of receive antenna ports</t>
  </si>
  <si>
    <t>(11bis) Receiver array gain (depends on receive array configurations and technologies such as adaptive beam forming, etc.) (dB)</t>
  </si>
  <si>
    <t>(29a) Available path loss for control channel          = (23a) – (25a) + (26) – (27) + (28) – (12)   dB</t>
  </si>
  <si>
    <r>
      <rPr>
        <sz val="11"/>
        <color theme="1"/>
        <rFont val="Times New Roman"/>
        <family val="1"/>
      </rP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</si>
  <si>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rPr>
        <sz val="11"/>
        <color theme="1"/>
        <rFont val="Times New Roman"/>
        <family val="1"/>
      </rP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</si>
  <si>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NR PDCCH 
(NLOS)</t>
  </si>
  <si>
    <t>NR PDSCH
(NLOS O-to-I)</t>
  </si>
  <si>
    <t>NR PDCCH 
(NLOS O-to-I)</t>
  </si>
  <si>
    <t>NR PUSCH 
(NLOS)</t>
  </si>
  <si>
    <t>NR PUCCH 
 (NLOS)</t>
  </si>
  <si>
    <t>NR PUSCH 
(NLOS O-to-I)</t>
  </si>
  <si>
    <t>NR PUCCH 
 (NLOS O-to-I)</t>
  </si>
  <si>
    <t>NLOS O-to-I</t>
  </si>
  <si>
    <t>(1bis) Number of transmit antenna ports</t>
  </si>
  <si>
    <t xml:space="preserve">NR PDCCH
(NLOS) </t>
  </si>
  <si>
    <t>NR PDSCH 
(NLOS O-to-I)</t>
  </si>
  <si>
    <t xml:space="preserve">NR PDCCH
 (NLOS O-to-I) </t>
  </si>
  <si>
    <t>NR PUCCH
(NLOS)</t>
  </si>
  <si>
    <t>NR PUCCH
 (NLOS O-to-I)</t>
  </si>
  <si>
    <t>-</t>
    <phoneticPr fontId="1" type="noConversion"/>
  </si>
  <si>
    <t>-</t>
    <phoneticPr fontId="1" type="noConversion"/>
  </si>
  <si>
    <t>-</t>
    <phoneticPr fontId="1" type="noConversion"/>
  </si>
  <si>
    <t>-</t>
    <phoneticPr fontId="1" type="noConversion"/>
  </si>
  <si>
    <t>NR PDCCH (LOS)</t>
    <phoneticPr fontId="1" type="noConversion"/>
  </si>
  <si>
    <t>NR PDSCH (LOS)</t>
    <phoneticPr fontId="1" type="noConversion"/>
  </si>
  <si>
    <t>NR PDCCH (LOS O-to-I)</t>
    <phoneticPr fontId="1" type="noConversion"/>
  </si>
  <si>
    <t>NR PDSCH (LOS O-to-I)</t>
    <phoneticPr fontId="1" type="noConversion"/>
  </si>
  <si>
    <t>LOS O-to-I</t>
    <phoneticPr fontId="1" type="noConversion"/>
  </si>
  <si>
    <r>
      <rPr>
        <sz val="11"/>
        <color theme="1"/>
        <rFont val="Times New Roman"/>
        <family val="1"/>
      </rPr>
      <t>Penetration Loss std deviation (dB)</t>
    </r>
    <r>
      <rPr>
        <vertAlign val="superscript"/>
        <sz val="11"/>
        <color theme="1"/>
        <rFont val="Times New Roman"/>
        <family val="1"/>
      </rPr>
      <t>(ii)</t>
    </r>
  </si>
  <si>
    <t xml:space="preserve">(27) Penetration margin (dB) </t>
    <phoneticPr fontId="1" type="noConversion"/>
  </si>
  <si>
    <t>-</t>
    <phoneticPr fontId="1" type="noConversion"/>
  </si>
  <si>
    <t>NR PUSCH (NLOS)</t>
    <phoneticPr fontId="1" type="noConversion"/>
  </si>
  <si>
    <t>-</t>
    <phoneticPr fontId="1" type="noConversion"/>
  </si>
  <si>
    <t>-</t>
    <phoneticPr fontId="1" type="noConversion"/>
  </si>
  <si>
    <t>NR PUCCH (NLOS)</t>
    <phoneticPr fontId="1" type="noConversion"/>
  </si>
  <si>
    <t>NR PUSCH (NLOS O-to-I)</t>
    <phoneticPr fontId="1" type="noConversion"/>
  </si>
  <si>
    <t>-</t>
    <phoneticPr fontId="1" type="noConversion"/>
  </si>
  <si>
    <t>NLOS</t>
    <phoneticPr fontId="1" type="noConversion"/>
  </si>
  <si>
    <t>NLOS O-to-I</t>
    <phoneticPr fontId="1" type="noConversion"/>
  </si>
  <si>
    <t>-</t>
    <phoneticPr fontId="1" type="noConversion"/>
  </si>
  <si>
    <t>-</t>
    <phoneticPr fontId="1" type="noConversion"/>
  </si>
  <si>
    <t>NR PUCCH (NLOS O-to-I)</t>
    <phoneticPr fontId="1" type="noConversion"/>
  </si>
  <si>
    <t>-</t>
    <phoneticPr fontId="1" type="noConversion"/>
  </si>
  <si>
    <t>NLOS O-to-I</t>
    <phoneticPr fontId="1" type="noConversion"/>
  </si>
  <si>
    <t>DL</t>
    <phoneticPr fontId="1" type="noConversion"/>
  </si>
  <si>
    <t>UL</t>
    <phoneticPr fontId="1" type="noConversion"/>
  </si>
  <si>
    <t>PDSCH (NLOS)</t>
    <phoneticPr fontId="1" type="noConversion"/>
  </si>
  <si>
    <t>PDCCH (NLOS)</t>
    <phoneticPr fontId="1" type="noConversion"/>
  </si>
  <si>
    <t>PDSCH (NLOS O-to-I)</t>
    <phoneticPr fontId="1" type="noConversion"/>
  </si>
  <si>
    <t>PDCCH (NLOS O-to-I)</t>
    <phoneticPr fontId="1" type="noConversion"/>
  </si>
  <si>
    <t>PUSCH  (NLOS)</t>
    <phoneticPr fontId="1" type="noConversion"/>
  </si>
  <si>
    <t>PUCCH   (NLOS)</t>
    <phoneticPr fontId="1" type="noConversion"/>
  </si>
  <si>
    <t>PUSCH  (NLOS O-to-I)</t>
    <phoneticPr fontId="1" type="noConversion"/>
  </si>
  <si>
    <t>PUCCH  (NLOS O-to-I)</t>
    <phoneticPr fontId="1" type="noConversion"/>
  </si>
  <si>
    <t>-</t>
    <phoneticPr fontId="1" type="noConversion"/>
  </si>
  <si>
    <t>Transmission bit rate for control channel (bit/s)</t>
    <phoneticPr fontId="1" type="noConversion"/>
  </si>
  <si>
    <t>Transmission bit rate for data channel (bit/s)</t>
    <phoneticPr fontId="1" type="noConversion"/>
  </si>
  <si>
    <t>Target packet error rate for the required SNR in item (19b) for data channel</t>
    <phoneticPr fontId="1" type="noConversion"/>
  </si>
  <si>
    <t>-</t>
    <phoneticPr fontId="1" type="noConversion"/>
  </si>
  <si>
    <t>NLOS</t>
    <phoneticPr fontId="1" type="noConversion"/>
  </si>
  <si>
    <t>LOS</t>
    <phoneticPr fontId="1" type="noConversion"/>
  </si>
  <si>
    <t>UE speed (km/h)</t>
    <phoneticPr fontId="1" type="noConversion"/>
  </si>
  <si>
    <r>
      <t xml:space="preserve">(1) Number of transmit antennas. (The number shall be within the indicated range in  § 8.4 of Report ITU-R M.2412-0) </t>
    </r>
    <r>
      <rPr>
        <sz val="11"/>
        <color rgb="FFFF0000"/>
        <rFont val="Times New Roman"/>
        <family val="1"/>
      </rPr>
      <t>NOTE1</t>
    </r>
    <phoneticPr fontId="1" type="noConversion"/>
  </si>
  <si>
    <t>(1bis) Number of transmit antenna ports</t>
    <phoneticPr fontId="1" type="noConversion"/>
  </si>
  <si>
    <r>
      <t xml:space="preserve">(3) Total transmit power = function of (1) and (2) (dBm) (The value shall not exceed the indicated value in § 8.4 of Report ITU-R M.2412-0) </t>
    </r>
    <r>
      <rPr>
        <sz val="11"/>
        <color rgb="FFFF0000"/>
        <rFont val="Times New Roman"/>
        <family val="1"/>
      </rPr>
      <t>NOTE2</t>
    </r>
    <phoneticPr fontId="1" type="noConversion"/>
  </si>
  <si>
    <t>(4) Transmitter antenna gain (dBi)</t>
    <phoneticPr fontId="1" type="noConversion"/>
  </si>
  <si>
    <t>(9b) Data channel EIRP = (3) + (4) + (5) – (7) – (8)  dBm</t>
    <phoneticPr fontId="1" type="noConversion"/>
  </si>
  <si>
    <t>(10) Number of receive antennas (The number shall be within the indicated range in § 8.4 of Report ITU-R M.2412-0)</t>
    <phoneticPr fontId="1" type="noConversion"/>
  </si>
  <si>
    <t>(10bis) Number of receive antenna ports</t>
    <phoneticPr fontId="1" type="noConversion"/>
  </si>
  <si>
    <t>(11bis) Receiver array gain (depends on receive array configurations and technologies such as adaptive beam forming, etc.) (dB)</t>
    <phoneticPr fontId="1" type="noConversion"/>
  </si>
  <si>
    <t>(15a) Receiver interference density for control channel (dBm/Hz) (See 3GPP note at bottom of the table (i) )</t>
    <phoneticPr fontId="1" type="noConversion"/>
  </si>
  <si>
    <t xml:space="preserve">(15b) Receiver interference density for data channel (dBm/Hz) </t>
    <phoneticPr fontId="1" type="noConversion"/>
  </si>
  <si>
    <t>(16b) Total noise plus interference density for data channel        = 10 log (10^(((13) + (14))/10) + 10^((15b)/10))  dBm/Hz  (See 3GPP note at bottom of the table (i) )</t>
    <phoneticPr fontId="1" type="noConversion"/>
  </si>
  <si>
    <t>(18b) Effective noise power for data channel = (16b) + 10 log((17b)) dBm</t>
    <phoneticPr fontId="1" type="noConversion"/>
  </si>
  <si>
    <t xml:space="preserve">(19b) Required SNR for the data channel (dB) </t>
    <phoneticPr fontId="1" type="noConversion"/>
  </si>
  <si>
    <t>(22b) Receiver sensitivity for data channel          = (18b) + (19b) + (20) – (21b)  dBm</t>
    <phoneticPr fontId="1" type="noConversion"/>
  </si>
  <si>
    <t>(29a) Available path loss for control channel          = (23a) – (25a) + (26) – (27) + (28) – (12)   dB</t>
    <phoneticPr fontId="1" type="noConversion"/>
  </si>
  <si>
    <t>NOTE1: The term "antenna" is understood as antenna elements.</t>
    <phoneticPr fontId="1" type="noConversion"/>
  </si>
  <si>
    <t>NOTE2: In-band mode is assumed for NB-IoT, which results in 35dBm transmission power.</t>
    <phoneticPr fontId="1" type="noConversion"/>
  </si>
  <si>
    <t>-</t>
    <phoneticPr fontId="1" type="noConversion"/>
  </si>
  <si>
    <t>General notes</t>
    <phoneticPr fontId="1" type="noConversion"/>
  </si>
  <si>
    <t>Other Remarks</t>
    <phoneticPr fontId="1" type="noConversion"/>
  </si>
  <si>
    <t>This final version is based on the initial link budget templates provided to WP 5D#31. For the results with existing configurations, the updates are marked by purple color. For the results of new configurations (e.g. frame strcture, LOS/NLOS), the updates are marked by orange color.</t>
    <phoneticPr fontId="1" type="noConversion"/>
  </si>
  <si>
    <t>1. Item "(1bis) Number of transmit antenna ports" is added, which indicates the number of transmit antenna ports for the transmission link. One transmit antenna port may map to 1 or multiple transmit antenna elements. Beamforming is assumed for the transmit antenna element(s) that generate one transmit antenna port, which results in transmitter array gain. 
2. Item "(5) Transmitter array gain" is calculated as 10*log10( (1)/(1bis) )
3. Item "(10bis) Number of  receive antenna ports" is added, which indicates the number of receive antenna ports for the transmission link. One receive antenna port may map to 1 or multiple transmit antenna elements. Beamforming is assumed for the receive antenna element(s) that generate one receive antenna port, which results in receive array gain. 
4. Item "(11bis) Receiver array gain" is added. It is calculated as 10*log10( (10)/(10bis) )
5. For Urban Macro - mMTC test environment, item "(15a/b) Receiver interference density" is assumed to be -177dB due to the assumption of low cell load when the large coverage area of  mMTC is considered.
6. If item "(30a/b) Maximum range" exceeds the maximum supportable range of the channel model defined in Report ITU-R M.2412, the item "(30a/b) Maximum range" will be given by the  maximum supportable range of the related  channel model. As a consequence, item "(31a/b) Coverage Area" will be calculated by the maximum supportable range.
7. In applying the link budget template, it was noted that the template calculates valuations for the control channel and the data channel separately.  In particular, it was necessary to provide separate values for the data channel and the control channel in the following entries: cell area reliability, items 15, 16, 17, 18 and 25 for the reason that the control channel link budget is based on a set of different parameters from those for the data channel, e.g. the bandwidth, cell area reliability, receiver interference density, shadow fading margin, etc.  Therefore we have provided an “a) (control channel)” and “b) (data channel)” set of answers for these values even though the ITU-R template did not specifically request separate values for these items.</t>
    <phoneticPr fontId="1" type="noConversion"/>
  </si>
  <si>
    <t>DL</t>
    <phoneticPr fontId="1" type="noConversion"/>
  </si>
  <si>
    <t>UL</t>
    <phoneticPr fontId="1" type="noConversion"/>
  </si>
  <si>
    <t>DL</t>
    <phoneticPr fontId="1" type="noConversion"/>
  </si>
  <si>
    <t>UL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</si>
</sst>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000000000_ "/>
    <numFmt numFmtId="177" formatCode="0.00_ "/>
    <numFmt numFmtId="178" formatCode="0.00_);[Red]\(0.00\)"/>
    <numFmt numFmtId="179" formatCode="0.000%"/>
    <numFmt numFmtId="180" formatCode="0.000_ "/>
    <numFmt numFmtId="181" formatCode="0.00000_ "/>
    <numFmt numFmtId="182" formatCode="0_);[Red]\(0\)"/>
  </numFmts>
  <fonts count="31" x14ac:knownFonts="1">
    <font>
      <sz val="12"/>
      <name val="宋体"/>
      <charset val="134"/>
    </font>
    <font>
      <sz val="9"/>
      <name val="宋体"/>
      <family val="3"/>
      <charset val="134"/>
    </font>
    <font>
      <sz val="11"/>
      <name val="Times New Roman"/>
      <family val="1"/>
    </font>
    <font>
      <sz val="12"/>
      <name val="宋体"/>
      <family val="3"/>
      <charset val="134"/>
    </font>
    <font>
      <b/>
      <sz val="10"/>
      <color theme="1"/>
      <name val="Arial"/>
      <family val="2"/>
    </font>
    <font>
      <b/>
      <vertAlign val="subscript"/>
      <sz val="10"/>
      <color theme="1"/>
      <name val="Arial"/>
      <family val="2"/>
    </font>
    <font>
      <sz val="11"/>
      <color theme="1"/>
      <name val="Arial"/>
      <family val="2"/>
    </font>
    <font>
      <sz val="9"/>
      <name val="宋体"/>
      <family val="3"/>
      <charset val="134"/>
      <scheme val="minor"/>
    </font>
    <font>
      <b/>
      <sz val="9"/>
      <color theme="1"/>
      <name val="Arial"/>
      <family val="2"/>
    </font>
    <font>
      <b/>
      <sz val="8"/>
      <color theme="1"/>
      <name val="Arial"/>
      <family val="2"/>
    </font>
    <font>
      <b/>
      <vertAlign val="subscript"/>
      <sz val="9"/>
      <color theme="1"/>
      <name val="Arial"/>
      <family val="2"/>
    </font>
    <font>
      <sz val="9"/>
      <color theme="1"/>
      <name val="Arial"/>
      <family val="2"/>
    </font>
    <font>
      <b/>
      <sz val="11"/>
      <color theme="1"/>
      <name val="Times New Roman"/>
      <family val="1"/>
    </font>
    <font>
      <sz val="11"/>
      <color theme="1"/>
      <name val="Times New Roman"/>
      <family val="1"/>
    </font>
    <font>
      <vertAlign val="superscript"/>
      <sz val="10"/>
      <color theme="1"/>
      <name val="Times New Roman"/>
      <family val="1"/>
    </font>
    <font>
      <vertAlign val="superscript"/>
      <sz val="11"/>
      <color theme="1"/>
      <name val="Times New Roman"/>
      <family val="1"/>
    </font>
    <font>
      <sz val="12"/>
      <color theme="1"/>
      <name val="宋体"/>
      <family val="3"/>
      <charset val="134"/>
    </font>
    <font>
      <sz val="11"/>
      <color rgb="FF3F3F76"/>
      <name val="宋体"/>
      <family val="2"/>
      <charset val="134"/>
      <scheme val="minor"/>
    </font>
    <font>
      <sz val="12"/>
      <name val="Times New Roman"/>
      <family val="1"/>
    </font>
    <font>
      <sz val="11"/>
      <color rgb="FFFF0000"/>
      <name val="Times New Roman"/>
      <family val="1"/>
    </font>
    <font>
      <b/>
      <sz val="11"/>
      <name val="Times New Roman"/>
      <family val="1"/>
    </font>
    <font>
      <vertAlign val="superscript"/>
      <sz val="10"/>
      <name val="Times New Roman"/>
      <family val="1"/>
    </font>
    <font>
      <vertAlign val="superscript"/>
      <sz val="11"/>
      <name val="Times New Roman"/>
      <family val="1"/>
    </font>
    <font>
      <sz val="10"/>
      <name val="Arial"/>
      <family val="2"/>
    </font>
    <font>
      <b/>
      <sz val="11"/>
      <color theme="9" tint="-0.249977111117893"/>
      <name val="Times New Roman"/>
      <family val="1"/>
    </font>
    <font>
      <sz val="11"/>
      <color theme="9" tint="-0.249977111117893"/>
      <name val="Times New Roman"/>
      <family val="1"/>
    </font>
    <font>
      <sz val="11"/>
      <name val="Arial"/>
      <family val="2"/>
    </font>
    <font>
      <sz val="11"/>
      <color rgb="FF7030A0"/>
      <name val="Times New Roman"/>
      <family val="1"/>
    </font>
    <font>
      <sz val="12"/>
      <color theme="9" tint="-0.249977111117893"/>
      <name val="宋体"/>
      <family val="3"/>
      <charset val="134"/>
    </font>
    <font>
      <sz val="12"/>
      <color rgb="FF7030A0"/>
      <name val="宋体"/>
      <family val="3"/>
      <charset val="134"/>
    </font>
    <font>
      <b/>
      <sz val="14"/>
      <name val="Arial"/>
      <family val="2"/>
    </font>
  </fonts>
  <fills count="14">
    <fill>
      <patternFill patternType="none"/>
    </fill>
    <fill>
      <patternFill patternType="gray125"/>
    </fill>
    <fill>
      <patternFill patternType="solid">
        <fgColor rgb="FFE6E6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C99"/>
      </patternFill>
    </fill>
    <fill>
      <patternFill patternType="solid">
        <fgColor theme="7" tint="0.59999389629810485"/>
        <bgColor indexed="64"/>
      </patternFill>
    </fill>
    <fill>
      <patternFill patternType="solid">
        <fgColor theme="6" tint="0.79995117038483843"/>
        <bgColor indexed="64"/>
      </patternFill>
    </fill>
    <fill>
      <patternFill patternType="solid">
        <fgColor theme="0"/>
        <bgColor indexed="64"/>
      </patternFill>
    </fill>
    <fill>
      <patternFill patternType="solid">
        <fgColor theme="9" tint="0.3999450666829432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style="thin">
        <color indexed="64"/>
      </left>
      <right/>
      <top/>
      <bottom style="thin">
        <color indexed="64"/>
      </bottom>
      <diagonal/>
    </border>
  </borders>
  <cellStyleXfs count="3">
    <xf numFmtId="0" fontId="0" fillId="0" borderId="0">
      <alignment vertical="center"/>
    </xf>
    <xf numFmtId="0" fontId="3" fillId="0" borderId="0">
      <alignment vertical="center"/>
    </xf>
    <xf numFmtId="0" fontId="17" fillId="8" borderId="16" applyNumberFormat="0" applyAlignment="0" applyProtection="0">
      <alignment vertical="center"/>
    </xf>
  </cellStyleXfs>
  <cellXfs count="230">
    <xf numFmtId="0" fontId="0" fillId="0" borderId="0" xfId="0">
      <alignment vertical="center"/>
    </xf>
    <xf numFmtId="0" fontId="3" fillId="0" borderId="0" xfId="1">
      <alignment vertical="center"/>
    </xf>
    <xf numFmtId="0" fontId="4" fillId="0" borderId="0" xfId="0" applyFont="1">
      <alignment vertical="center"/>
    </xf>
    <xf numFmtId="0" fontId="6" fillId="0" borderId="0" xfId="0" applyFont="1">
      <alignment vertical="center"/>
    </xf>
    <xf numFmtId="0" fontId="9" fillId="5" borderId="9"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8" fillId="5" borderId="13"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176" fontId="0" fillId="0" borderId="0" xfId="0" applyNumberFormat="1">
      <alignment vertical="center"/>
    </xf>
    <xf numFmtId="0" fontId="3" fillId="0" borderId="0" xfId="0" applyFont="1" applyAlignment="1">
      <alignment vertical="center" wrapText="1"/>
    </xf>
    <xf numFmtId="0" fontId="2" fillId="0" borderId="0" xfId="0" applyFont="1">
      <alignment vertical="center"/>
    </xf>
    <xf numFmtId="0" fontId="12" fillId="2" borderId="1" xfId="0" applyFont="1" applyFill="1" applyBorder="1" applyAlignment="1">
      <alignment horizontal="justify"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3" fillId="3" borderId="1" xfId="0" applyFont="1" applyFill="1" applyBorder="1" applyAlignment="1">
      <alignment horizontal="justify" vertical="center" wrapText="1"/>
    </xf>
    <xf numFmtId="9" fontId="13" fillId="0" borderId="1" xfId="0" applyNumberFormat="1" applyFont="1" applyFill="1" applyBorder="1" applyAlignment="1">
      <alignment horizontal="center" vertical="center" wrapText="1"/>
    </xf>
    <xf numFmtId="9" fontId="13" fillId="0" borderId="1" xfId="0" applyNumberFormat="1" applyFont="1" applyBorder="1" applyAlignment="1">
      <alignment horizontal="center" vertical="center" wrapText="1"/>
    </xf>
    <xf numFmtId="0" fontId="13" fillId="6" borderId="2" xfId="0" applyFont="1" applyFill="1" applyBorder="1" applyAlignment="1">
      <alignment vertical="center" wrapText="1"/>
    </xf>
    <xf numFmtId="0" fontId="13" fillId="6" borderId="1" xfId="0" applyFont="1" applyFill="1" applyBorder="1" applyAlignment="1">
      <alignment horizontal="justify" vertical="center" wrapText="1"/>
    </xf>
    <xf numFmtId="0" fontId="13" fillId="4" borderId="1" xfId="0" applyFont="1" applyFill="1" applyBorder="1" applyAlignment="1">
      <alignment horizontal="justify" vertical="center" wrapText="1"/>
    </xf>
    <xf numFmtId="0" fontId="12" fillId="7" borderId="1" xfId="0" applyFont="1" applyFill="1" applyBorder="1" applyAlignment="1">
      <alignment horizontal="justify" vertical="center" wrapText="1"/>
    </xf>
    <xf numFmtId="0" fontId="13" fillId="4" borderId="1" xfId="0" applyFont="1" applyFill="1" applyBorder="1" applyAlignment="1">
      <alignment horizontal="justify" vertical="center"/>
    </xf>
    <xf numFmtId="0" fontId="13" fillId="0" borderId="1" xfId="0" applyFont="1" applyBorder="1">
      <alignment vertical="center"/>
    </xf>
    <xf numFmtId="0" fontId="13" fillId="0" borderId="1" xfId="0" applyFont="1" applyBorder="1" applyAlignment="1">
      <alignment horizontal="justify" vertical="center" wrapText="1"/>
    </xf>
    <xf numFmtId="0" fontId="16" fillId="0" borderId="0" xfId="0" applyFont="1">
      <alignment vertical="center"/>
    </xf>
    <xf numFmtId="178" fontId="12" fillId="2" borderId="1" xfId="0" applyNumberFormat="1" applyFont="1" applyFill="1" applyBorder="1" applyAlignment="1">
      <alignment vertical="center" wrapText="1"/>
    </xf>
    <xf numFmtId="178" fontId="16" fillId="0" borderId="0" xfId="0" applyNumberFormat="1" applyFont="1" applyAlignment="1">
      <alignment horizontal="center" vertical="center"/>
    </xf>
    <xf numFmtId="178" fontId="16" fillId="0" borderId="0" xfId="0" applyNumberFormat="1" applyFont="1">
      <alignment vertical="center"/>
    </xf>
    <xf numFmtId="11" fontId="13" fillId="0" borderId="1" xfId="0" applyNumberFormat="1" applyFont="1" applyBorder="1" applyAlignment="1">
      <alignment horizontal="center" vertical="center" wrapText="1"/>
    </xf>
    <xf numFmtId="177" fontId="13" fillId="0" borderId="1" xfId="0" applyNumberFormat="1" applyFont="1" applyFill="1" applyBorder="1" applyAlignment="1">
      <alignment horizontal="center" vertical="center" wrapText="1"/>
    </xf>
    <xf numFmtId="177" fontId="13" fillId="0" borderId="1" xfId="0" applyNumberFormat="1" applyFont="1" applyBorder="1" applyAlignment="1">
      <alignment horizontal="center" vertical="center" wrapText="1"/>
    </xf>
    <xf numFmtId="177" fontId="13" fillId="0" borderId="1" xfId="0" applyNumberFormat="1" applyFont="1" applyFill="1" applyBorder="1" applyAlignment="1">
      <alignment horizontal="center" vertical="center"/>
    </xf>
    <xf numFmtId="177" fontId="12" fillId="2" borderId="1" xfId="0" applyNumberFormat="1" applyFont="1" applyFill="1" applyBorder="1" applyAlignment="1">
      <alignment vertical="center" wrapText="1"/>
    </xf>
    <xf numFmtId="177" fontId="13" fillId="6" borderId="1" xfId="0" applyNumberFormat="1" applyFont="1" applyFill="1" applyBorder="1" applyAlignment="1">
      <alignment horizontal="center" vertical="center" wrapText="1"/>
    </xf>
    <xf numFmtId="177" fontId="13" fillId="4" borderId="1" xfId="0" applyNumberFormat="1" applyFont="1" applyFill="1" applyBorder="1" applyAlignment="1">
      <alignment horizontal="center" vertical="center"/>
    </xf>
    <xf numFmtId="177" fontId="13" fillId="7" borderId="1" xfId="0" applyNumberFormat="1" applyFont="1" applyFill="1" applyBorder="1" applyAlignment="1">
      <alignment horizontal="center" vertical="center" wrapText="1"/>
    </xf>
    <xf numFmtId="177" fontId="16" fillId="0" borderId="1" xfId="0" applyNumberFormat="1" applyFont="1" applyBorder="1" applyAlignment="1">
      <alignment horizontal="center" vertical="center"/>
    </xf>
    <xf numFmtId="177" fontId="16" fillId="0" borderId="0" xfId="0" applyNumberFormat="1" applyFont="1" applyAlignment="1">
      <alignment horizontal="center" vertical="center"/>
    </xf>
    <xf numFmtId="177" fontId="2" fillId="0" borderId="0" xfId="0" applyNumberFormat="1" applyFont="1" applyAlignment="1">
      <alignment horizontal="center" vertical="center"/>
    </xf>
    <xf numFmtId="177" fontId="2" fillId="0" borderId="0" xfId="0" applyNumberFormat="1" applyFont="1">
      <alignment vertical="center"/>
    </xf>
    <xf numFmtId="177" fontId="12" fillId="2" borderId="1" xfId="0" applyNumberFormat="1" applyFont="1" applyFill="1" applyBorder="1" applyAlignment="1">
      <alignment horizontal="center" vertical="center" wrapText="1"/>
    </xf>
    <xf numFmtId="0" fontId="13" fillId="7" borderId="2" xfId="0" applyFont="1" applyFill="1" applyBorder="1" applyAlignment="1">
      <alignment vertical="center" wrapText="1"/>
    </xf>
    <xf numFmtId="0" fontId="13" fillId="7" borderId="1" xfId="0" applyFont="1" applyFill="1" applyBorder="1" applyAlignment="1">
      <alignment horizontal="justify" vertical="center" wrapText="1"/>
    </xf>
    <xf numFmtId="177" fontId="16" fillId="0" borderId="0" xfId="0" applyNumberFormat="1" applyFont="1">
      <alignment vertical="center"/>
    </xf>
    <xf numFmtId="0" fontId="13" fillId="0" borderId="0" xfId="0" applyFont="1">
      <alignment vertical="center"/>
    </xf>
    <xf numFmtId="177" fontId="13" fillId="0" borderId="0" xfId="0" applyNumberFormat="1" applyFont="1" applyAlignment="1">
      <alignment horizontal="center" vertical="center"/>
    </xf>
    <xf numFmtId="177" fontId="13" fillId="0" borderId="0" xfId="0" applyNumberFormat="1" applyFont="1">
      <alignment vertical="center"/>
    </xf>
    <xf numFmtId="9" fontId="13" fillId="0" borderId="1" xfId="0" applyNumberFormat="1" applyFont="1" applyBorder="1" applyAlignment="1">
      <alignment horizontal="center" vertical="center"/>
    </xf>
    <xf numFmtId="0" fontId="13" fillId="0" borderId="0" xfId="0" applyFont="1" applyAlignment="1">
      <alignment horizontal="center" vertical="center"/>
    </xf>
    <xf numFmtId="177" fontId="12" fillId="2" borderId="1" xfId="0" applyNumberFormat="1" applyFont="1" applyFill="1" applyBorder="1" applyAlignment="1">
      <alignment horizontal="justify" vertical="center"/>
    </xf>
    <xf numFmtId="177" fontId="12" fillId="2" borderId="1" xfId="0" applyNumberFormat="1" applyFont="1" applyFill="1" applyBorder="1" applyAlignment="1">
      <alignment horizontal="justify" vertical="center" wrapText="1"/>
    </xf>
    <xf numFmtId="177" fontId="12" fillId="2" borderId="1" xfId="0" applyNumberFormat="1" applyFont="1" applyFill="1" applyBorder="1" applyAlignment="1">
      <alignment vertical="center"/>
    </xf>
    <xf numFmtId="177" fontId="13" fillId="3" borderId="1" xfId="0" applyNumberFormat="1" applyFont="1" applyFill="1" applyBorder="1" applyAlignment="1">
      <alignment horizontal="justify" vertical="center" wrapText="1"/>
    </xf>
    <xf numFmtId="177" fontId="13" fillId="0" borderId="1" xfId="0" applyNumberFormat="1" applyFont="1" applyBorder="1" applyAlignment="1">
      <alignment horizontal="center" vertical="center"/>
    </xf>
    <xf numFmtId="177" fontId="13" fillId="7" borderId="2" xfId="0" applyNumberFormat="1" applyFont="1" applyFill="1" applyBorder="1" applyAlignment="1">
      <alignment vertical="center" wrapText="1"/>
    </xf>
    <xf numFmtId="177" fontId="13" fillId="7" borderId="1" xfId="0" applyNumberFormat="1" applyFont="1" applyFill="1" applyBorder="1" applyAlignment="1">
      <alignment horizontal="justify" vertical="center" wrapText="1"/>
    </xf>
    <xf numFmtId="177" fontId="13" fillId="4" borderId="1" xfId="0" applyNumberFormat="1" applyFont="1" applyFill="1" applyBorder="1" applyAlignment="1">
      <alignment horizontal="justify" vertical="center" wrapText="1"/>
    </xf>
    <xf numFmtId="177" fontId="12" fillId="7" borderId="1" xfId="0" applyNumberFormat="1" applyFont="1" applyFill="1" applyBorder="1" applyAlignment="1">
      <alignment horizontal="justify" vertical="center" wrapText="1"/>
    </xf>
    <xf numFmtId="177" fontId="13" fillId="4" borderId="1" xfId="0" applyNumberFormat="1" applyFont="1" applyFill="1" applyBorder="1" applyAlignment="1">
      <alignment horizontal="justify" vertical="center"/>
    </xf>
    <xf numFmtId="177" fontId="13" fillId="0" borderId="1" xfId="0" applyNumberFormat="1" applyFont="1" applyBorder="1" applyAlignment="1">
      <alignment horizontal="justify" vertical="center" wrapText="1"/>
    </xf>
    <xf numFmtId="177" fontId="16" fillId="0" borderId="0" xfId="0" applyNumberFormat="1" applyFont="1" applyAlignment="1">
      <alignment vertical="center"/>
    </xf>
    <xf numFmtId="179" fontId="13" fillId="3" borderId="1" xfId="0" applyNumberFormat="1" applyFont="1" applyFill="1" applyBorder="1" applyAlignment="1">
      <alignment horizontal="justify" vertical="center" wrapText="1"/>
    </xf>
    <xf numFmtId="179" fontId="13" fillId="0" borderId="1" xfId="0" applyNumberFormat="1" applyFont="1" applyFill="1" applyBorder="1" applyAlignment="1">
      <alignment horizontal="center" vertical="center" wrapText="1"/>
    </xf>
    <xf numFmtId="179" fontId="13" fillId="0" borderId="1" xfId="0" applyNumberFormat="1" applyFont="1" applyBorder="1" applyAlignment="1">
      <alignment horizontal="center" vertical="center" wrapText="1"/>
    </xf>
    <xf numFmtId="0" fontId="13" fillId="0" borderId="1" xfId="0" applyFont="1" applyBorder="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177" fontId="13" fillId="4" borderId="1" xfId="0" applyNumberFormat="1" applyFont="1" applyFill="1" applyBorder="1" applyAlignment="1">
      <alignment horizontal="center" vertical="center" wrapText="1"/>
    </xf>
    <xf numFmtId="177" fontId="2" fillId="0" borderId="1" xfId="0" applyNumberFormat="1" applyFont="1" applyBorder="1" applyAlignment="1">
      <alignment horizontal="center" vertical="center" wrapText="1"/>
    </xf>
    <xf numFmtId="177" fontId="2" fillId="0" borderId="1" xfId="0" applyNumberFormat="1" applyFont="1" applyFill="1" applyBorder="1" applyAlignment="1">
      <alignment horizontal="center" vertical="center" wrapText="1"/>
    </xf>
    <xf numFmtId="177" fontId="2" fillId="0"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12" fillId="2" borderId="1" xfId="0" applyNumberFormat="1" applyFont="1" applyFill="1" applyBorder="1" applyAlignment="1">
      <alignment horizontal="center" vertical="center" wrapText="1"/>
    </xf>
    <xf numFmtId="0" fontId="3" fillId="0" borderId="0" xfId="0" applyFont="1">
      <alignment vertical="center"/>
    </xf>
    <xf numFmtId="0" fontId="13" fillId="0" borderId="1" xfId="0" applyFont="1" applyFill="1" applyBorder="1" applyAlignment="1">
      <alignment horizontal="justify" vertical="center" wrapText="1"/>
    </xf>
    <xf numFmtId="177" fontId="16" fillId="0" borderId="0" xfId="0" applyNumberFormat="1" applyFont="1" applyFill="1" applyAlignment="1">
      <alignment horizontal="center" vertical="center"/>
    </xf>
    <xf numFmtId="177" fontId="16" fillId="0" borderId="1" xfId="0" applyNumberFormat="1" applyFont="1" applyFill="1" applyBorder="1" applyAlignment="1">
      <alignment horizontal="center" vertical="center"/>
    </xf>
    <xf numFmtId="0" fontId="0" fillId="0" borderId="0" xfId="0" applyFill="1">
      <alignment vertical="center"/>
    </xf>
    <xf numFmtId="177" fontId="13" fillId="9" borderId="1" xfId="0" applyNumberFormat="1" applyFont="1" applyFill="1" applyBorder="1" applyAlignment="1">
      <alignment horizontal="justify" vertical="center" wrapText="1"/>
    </xf>
    <xf numFmtId="177" fontId="13" fillId="0" borderId="1" xfId="1" applyNumberFormat="1" applyFont="1" applyFill="1" applyBorder="1" applyAlignment="1">
      <alignment horizontal="center" vertical="center" wrapText="1"/>
    </xf>
    <xf numFmtId="177" fontId="3" fillId="0" borderId="0" xfId="0" applyNumberFormat="1" applyFont="1" applyFill="1" applyAlignment="1">
      <alignment horizontal="center" vertical="center"/>
    </xf>
    <xf numFmtId="177" fontId="3" fillId="0" borderId="1" xfId="0" applyNumberFormat="1" applyFont="1" applyFill="1" applyBorder="1" applyAlignment="1">
      <alignment horizontal="center" vertical="center"/>
    </xf>
    <xf numFmtId="178" fontId="24" fillId="2" borderId="1" xfId="0" applyNumberFormat="1" applyFont="1" applyFill="1" applyBorder="1" applyAlignment="1">
      <alignment horizontal="center" vertical="center" wrapText="1"/>
    </xf>
    <xf numFmtId="177" fontId="24" fillId="2" borderId="1" xfId="0" applyNumberFormat="1" applyFont="1" applyFill="1" applyBorder="1" applyAlignment="1">
      <alignment horizontal="center" vertical="center" wrapText="1"/>
    </xf>
    <xf numFmtId="177" fontId="3" fillId="0" borderId="0" xfId="0" applyNumberFormat="1" applyFont="1" applyAlignment="1">
      <alignment horizontal="center" vertical="center"/>
    </xf>
    <xf numFmtId="0" fontId="12" fillId="2" borderId="1" xfId="1" applyFont="1" applyFill="1" applyBorder="1" applyAlignment="1">
      <alignment horizontal="justify" vertical="center" wrapText="1"/>
    </xf>
    <xf numFmtId="0" fontId="12" fillId="2" borderId="1" xfId="1" applyFont="1" applyFill="1" applyBorder="1" applyAlignment="1">
      <alignment vertical="center" wrapText="1"/>
    </xf>
    <xf numFmtId="177" fontId="12" fillId="2" borderId="1" xfId="1" applyNumberFormat="1" applyFont="1" applyFill="1" applyBorder="1" applyAlignment="1">
      <alignment vertical="center" wrapText="1"/>
    </xf>
    <xf numFmtId="177" fontId="13" fillId="0" borderId="1" xfId="1" applyNumberFormat="1" applyFont="1" applyBorder="1" applyAlignment="1">
      <alignment horizontal="center" vertical="center" wrapText="1"/>
    </xf>
    <xf numFmtId="9" fontId="13" fillId="0" borderId="1" xfId="1" applyNumberFormat="1" applyFont="1" applyFill="1" applyBorder="1" applyAlignment="1">
      <alignment horizontal="center" vertical="center" wrapText="1"/>
    </xf>
    <xf numFmtId="0" fontId="13" fillId="4" borderId="1" xfId="1" applyFont="1" applyFill="1" applyBorder="1" applyAlignment="1">
      <alignment horizontal="justify" vertical="center" wrapText="1"/>
    </xf>
    <xf numFmtId="177" fontId="13" fillId="4" borderId="1" xfId="1" applyNumberFormat="1" applyFont="1" applyFill="1" applyBorder="1" applyAlignment="1">
      <alignment horizontal="center" vertical="center"/>
    </xf>
    <xf numFmtId="0" fontId="13" fillId="4" borderId="1" xfId="1" applyFont="1" applyFill="1" applyBorder="1" applyAlignment="1">
      <alignment horizontal="justify" vertical="center"/>
    </xf>
    <xf numFmtId="0" fontId="13" fillId="0" borderId="1" xfId="1" applyFont="1" applyFill="1" applyBorder="1" applyAlignment="1">
      <alignment horizontal="justify" vertical="center" wrapText="1"/>
    </xf>
    <xf numFmtId="177" fontId="2" fillId="0" borderId="1" xfId="1" applyNumberFormat="1" applyFont="1" applyFill="1" applyBorder="1" applyAlignment="1">
      <alignment horizontal="center" vertical="center" wrapText="1"/>
    </xf>
    <xf numFmtId="0" fontId="3" fillId="0" borderId="0" xfId="1" applyFill="1">
      <alignment vertical="center"/>
    </xf>
    <xf numFmtId="176" fontId="3" fillId="0" borderId="0" xfId="1" applyNumberFormat="1">
      <alignment vertical="center"/>
    </xf>
    <xf numFmtId="177" fontId="16" fillId="0" borderId="0" xfId="1" applyNumberFormat="1" applyFont="1" applyAlignment="1">
      <alignment horizontal="center" vertical="center"/>
    </xf>
    <xf numFmtId="0" fontId="13" fillId="0" borderId="1" xfId="1" applyFont="1" applyBorder="1" applyAlignment="1">
      <alignment horizontal="justify" vertical="center" wrapText="1"/>
    </xf>
    <xf numFmtId="0" fontId="3" fillId="0" borderId="0" xfId="1" applyFont="1" applyAlignment="1">
      <alignment vertical="center" wrapText="1"/>
    </xf>
    <xf numFmtId="0" fontId="16" fillId="0" borderId="0" xfId="1" applyFont="1">
      <alignment vertical="center"/>
    </xf>
    <xf numFmtId="177" fontId="12" fillId="2" borderId="1" xfId="1" applyNumberFormat="1" applyFont="1" applyFill="1" applyBorder="1" applyAlignment="1">
      <alignment horizontal="justify" vertical="center" wrapText="1"/>
    </xf>
    <xf numFmtId="177" fontId="12" fillId="2" borderId="1" xfId="1" applyNumberFormat="1" applyFont="1" applyFill="1" applyBorder="1" applyAlignment="1">
      <alignment vertical="center"/>
    </xf>
    <xf numFmtId="177" fontId="13" fillId="0" borderId="1" xfId="1" applyNumberFormat="1" applyFont="1" applyFill="1" applyBorder="1" applyAlignment="1">
      <alignment horizontal="center" vertical="center"/>
    </xf>
    <xf numFmtId="177" fontId="13" fillId="0" borderId="1" xfId="1" applyNumberFormat="1" applyFont="1" applyBorder="1" applyAlignment="1">
      <alignment horizontal="center" vertical="center"/>
    </xf>
    <xf numFmtId="177" fontId="13" fillId="4" borderId="1" xfId="1" applyNumberFormat="1" applyFont="1" applyFill="1" applyBorder="1" applyAlignment="1">
      <alignment horizontal="justify" vertical="center" wrapText="1"/>
    </xf>
    <xf numFmtId="177" fontId="13" fillId="4" borderId="1" xfId="1" applyNumberFormat="1" applyFont="1" applyFill="1" applyBorder="1" applyAlignment="1">
      <alignment horizontal="justify" vertical="center"/>
    </xf>
    <xf numFmtId="177" fontId="13" fillId="0" borderId="1" xfId="1" applyNumberFormat="1" applyFont="1" applyBorder="1" applyAlignment="1">
      <alignment horizontal="justify" vertical="center" wrapText="1"/>
    </xf>
    <xf numFmtId="177" fontId="16" fillId="0" borderId="0" xfId="1" applyNumberFormat="1" applyFont="1" applyAlignment="1">
      <alignment vertical="center"/>
    </xf>
    <xf numFmtId="177" fontId="16" fillId="0" borderId="0" xfId="1" applyNumberFormat="1" applyFont="1">
      <alignment vertical="center"/>
    </xf>
    <xf numFmtId="177" fontId="24" fillId="2" borderId="1" xfId="1" applyNumberFormat="1" applyFont="1" applyFill="1" applyBorder="1" applyAlignment="1">
      <alignment horizontal="center" vertical="center" wrapText="1"/>
    </xf>
    <xf numFmtId="0" fontId="0" fillId="0" borderId="0" xfId="0" applyAlignment="1">
      <alignment horizontal="center" vertical="center"/>
    </xf>
    <xf numFmtId="178" fontId="12" fillId="2" borderId="1" xfId="1" applyNumberFormat="1" applyFont="1" applyFill="1" applyBorder="1" applyAlignment="1">
      <alignment vertical="center" wrapText="1"/>
    </xf>
    <xf numFmtId="0" fontId="13" fillId="10" borderId="1" xfId="1" applyFont="1" applyFill="1" applyBorder="1" applyAlignment="1">
      <alignment horizontal="justify" vertical="center" wrapText="1"/>
    </xf>
    <xf numFmtId="9" fontId="13" fillId="0" borderId="1" xfId="1" applyNumberFormat="1" applyFont="1" applyBorder="1" applyAlignment="1">
      <alignment horizontal="center" vertical="center" wrapText="1"/>
    </xf>
    <xf numFmtId="177" fontId="13" fillId="11" borderId="1" xfId="1" applyNumberFormat="1" applyFont="1" applyFill="1" applyBorder="1" applyAlignment="1">
      <alignment horizontal="center" vertical="center" wrapText="1"/>
    </xf>
    <xf numFmtId="0" fontId="13" fillId="6" borderId="2" xfId="1" applyFont="1" applyFill="1" applyBorder="1" applyAlignment="1">
      <alignment vertical="center" wrapText="1"/>
    </xf>
    <xf numFmtId="177" fontId="13" fillId="6" borderId="1" xfId="1" applyNumberFormat="1" applyFont="1" applyFill="1" applyBorder="1" applyAlignment="1">
      <alignment horizontal="center" vertical="center" wrapText="1"/>
    </xf>
    <xf numFmtId="0" fontId="13" fillId="6" borderId="1" xfId="1" applyFont="1" applyFill="1" applyBorder="1" applyAlignment="1">
      <alignment horizontal="justify" vertical="center" wrapText="1"/>
    </xf>
    <xf numFmtId="0" fontId="12" fillId="12" borderId="1" xfId="1" applyFont="1" applyFill="1" applyBorder="1" applyAlignment="1">
      <alignment horizontal="justify" vertical="center" wrapText="1"/>
    </xf>
    <xf numFmtId="177" fontId="13" fillId="12" borderId="1" xfId="1" applyNumberFormat="1" applyFont="1" applyFill="1" applyBorder="1" applyAlignment="1">
      <alignment horizontal="center" vertical="center" wrapText="1"/>
    </xf>
    <xf numFmtId="177" fontId="16" fillId="0" borderId="1" xfId="1" applyNumberFormat="1" applyFont="1" applyBorder="1" applyAlignment="1">
      <alignment horizontal="center" vertical="center"/>
    </xf>
    <xf numFmtId="178" fontId="16" fillId="0" borderId="0" xfId="1" applyNumberFormat="1" applyFont="1" applyAlignment="1">
      <alignment horizontal="center" vertical="center"/>
    </xf>
    <xf numFmtId="178" fontId="16" fillId="0" borderId="0" xfId="1" applyNumberFormat="1" applyFont="1">
      <alignment vertical="center"/>
    </xf>
    <xf numFmtId="0" fontId="24" fillId="2" borderId="1" xfId="1" applyFont="1" applyFill="1" applyBorder="1" applyAlignment="1">
      <alignment horizontal="justify" vertical="center" wrapText="1"/>
    </xf>
    <xf numFmtId="0" fontId="13" fillId="12" borderId="2" xfId="1" applyFont="1" applyFill="1" applyBorder="1" applyAlignment="1">
      <alignment vertical="center" wrapText="1"/>
    </xf>
    <xf numFmtId="0" fontId="13" fillId="12" borderId="1" xfId="1" applyFont="1" applyFill="1" applyBorder="1" applyAlignment="1">
      <alignment horizontal="justify" vertical="center" wrapText="1"/>
    </xf>
    <xf numFmtId="177" fontId="13" fillId="13" borderId="1" xfId="1" applyNumberFormat="1" applyFont="1" applyFill="1" applyBorder="1" applyAlignment="1">
      <alignment horizontal="center" vertical="center" wrapText="1"/>
    </xf>
    <xf numFmtId="0" fontId="2" fillId="0" borderId="0" xfId="1" applyFont="1">
      <alignment vertical="center"/>
    </xf>
    <xf numFmtId="177" fontId="2" fillId="0" borderId="0" xfId="1" applyNumberFormat="1" applyFont="1" applyAlignment="1">
      <alignment horizontal="center" vertical="center"/>
    </xf>
    <xf numFmtId="177" fontId="2" fillId="0" borderId="0" xfId="1" applyNumberFormat="1" applyFont="1">
      <alignment vertical="center"/>
    </xf>
    <xf numFmtId="177" fontId="12" fillId="2" borderId="1" xfId="1" applyNumberFormat="1" applyFont="1" applyFill="1" applyBorder="1" applyAlignment="1">
      <alignment horizontal="justify" vertical="center"/>
    </xf>
    <xf numFmtId="177" fontId="13" fillId="10" borderId="1" xfId="1" applyNumberFormat="1" applyFont="1" applyFill="1" applyBorder="1" applyAlignment="1">
      <alignment horizontal="justify" vertical="center" wrapText="1"/>
    </xf>
    <xf numFmtId="9" fontId="13" fillId="0" borderId="1" xfId="1" applyNumberFormat="1" applyFont="1" applyBorder="1" applyAlignment="1">
      <alignment horizontal="center" vertical="center"/>
    </xf>
    <xf numFmtId="177" fontId="13" fillId="11" borderId="1" xfId="1" applyNumberFormat="1" applyFont="1" applyFill="1" applyBorder="1" applyAlignment="1">
      <alignment horizontal="center" vertical="center"/>
    </xf>
    <xf numFmtId="0" fontId="3" fillId="11" borderId="0" xfId="1" applyFill="1">
      <alignment vertical="center"/>
    </xf>
    <xf numFmtId="177" fontId="13" fillId="12" borderId="2" xfId="1" applyNumberFormat="1" applyFont="1" applyFill="1" applyBorder="1" applyAlignment="1">
      <alignment vertical="center" wrapText="1"/>
    </xf>
    <xf numFmtId="177" fontId="13" fillId="12" borderId="1" xfId="1" applyNumberFormat="1" applyFont="1" applyFill="1" applyBorder="1" applyAlignment="1">
      <alignment horizontal="justify" vertical="center" wrapText="1"/>
    </xf>
    <xf numFmtId="177" fontId="12" fillId="12" borderId="1" xfId="1" applyNumberFormat="1" applyFont="1" applyFill="1" applyBorder="1" applyAlignment="1">
      <alignment horizontal="justify" vertical="center" wrapText="1"/>
    </xf>
    <xf numFmtId="177" fontId="2" fillId="11" borderId="1" xfId="1" applyNumberFormat="1" applyFont="1" applyFill="1" applyBorder="1" applyAlignment="1">
      <alignment horizontal="center" vertical="center" wrapText="1"/>
    </xf>
    <xf numFmtId="177" fontId="2" fillId="13" borderId="1" xfId="1" applyNumberFormat="1" applyFont="1" applyFill="1" applyBorder="1" applyAlignment="1">
      <alignment horizontal="center" vertical="center" wrapText="1"/>
    </xf>
    <xf numFmtId="0" fontId="3" fillId="11" borderId="0" xfId="1" applyFont="1" applyFill="1">
      <alignment vertical="center"/>
    </xf>
    <xf numFmtId="177" fontId="13" fillId="0" borderId="0" xfId="1" applyNumberFormat="1" applyFont="1">
      <alignment vertical="center"/>
    </xf>
    <xf numFmtId="177" fontId="24" fillId="2" borderId="1" xfId="1" applyNumberFormat="1" applyFont="1" applyFill="1" applyBorder="1" applyAlignment="1">
      <alignment horizontal="justify" vertical="center" wrapText="1"/>
    </xf>
    <xf numFmtId="0" fontId="24" fillId="2" borderId="1" xfId="0" applyFont="1" applyFill="1" applyBorder="1" applyAlignment="1">
      <alignment horizontal="center" vertical="center" wrapText="1"/>
    </xf>
    <xf numFmtId="177" fontId="25" fillId="0" borderId="1" xfId="0" applyNumberFormat="1" applyFont="1" applyFill="1" applyBorder="1" applyAlignment="1">
      <alignment horizontal="center" vertical="center"/>
    </xf>
    <xf numFmtId="177" fontId="25" fillId="0" borderId="1" xfId="0" applyNumberFormat="1" applyFont="1" applyBorder="1" applyAlignment="1">
      <alignment horizontal="center" vertical="center"/>
    </xf>
    <xf numFmtId="177" fontId="2" fillId="0" borderId="1" xfId="1" applyNumberFormat="1" applyFont="1" applyBorder="1" applyAlignment="1">
      <alignment horizontal="center" vertical="center" wrapText="1"/>
    </xf>
    <xf numFmtId="0" fontId="13" fillId="0" borderId="1" xfId="1" applyFont="1" applyBorder="1">
      <alignment vertical="center"/>
    </xf>
    <xf numFmtId="177" fontId="25" fillId="0" borderId="1" xfId="0" applyNumberFormat="1" applyFont="1" applyFill="1" applyBorder="1" applyAlignment="1">
      <alignment horizontal="center" vertical="center" wrapText="1"/>
    </xf>
    <xf numFmtId="0" fontId="20" fillId="2" borderId="1" xfId="1" applyFont="1" applyFill="1" applyBorder="1" applyAlignment="1">
      <alignment vertical="center" wrapText="1"/>
    </xf>
    <xf numFmtId="9" fontId="2" fillId="0" borderId="1" xfId="1" applyNumberFormat="1" applyFont="1" applyFill="1" applyBorder="1" applyAlignment="1">
      <alignment horizontal="center" vertical="center" wrapText="1"/>
    </xf>
    <xf numFmtId="0" fontId="2" fillId="4" borderId="1" xfId="1" applyFont="1" applyFill="1" applyBorder="1" applyAlignment="1">
      <alignment horizontal="justify" vertical="center" wrapText="1"/>
    </xf>
    <xf numFmtId="177" fontId="2" fillId="4" borderId="1" xfId="1" applyNumberFormat="1" applyFont="1" applyFill="1" applyBorder="1" applyAlignment="1">
      <alignment horizontal="center" vertical="center"/>
    </xf>
    <xf numFmtId="0" fontId="2" fillId="4" borderId="1" xfId="1" applyFont="1" applyFill="1" applyBorder="1" applyAlignment="1">
      <alignment horizontal="justify" vertical="center"/>
    </xf>
    <xf numFmtId="0" fontId="2" fillId="0" borderId="1" xfId="1" applyFont="1" applyBorder="1" applyAlignment="1">
      <alignment horizontal="justify" vertical="center" wrapText="1"/>
    </xf>
    <xf numFmtId="0" fontId="0" fillId="0" borderId="0" xfId="0" applyAlignment="1">
      <alignment horizontal="left" vertical="center"/>
    </xf>
    <xf numFmtId="177" fontId="27" fillId="0" borderId="1" xfId="0" applyNumberFormat="1" applyFont="1" applyFill="1" applyBorder="1" applyAlignment="1">
      <alignment horizontal="center" vertical="center" wrapText="1"/>
    </xf>
    <xf numFmtId="11" fontId="13" fillId="0" borderId="0" xfId="0" applyNumberFormat="1" applyFont="1" applyBorder="1" applyAlignment="1">
      <alignment horizontal="center" vertical="center" wrapText="1"/>
    </xf>
    <xf numFmtId="0" fontId="26" fillId="0" borderId="0" xfId="0" applyFont="1" applyAlignment="1">
      <alignment horizontal="left" vertical="center" wrapText="1"/>
    </xf>
    <xf numFmtId="177" fontId="28" fillId="0" borderId="0" xfId="0" applyNumberFormat="1" applyFont="1" applyFill="1" applyAlignment="1">
      <alignment horizontal="center" vertical="center"/>
    </xf>
    <xf numFmtId="177" fontId="29" fillId="0" borderId="0" xfId="0" applyNumberFormat="1" applyFont="1" applyFill="1" applyAlignment="1">
      <alignment horizontal="center" vertical="center"/>
    </xf>
    <xf numFmtId="177" fontId="27" fillId="0" borderId="1" xfId="0" applyNumberFormat="1" applyFont="1" applyBorder="1" applyAlignment="1">
      <alignment horizontal="center" vertical="center" wrapText="1"/>
    </xf>
    <xf numFmtId="0" fontId="20" fillId="2" borderId="1" xfId="1" applyFont="1" applyFill="1" applyBorder="1" applyAlignment="1">
      <alignment horizontal="justify" vertical="center"/>
    </xf>
    <xf numFmtId="0" fontId="18" fillId="0" borderId="1" xfId="1" applyFont="1" applyBorder="1">
      <alignment vertical="center"/>
    </xf>
    <xf numFmtId="177" fontId="20" fillId="2" borderId="1" xfId="1" applyNumberFormat="1" applyFont="1" applyFill="1" applyBorder="1" applyAlignment="1">
      <alignment horizontal="center" vertical="center"/>
    </xf>
    <xf numFmtId="0" fontId="2" fillId="3" borderId="1" xfId="1" applyFont="1" applyFill="1" applyBorder="1" applyAlignment="1">
      <alignment horizontal="justify" vertical="center" wrapText="1"/>
    </xf>
    <xf numFmtId="177" fontId="2" fillId="0" borderId="1" xfId="1" applyNumberFormat="1" applyFont="1" applyBorder="1" applyAlignment="1">
      <alignment horizontal="center" vertical="center"/>
    </xf>
    <xf numFmtId="9" fontId="2" fillId="0" borderId="1" xfId="1" applyNumberFormat="1" applyFont="1" applyBorder="1" applyAlignment="1">
      <alignment horizontal="center" vertical="center"/>
    </xf>
    <xf numFmtId="3" fontId="2" fillId="0" borderId="1" xfId="2" applyNumberFormat="1" applyFont="1" applyFill="1" applyBorder="1" applyAlignment="1">
      <alignment horizontal="center" vertical="center"/>
    </xf>
    <xf numFmtId="3" fontId="2" fillId="0" borderId="1" xfId="1" applyNumberFormat="1" applyFont="1" applyBorder="1" applyAlignment="1">
      <alignment horizontal="center" vertical="center" wrapText="1"/>
    </xf>
    <xf numFmtId="3" fontId="2" fillId="0" borderId="1" xfId="1" applyNumberFormat="1" applyFont="1" applyFill="1" applyBorder="1" applyAlignment="1">
      <alignment horizontal="center" vertical="center" wrapText="1"/>
    </xf>
    <xf numFmtId="3" fontId="2" fillId="0" borderId="1" xfId="1" applyNumberFormat="1" applyFont="1" applyBorder="1" applyAlignment="1">
      <alignment horizontal="center" vertical="center"/>
    </xf>
    <xf numFmtId="3" fontId="2" fillId="0" borderId="1" xfId="1" applyNumberFormat="1" applyFont="1" applyFill="1" applyBorder="1" applyAlignment="1">
      <alignment horizontal="center" vertical="center"/>
    </xf>
    <xf numFmtId="0" fontId="2" fillId="0" borderId="1" xfId="1" applyFont="1" applyBorder="1" applyAlignment="1">
      <alignment horizontal="center" vertical="center"/>
    </xf>
    <xf numFmtId="9" fontId="2" fillId="0" borderId="1" xfId="1" applyNumberFormat="1" applyFont="1" applyFill="1" applyBorder="1" applyAlignment="1">
      <alignment horizontal="center" vertical="center"/>
    </xf>
    <xf numFmtId="0" fontId="2" fillId="0" borderId="1" xfId="1" applyFont="1" applyFill="1" applyBorder="1" applyAlignment="1">
      <alignment horizontal="center" vertical="center" wrapText="1"/>
    </xf>
    <xf numFmtId="2" fontId="2" fillId="0" borderId="1" xfId="1" applyNumberFormat="1" applyFont="1" applyBorder="1" applyAlignment="1">
      <alignment horizontal="center" vertical="center"/>
    </xf>
    <xf numFmtId="2" fontId="2" fillId="0" borderId="1" xfId="1" applyNumberFormat="1" applyFont="1" applyFill="1" applyBorder="1" applyAlignment="1">
      <alignment horizontal="center" vertical="center" wrapText="1"/>
    </xf>
    <xf numFmtId="181" fontId="2" fillId="0" borderId="1" xfId="1" applyNumberFormat="1" applyFont="1" applyFill="1" applyBorder="1" applyAlignment="1">
      <alignment horizontal="center" vertical="center" wrapText="1"/>
    </xf>
    <xf numFmtId="181" fontId="2" fillId="0" borderId="1" xfId="1" applyNumberFormat="1" applyFont="1" applyBorder="1" applyAlignment="1">
      <alignment horizontal="center" vertical="center"/>
    </xf>
    <xf numFmtId="180" fontId="2" fillId="0" borderId="1" xfId="1" applyNumberFormat="1" applyFont="1" applyBorder="1" applyAlignment="1">
      <alignment horizontal="center" vertical="center"/>
    </xf>
    <xf numFmtId="178" fontId="2" fillId="0" borderId="1" xfId="1" applyNumberFormat="1" applyFont="1" applyBorder="1" applyAlignment="1">
      <alignment horizontal="center" vertical="center"/>
    </xf>
    <xf numFmtId="178" fontId="20" fillId="2" borderId="1" xfId="1" applyNumberFormat="1" applyFont="1" applyFill="1" applyBorder="1" applyAlignment="1">
      <alignment horizontal="center" vertical="center" wrapText="1"/>
    </xf>
    <xf numFmtId="178" fontId="20" fillId="2" borderId="1" xfId="1" applyNumberFormat="1" applyFont="1" applyFill="1" applyBorder="1" applyAlignment="1">
      <alignment horizontal="center" vertical="center"/>
    </xf>
    <xf numFmtId="182" fontId="2" fillId="0" borderId="1" xfId="1" applyNumberFormat="1" applyFont="1" applyBorder="1" applyAlignment="1">
      <alignment horizontal="center" vertical="center"/>
    </xf>
    <xf numFmtId="0" fontId="2" fillId="7" borderId="1" xfId="1" applyFont="1" applyFill="1" applyBorder="1" applyAlignment="1">
      <alignment vertical="center" wrapText="1"/>
    </xf>
    <xf numFmtId="178" fontId="2" fillId="7" borderId="1" xfId="1" applyNumberFormat="1" applyFont="1" applyFill="1" applyBorder="1" applyAlignment="1">
      <alignment horizontal="center" vertical="center" wrapText="1"/>
    </xf>
    <xf numFmtId="0" fontId="2" fillId="7" borderId="1" xfId="1" applyFont="1" applyFill="1" applyBorder="1" applyAlignment="1">
      <alignment horizontal="justify" vertical="center" wrapText="1"/>
    </xf>
    <xf numFmtId="178" fontId="2" fillId="4" borderId="1" xfId="1" applyNumberFormat="1" applyFont="1" applyFill="1" applyBorder="1" applyAlignment="1">
      <alignment horizontal="center" vertical="center"/>
    </xf>
    <xf numFmtId="0" fontId="20" fillId="7" borderId="1" xfId="1" applyFont="1" applyFill="1" applyBorder="1" applyAlignment="1">
      <alignment horizontal="justify" vertical="center" wrapText="1"/>
    </xf>
    <xf numFmtId="177" fontId="2" fillId="0" borderId="1" xfId="1" applyNumberFormat="1" applyFont="1" applyFill="1" applyBorder="1" applyAlignment="1">
      <alignment horizontal="center" vertical="center"/>
    </xf>
    <xf numFmtId="177" fontId="25" fillId="0" borderId="1" xfId="1" applyNumberFormat="1" applyFont="1" applyFill="1" applyBorder="1" applyAlignment="1">
      <alignment horizontal="center" vertical="center" wrapText="1"/>
    </xf>
    <xf numFmtId="177" fontId="20" fillId="0" borderId="1" xfId="1" applyNumberFormat="1" applyFont="1" applyFill="1" applyBorder="1" applyAlignment="1">
      <alignment horizontal="center" vertical="center"/>
    </xf>
    <xf numFmtId="0" fontId="18" fillId="0" borderId="1" xfId="1" applyFont="1" applyFill="1" applyBorder="1">
      <alignment vertical="center"/>
    </xf>
    <xf numFmtId="0" fontId="18" fillId="0" borderId="1" xfId="1" applyFont="1" applyBorder="1" applyAlignment="1">
      <alignment vertical="center"/>
    </xf>
    <xf numFmtId="0" fontId="2" fillId="0" borderId="1" xfId="1" applyFont="1" applyBorder="1">
      <alignment vertical="center"/>
    </xf>
    <xf numFmtId="0" fontId="23" fillId="0" borderId="0" xfId="0" applyFont="1" applyBorder="1" applyAlignment="1">
      <alignment vertical="top" wrapText="1"/>
    </xf>
    <xf numFmtId="0" fontId="0" fillId="0" borderId="0" xfId="0" applyBorder="1">
      <alignment vertical="center"/>
    </xf>
    <xf numFmtId="0" fontId="0" fillId="0" borderId="17" xfId="0" applyBorder="1">
      <alignment vertical="center"/>
    </xf>
    <xf numFmtId="14" fontId="26" fillId="0" borderId="0" xfId="0" applyNumberFormat="1" applyFont="1" applyBorder="1" applyAlignment="1">
      <alignment horizontal="left" vertical="top" wrapText="1"/>
    </xf>
    <xf numFmtId="0" fontId="26" fillId="0" borderId="0" xfId="0" applyFont="1" applyBorder="1" applyAlignment="1">
      <alignment horizontal="left" vertical="top" wrapText="1"/>
    </xf>
    <xf numFmtId="0" fontId="30" fillId="0" borderId="17" xfId="0" applyFont="1" applyBorder="1">
      <alignment vertical="center"/>
    </xf>
    <xf numFmtId="178" fontId="12" fillId="2" borderId="5" xfId="0" applyNumberFormat="1" applyFont="1" applyFill="1" applyBorder="1" applyAlignment="1">
      <alignment horizontal="center" vertical="center" wrapText="1"/>
    </xf>
    <xf numFmtId="178" fontId="12" fillId="2" borderId="6" xfId="0" applyNumberFormat="1" applyFont="1" applyFill="1" applyBorder="1" applyAlignment="1">
      <alignment horizontal="center" vertical="center" wrapText="1"/>
    </xf>
    <xf numFmtId="177" fontId="12" fillId="2" borderId="5" xfId="0" applyNumberFormat="1" applyFont="1" applyFill="1" applyBorder="1" applyAlignment="1">
      <alignment horizontal="center" vertical="center" wrapText="1"/>
    </xf>
    <xf numFmtId="177" fontId="12" fillId="2" borderId="6" xfId="0" applyNumberFormat="1" applyFont="1" applyFill="1" applyBorder="1" applyAlignment="1">
      <alignment horizontal="center" vertical="center" wrapText="1"/>
    </xf>
    <xf numFmtId="177" fontId="12" fillId="2" borderId="7" xfId="0" applyNumberFormat="1" applyFont="1" applyFill="1" applyBorder="1" applyAlignment="1">
      <alignment horizontal="center" vertical="center" wrapText="1"/>
    </xf>
    <xf numFmtId="177" fontId="12" fillId="2" borderId="1" xfId="0" applyNumberFormat="1" applyFont="1" applyFill="1" applyBorder="1" applyAlignment="1">
      <alignment horizontal="center" vertical="center" wrapText="1"/>
    </xf>
    <xf numFmtId="177" fontId="12" fillId="2" borderId="5" xfId="1" applyNumberFormat="1" applyFont="1" applyFill="1" applyBorder="1" applyAlignment="1">
      <alignment horizontal="center" vertical="center" wrapText="1"/>
    </xf>
    <xf numFmtId="177" fontId="12" fillId="2" borderId="6" xfId="1" applyNumberFormat="1" applyFont="1" applyFill="1" applyBorder="1" applyAlignment="1">
      <alignment horizontal="center" vertical="center" wrapText="1"/>
    </xf>
    <xf numFmtId="177" fontId="12" fillId="2" borderId="7" xfId="1" applyNumberFormat="1" applyFont="1" applyFill="1" applyBorder="1" applyAlignment="1">
      <alignment horizontal="center" vertical="center" wrapText="1"/>
    </xf>
    <xf numFmtId="177" fontId="20" fillId="2" borderId="5" xfId="1" applyNumberFormat="1" applyFont="1" applyFill="1" applyBorder="1" applyAlignment="1">
      <alignment horizontal="center" vertical="center"/>
    </xf>
    <xf numFmtId="177" fontId="20" fillId="2" borderId="6" xfId="1" applyNumberFormat="1" applyFont="1" applyFill="1" applyBorder="1" applyAlignment="1">
      <alignment horizontal="center" vertical="center"/>
    </xf>
    <xf numFmtId="0" fontId="8" fillId="5" borderId="8"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0" xfId="0" applyFont="1" applyFill="1" applyBorder="1" applyAlignment="1">
      <alignment horizontal="center" vertical="center" wrapText="1"/>
    </xf>
    <xf numFmtId="178" fontId="12" fillId="2" borderId="1" xfId="1" applyNumberFormat="1" applyFont="1" applyFill="1" applyBorder="1" applyAlignment="1">
      <alignment horizontal="center" vertical="center" wrapText="1"/>
    </xf>
    <xf numFmtId="177" fontId="12" fillId="2" borderId="1" xfId="1" applyNumberFormat="1" applyFont="1" applyFill="1" applyBorder="1" applyAlignment="1">
      <alignment horizontal="center" vertical="center" wrapText="1"/>
    </xf>
    <xf numFmtId="177" fontId="12" fillId="2" borderId="4" xfId="1" applyNumberFormat="1" applyFont="1" applyFill="1" applyBorder="1" applyAlignment="1">
      <alignment horizontal="center" vertical="center" wrapText="1"/>
    </xf>
    <xf numFmtId="177" fontId="12" fillId="2" borderId="18" xfId="1" applyNumberFormat="1"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6" xfId="0" applyFont="1" applyFill="1" applyBorder="1" applyAlignment="1">
      <alignment horizontal="center" vertical="center" wrapText="1"/>
    </xf>
  </cellXfs>
  <cellStyles count="3">
    <cellStyle name="常规" xfId="0" builtinId="0"/>
    <cellStyle name="常规 2" xfId="1"/>
    <cellStyle name="输入" xfId="2" builtinId="2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_5G&#38656;&#27714;&#21644;&#35780;&#20272;/03.%20&#26631;&#20934;&#20250;&#35758;/03.%203GPP%20RAN/RAN&#20840;&#20250;/2018.09%20%2381/HW%20contribution/TP/Final/Thursday/RP-181764%20Att.%201%20-%20link%20budget%20template%20-%20Channel%20Model%2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00082215\Desktop\Link%20budget%20template%20-%20Channel%20Model%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00082215\Desktop\Link%20budget%20template%20-%20Channel%20Model%20A012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00082215\Desktop\RP-181764%20Att.%201%20-%20link%20budget%20template%20-%20Channel%20Model%20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201806\link%20budget\R15-WP5D-C-1050!P4!ZIP-E\Link%20budget%20template%20-%20Channel%20Model%20A%20-%20NR%20MTC%20Erics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eMBB (4GHz, DSUUD)"/>
      <sheetName val="DenseUrban-eMBB (4GHz, DSUUD)"/>
      <sheetName val="Rural-eMBB(700MHz, DSUUD)"/>
      <sheetName val="NR MaxN_RB"/>
    </sheetNames>
    <sheetDataSet>
      <sheetData sheetId="0" refreshError="1"/>
      <sheetData sheetId="1" refreshError="1"/>
      <sheetData sheetId="2" refreshError="1"/>
      <sheetData sheetId="3">
        <row r="6">
          <cell r="F6">
            <v>106</v>
          </cell>
        </row>
        <row r="7">
          <cell r="F7">
            <v>51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InH-eMBB (4GHz, NR DDDSU)"/>
      <sheetName val="InH-eMBB (4GHz, NR DSUUD)"/>
      <sheetName val="DU-eMBB (4GHz, NR DDDSU)"/>
      <sheetName val="DU-eMBB (4GHz, NR DSUUD)"/>
      <sheetName val="Rural-eMBB (700MHz, NR FDD)"/>
      <sheetName val="Rural-eMBB (700 MHz, NR DSUUD)"/>
      <sheetName val="Rural-eMBB (700MHz, LTE FDD)"/>
      <sheetName val="UMa-mMTC (NB-IoT)"/>
      <sheetName val="UMa-mMTC (eMTC)"/>
      <sheetName val="UMa-URLLC (700MHz NR)"/>
      <sheetName val="MaxN_RB"/>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7">
          <cell r="F7">
            <v>51</v>
          </cell>
        </row>
      </sheetData>
      <sheetData sheetId="12">
        <row r="7">
          <cell r="F7">
            <v>51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DU-eMBB (4GHz, NR)"/>
      <sheetName val="DU-eMBB (4GHz, LTE)"/>
      <sheetName val="MaxN_RB"/>
    </sheetNames>
    <sheetDataSet>
      <sheetData sheetId="0"/>
      <sheetData sheetId="1"/>
      <sheetData sheetId="2"/>
      <sheetData sheetId="3">
        <row r="7">
          <cell r="F7">
            <v>51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eMBB (4GHz, DSUUD)"/>
      <sheetName val="DenseUrban-eMBB (4GHz, DSUUD)"/>
      <sheetName val="Rural-eMBB(700MHz, DSUUD)"/>
      <sheetName val="NR MaxN_RB"/>
    </sheetNames>
    <sheetDataSet>
      <sheetData sheetId="0" refreshError="1"/>
      <sheetData sheetId="1" refreshError="1"/>
      <sheetData sheetId="2" refreshError="1"/>
      <sheetData sheetId="3" refreshError="1">
        <row r="7">
          <cell r="F7">
            <v>51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te"/>
      <sheetName val="InH-eMBB (4GHz, NR DDDSU)"/>
      <sheetName val="InH-eMBB (4GHz, NR DSUUD)"/>
      <sheetName val="DU-eMBB (4GHz, NR DDDSU)"/>
      <sheetName val="DU-eMBB (4GHz, NR DSUUD)"/>
      <sheetName val="Rural-eMBB (700MHz, NR FDD)"/>
      <sheetName val="Sheet1"/>
      <sheetName val="Sheet2"/>
      <sheetName val="Rural-eMBB (700 MHz, NR DSUUD)"/>
      <sheetName val="Rural-eMBB (700MHz, LTE FDD)"/>
      <sheetName val="UMa-mMTC (NB-IoT)"/>
      <sheetName val="UMa-mMTC (eMTC)"/>
      <sheetName val="UMa-mMTC (NR FDD)"/>
      <sheetName val="UMa-URLLC (700MHz NR)"/>
      <sheetName val="MaxN_R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6">
          <cell r="D6">
            <v>52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A5" sqref="A5"/>
    </sheetView>
  </sheetViews>
  <sheetFormatPr defaultRowHeight="14.25" x14ac:dyDescent="0.15"/>
  <cols>
    <col min="1" max="1" width="118.125" customWidth="1"/>
    <col min="2" max="2" width="22.75" customWidth="1"/>
    <col min="5" max="5" width="49" customWidth="1"/>
  </cols>
  <sheetData>
    <row r="1" spans="1:7" ht="18.75" thickBot="1" x14ac:dyDescent="0.2">
      <c r="A1" s="207" t="s">
        <v>335</v>
      </c>
      <c r="B1" s="204"/>
      <c r="C1" s="204"/>
      <c r="D1" s="204"/>
    </row>
    <row r="2" spans="1:7" ht="278.25" customHeight="1" x14ac:dyDescent="0.15">
      <c r="A2" s="202" t="s">
        <v>338</v>
      </c>
      <c r="B2" s="203"/>
      <c r="C2" s="203"/>
      <c r="D2" s="203"/>
    </row>
    <row r="3" spans="1:7" ht="34.15" customHeight="1" x14ac:dyDescent="0.15">
      <c r="A3" s="202"/>
      <c r="B3" s="203"/>
      <c r="C3" s="203"/>
      <c r="D3" s="203"/>
    </row>
    <row r="4" spans="1:7" ht="18.75" thickBot="1" x14ac:dyDescent="0.2">
      <c r="A4" s="207" t="s">
        <v>336</v>
      </c>
      <c r="B4" s="204"/>
      <c r="C4" s="204"/>
      <c r="D4" s="204"/>
    </row>
    <row r="5" spans="1:7" ht="33.4" customHeight="1" x14ac:dyDescent="0.15">
      <c r="A5" s="202" t="s">
        <v>337</v>
      </c>
      <c r="B5" s="205"/>
      <c r="C5" s="206"/>
      <c r="D5" s="206"/>
      <c r="E5" s="164"/>
      <c r="F5" s="161"/>
      <c r="G5" s="16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85" zoomScaleNormal="85" workbookViewId="0">
      <pane xSplit="1" ySplit="2" topLeftCell="F51" activePane="bottomRight" state="frozen"/>
      <selection pane="topRight" activeCell="B1" sqref="B1"/>
      <selection pane="bottomLeft" activeCell="A3" sqref="A3"/>
      <selection pane="bottomRight" activeCell="A70" sqref="A70"/>
    </sheetView>
  </sheetViews>
  <sheetFormatPr defaultRowHeight="14.25" x14ac:dyDescent="0.15"/>
  <cols>
    <col min="1" max="1" width="69" style="48" customWidth="1"/>
    <col min="2" max="2" width="22.75" style="42" bestFit="1" customWidth="1"/>
    <col min="3" max="3" width="18.375" style="42" bestFit="1" customWidth="1"/>
    <col min="4" max="4" width="18.75" style="42" customWidth="1"/>
    <col min="5" max="5" width="19.375" style="42" customWidth="1"/>
    <col min="6" max="6" width="20.125" style="48" customWidth="1"/>
    <col min="7" max="8" width="18.125" style="48" customWidth="1"/>
    <col min="9" max="9" width="17.375" style="48" customWidth="1"/>
  </cols>
  <sheetData>
    <row r="1" spans="1:9" x14ac:dyDescent="0.15">
      <c r="A1" s="54" t="s">
        <v>0</v>
      </c>
      <c r="B1" s="210" t="s">
        <v>124</v>
      </c>
      <c r="C1" s="210"/>
      <c r="D1" s="210"/>
      <c r="E1" s="211"/>
      <c r="F1" s="212" t="s">
        <v>125</v>
      </c>
      <c r="G1" s="212"/>
      <c r="H1" s="212"/>
      <c r="I1" s="212"/>
    </row>
    <row r="2" spans="1:9" ht="28.5" x14ac:dyDescent="0.15">
      <c r="A2" s="55"/>
      <c r="B2" s="45" t="s">
        <v>146</v>
      </c>
      <c r="C2" s="45" t="s">
        <v>55</v>
      </c>
      <c r="D2" s="45" t="s">
        <v>147</v>
      </c>
      <c r="E2" s="45" t="s">
        <v>148</v>
      </c>
      <c r="F2" s="45" t="s">
        <v>149</v>
      </c>
      <c r="G2" s="45" t="s">
        <v>150</v>
      </c>
      <c r="H2" s="45" t="s">
        <v>151</v>
      </c>
      <c r="I2" s="45" t="s">
        <v>152</v>
      </c>
    </row>
    <row r="3" spans="1:9" x14ac:dyDescent="0.15">
      <c r="A3" s="37" t="s">
        <v>1</v>
      </c>
      <c r="B3" s="56"/>
      <c r="C3" s="56"/>
      <c r="D3" s="56"/>
      <c r="E3" s="56"/>
      <c r="F3" s="56"/>
      <c r="G3" s="56"/>
      <c r="H3" s="56"/>
      <c r="I3" s="56"/>
    </row>
    <row r="4" spans="1:9" ht="15" x14ac:dyDescent="0.15">
      <c r="A4" s="57" t="s">
        <v>2</v>
      </c>
      <c r="B4" s="36">
        <v>0.7</v>
      </c>
      <c r="C4" s="58">
        <v>0.7</v>
      </c>
      <c r="D4" s="36">
        <v>0.7</v>
      </c>
      <c r="E4" s="58">
        <v>0.7</v>
      </c>
      <c r="F4" s="36">
        <v>0.7</v>
      </c>
      <c r="G4" s="58">
        <v>0.7</v>
      </c>
      <c r="H4" s="36">
        <v>0.7</v>
      </c>
      <c r="I4" s="58">
        <v>0.7</v>
      </c>
    </row>
    <row r="5" spans="1:9" ht="15" x14ac:dyDescent="0.15">
      <c r="A5" s="57" t="s">
        <v>3</v>
      </c>
      <c r="B5" s="58">
        <v>35</v>
      </c>
      <c r="C5" s="58">
        <v>35</v>
      </c>
      <c r="D5" s="58">
        <v>35</v>
      </c>
      <c r="E5" s="58">
        <v>35</v>
      </c>
      <c r="F5" s="58">
        <v>35</v>
      </c>
      <c r="G5" s="58">
        <v>35</v>
      </c>
      <c r="H5" s="58">
        <v>35</v>
      </c>
      <c r="I5" s="58">
        <v>35</v>
      </c>
    </row>
    <row r="6" spans="1:9" ht="15" x14ac:dyDescent="0.15">
      <c r="A6" s="57" t="s">
        <v>4</v>
      </c>
      <c r="B6" s="36">
        <v>1.5</v>
      </c>
      <c r="C6" s="58">
        <v>1.5</v>
      </c>
      <c r="D6" s="36">
        <v>1.5</v>
      </c>
      <c r="E6" s="58">
        <v>1.5</v>
      </c>
      <c r="F6" s="36">
        <v>1.5</v>
      </c>
      <c r="G6" s="58">
        <v>1.5</v>
      </c>
      <c r="H6" s="36">
        <v>1.5</v>
      </c>
      <c r="I6" s="58">
        <v>1.5</v>
      </c>
    </row>
    <row r="7" spans="1:9" ht="31.5" x14ac:dyDescent="0.15">
      <c r="A7" s="57" t="s">
        <v>103</v>
      </c>
      <c r="B7" s="20" t="s">
        <v>58</v>
      </c>
      <c r="C7" s="52">
        <v>0.95</v>
      </c>
      <c r="D7" s="20" t="s">
        <v>58</v>
      </c>
      <c r="E7" s="52">
        <v>0.95</v>
      </c>
      <c r="F7" s="52" t="s">
        <v>97</v>
      </c>
      <c r="G7" s="21">
        <v>0.95</v>
      </c>
      <c r="H7" s="52" t="s">
        <v>97</v>
      </c>
      <c r="I7" s="21">
        <v>0.95</v>
      </c>
    </row>
    <row r="8" spans="1:9" ht="31.5" x14ac:dyDescent="0.15">
      <c r="A8" s="57" t="s">
        <v>104</v>
      </c>
      <c r="B8" s="20">
        <v>0.9</v>
      </c>
      <c r="C8" s="52" t="s">
        <v>97</v>
      </c>
      <c r="D8" s="20">
        <v>0.9</v>
      </c>
      <c r="E8" s="52" t="s">
        <v>97</v>
      </c>
      <c r="F8" s="52">
        <v>0.9</v>
      </c>
      <c r="G8" s="21" t="s">
        <v>58</v>
      </c>
      <c r="H8" s="52">
        <v>0.9</v>
      </c>
      <c r="I8" s="21" t="s">
        <v>58</v>
      </c>
    </row>
    <row r="9" spans="1:9" ht="15" x14ac:dyDescent="0.15">
      <c r="A9" s="57" t="s">
        <v>5</v>
      </c>
      <c r="B9" s="34" t="s">
        <v>59</v>
      </c>
      <c r="C9" s="35">
        <f>64/(0.001)</f>
        <v>64000</v>
      </c>
      <c r="D9" s="34" t="s">
        <v>59</v>
      </c>
      <c r="E9" s="35">
        <f>64/(0.001)</f>
        <v>64000</v>
      </c>
      <c r="F9" s="58" t="s">
        <v>97</v>
      </c>
      <c r="G9" s="35">
        <f>2/(0.001)</f>
        <v>2000</v>
      </c>
      <c r="H9" s="58" t="s">
        <v>97</v>
      </c>
      <c r="I9" s="35">
        <f>2/(0.001)</f>
        <v>2000</v>
      </c>
    </row>
    <row r="10" spans="1:9" ht="30" customHeight="1" x14ac:dyDescent="0.15">
      <c r="A10" s="57" t="s">
        <v>6</v>
      </c>
      <c r="B10" s="34">
        <f>1994400*3</f>
        <v>5983200</v>
      </c>
      <c r="C10" s="58" t="s">
        <v>97</v>
      </c>
      <c r="D10" s="34">
        <f>1994400*3</f>
        <v>5983200</v>
      </c>
      <c r="E10" s="58" t="s">
        <v>97</v>
      </c>
      <c r="F10" s="58">
        <f>187200*3</f>
        <v>561600</v>
      </c>
      <c r="G10" s="35" t="s">
        <v>58</v>
      </c>
      <c r="H10" s="58">
        <f>187200*3</f>
        <v>561600</v>
      </c>
      <c r="I10" s="35" t="s">
        <v>58</v>
      </c>
    </row>
    <row r="11" spans="1:9" ht="15" x14ac:dyDescent="0.15">
      <c r="A11" s="57" t="s">
        <v>7</v>
      </c>
      <c r="B11" s="20" t="s">
        <v>58</v>
      </c>
      <c r="C11" s="52">
        <v>0.01</v>
      </c>
      <c r="D11" s="20" t="s">
        <v>58</v>
      </c>
      <c r="E11" s="52">
        <v>0.01</v>
      </c>
      <c r="F11" s="52" t="s">
        <v>97</v>
      </c>
      <c r="G11" s="21">
        <v>0.01</v>
      </c>
      <c r="H11" s="52" t="s">
        <v>97</v>
      </c>
      <c r="I11" s="21">
        <v>0.01</v>
      </c>
    </row>
    <row r="12" spans="1:9" ht="15" x14ac:dyDescent="0.15">
      <c r="A12" s="57" t="s">
        <v>8</v>
      </c>
      <c r="B12" s="20">
        <v>0.1</v>
      </c>
      <c r="C12" s="52" t="s">
        <v>97</v>
      </c>
      <c r="D12" s="20">
        <v>0.1</v>
      </c>
      <c r="E12" s="52" t="s">
        <v>97</v>
      </c>
      <c r="F12" s="52">
        <v>0.1</v>
      </c>
      <c r="G12" s="21" t="s">
        <v>58</v>
      </c>
      <c r="H12" s="52">
        <v>0.1</v>
      </c>
      <c r="I12" s="21" t="s">
        <v>58</v>
      </c>
    </row>
    <row r="13" spans="1:9" ht="16.5" x14ac:dyDescent="0.15">
      <c r="A13" s="57" t="s">
        <v>105</v>
      </c>
      <c r="B13" s="34">
        <f>B10/B42</f>
        <v>0.63923076923076927</v>
      </c>
      <c r="C13" s="58" t="s">
        <v>97</v>
      </c>
      <c r="D13" s="34">
        <f>D10/D42</f>
        <v>0.63923076923076927</v>
      </c>
      <c r="E13" s="58" t="s">
        <v>97</v>
      </c>
      <c r="F13" s="34">
        <f>F10/F42</f>
        <v>0.78</v>
      </c>
      <c r="G13" s="35" t="s">
        <v>59</v>
      </c>
      <c r="H13" s="34">
        <f>H10/H42</f>
        <v>0.78</v>
      </c>
      <c r="I13" s="35" t="s">
        <v>59</v>
      </c>
    </row>
    <row r="14" spans="1:9" ht="16.5" x14ac:dyDescent="0.15">
      <c r="A14" s="57" t="s">
        <v>106</v>
      </c>
      <c r="B14" s="58" t="s">
        <v>95</v>
      </c>
      <c r="C14" s="58" t="s">
        <v>95</v>
      </c>
      <c r="D14" s="58" t="s">
        <v>96</v>
      </c>
      <c r="E14" s="58" t="s">
        <v>96</v>
      </c>
      <c r="F14" s="58" t="s">
        <v>95</v>
      </c>
      <c r="G14" s="58" t="s">
        <v>95</v>
      </c>
      <c r="H14" s="58" t="s">
        <v>96</v>
      </c>
      <c r="I14" s="58" t="s">
        <v>96</v>
      </c>
    </row>
    <row r="15" spans="1:9" ht="15" x14ac:dyDescent="0.15">
      <c r="A15" s="57" t="s">
        <v>117</v>
      </c>
      <c r="B15" s="34">
        <v>120</v>
      </c>
      <c r="C15" s="35">
        <v>120</v>
      </c>
      <c r="D15" s="34">
        <v>3</v>
      </c>
      <c r="E15" s="35">
        <v>3</v>
      </c>
      <c r="F15" s="34">
        <v>120</v>
      </c>
      <c r="G15" s="35">
        <v>120</v>
      </c>
      <c r="H15" s="35">
        <v>3</v>
      </c>
      <c r="I15" s="35">
        <v>3</v>
      </c>
    </row>
    <row r="16" spans="1:9" ht="15" x14ac:dyDescent="0.15">
      <c r="A16" s="57" t="s">
        <v>9</v>
      </c>
      <c r="B16" s="34">
        <v>3</v>
      </c>
      <c r="C16" s="58">
        <v>3</v>
      </c>
      <c r="D16" s="34">
        <v>3</v>
      </c>
      <c r="E16" s="58">
        <v>3</v>
      </c>
      <c r="F16" s="58">
        <v>3</v>
      </c>
      <c r="G16" s="35">
        <v>3</v>
      </c>
      <c r="H16" s="58">
        <v>3</v>
      </c>
      <c r="I16" s="35">
        <v>3</v>
      </c>
    </row>
    <row r="17" spans="1:9" x14ac:dyDescent="0.15">
      <c r="A17" s="37" t="s">
        <v>10</v>
      </c>
      <c r="B17" s="56"/>
      <c r="C17" s="56"/>
      <c r="D17" s="56"/>
      <c r="E17" s="56"/>
      <c r="F17" s="56"/>
      <c r="G17" s="56"/>
      <c r="H17" s="56"/>
      <c r="I17" s="56"/>
    </row>
    <row r="18" spans="1:9" ht="30" x14ac:dyDescent="0.15">
      <c r="A18" s="57" t="s">
        <v>118</v>
      </c>
      <c r="B18" s="34">
        <v>64</v>
      </c>
      <c r="C18" s="58">
        <v>64</v>
      </c>
      <c r="D18" s="34">
        <v>64</v>
      </c>
      <c r="E18" s="58">
        <v>64</v>
      </c>
      <c r="F18" s="35">
        <v>1</v>
      </c>
      <c r="G18" s="58">
        <v>1</v>
      </c>
      <c r="H18" s="35">
        <v>1</v>
      </c>
      <c r="I18" s="58">
        <v>1</v>
      </c>
    </row>
    <row r="19" spans="1:9" ht="15" x14ac:dyDescent="0.15">
      <c r="A19" s="57" t="s">
        <v>199</v>
      </c>
      <c r="B19" s="34">
        <v>2</v>
      </c>
      <c r="C19" s="58">
        <v>2</v>
      </c>
      <c r="D19" s="34">
        <v>2</v>
      </c>
      <c r="E19" s="58">
        <v>2</v>
      </c>
      <c r="F19" s="35">
        <v>1</v>
      </c>
      <c r="G19" s="58">
        <v>1</v>
      </c>
      <c r="H19" s="35">
        <v>1</v>
      </c>
      <c r="I19" s="58">
        <v>1</v>
      </c>
    </row>
    <row r="20" spans="1:9" ht="15" x14ac:dyDescent="0.15">
      <c r="A20" s="57" t="s">
        <v>11</v>
      </c>
      <c r="B20" s="34">
        <v>28</v>
      </c>
      <c r="C20" s="58">
        <v>28</v>
      </c>
      <c r="D20" s="34">
        <v>28</v>
      </c>
      <c r="E20" s="58">
        <v>28</v>
      </c>
      <c r="F20" s="35">
        <v>23</v>
      </c>
      <c r="G20" s="58">
        <v>23</v>
      </c>
      <c r="H20" s="35">
        <v>23</v>
      </c>
      <c r="I20" s="58">
        <v>23</v>
      </c>
    </row>
    <row r="21" spans="1:9" ht="30" x14ac:dyDescent="0.15">
      <c r="A21" s="59" t="s">
        <v>119</v>
      </c>
      <c r="B21" s="40">
        <f t="shared" ref="B21:I21" si="0">B20+10*LOG10(B18)</f>
        <v>46.061799739838875</v>
      </c>
      <c r="C21" s="40">
        <f t="shared" si="0"/>
        <v>46.061799739838875</v>
      </c>
      <c r="D21" s="40">
        <f t="shared" si="0"/>
        <v>46.061799739838875</v>
      </c>
      <c r="E21" s="40">
        <f t="shared" si="0"/>
        <v>46.061799739838875</v>
      </c>
      <c r="F21" s="40">
        <f t="shared" si="0"/>
        <v>23</v>
      </c>
      <c r="G21" s="40">
        <f t="shared" si="0"/>
        <v>23</v>
      </c>
      <c r="H21" s="40">
        <f t="shared" si="0"/>
        <v>23</v>
      </c>
      <c r="I21" s="40">
        <f t="shared" si="0"/>
        <v>23</v>
      </c>
    </row>
    <row r="22" spans="1:9" ht="45" customHeight="1" x14ac:dyDescent="0.15">
      <c r="A22" s="57" t="s">
        <v>12</v>
      </c>
      <c r="B22" s="34">
        <v>8</v>
      </c>
      <c r="C22" s="58">
        <v>8</v>
      </c>
      <c r="D22" s="34">
        <v>8</v>
      </c>
      <c r="E22" s="58">
        <v>8</v>
      </c>
      <c r="F22" s="35">
        <v>0</v>
      </c>
      <c r="G22" s="58">
        <v>0</v>
      </c>
      <c r="H22" s="35">
        <v>0</v>
      </c>
      <c r="I22" s="58">
        <v>0</v>
      </c>
    </row>
    <row r="23" spans="1:9" ht="30" x14ac:dyDescent="0.15">
      <c r="A23" s="60" t="s">
        <v>13</v>
      </c>
      <c r="B23" s="40">
        <f t="shared" ref="B23:I23" si="1">IF(B18&gt;=2, 10*LOG10(B18/2), 0)</f>
        <v>15.051499783199061</v>
      </c>
      <c r="C23" s="40">
        <f t="shared" si="1"/>
        <v>15.051499783199061</v>
      </c>
      <c r="D23" s="40">
        <f t="shared" si="1"/>
        <v>15.051499783199061</v>
      </c>
      <c r="E23" s="40">
        <f t="shared" si="1"/>
        <v>15.051499783199061</v>
      </c>
      <c r="F23" s="40">
        <f t="shared" si="1"/>
        <v>0</v>
      </c>
      <c r="G23" s="40">
        <f t="shared" si="1"/>
        <v>0</v>
      </c>
      <c r="H23" s="40">
        <f t="shared" si="1"/>
        <v>0</v>
      </c>
      <c r="I23" s="40">
        <f t="shared" si="1"/>
        <v>0</v>
      </c>
    </row>
    <row r="24" spans="1:9" ht="15" x14ac:dyDescent="0.15">
      <c r="A24" s="57" t="s">
        <v>14</v>
      </c>
      <c r="B24" s="34">
        <v>0</v>
      </c>
      <c r="C24" s="35">
        <v>0</v>
      </c>
      <c r="D24" s="34">
        <v>0</v>
      </c>
      <c r="E24" s="35">
        <v>0</v>
      </c>
      <c r="F24" s="35">
        <v>0</v>
      </c>
      <c r="G24" s="35">
        <v>0</v>
      </c>
      <c r="H24" s="35">
        <v>0</v>
      </c>
      <c r="I24" s="35">
        <v>0</v>
      </c>
    </row>
    <row r="25" spans="1:9" ht="15" x14ac:dyDescent="0.15">
      <c r="A25" s="57" t="s">
        <v>15</v>
      </c>
      <c r="B25" s="34">
        <v>0</v>
      </c>
      <c r="C25" s="35">
        <v>0</v>
      </c>
      <c r="D25" s="34">
        <v>0</v>
      </c>
      <c r="E25" s="35">
        <v>0</v>
      </c>
      <c r="F25" s="35">
        <v>0</v>
      </c>
      <c r="G25" s="35">
        <v>0</v>
      </c>
      <c r="H25" s="35">
        <v>0</v>
      </c>
      <c r="I25" s="35">
        <v>0</v>
      </c>
    </row>
    <row r="26" spans="1:9" ht="30" x14ac:dyDescent="0.15">
      <c r="A26" s="57" t="s">
        <v>16</v>
      </c>
      <c r="B26" s="34">
        <v>3</v>
      </c>
      <c r="C26" s="35">
        <v>3</v>
      </c>
      <c r="D26" s="34">
        <v>3</v>
      </c>
      <c r="E26" s="35">
        <v>3</v>
      </c>
      <c r="F26" s="35">
        <v>1</v>
      </c>
      <c r="G26" s="35">
        <v>1</v>
      </c>
      <c r="H26" s="35">
        <v>1</v>
      </c>
      <c r="I26" s="35">
        <v>1</v>
      </c>
    </row>
    <row r="27" spans="1:9" ht="15" x14ac:dyDescent="0.15">
      <c r="A27" s="61" t="s">
        <v>17</v>
      </c>
      <c r="B27" s="39">
        <f t="shared" ref="B27:I27" si="2">B21+B22+B23+B24-B26</f>
        <v>66.113299523037938</v>
      </c>
      <c r="C27" s="39">
        <f t="shared" si="2"/>
        <v>66.113299523037938</v>
      </c>
      <c r="D27" s="39">
        <f t="shared" si="2"/>
        <v>66.113299523037938</v>
      </c>
      <c r="E27" s="39">
        <f t="shared" si="2"/>
        <v>66.113299523037938</v>
      </c>
      <c r="F27" s="39">
        <f t="shared" si="2"/>
        <v>22</v>
      </c>
      <c r="G27" s="39">
        <f t="shared" si="2"/>
        <v>22</v>
      </c>
      <c r="H27" s="39">
        <f t="shared" si="2"/>
        <v>22</v>
      </c>
      <c r="I27" s="39">
        <f t="shared" si="2"/>
        <v>22</v>
      </c>
    </row>
    <row r="28" spans="1:9" ht="15" x14ac:dyDescent="0.15">
      <c r="A28" s="61" t="s">
        <v>18</v>
      </c>
      <c r="B28" s="39">
        <f t="shared" ref="B28:I28" si="3">B21+B22+B23-B25-B26</f>
        <v>66.113299523037938</v>
      </c>
      <c r="C28" s="39">
        <f t="shared" si="3"/>
        <v>66.113299523037938</v>
      </c>
      <c r="D28" s="39">
        <f t="shared" si="3"/>
        <v>66.113299523037938</v>
      </c>
      <c r="E28" s="39">
        <f t="shared" si="3"/>
        <v>66.113299523037938</v>
      </c>
      <c r="F28" s="39">
        <f t="shared" si="3"/>
        <v>22</v>
      </c>
      <c r="G28" s="39">
        <f t="shared" si="3"/>
        <v>22</v>
      </c>
      <c r="H28" s="39">
        <f t="shared" si="3"/>
        <v>22</v>
      </c>
      <c r="I28" s="39">
        <f t="shared" si="3"/>
        <v>22</v>
      </c>
    </row>
    <row r="29" spans="1:9" x14ac:dyDescent="0.15">
      <c r="A29" s="37" t="s">
        <v>19</v>
      </c>
      <c r="B29" s="56"/>
      <c r="C29" s="56"/>
      <c r="D29" s="56"/>
      <c r="E29" s="56"/>
      <c r="F29" s="56"/>
      <c r="G29" s="56"/>
      <c r="H29" s="56"/>
      <c r="I29" s="56"/>
    </row>
    <row r="30" spans="1:9" ht="30" x14ac:dyDescent="0.15">
      <c r="A30" s="57" t="s">
        <v>120</v>
      </c>
      <c r="B30" s="34">
        <v>2</v>
      </c>
      <c r="C30" s="58">
        <v>2</v>
      </c>
      <c r="D30" s="34">
        <v>2</v>
      </c>
      <c r="E30" s="58">
        <v>2</v>
      </c>
      <c r="F30" s="58">
        <v>64</v>
      </c>
      <c r="G30" s="58">
        <v>64</v>
      </c>
      <c r="H30" s="58">
        <v>64</v>
      </c>
      <c r="I30" s="58">
        <v>64</v>
      </c>
    </row>
    <row r="31" spans="1:9" ht="15" x14ac:dyDescent="0.15">
      <c r="A31" s="57" t="s">
        <v>200</v>
      </c>
      <c r="B31" s="34">
        <v>2</v>
      </c>
      <c r="C31" s="58">
        <v>2</v>
      </c>
      <c r="D31" s="34">
        <v>2</v>
      </c>
      <c r="E31" s="58">
        <v>2</v>
      </c>
      <c r="F31" s="58">
        <v>2</v>
      </c>
      <c r="G31" s="58">
        <v>2</v>
      </c>
      <c r="H31" s="58">
        <v>2</v>
      </c>
      <c r="I31" s="58">
        <v>2</v>
      </c>
    </row>
    <row r="32" spans="1:9" ht="15" x14ac:dyDescent="0.15">
      <c r="A32" s="57" t="s">
        <v>20</v>
      </c>
      <c r="B32" s="34">
        <v>0</v>
      </c>
      <c r="C32" s="58">
        <v>0</v>
      </c>
      <c r="D32" s="34">
        <v>0</v>
      </c>
      <c r="E32" s="58">
        <v>0</v>
      </c>
      <c r="F32" s="58">
        <v>8</v>
      </c>
      <c r="G32" s="58">
        <v>8</v>
      </c>
      <c r="H32" s="58">
        <v>8</v>
      </c>
      <c r="I32" s="58">
        <v>8</v>
      </c>
    </row>
    <row r="33" spans="1:9" ht="28.5" x14ac:dyDescent="0.15">
      <c r="A33" s="62" t="s">
        <v>201</v>
      </c>
      <c r="B33" s="40">
        <f t="shared" ref="B33:I33" si="4">IF(B30&gt;=2, 10*LOG10(B30/2), 0)</f>
        <v>0</v>
      </c>
      <c r="C33" s="40">
        <f t="shared" si="4"/>
        <v>0</v>
      </c>
      <c r="D33" s="40">
        <f t="shared" si="4"/>
        <v>0</v>
      </c>
      <c r="E33" s="40">
        <f t="shared" si="4"/>
        <v>0</v>
      </c>
      <c r="F33" s="40">
        <f t="shared" si="4"/>
        <v>15.051499783199061</v>
      </c>
      <c r="G33" s="40">
        <f t="shared" si="4"/>
        <v>15.051499783199061</v>
      </c>
      <c r="H33" s="40">
        <f t="shared" si="4"/>
        <v>15.051499783199061</v>
      </c>
      <c r="I33" s="40">
        <f t="shared" si="4"/>
        <v>15.051499783199061</v>
      </c>
    </row>
    <row r="34" spans="1:9" ht="30" x14ac:dyDescent="0.15">
      <c r="A34" s="57" t="s">
        <v>21</v>
      </c>
      <c r="B34" s="34">
        <v>1</v>
      </c>
      <c r="C34" s="58">
        <v>1</v>
      </c>
      <c r="D34" s="34">
        <v>1</v>
      </c>
      <c r="E34" s="58">
        <v>1</v>
      </c>
      <c r="F34" s="35">
        <v>3</v>
      </c>
      <c r="G34" s="58">
        <v>3</v>
      </c>
      <c r="H34" s="35">
        <v>3</v>
      </c>
      <c r="I34" s="58">
        <v>3</v>
      </c>
    </row>
    <row r="35" spans="1:9" ht="15" x14ac:dyDescent="0.15">
      <c r="A35" s="57" t="s">
        <v>22</v>
      </c>
      <c r="B35" s="35">
        <v>7</v>
      </c>
      <c r="C35" s="35">
        <v>7</v>
      </c>
      <c r="D35" s="35">
        <v>7</v>
      </c>
      <c r="E35" s="35">
        <v>7</v>
      </c>
      <c r="F35" s="35">
        <v>5</v>
      </c>
      <c r="G35" s="35">
        <v>5</v>
      </c>
      <c r="H35" s="35">
        <v>5</v>
      </c>
      <c r="I35" s="35">
        <v>5</v>
      </c>
    </row>
    <row r="36" spans="1:9" ht="15" x14ac:dyDescent="0.15">
      <c r="A36" s="57" t="s">
        <v>23</v>
      </c>
      <c r="B36" s="35">
        <v>-174</v>
      </c>
      <c r="C36" s="35">
        <v>-174</v>
      </c>
      <c r="D36" s="35">
        <v>-174</v>
      </c>
      <c r="E36" s="35">
        <v>-174</v>
      </c>
      <c r="F36" s="34">
        <v>-174</v>
      </c>
      <c r="G36" s="35">
        <v>-174</v>
      </c>
      <c r="H36" s="34">
        <v>-174</v>
      </c>
      <c r="I36" s="35">
        <v>-174</v>
      </c>
    </row>
    <row r="37" spans="1:9" ht="30" x14ac:dyDescent="0.15">
      <c r="A37" s="57" t="s">
        <v>24</v>
      </c>
      <c r="B37" s="34" t="s">
        <v>58</v>
      </c>
      <c r="C37" s="35">
        <v>-169.3</v>
      </c>
      <c r="D37" s="34" t="s">
        <v>58</v>
      </c>
      <c r="E37" s="35">
        <v>-169.3</v>
      </c>
      <c r="F37" s="35" t="s">
        <v>59</v>
      </c>
      <c r="G37" s="35">
        <v>-161.69999999999999</v>
      </c>
      <c r="H37" s="35" t="s">
        <v>59</v>
      </c>
      <c r="I37" s="35">
        <v>-161.69999999999999</v>
      </c>
    </row>
    <row r="38" spans="1:9" ht="15" x14ac:dyDescent="0.15">
      <c r="A38" s="57" t="s">
        <v>25</v>
      </c>
      <c r="B38" s="34">
        <v>-169.3</v>
      </c>
      <c r="C38" s="35" t="s">
        <v>58</v>
      </c>
      <c r="D38" s="34">
        <v>-169.3</v>
      </c>
      <c r="E38" s="35" t="s">
        <v>58</v>
      </c>
      <c r="F38" s="35">
        <v>-165.7</v>
      </c>
      <c r="G38" s="35" t="s">
        <v>59</v>
      </c>
      <c r="H38" s="35">
        <v>-165.7</v>
      </c>
      <c r="I38" s="35" t="s">
        <v>59</v>
      </c>
    </row>
    <row r="39" spans="1:9" ht="30" x14ac:dyDescent="0.15">
      <c r="A39" s="63" t="s">
        <v>45</v>
      </c>
      <c r="B39" s="39" t="s">
        <v>206</v>
      </c>
      <c r="C39" s="39">
        <f t="shared" ref="C39:I39" si="5">10*LOG10(10^((C35+C36)/10)+10^(C37/10))</f>
        <v>-164.98918835931039</v>
      </c>
      <c r="D39" s="39" t="s">
        <v>206</v>
      </c>
      <c r="E39" s="39">
        <f t="shared" si="5"/>
        <v>-164.98918835931039</v>
      </c>
      <c r="F39" s="39" t="s">
        <v>206</v>
      </c>
      <c r="G39" s="39">
        <f t="shared" si="5"/>
        <v>-160.9583889004532</v>
      </c>
      <c r="H39" s="39" t="s">
        <v>206</v>
      </c>
      <c r="I39" s="39">
        <f t="shared" si="5"/>
        <v>-160.9583889004532</v>
      </c>
    </row>
    <row r="40" spans="1:9" ht="30" x14ac:dyDescent="0.15">
      <c r="A40" s="63" t="s">
        <v>46</v>
      </c>
      <c r="B40" s="39">
        <f t="shared" ref="B40:H40" si="6">10*LOG10(10^((B35+B36)/10)+10^(B38/10))</f>
        <v>-164.98918835931039</v>
      </c>
      <c r="C40" s="39" t="s">
        <v>206</v>
      </c>
      <c r="D40" s="39">
        <f t="shared" si="6"/>
        <v>-164.98918835931039</v>
      </c>
      <c r="E40" s="39" t="s">
        <v>206</v>
      </c>
      <c r="F40" s="39">
        <f t="shared" si="6"/>
        <v>-164.03352307536667</v>
      </c>
      <c r="G40" s="39" t="s">
        <v>206</v>
      </c>
      <c r="H40" s="39">
        <f t="shared" si="6"/>
        <v>-164.03352307536667</v>
      </c>
      <c r="I40" s="39" t="s">
        <v>206</v>
      </c>
    </row>
    <row r="41" spans="1:9" ht="30" x14ac:dyDescent="0.15">
      <c r="A41" s="57" t="s">
        <v>26</v>
      </c>
      <c r="B41" s="34" t="s">
        <v>58</v>
      </c>
      <c r="C41" s="34">
        <f>MaxN_RB!$D$6*12*15*1000</f>
        <v>9360000</v>
      </c>
      <c r="D41" s="34" t="s">
        <v>58</v>
      </c>
      <c r="E41" s="34">
        <f>MaxN_RB!$D$6*12*15*1000</f>
        <v>9360000</v>
      </c>
      <c r="F41" s="58" t="s">
        <v>98</v>
      </c>
      <c r="G41" s="35">
        <f>1*12*15*1000</f>
        <v>180000</v>
      </c>
      <c r="H41" s="58" t="s">
        <v>98</v>
      </c>
      <c r="I41" s="35">
        <f>1*12*15*1000</f>
        <v>180000</v>
      </c>
    </row>
    <row r="42" spans="1:9" ht="30" x14ac:dyDescent="0.15">
      <c r="A42" s="57" t="s">
        <v>27</v>
      </c>
      <c r="B42" s="34">
        <f>MaxN_RB!$D$6*12*15*1000</f>
        <v>9360000</v>
      </c>
      <c r="C42" s="58" t="s">
        <v>97</v>
      </c>
      <c r="D42" s="34">
        <f>MaxN_RB!$D$6*12*15*1000</f>
        <v>9360000</v>
      </c>
      <c r="E42" s="58" t="s">
        <v>97</v>
      </c>
      <c r="F42" s="34">
        <f>4*12*15*1000</f>
        <v>720000</v>
      </c>
      <c r="G42" s="35" t="s">
        <v>59</v>
      </c>
      <c r="H42" s="34">
        <f>4*12*15*1000</f>
        <v>720000</v>
      </c>
      <c r="I42" s="35" t="s">
        <v>59</v>
      </c>
    </row>
    <row r="43" spans="1:9" ht="15" x14ac:dyDescent="0.15">
      <c r="A43" s="61" t="s">
        <v>28</v>
      </c>
      <c r="B43" s="39" t="s">
        <v>206</v>
      </c>
      <c r="C43" s="39">
        <f t="shared" ref="C43:I43" si="7">C39+10*LOG10(C41)</f>
        <v>-95.276429871929338</v>
      </c>
      <c r="D43" s="39" t="s">
        <v>206</v>
      </c>
      <c r="E43" s="39">
        <f t="shared" si="7"/>
        <v>-95.276429871929338</v>
      </c>
      <c r="F43" s="39" t="s">
        <v>206</v>
      </c>
      <c r="G43" s="39">
        <f t="shared" si="7"/>
        <v>-108.40566384942014</v>
      </c>
      <c r="H43" s="39" t="s">
        <v>206</v>
      </c>
      <c r="I43" s="39">
        <f t="shared" si="7"/>
        <v>-108.40566384942014</v>
      </c>
    </row>
    <row r="44" spans="1:9" ht="15" x14ac:dyDescent="0.15">
      <c r="A44" s="61" t="s">
        <v>29</v>
      </c>
      <c r="B44" s="39">
        <f t="shared" ref="B44:H44" si="8">B40+10*LOG10(B42)</f>
        <v>-95.276429871929338</v>
      </c>
      <c r="C44" s="39" t="s">
        <v>206</v>
      </c>
      <c r="D44" s="39">
        <f t="shared" si="8"/>
        <v>-95.276429871929338</v>
      </c>
      <c r="E44" s="39" t="s">
        <v>206</v>
      </c>
      <c r="F44" s="39">
        <f t="shared" si="8"/>
        <v>-105.46019811105398</v>
      </c>
      <c r="G44" s="39" t="s">
        <v>206</v>
      </c>
      <c r="H44" s="39">
        <f t="shared" si="8"/>
        <v>-105.46019811105398</v>
      </c>
      <c r="I44" s="39" t="s">
        <v>206</v>
      </c>
    </row>
    <row r="45" spans="1:9" ht="15" x14ac:dyDescent="0.15">
      <c r="A45" s="57" t="s">
        <v>30</v>
      </c>
      <c r="B45" s="34" t="s">
        <v>57</v>
      </c>
      <c r="C45" s="35">
        <v>-7.4</v>
      </c>
      <c r="D45" s="34" t="s">
        <v>58</v>
      </c>
      <c r="E45" s="35">
        <v>-7.5</v>
      </c>
      <c r="F45" s="34" t="s">
        <v>57</v>
      </c>
      <c r="G45" s="73">
        <v>-6.3</v>
      </c>
      <c r="H45" s="74" t="s">
        <v>58</v>
      </c>
      <c r="I45" s="35">
        <v>-6.3</v>
      </c>
    </row>
    <row r="46" spans="1:9" ht="15" x14ac:dyDescent="0.15">
      <c r="A46" s="57" t="s">
        <v>31</v>
      </c>
      <c r="B46" s="35">
        <v>4.0999999999999996</v>
      </c>
      <c r="C46" s="35" t="s">
        <v>57</v>
      </c>
      <c r="D46" s="35">
        <v>1.4</v>
      </c>
      <c r="E46" s="35" t="s">
        <v>57</v>
      </c>
      <c r="F46" s="35">
        <v>7.3</v>
      </c>
      <c r="G46" s="35" t="s">
        <v>57</v>
      </c>
      <c r="H46" s="35">
        <v>4.7</v>
      </c>
      <c r="I46" s="35" t="s">
        <v>57</v>
      </c>
    </row>
    <row r="47" spans="1:9" ht="15" x14ac:dyDescent="0.15">
      <c r="A47" s="57" t="s">
        <v>32</v>
      </c>
      <c r="B47" s="34">
        <v>2</v>
      </c>
      <c r="C47" s="35">
        <v>2</v>
      </c>
      <c r="D47" s="34">
        <v>2</v>
      </c>
      <c r="E47" s="35">
        <v>2</v>
      </c>
      <c r="F47" s="58">
        <v>2</v>
      </c>
      <c r="G47" s="35">
        <v>2</v>
      </c>
      <c r="H47" s="58">
        <v>2</v>
      </c>
      <c r="I47" s="35">
        <v>2</v>
      </c>
    </row>
    <row r="48" spans="1:9" ht="15" x14ac:dyDescent="0.15">
      <c r="A48" s="57" t="s">
        <v>33</v>
      </c>
      <c r="B48" s="34" t="s">
        <v>58</v>
      </c>
      <c r="C48" s="35">
        <v>0</v>
      </c>
      <c r="D48" s="34" t="s">
        <v>58</v>
      </c>
      <c r="E48" s="35">
        <v>0</v>
      </c>
      <c r="F48" s="58" t="s">
        <v>98</v>
      </c>
      <c r="G48" s="35">
        <v>0</v>
      </c>
      <c r="H48" s="58" t="s">
        <v>98</v>
      </c>
      <c r="I48" s="35">
        <v>0</v>
      </c>
    </row>
    <row r="49" spans="1:9" ht="15" x14ac:dyDescent="0.15">
      <c r="A49" s="57" t="s">
        <v>34</v>
      </c>
      <c r="B49" s="34">
        <v>0.5</v>
      </c>
      <c r="C49" s="35" t="s">
        <v>58</v>
      </c>
      <c r="D49" s="34">
        <v>0.5</v>
      </c>
      <c r="E49" s="35" t="s">
        <v>58</v>
      </c>
      <c r="F49" s="58">
        <v>0.5</v>
      </c>
      <c r="G49" s="35" t="s">
        <v>59</v>
      </c>
      <c r="H49" s="58">
        <v>0.5</v>
      </c>
      <c r="I49" s="35" t="s">
        <v>59</v>
      </c>
    </row>
    <row r="50" spans="1:9" ht="15" x14ac:dyDescent="0.15">
      <c r="A50" s="63" t="s">
        <v>47</v>
      </c>
      <c r="B50" s="39" t="s">
        <v>206</v>
      </c>
      <c r="C50" s="39">
        <f t="shared" ref="C50:I50" si="9">C43+C45+C47-C48</f>
        <v>-100.67642987192934</v>
      </c>
      <c r="D50" s="39" t="s">
        <v>206</v>
      </c>
      <c r="E50" s="39">
        <f t="shared" si="9"/>
        <v>-100.77642987192934</v>
      </c>
      <c r="F50" s="39" t="s">
        <v>206</v>
      </c>
      <c r="G50" s="39">
        <f t="shared" si="9"/>
        <v>-112.70566384942013</v>
      </c>
      <c r="H50" s="39" t="s">
        <v>206</v>
      </c>
      <c r="I50" s="39">
        <f t="shared" si="9"/>
        <v>-112.70566384942013</v>
      </c>
    </row>
    <row r="51" spans="1:9" ht="15" x14ac:dyDescent="0.15">
      <c r="A51" s="63" t="s">
        <v>48</v>
      </c>
      <c r="B51" s="39">
        <f>B44+B46+B47-B49</f>
        <v>-89.676429871929344</v>
      </c>
      <c r="C51" s="39" t="s">
        <v>206</v>
      </c>
      <c r="D51" s="39">
        <f t="shared" ref="D51:H51" si="10">D44+D46+D47-D49</f>
        <v>-92.376429871929332</v>
      </c>
      <c r="E51" s="39" t="s">
        <v>206</v>
      </c>
      <c r="F51" s="39">
        <f t="shared" si="10"/>
        <v>-96.660198111053987</v>
      </c>
      <c r="G51" s="39" t="s">
        <v>206</v>
      </c>
      <c r="H51" s="39">
        <f t="shared" si="10"/>
        <v>-99.260198111053981</v>
      </c>
      <c r="I51" s="39" t="s">
        <v>206</v>
      </c>
    </row>
    <row r="52" spans="1:9" ht="15" x14ac:dyDescent="0.15">
      <c r="A52" s="63" t="s">
        <v>101</v>
      </c>
      <c r="B52" s="39" t="s">
        <v>206</v>
      </c>
      <c r="C52" s="39">
        <f t="shared" ref="C52:I52" si="11">C27+C32+C33-C50</f>
        <v>166.78972939496728</v>
      </c>
      <c r="D52" s="39" t="s">
        <v>206</v>
      </c>
      <c r="E52" s="39">
        <f t="shared" si="11"/>
        <v>166.88972939496728</v>
      </c>
      <c r="F52" s="39" t="s">
        <v>206</v>
      </c>
      <c r="G52" s="39">
        <f t="shared" si="11"/>
        <v>157.75716363261921</v>
      </c>
      <c r="H52" s="39" t="s">
        <v>206</v>
      </c>
      <c r="I52" s="39">
        <f t="shared" si="11"/>
        <v>157.75716363261921</v>
      </c>
    </row>
    <row r="53" spans="1:9" ht="15" x14ac:dyDescent="0.15">
      <c r="A53" s="63" t="s">
        <v>102</v>
      </c>
      <c r="B53" s="39">
        <f t="shared" ref="B53:H53" si="12">B28+B32+B33-B51</f>
        <v>155.78972939496728</v>
      </c>
      <c r="C53" s="39" t="s">
        <v>206</v>
      </c>
      <c r="D53" s="39">
        <f t="shared" si="12"/>
        <v>158.48972939496727</v>
      </c>
      <c r="E53" s="39" t="s">
        <v>206</v>
      </c>
      <c r="F53" s="39">
        <f t="shared" si="12"/>
        <v>141.71169789425306</v>
      </c>
      <c r="G53" s="39" t="s">
        <v>206</v>
      </c>
      <c r="H53" s="39">
        <f t="shared" si="12"/>
        <v>144.31169789425303</v>
      </c>
      <c r="I53" s="39" t="s">
        <v>206</v>
      </c>
    </row>
    <row r="54" spans="1:9" x14ac:dyDescent="0.15">
      <c r="A54" s="37" t="s">
        <v>35</v>
      </c>
      <c r="B54" s="56"/>
      <c r="C54" s="56"/>
      <c r="D54" s="56"/>
      <c r="E54" s="56"/>
      <c r="F54" s="56"/>
      <c r="G54" s="56"/>
      <c r="H54" s="56"/>
      <c r="I54" s="56"/>
    </row>
    <row r="55" spans="1:9" ht="15" x14ac:dyDescent="0.15">
      <c r="A55" s="57" t="s">
        <v>36</v>
      </c>
      <c r="B55" s="58">
        <v>8</v>
      </c>
      <c r="C55" s="58">
        <v>8</v>
      </c>
      <c r="D55" s="58">
        <v>8</v>
      </c>
      <c r="E55" s="58">
        <v>8</v>
      </c>
      <c r="F55" s="58">
        <v>8</v>
      </c>
      <c r="G55" s="58">
        <v>8</v>
      </c>
      <c r="H55" s="58">
        <v>8</v>
      </c>
      <c r="I55" s="58">
        <v>8</v>
      </c>
    </row>
    <row r="56" spans="1:9" ht="30" x14ac:dyDescent="0.15">
      <c r="A56" s="57" t="s">
        <v>37</v>
      </c>
      <c r="B56" s="42" t="s">
        <v>123</v>
      </c>
      <c r="C56" s="58">
        <v>10.45</v>
      </c>
      <c r="D56" s="58" t="s">
        <v>90</v>
      </c>
      <c r="E56" s="58">
        <v>8.4499999999999993</v>
      </c>
      <c r="F56" s="42" t="s">
        <v>123</v>
      </c>
      <c r="G56" s="58">
        <v>10.45</v>
      </c>
      <c r="H56" s="58" t="s">
        <v>90</v>
      </c>
      <c r="I56" s="58">
        <v>8.4499999999999993</v>
      </c>
    </row>
    <row r="57" spans="1:9" ht="30" x14ac:dyDescent="0.15">
      <c r="A57" s="57" t="s">
        <v>38</v>
      </c>
      <c r="B57" s="58">
        <v>6.61</v>
      </c>
      <c r="C57" s="42" t="s">
        <v>123</v>
      </c>
      <c r="D57" s="58">
        <v>5.13</v>
      </c>
      <c r="E57" s="42" t="s">
        <v>90</v>
      </c>
      <c r="F57" s="58">
        <v>6.61</v>
      </c>
      <c r="G57" s="42" t="s">
        <v>123</v>
      </c>
      <c r="H57" s="58">
        <v>5.13</v>
      </c>
      <c r="I57" s="41" t="s">
        <v>90</v>
      </c>
    </row>
    <row r="58" spans="1:9" ht="15" x14ac:dyDescent="0.15">
      <c r="A58" s="57" t="s">
        <v>39</v>
      </c>
      <c r="B58" s="58">
        <v>0</v>
      </c>
      <c r="C58" s="58">
        <v>0</v>
      </c>
      <c r="D58" s="58">
        <v>0</v>
      </c>
      <c r="E58" s="58">
        <v>0</v>
      </c>
      <c r="F58" s="58">
        <v>0</v>
      </c>
      <c r="G58" s="58">
        <v>0</v>
      </c>
      <c r="H58" s="58">
        <v>0</v>
      </c>
      <c r="I58" s="58">
        <v>0</v>
      </c>
    </row>
    <row r="59" spans="1:9" ht="15" x14ac:dyDescent="0.15">
      <c r="A59" s="57" t="s">
        <v>40</v>
      </c>
      <c r="B59" s="36">
        <v>9</v>
      </c>
      <c r="C59" s="36">
        <v>9</v>
      </c>
      <c r="D59" s="36">
        <f>10+0.5*5</f>
        <v>12.5</v>
      </c>
      <c r="E59" s="36">
        <f>10+0.5*5</f>
        <v>12.5</v>
      </c>
      <c r="F59" s="36">
        <v>9</v>
      </c>
      <c r="G59" s="36">
        <v>9</v>
      </c>
      <c r="H59" s="36">
        <f>10+0.5*5</f>
        <v>12.5</v>
      </c>
      <c r="I59" s="36">
        <f>10+0.5*5</f>
        <v>12.5</v>
      </c>
    </row>
    <row r="60" spans="1:9" ht="15" x14ac:dyDescent="0.15">
      <c r="A60" s="57" t="s">
        <v>41</v>
      </c>
      <c r="B60" s="58">
        <v>0</v>
      </c>
      <c r="C60" s="58">
        <v>0</v>
      </c>
      <c r="D60" s="58">
        <v>0</v>
      </c>
      <c r="E60" s="58">
        <v>0</v>
      </c>
      <c r="F60" s="58">
        <v>0</v>
      </c>
      <c r="G60" s="58">
        <v>0</v>
      </c>
      <c r="H60" s="58">
        <v>0</v>
      </c>
      <c r="I60" s="58">
        <v>0</v>
      </c>
    </row>
    <row r="61" spans="1:9" ht="30" x14ac:dyDescent="0.15">
      <c r="A61" s="63" t="s">
        <v>52</v>
      </c>
      <c r="B61" s="39" t="s">
        <v>206</v>
      </c>
      <c r="C61" s="39">
        <f t="shared" ref="C61:I61" si="13">C52-C56+C58-C59+C60-C34</f>
        <v>146.33972939496729</v>
      </c>
      <c r="D61" s="39" t="s">
        <v>206</v>
      </c>
      <c r="E61" s="39">
        <f t="shared" si="13"/>
        <v>144.93972939496729</v>
      </c>
      <c r="F61" s="39" t="s">
        <v>206</v>
      </c>
      <c r="G61" s="39">
        <f t="shared" si="13"/>
        <v>135.30716363261922</v>
      </c>
      <c r="H61" s="39" t="s">
        <v>206</v>
      </c>
      <c r="I61" s="39">
        <f t="shared" si="13"/>
        <v>133.80716363261922</v>
      </c>
    </row>
    <row r="62" spans="1:9" ht="30" x14ac:dyDescent="0.15">
      <c r="A62" s="63" t="s">
        <v>49</v>
      </c>
      <c r="B62" s="39">
        <f t="shared" ref="B62:H62" si="14">B53-B57+B58-B59+B60-B34</f>
        <v>139.17972939496727</v>
      </c>
      <c r="C62" s="39" t="s">
        <v>206</v>
      </c>
      <c r="D62" s="39">
        <f t="shared" si="14"/>
        <v>139.85972939496727</v>
      </c>
      <c r="E62" s="39" t="s">
        <v>206</v>
      </c>
      <c r="F62" s="39">
        <f t="shared" si="14"/>
        <v>123.10169789425305</v>
      </c>
      <c r="G62" s="39" t="s">
        <v>206</v>
      </c>
      <c r="H62" s="39">
        <f t="shared" si="14"/>
        <v>123.68169789425303</v>
      </c>
      <c r="I62" s="39" t="s">
        <v>206</v>
      </c>
    </row>
    <row r="63" spans="1:9" x14ac:dyDescent="0.15">
      <c r="A63" s="37" t="s">
        <v>42</v>
      </c>
      <c r="B63" s="56"/>
      <c r="C63" s="56"/>
      <c r="D63" s="56"/>
      <c r="E63" s="56"/>
      <c r="F63" s="56"/>
      <c r="G63" s="56"/>
      <c r="H63" s="56"/>
      <c r="I63" s="56"/>
    </row>
    <row r="64" spans="1:9" ht="30" x14ac:dyDescent="0.15">
      <c r="A64" s="64" t="s">
        <v>121</v>
      </c>
      <c r="B64" s="35" t="s">
        <v>99</v>
      </c>
      <c r="C64" s="58">
        <f>10^((C61-161.04+7.1*LOG10(20)-7.5*LOG10(5)+(24.37-3.7*(5/C$5)^2)*LOG10(C$5)-20*LOG10(C$4)+(3.2*(LOG10(11.75*C$6)^2)-4.97))/(43.42-3.1*LOG10(C$5))+3)</f>
        <v>5943.6263858901375</v>
      </c>
      <c r="D64" s="35" t="s">
        <v>99</v>
      </c>
      <c r="E64" s="58">
        <f>10^((E61-161.04+7.1*LOG10(20)-7.5*LOG10(5)+(24.37-3.7*(5/E$5)^2)*LOG10(E$5)-20*LOG10(E$4)+(3.2*(LOG10(11.75*E$6)^2)-4.97))/(43.42-3.1*LOG10(E$5))+3)</f>
        <v>5467.8100382751709</v>
      </c>
      <c r="F64" s="35" t="s">
        <v>57</v>
      </c>
      <c r="G64" s="58">
        <f>10^((G61-161.04+7.1*LOG10(20)-7.5*LOG10(5)+(24.37-3.7*(5/G$5)^2)*LOG10(G$5)-20*LOG10(G$4)+(3.2*(LOG10(11.75*G$6)^2)-4.97))/(43.42-3.1*LOG10(G$5))+3)</f>
        <v>3079.5038779071147</v>
      </c>
      <c r="H64" s="35" t="s">
        <v>57</v>
      </c>
      <c r="I64" s="58">
        <f>10^((I61-161.04+7.1*LOG10(20)-7.5*LOG10(5)+(24.37-3.7*(5/I$5)^2)*LOG10(I$5)-20*LOG10(I$4)+(3.2*(LOG10(11.75*I$6)^2)-4.97))/(43.42-3.1*LOG10(I$5))+3)</f>
        <v>2816.1399702627855</v>
      </c>
    </row>
    <row r="65" spans="1:9" ht="30" x14ac:dyDescent="0.15">
      <c r="A65" s="64" t="s">
        <v>122</v>
      </c>
      <c r="B65" s="58">
        <f>10^((B62-161.04+7.1*LOG10(20)-7.5*LOG10(5)+(24.37-3.7*(5/B$5)^2)*LOG10(B$5)-20*LOG10(B$4)+(3.2*(LOG10(11.75*B$6)^2)-4.97))/(43.42-3.1*LOG10(B$5))+3)</f>
        <v>3878.9982748477769</v>
      </c>
      <c r="C65" s="35" t="s">
        <v>99</v>
      </c>
      <c r="D65" s="58">
        <f>10^((D62-161.04+7.1*LOG10(20)-7.5*LOG10(5)+(24.37-3.7*(5/D$5)^2)*LOG10(D$5)-20*LOG10(D$4)+(3.2*(LOG10(11.75*D$6)^2)-4.97))/(43.42-3.1*LOG10(D$5))+3)</f>
        <v>4039.4379524310507</v>
      </c>
      <c r="E65" s="35" t="s">
        <v>99</v>
      </c>
      <c r="F65" s="58">
        <f>10^((F62-161.04+7.1*LOG10(20)-7.5*LOG10(5)+(24.37-3.7*(5/F$5)^2)*LOG10(F$5)-20*LOG10(F$4)+(3.2*(LOG10(11.75*F$6)^2)-4.97))/(43.42-3.1*LOG10(F$5))+3)</f>
        <v>1487.8195467394987</v>
      </c>
      <c r="G65" s="35" t="s">
        <v>57</v>
      </c>
      <c r="H65" s="58">
        <f>10^((H62-161.04+7.1*LOG10(20)-7.5*LOG10(5)+(24.37-3.7*(5/H$5)^2)*LOG10(H$5)-20*LOG10(H$4)+(3.2*(LOG10(11.75*H$6)^2)-4.97))/(43.42-3.1*LOG10(H$5))+3)</f>
        <v>1540.1505690105355</v>
      </c>
      <c r="I65" s="35" t="s">
        <v>57</v>
      </c>
    </row>
    <row r="66" spans="1:9" ht="18" x14ac:dyDescent="0.15">
      <c r="A66" s="64" t="s">
        <v>108</v>
      </c>
      <c r="B66" s="35" t="s">
        <v>58</v>
      </c>
      <c r="C66" s="35">
        <f>PI()*(C64)^2</f>
        <v>110982084.27824949</v>
      </c>
      <c r="D66" s="35" t="s">
        <v>58</v>
      </c>
      <c r="E66" s="35">
        <f>PI()*(E64)^2</f>
        <v>93924027.849390656</v>
      </c>
      <c r="F66" s="35" t="s">
        <v>58</v>
      </c>
      <c r="G66" s="35">
        <f>PI()*(G64)^2</f>
        <v>29792804.262979493</v>
      </c>
      <c r="H66" s="35" t="s">
        <v>58</v>
      </c>
      <c r="I66" s="35">
        <f>PI()*(I64)^2</f>
        <v>24914853.971995592</v>
      </c>
    </row>
    <row r="67" spans="1:9" ht="18" x14ac:dyDescent="0.15">
      <c r="A67" s="64" t="s">
        <v>109</v>
      </c>
      <c r="B67" s="35">
        <f>PI()*(B65)^2</f>
        <v>47270374.780581504</v>
      </c>
      <c r="C67" s="35" t="s">
        <v>58</v>
      </c>
      <c r="D67" s="35">
        <f>PI()*(D65)^2</f>
        <v>51261552.593182616</v>
      </c>
      <c r="E67" s="35" t="s">
        <v>58</v>
      </c>
      <c r="F67" s="35">
        <f>PI()*(F65)^2</f>
        <v>6954251.5006335713</v>
      </c>
      <c r="G67" s="35" t="s">
        <v>58</v>
      </c>
      <c r="H67" s="35">
        <f>PI()*(H65)^2</f>
        <v>7452058.1300885435</v>
      </c>
      <c r="I67" s="35" t="s">
        <v>58</v>
      </c>
    </row>
    <row r="69" spans="1:9" x14ac:dyDescent="0.15">
      <c r="A69" s="65"/>
    </row>
    <row r="72" spans="1:9" ht="15" x14ac:dyDescent="0.15">
      <c r="A72" s="51"/>
      <c r="B72" s="50"/>
      <c r="C72" s="50"/>
      <c r="D72" s="50"/>
      <c r="E72" s="50"/>
    </row>
    <row r="73" spans="1:9" ht="15" x14ac:dyDescent="0.15">
      <c r="A73" s="51"/>
      <c r="B73" s="50"/>
      <c r="C73" s="50"/>
      <c r="D73" s="50"/>
      <c r="E73" s="50"/>
    </row>
    <row r="76" spans="1:9" x14ac:dyDescent="0.15">
      <c r="F76" s="42"/>
    </row>
  </sheetData>
  <mergeCells count="2">
    <mergeCell ref="B1:E1"/>
    <mergeCell ref="F1:I1"/>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70" zoomScaleNormal="70" workbookViewId="0">
      <pane xSplit="1" ySplit="2" topLeftCell="F63" activePane="bottomRight" state="frozen"/>
      <selection pane="topRight" activeCell="B1" sqref="B1"/>
      <selection pane="bottomLeft" activeCell="A3" sqref="A3"/>
      <selection pane="bottomRight" activeCell="K66" sqref="K66"/>
    </sheetView>
  </sheetViews>
  <sheetFormatPr defaultRowHeight="14.25" x14ac:dyDescent="0.15"/>
  <cols>
    <col min="1" max="1" width="58.25" style="48" customWidth="1"/>
    <col min="2" max="3" width="16" style="42" customWidth="1"/>
    <col min="4" max="4" width="15.25" style="42" customWidth="1"/>
    <col min="5" max="5" width="14.875" style="42" customWidth="1"/>
    <col min="6" max="6" width="15" style="48" customWidth="1"/>
    <col min="7" max="7" width="14.5" style="48" customWidth="1"/>
    <col min="8" max="8" width="14.625" style="48" customWidth="1"/>
    <col min="9" max="9" width="13.75" style="48" customWidth="1"/>
    <col min="10" max="10" width="13" customWidth="1"/>
    <col min="11" max="11" width="14.75" customWidth="1"/>
    <col min="12" max="12" width="11.625" bestFit="1" customWidth="1"/>
    <col min="13" max="13" width="13.625" customWidth="1"/>
    <col min="14" max="16" width="11.625" bestFit="1" customWidth="1"/>
    <col min="17" max="17" width="11.25" customWidth="1"/>
  </cols>
  <sheetData>
    <row r="1" spans="1:17" x14ac:dyDescent="0.15">
      <c r="A1" s="54" t="s">
        <v>0</v>
      </c>
      <c r="B1" s="213" t="s">
        <v>176</v>
      </c>
      <c r="C1" s="213"/>
      <c r="D1" s="213"/>
      <c r="E1" s="213"/>
      <c r="F1" s="213" t="s">
        <v>177</v>
      </c>
      <c r="G1" s="213"/>
      <c r="H1" s="213"/>
      <c r="I1" s="213"/>
      <c r="J1" s="213" t="s">
        <v>50</v>
      </c>
      <c r="K1" s="213"/>
      <c r="L1" s="213"/>
      <c r="M1" s="213"/>
      <c r="N1" s="213" t="s">
        <v>51</v>
      </c>
      <c r="O1" s="213"/>
      <c r="P1" s="213"/>
      <c r="Q1" s="213"/>
    </row>
    <row r="2" spans="1:17" ht="42.75" x14ac:dyDescent="0.15">
      <c r="A2" s="55"/>
      <c r="B2" s="45" t="s">
        <v>178</v>
      </c>
      <c r="C2" s="45" t="s">
        <v>179</v>
      </c>
      <c r="D2" s="45" t="s">
        <v>180</v>
      </c>
      <c r="E2" s="45" t="s">
        <v>181</v>
      </c>
      <c r="F2" s="45" t="s">
        <v>182</v>
      </c>
      <c r="G2" s="45" t="s">
        <v>183</v>
      </c>
      <c r="H2" s="45" t="s">
        <v>184</v>
      </c>
      <c r="I2" s="45" t="s">
        <v>185</v>
      </c>
      <c r="J2" s="88" t="s">
        <v>232</v>
      </c>
      <c r="K2" s="88" t="s">
        <v>233</v>
      </c>
      <c r="L2" s="88" t="s">
        <v>234</v>
      </c>
      <c r="M2" s="88" t="s">
        <v>235</v>
      </c>
      <c r="N2" s="88" t="s">
        <v>236</v>
      </c>
      <c r="O2" s="88" t="s">
        <v>237</v>
      </c>
      <c r="P2" s="88" t="s">
        <v>238</v>
      </c>
      <c r="Q2" s="88" t="s">
        <v>239</v>
      </c>
    </row>
    <row r="3" spans="1:17" x14ac:dyDescent="0.15">
      <c r="A3" s="37" t="s">
        <v>1</v>
      </c>
      <c r="B3" s="56"/>
      <c r="C3" s="56"/>
      <c r="D3" s="56"/>
      <c r="E3" s="56"/>
      <c r="F3" s="56"/>
      <c r="G3" s="56"/>
      <c r="H3" s="56"/>
      <c r="I3" s="56"/>
      <c r="J3" s="56"/>
      <c r="K3" s="56"/>
      <c r="L3" s="56"/>
      <c r="M3" s="56"/>
      <c r="N3" s="56"/>
      <c r="O3" s="56"/>
      <c r="P3" s="56"/>
      <c r="Q3" s="56"/>
    </row>
    <row r="4" spans="1:17" ht="15" x14ac:dyDescent="0.15">
      <c r="A4" s="57" t="s">
        <v>2</v>
      </c>
      <c r="B4" s="36">
        <v>0.7</v>
      </c>
      <c r="C4" s="58">
        <v>0.7</v>
      </c>
      <c r="D4" s="36">
        <v>0.7</v>
      </c>
      <c r="E4" s="58">
        <v>0.7</v>
      </c>
      <c r="F4" s="36">
        <v>0.7</v>
      </c>
      <c r="G4" s="58">
        <v>0.7</v>
      </c>
      <c r="H4" s="36">
        <v>0.7</v>
      </c>
      <c r="I4" s="58">
        <v>0.7</v>
      </c>
      <c r="J4" s="36">
        <v>0.7</v>
      </c>
      <c r="K4" s="58">
        <v>0.7</v>
      </c>
      <c r="L4" s="36">
        <v>0.7</v>
      </c>
      <c r="M4" s="58">
        <v>0.7</v>
      </c>
      <c r="N4" s="36">
        <v>0.7</v>
      </c>
      <c r="O4" s="58">
        <v>0.7</v>
      </c>
      <c r="P4" s="36">
        <v>0.7</v>
      </c>
      <c r="Q4" s="58">
        <v>0.7</v>
      </c>
    </row>
    <row r="5" spans="1:17" ht="15" x14ac:dyDescent="0.15">
      <c r="A5" s="57" t="s">
        <v>3</v>
      </c>
      <c r="B5" s="58">
        <v>35</v>
      </c>
      <c r="C5" s="58">
        <v>35</v>
      </c>
      <c r="D5" s="58">
        <v>35</v>
      </c>
      <c r="E5" s="58">
        <v>35</v>
      </c>
      <c r="F5" s="58">
        <v>35</v>
      </c>
      <c r="G5" s="58">
        <v>35</v>
      </c>
      <c r="H5" s="58">
        <v>35</v>
      </c>
      <c r="I5" s="58">
        <v>35</v>
      </c>
      <c r="J5" s="58">
        <v>35</v>
      </c>
      <c r="K5" s="58">
        <v>35</v>
      </c>
      <c r="L5" s="58">
        <v>35</v>
      </c>
      <c r="M5" s="58">
        <v>35</v>
      </c>
      <c r="N5" s="58">
        <v>35</v>
      </c>
      <c r="O5" s="58">
        <v>35</v>
      </c>
      <c r="P5" s="58">
        <v>35</v>
      </c>
      <c r="Q5" s="58">
        <v>35</v>
      </c>
    </row>
    <row r="6" spans="1:17" ht="15" x14ac:dyDescent="0.15">
      <c r="A6" s="57" t="s">
        <v>4</v>
      </c>
      <c r="B6" s="36">
        <v>1.5</v>
      </c>
      <c r="C6" s="58">
        <v>1.5</v>
      </c>
      <c r="D6" s="36">
        <v>1.5</v>
      </c>
      <c r="E6" s="58">
        <v>1.5</v>
      </c>
      <c r="F6" s="36">
        <v>1.5</v>
      </c>
      <c r="G6" s="58">
        <v>1.5</v>
      </c>
      <c r="H6" s="36">
        <v>1.5</v>
      </c>
      <c r="I6" s="58">
        <v>1.5</v>
      </c>
      <c r="J6" s="36">
        <v>1.5</v>
      </c>
      <c r="K6" s="58">
        <v>1.5</v>
      </c>
      <c r="L6" s="36">
        <v>1.5</v>
      </c>
      <c r="M6" s="58">
        <v>1.5</v>
      </c>
      <c r="N6" s="36">
        <v>1.5</v>
      </c>
      <c r="O6" s="58">
        <v>1.5</v>
      </c>
      <c r="P6" s="36">
        <v>1.5</v>
      </c>
      <c r="Q6" s="58">
        <v>1.5</v>
      </c>
    </row>
    <row r="7" spans="1:17" ht="31.5" x14ac:dyDescent="0.15">
      <c r="A7" s="57" t="s">
        <v>186</v>
      </c>
      <c r="B7" s="20" t="s">
        <v>187</v>
      </c>
      <c r="C7" s="52">
        <v>0.95</v>
      </c>
      <c r="D7" s="20" t="s">
        <v>187</v>
      </c>
      <c r="E7" s="52">
        <v>0.95</v>
      </c>
      <c r="F7" s="52" t="s">
        <v>187</v>
      </c>
      <c r="G7" s="21">
        <v>0.95</v>
      </c>
      <c r="H7" s="52" t="s">
        <v>187</v>
      </c>
      <c r="I7" s="21">
        <v>0.95</v>
      </c>
      <c r="J7" s="20" t="s">
        <v>57</v>
      </c>
      <c r="K7" s="52">
        <v>0.95</v>
      </c>
      <c r="L7" s="20" t="s">
        <v>57</v>
      </c>
      <c r="M7" s="52">
        <v>0.95</v>
      </c>
      <c r="N7" s="52" t="s">
        <v>57</v>
      </c>
      <c r="O7" s="21">
        <v>0.95</v>
      </c>
      <c r="P7" s="52" t="s">
        <v>57</v>
      </c>
      <c r="Q7" s="21">
        <v>0.95</v>
      </c>
    </row>
    <row r="8" spans="1:17" ht="31.5" x14ac:dyDescent="0.15">
      <c r="A8" s="57" t="s">
        <v>104</v>
      </c>
      <c r="B8" s="20">
        <v>0.9</v>
      </c>
      <c r="C8" s="52" t="s">
        <v>187</v>
      </c>
      <c r="D8" s="20">
        <v>0.9</v>
      </c>
      <c r="E8" s="52" t="s">
        <v>187</v>
      </c>
      <c r="F8" s="52">
        <v>0.9</v>
      </c>
      <c r="G8" s="21" t="s">
        <v>187</v>
      </c>
      <c r="H8" s="52">
        <v>0.9</v>
      </c>
      <c r="I8" s="21" t="s">
        <v>187</v>
      </c>
      <c r="J8" s="20">
        <v>0.9</v>
      </c>
      <c r="K8" s="52" t="s">
        <v>57</v>
      </c>
      <c r="L8" s="20">
        <v>0.9</v>
      </c>
      <c r="M8" s="52" t="s">
        <v>57</v>
      </c>
      <c r="N8" s="52">
        <v>0.9</v>
      </c>
      <c r="O8" s="21" t="s">
        <v>57</v>
      </c>
      <c r="P8" s="52">
        <v>0.9</v>
      </c>
      <c r="Q8" s="21" t="s">
        <v>57</v>
      </c>
    </row>
    <row r="9" spans="1:17" ht="15" x14ac:dyDescent="0.15">
      <c r="A9" s="57" t="s">
        <v>5</v>
      </c>
      <c r="B9" s="34" t="s">
        <v>187</v>
      </c>
      <c r="C9" s="35">
        <f>64/(0.001)</f>
        <v>64000</v>
      </c>
      <c r="D9" s="34" t="s">
        <v>187</v>
      </c>
      <c r="E9" s="35">
        <f>64/(0.001)</f>
        <v>64000</v>
      </c>
      <c r="F9" s="58" t="s">
        <v>187</v>
      </c>
      <c r="G9" s="35">
        <f>2/(0.5*0.001)</f>
        <v>4000</v>
      </c>
      <c r="H9" s="58" t="s">
        <v>187</v>
      </c>
      <c r="I9" s="35">
        <f>2/(0.5*0.001)</f>
        <v>4000</v>
      </c>
      <c r="J9" s="34" t="s">
        <v>57</v>
      </c>
      <c r="K9" s="35">
        <f>64/(0.001)</f>
        <v>64000</v>
      </c>
      <c r="L9" s="34" t="s">
        <v>57</v>
      </c>
      <c r="M9" s="35">
        <f>64/(0.001)</f>
        <v>64000</v>
      </c>
      <c r="N9" s="58" t="s">
        <v>57</v>
      </c>
      <c r="O9" s="35">
        <f>2/(0.5*0.001)</f>
        <v>4000</v>
      </c>
      <c r="P9" s="58" t="s">
        <v>57</v>
      </c>
      <c r="Q9" s="35">
        <f>2/(0.5*0.001)</f>
        <v>4000</v>
      </c>
    </row>
    <row r="10" spans="1:17" ht="15" x14ac:dyDescent="0.15">
      <c r="A10" s="57" t="s">
        <v>6</v>
      </c>
      <c r="B10" s="34">
        <f>2248233*3</f>
        <v>6744699</v>
      </c>
      <c r="C10" s="58" t="s">
        <v>187</v>
      </c>
      <c r="D10" s="34">
        <f>2248233*3</f>
        <v>6744699</v>
      </c>
      <c r="E10" s="58" t="s">
        <v>187</v>
      </c>
      <c r="F10" s="58">
        <f>74880*3</f>
        <v>224640</v>
      </c>
      <c r="G10" s="35" t="s">
        <v>187</v>
      </c>
      <c r="H10" s="58">
        <f>74880*3</f>
        <v>224640</v>
      </c>
      <c r="I10" s="35" t="s">
        <v>187</v>
      </c>
      <c r="J10" s="34">
        <f>2248233*3</f>
        <v>6744699</v>
      </c>
      <c r="K10" s="58" t="s">
        <v>213</v>
      </c>
      <c r="L10" s="34">
        <f>2248233*3</f>
        <v>6744699</v>
      </c>
      <c r="M10" s="58" t="s">
        <v>213</v>
      </c>
      <c r="N10" s="58">
        <f>74880*3</f>
        <v>224640</v>
      </c>
      <c r="O10" s="35" t="s">
        <v>213</v>
      </c>
      <c r="P10" s="58">
        <f>74880*3</f>
        <v>224640</v>
      </c>
      <c r="Q10" s="35" t="s">
        <v>57</v>
      </c>
    </row>
    <row r="11" spans="1:17" ht="30" x14ac:dyDescent="0.15">
      <c r="A11" s="57" t="s">
        <v>7</v>
      </c>
      <c r="B11" s="20" t="s">
        <v>187</v>
      </c>
      <c r="C11" s="52">
        <v>0.01</v>
      </c>
      <c r="D11" s="20" t="s">
        <v>187</v>
      </c>
      <c r="E11" s="52">
        <v>0.01</v>
      </c>
      <c r="F11" s="52" t="s">
        <v>187</v>
      </c>
      <c r="G11" s="21">
        <v>0.01</v>
      </c>
      <c r="H11" s="52" t="s">
        <v>187</v>
      </c>
      <c r="I11" s="21">
        <v>0.01</v>
      </c>
      <c r="J11" s="20" t="s">
        <v>57</v>
      </c>
      <c r="K11" s="52">
        <v>0.01</v>
      </c>
      <c r="L11" s="20" t="s">
        <v>213</v>
      </c>
      <c r="M11" s="52">
        <v>0.01</v>
      </c>
      <c r="N11" s="52" t="s">
        <v>213</v>
      </c>
      <c r="O11" s="21">
        <v>0.01</v>
      </c>
      <c r="P11" s="52" t="s">
        <v>213</v>
      </c>
      <c r="Q11" s="21">
        <v>0.01</v>
      </c>
    </row>
    <row r="12" spans="1:17" ht="15" x14ac:dyDescent="0.15">
      <c r="A12" s="57" t="s">
        <v>8</v>
      </c>
      <c r="B12" s="20">
        <v>0.1</v>
      </c>
      <c r="C12" s="52" t="s">
        <v>187</v>
      </c>
      <c r="D12" s="20">
        <v>0.1</v>
      </c>
      <c r="E12" s="52" t="s">
        <v>187</v>
      </c>
      <c r="F12" s="52">
        <v>0.1</v>
      </c>
      <c r="G12" s="21" t="s">
        <v>187</v>
      </c>
      <c r="H12" s="52">
        <v>0.1</v>
      </c>
      <c r="I12" s="21" t="s">
        <v>187</v>
      </c>
      <c r="J12" s="20">
        <v>0.1</v>
      </c>
      <c r="K12" s="52" t="s">
        <v>213</v>
      </c>
      <c r="L12" s="20">
        <v>0.1</v>
      </c>
      <c r="M12" s="52" t="s">
        <v>213</v>
      </c>
      <c r="N12" s="52">
        <v>0.1</v>
      </c>
      <c r="O12" s="21" t="s">
        <v>213</v>
      </c>
      <c r="P12" s="52">
        <v>0.1</v>
      </c>
      <c r="Q12" s="21" t="s">
        <v>213</v>
      </c>
    </row>
    <row r="13" spans="1:17" ht="16.5" x14ac:dyDescent="0.15">
      <c r="A13" s="57" t="s">
        <v>105</v>
      </c>
      <c r="B13" s="34">
        <f>B10/(B42*(4+2*11/14+1/14)/10)</f>
        <v>0.65101476793248958</v>
      </c>
      <c r="C13" s="58" t="s">
        <v>187</v>
      </c>
      <c r="D13" s="34">
        <f>D10/(D42*(4+2*11/14+1/14)/10)</f>
        <v>0.65101476793248958</v>
      </c>
      <c r="E13" s="58" t="s">
        <v>187</v>
      </c>
      <c r="F13" s="34">
        <f>F10/(F42*(4+2*2/14+1/14)/10)</f>
        <v>0.35803278688524592</v>
      </c>
      <c r="G13" s="35" t="s">
        <v>187</v>
      </c>
      <c r="H13" s="34">
        <f>H10/(H42*(4+2*2/14+1/14)/10)</f>
        <v>0.35803278688524592</v>
      </c>
      <c r="I13" s="35" t="s">
        <v>187</v>
      </c>
      <c r="J13" s="34">
        <f>J10/(J42*(4+2*11/14+1/14)/10)</f>
        <v>0.65101476793248958</v>
      </c>
      <c r="K13" s="58" t="s">
        <v>213</v>
      </c>
      <c r="L13" s="34">
        <f>L10/(L42*(4+2*11/14+1/14)/10)</f>
        <v>0.65101476793248958</v>
      </c>
      <c r="M13" s="58" t="s">
        <v>213</v>
      </c>
      <c r="N13" s="34">
        <f>N10/(N42*(4+2*2/14+1/14)/10)</f>
        <v>0.35803278688524592</v>
      </c>
      <c r="O13" s="35" t="s">
        <v>213</v>
      </c>
      <c r="P13" s="34">
        <f>P10/(P42*(4+2*2/14+1/14)/10)</f>
        <v>0.35803278688524592</v>
      </c>
      <c r="Q13" s="35" t="s">
        <v>213</v>
      </c>
    </row>
    <row r="14" spans="1:17" ht="16.5" x14ac:dyDescent="0.15">
      <c r="A14" s="57" t="s">
        <v>106</v>
      </c>
      <c r="B14" s="58" t="s">
        <v>188</v>
      </c>
      <c r="C14" s="58" t="s">
        <v>188</v>
      </c>
      <c r="D14" s="58" t="s">
        <v>189</v>
      </c>
      <c r="E14" s="58" t="s">
        <v>189</v>
      </c>
      <c r="F14" s="58" t="s">
        <v>188</v>
      </c>
      <c r="G14" s="58" t="s">
        <v>188</v>
      </c>
      <c r="H14" s="58" t="s">
        <v>189</v>
      </c>
      <c r="I14" s="58" t="s">
        <v>189</v>
      </c>
      <c r="J14" s="58" t="s">
        <v>228</v>
      </c>
      <c r="K14" s="58" t="s">
        <v>228</v>
      </c>
      <c r="L14" s="58" t="s">
        <v>229</v>
      </c>
      <c r="M14" s="58" t="s">
        <v>229</v>
      </c>
      <c r="N14" s="58" t="s">
        <v>228</v>
      </c>
      <c r="O14" s="58" t="s">
        <v>228</v>
      </c>
      <c r="P14" s="58" t="s">
        <v>229</v>
      </c>
      <c r="Q14" s="58" t="s">
        <v>229</v>
      </c>
    </row>
    <row r="15" spans="1:17" ht="15" x14ac:dyDescent="0.15">
      <c r="A15" s="57" t="s">
        <v>190</v>
      </c>
      <c r="B15" s="34">
        <v>120</v>
      </c>
      <c r="C15" s="35">
        <v>120</v>
      </c>
      <c r="D15" s="34">
        <v>3</v>
      </c>
      <c r="E15" s="35">
        <v>3</v>
      </c>
      <c r="F15" s="34">
        <v>120</v>
      </c>
      <c r="G15" s="35">
        <v>120</v>
      </c>
      <c r="H15" s="35">
        <v>3</v>
      </c>
      <c r="I15" s="35">
        <v>3</v>
      </c>
      <c r="J15" s="34">
        <v>120</v>
      </c>
      <c r="K15" s="35">
        <v>120</v>
      </c>
      <c r="L15" s="34">
        <v>3</v>
      </c>
      <c r="M15" s="35">
        <v>3</v>
      </c>
      <c r="N15" s="34">
        <v>120</v>
      </c>
      <c r="O15" s="35">
        <v>120</v>
      </c>
      <c r="P15" s="35">
        <v>3</v>
      </c>
      <c r="Q15" s="35">
        <v>3</v>
      </c>
    </row>
    <row r="16" spans="1:17" ht="15" x14ac:dyDescent="0.15">
      <c r="A16" s="57" t="s">
        <v>9</v>
      </c>
      <c r="B16" s="34">
        <v>3</v>
      </c>
      <c r="C16" s="58">
        <v>3</v>
      </c>
      <c r="D16" s="34">
        <v>3</v>
      </c>
      <c r="E16" s="58">
        <v>3</v>
      </c>
      <c r="F16" s="58">
        <v>3</v>
      </c>
      <c r="G16" s="35">
        <v>3</v>
      </c>
      <c r="H16" s="58">
        <v>3</v>
      </c>
      <c r="I16" s="35">
        <v>3</v>
      </c>
      <c r="J16" s="34">
        <v>3</v>
      </c>
      <c r="K16" s="58">
        <v>3</v>
      </c>
      <c r="L16" s="34">
        <v>3</v>
      </c>
      <c r="M16" s="58">
        <v>3</v>
      </c>
      <c r="N16" s="58">
        <v>3</v>
      </c>
      <c r="O16" s="35">
        <v>3</v>
      </c>
      <c r="P16" s="58">
        <v>3</v>
      </c>
      <c r="Q16" s="35">
        <v>3</v>
      </c>
    </row>
    <row r="17" spans="1:17" x14ac:dyDescent="0.15">
      <c r="A17" s="37" t="s">
        <v>10</v>
      </c>
      <c r="B17" s="56"/>
      <c r="C17" s="56"/>
      <c r="D17" s="56"/>
      <c r="E17" s="56"/>
      <c r="F17" s="56"/>
      <c r="G17" s="56"/>
      <c r="H17" s="56"/>
      <c r="I17" s="56"/>
      <c r="J17" s="56"/>
      <c r="K17" s="56"/>
      <c r="L17" s="56"/>
      <c r="M17" s="56"/>
      <c r="N17" s="56"/>
      <c r="O17" s="56"/>
      <c r="P17" s="56"/>
      <c r="Q17" s="56"/>
    </row>
    <row r="18" spans="1:17" ht="30" x14ac:dyDescent="0.15">
      <c r="A18" s="57" t="s">
        <v>191</v>
      </c>
      <c r="B18" s="34">
        <v>64</v>
      </c>
      <c r="C18" s="58">
        <v>64</v>
      </c>
      <c r="D18" s="34">
        <v>64</v>
      </c>
      <c r="E18" s="58">
        <v>64</v>
      </c>
      <c r="F18" s="35">
        <v>1</v>
      </c>
      <c r="G18" s="58">
        <v>1</v>
      </c>
      <c r="H18" s="35">
        <v>1</v>
      </c>
      <c r="I18" s="58">
        <v>1</v>
      </c>
      <c r="J18" s="34">
        <v>64</v>
      </c>
      <c r="K18" s="58">
        <v>64</v>
      </c>
      <c r="L18" s="34">
        <v>64</v>
      </c>
      <c r="M18" s="58">
        <v>64</v>
      </c>
      <c r="N18" s="35">
        <v>1</v>
      </c>
      <c r="O18" s="58">
        <v>1</v>
      </c>
      <c r="P18" s="35">
        <v>1</v>
      </c>
      <c r="Q18" s="58">
        <v>1</v>
      </c>
    </row>
    <row r="19" spans="1:17" ht="15" x14ac:dyDescent="0.15">
      <c r="A19" s="57" t="s">
        <v>204</v>
      </c>
      <c r="B19" s="34">
        <v>2</v>
      </c>
      <c r="C19" s="58">
        <v>2</v>
      </c>
      <c r="D19" s="34">
        <v>2</v>
      </c>
      <c r="E19" s="58">
        <v>2</v>
      </c>
      <c r="F19" s="35">
        <v>1</v>
      </c>
      <c r="G19" s="58">
        <v>1</v>
      </c>
      <c r="H19" s="35">
        <v>1</v>
      </c>
      <c r="I19" s="58">
        <v>1</v>
      </c>
      <c r="J19" s="34">
        <v>2</v>
      </c>
      <c r="K19" s="58">
        <v>2</v>
      </c>
      <c r="L19" s="34">
        <v>2</v>
      </c>
      <c r="M19" s="58">
        <v>2</v>
      </c>
      <c r="N19" s="35">
        <v>1</v>
      </c>
      <c r="O19" s="58">
        <v>1</v>
      </c>
      <c r="P19" s="35">
        <v>1</v>
      </c>
      <c r="Q19" s="58">
        <v>1</v>
      </c>
    </row>
    <row r="20" spans="1:17" ht="15" x14ac:dyDescent="0.15">
      <c r="A20" s="57" t="s">
        <v>11</v>
      </c>
      <c r="B20" s="34">
        <v>31</v>
      </c>
      <c r="C20" s="58">
        <v>31</v>
      </c>
      <c r="D20" s="34">
        <v>31</v>
      </c>
      <c r="E20" s="58">
        <v>31</v>
      </c>
      <c r="F20" s="35">
        <v>23</v>
      </c>
      <c r="G20" s="58">
        <v>23</v>
      </c>
      <c r="H20" s="35">
        <v>23</v>
      </c>
      <c r="I20" s="58">
        <v>23</v>
      </c>
      <c r="J20" s="34">
        <v>31</v>
      </c>
      <c r="K20" s="58">
        <v>31</v>
      </c>
      <c r="L20" s="34">
        <v>31</v>
      </c>
      <c r="M20" s="58">
        <v>31</v>
      </c>
      <c r="N20" s="35">
        <v>23</v>
      </c>
      <c r="O20" s="58">
        <v>23</v>
      </c>
      <c r="P20" s="35">
        <v>23</v>
      </c>
      <c r="Q20" s="58">
        <v>23</v>
      </c>
    </row>
    <row r="21" spans="1:17" ht="30" x14ac:dyDescent="0.15">
      <c r="A21" s="59" t="s">
        <v>192</v>
      </c>
      <c r="B21" s="40">
        <f t="shared" ref="B21:Q21" si="0">B20+10*LOG10(B18)</f>
        <v>49.061799739838875</v>
      </c>
      <c r="C21" s="40">
        <f t="shared" si="0"/>
        <v>49.061799739838875</v>
      </c>
      <c r="D21" s="40">
        <f t="shared" si="0"/>
        <v>49.061799739838875</v>
      </c>
      <c r="E21" s="40">
        <f t="shared" si="0"/>
        <v>49.061799739838875</v>
      </c>
      <c r="F21" s="40">
        <f t="shared" si="0"/>
        <v>23</v>
      </c>
      <c r="G21" s="40">
        <f t="shared" si="0"/>
        <v>23</v>
      </c>
      <c r="H21" s="40">
        <f t="shared" si="0"/>
        <v>23</v>
      </c>
      <c r="I21" s="40">
        <f t="shared" si="0"/>
        <v>23</v>
      </c>
      <c r="J21" s="40">
        <f t="shared" si="0"/>
        <v>49.061799739838875</v>
      </c>
      <c r="K21" s="40">
        <f t="shared" si="0"/>
        <v>49.061799739838875</v>
      </c>
      <c r="L21" s="40">
        <f t="shared" si="0"/>
        <v>49.061799739838875</v>
      </c>
      <c r="M21" s="40">
        <f t="shared" si="0"/>
        <v>49.061799739838875</v>
      </c>
      <c r="N21" s="40">
        <f t="shared" si="0"/>
        <v>23</v>
      </c>
      <c r="O21" s="40">
        <f t="shared" si="0"/>
        <v>23</v>
      </c>
      <c r="P21" s="40">
        <f t="shared" si="0"/>
        <v>23</v>
      </c>
      <c r="Q21" s="40">
        <f t="shared" si="0"/>
        <v>23</v>
      </c>
    </row>
    <row r="22" spans="1:17" ht="15" x14ac:dyDescent="0.15">
      <c r="A22" s="57" t="s">
        <v>12</v>
      </c>
      <c r="B22" s="34">
        <v>8</v>
      </c>
      <c r="C22" s="58">
        <v>8</v>
      </c>
      <c r="D22" s="34">
        <v>8</v>
      </c>
      <c r="E22" s="58">
        <v>8</v>
      </c>
      <c r="F22" s="35">
        <v>0</v>
      </c>
      <c r="G22" s="58">
        <v>0</v>
      </c>
      <c r="H22" s="35">
        <v>0</v>
      </c>
      <c r="I22" s="58">
        <v>0</v>
      </c>
      <c r="J22" s="34">
        <v>8</v>
      </c>
      <c r="K22" s="58">
        <v>8</v>
      </c>
      <c r="L22" s="34">
        <v>8</v>
      </c>
      <c r="M22" s="58">
        <v>8</v>
      </c>
      <c r="N22" s="35">
        <v>0</v>
      </c>
      <c r="O22" s="58">
        <v>0</v>
      </c>
      <c r="P22" s="35">
        <v>0</v>
      </c>
      <c r="Q22" s="58">
        <v>0</v>
      </c>
    </row>
    <row r="23" spans="1:17" ht="45" x14ac:dyDescent="0.15">
      <c r="A23" s="60" t="s">
        <v>13</v>
      </c>
      <c r="B23" s="40">
        <f t="shared" ref="B23:Q23" si="1">IF(B18&gt;=2, 10*LOG10(B18/2), 0)</f>
        <v>15.051499783199061</v>
      </c>
      <c r="C23" s="40">
        <f t="shared" si="1"/>
        <v>15.051499783199061</v>
      </c>
      <c r="D23" s="40">
        <f t="shared" si="1"/>
        <v>15.051499783199061</v>
      </c>
      <c r="E23" s="40">
        <f t="shared" si="1"/>
        <v>15.051499783199061</v>
      </c>
      <c r="F23" s="40">
        <f t="shared" si="1"/>
        <v>0</v>
      </c>
      <c r="G23" s="40">
        <f t="shared" si="1"/>
        <v>0</v>
      </c>
      <c r="H23" s="40">
        <f t="shared" si="1"/>
        <v>0</v>
      </c>
      <c r="I23" s="40">
        <f t="shared" si="1"/>
        <v>0</v>
      </c>
      <c r="J23" s="40">
        <f t="shared" si="1"/>
        <v>15.051499783199061</v>
      </c>
      <c r="K23" s="40">
        <f t="shared" si="1"/>
        <v>15.051499783199061</v>
      </c>
      <c r="L23" s="40">
        <f t="shared" si="1"/>
        <v>15.051499783199061</v>
      </c>
      <c r="M23" s="40">
        <f t="shared" si="1"/>
        <v>15.051499783199061</v>
      </c>
      <c r="N23" s="40">
        <f t="shared" si="1"/>
        <v>0</v>
      </c>
      <c r="O23" s="40">
        <f t="shared" si="1"/>
        <v>0</v>
      </c>
      <c r="P23" s="40">
        <f t="shared" si="1"/>
        <v>0</v>
      </c>
      <c r="Q23" s="40">
        <f t="shared" si="1"/>
        <v>0</v>
      </c>
    </row>
    <row r="24" spans="1:17" ht="15" x14ac:dyDescent="0.15">
      <c r="A24" s="57" t="s">
        <v>14</v>
      </c>
      <c r="B24" s="34">
        <v>0</v>
      </c>
      <c r="C24" s="35">
        <v>0</v>
      </c>
      <c r="D24" s="34">
        <v>0</v>
      </c>
      <c r="E24" s="35">
        <v>0</v>
      </c>
      <c r="F24" s="35">
        <v>0</v>
      </c>
      <c r="G24" s="35">
        <v>0</v>
      </c>
      <c r="H24" s="35">
        <v>0</v>
      </c>
      <c r="I24" s="35">
        <v>0</v>
      </c>
      <c r="J24" s="34">
        <v>0</v>
      </c>
      <c r="K24" s="35">
        <v>0</v>
      </c>
      <c r="L24" s="34">
        <v>0</v>
      </c>
      <c r="M24" s="35">
        <v>0</v>
      </c>
      <c r="N24" s="35">
        <v>0</v>
      </c>
      <c r="O24" s="35">
        <v>0</v>
      </c>
      <c r="P24" s="35">
        <v>0</v>
      </c>
      <c r="Q24" s="35">
        <v>0</v>
      </c>
    </row>
    <row r="25" spans="1:17" ht="15" x14ac:dyDescent="0.15">
      <c r="A25" s="57" t="s">
        <v>15</v>
      </c>
      <c r="B25" s="34">
        <v>0</v>
      </c>
      <c r="C25" s="35">
        <v>0</v>
      </c>
      <c r="D25" s="34">
        <v>0</v>
      </c>
      <c r="E25" s="35">
        <v>0</v>
      </c>
      <c r="F25" s="35">
        <v>0</v>
      </c>
      <c r="G25" s="35">
        <v>0</v>
      </c>
      <c r="H25" s="35">
        <v>0</v>
      </c>
      <c r="I25" s="35">
        <v>0</v>
      </c>
      <c r="J25" s="34">
        <v>0</v>
      </c>
      <c r="K25" s="35">
        <v>0</v>
      </c>
      <c r="L25" s="34">
        <v>0</v>
      </c>
      <c r="M25" s="35">
        <v>0</v>
      </c>
      <c r="N25" s="35">
        <v>0</v>
      </c>
      <c r="O25" s="35">
        <v>0</v>
      </c>
      <c r="P25" s="35">
        <v>0</v>
      </c>
      <c r="Q25" s="35">
        <v>0</v>
      </c>
    </row>
    <row r="26" spans="1:17" ht="30" x14ac:dyDescent="0.15">
      <c r="A26" s="83" t="s">
        <v>16</v>
      </c>
      <c r="B26" s="34">
        <v>3</v>
      </c>
      <c r="C26" s="34">
        <v>3</v>
      </c>
      <c r="D26" s="34">
        <v>3</v>
      </c>
      <c r="E26" s="34">
        <v>3</v>
      </c>
      <c r="F26" s="34">
        <v>1</v>
      </c>
      <c r="G26" s="34">
        <v>1</v>
      </c>
      <c r="H26" s="34">
        <v>1</v>
      </c>
      <c r="I26" s="34">
        <v>1</v>
      </c>
      <c r="J26" s="34">
        <v>3</v>
      </c>
      <c r="K26" s="34">
        <v>3</v>
      </c>
      <c r="L26" s="34">
        <v>3</v>
      </c>
      <c r="M26" s="34">
        <v>3</v>
      </c>
      <c r="N26" s="34">
        <v>1</v>
      </c>
      <c r="O26" s="34">
        <v>1</v>
      </c>
      <c r="P26" s="34">
        <v>1</v>
      </c>
      <c r="Q26" s="34">
        <v>1</v>
      </c>
    </row>
    <row r="27" spans="1:17" ht="15" x14ac:dyDescent="0.15">
      <c r="A27" s="61" t="s">
        <v>17</v>
      </c>
      <c r="B27" s="39">
        <f t="shared" ref="B27:Q27" si="2">B21+B22+B23+B24-B26</f>
        <v>69.113299523037938</v>
      </c>
      <c r="C27" s="39">
        <f t="shared" si="2"/>
        <v>69.113299523037938</v>
      </c>
      <c r="D27" s="39">
        <f t="shared" si="2"/>
        <v>69.113299523037938</v>
      </c>
      <c r="E27" s="39">
        <f t="shared" si="2"/>
        <v>69.113299523037938</v>
      </c>
      <c r="F27" s="39">
        <f t="shared" si="2"/>
        <v>22</v>
      </c>
      <c r="G27" s="39">
        <f t="shared" si="2"/>
        <v>22</v>
      </c>
      <c r="H27" s="39">
        <f t="shared" si="2"/>
        <v>22</v>
      </c>
      <c r="I27" s="39">
        <f t="shared" si="2"/>
        <v>22</v>
      </c>
      <c r="J27" s="39">
        <f t="shared" si="2"/>
        <v>69.113299523037938</v>
      </c>
      <c r="K27" s="39">
        <f t="shared" si="2"/>
        <v>69.113299523037938</v>
      </c>
      <c r="L27" s="39">
        <f t="shared" si="2"/>
        <v>69.113299523037938</v>
      </c>
      <c r="M27" s="39">
        <f t="shared" si="2"/>
        <v>69.113299523037938</v>
      </c>
      <c r="N27" s="39">
        <f t="shared" si="2"/>
        <v>22</v>
      </c>
      <c r="O27" s="39">
        <f t="shared" si="2"/>
        <v>22</v>
      </c>
      <c r="P27" s="39">
        <f t="shared" si="2"/>
        <v>22</v>
      </c>
      <c r="Q27" s="39">
        <f t="shared" si="2"/>
        <v>22</v>
      </c>
    </row>
    <row r="28" spans="1:17" ht="15" x14ac:dyDescent="0.15">
      <c r="A28" s="61" t="s">
        <v>18</v>
      </c>
      <c r="B28" s="39">
        <f t="shared" ref="B28:Q28" si="3">B21+B22+B23-B25-B26</f>
        <v>69.113299523037938</v>
      </c>
      <c r="C28" s="39">
        <f t="shared" si="3"/>
        <v>69.113299523037938</v>
      </c>
      <c r="D28" s="39">
        <f t="shared" si="3"/>
        <v>69.113299523037938</v>
      </c>
      <c r="E28" s="39">
        <f t="shared" si="3"/>
        <v>69.113299523037938</v>
      </c>
      <c r="F28" s="39">
        <f t="shared" si="3"/>
        <v>22</v>
      </c>
      <c r="G28" s="39">
        <f t="shared" si="3"/>
        <v>22</v>
      </c>
      <c r="H28" s="39">
        <f t="shared" si="3"/>
        <v>22</v>
      </c>
      <c r="I28" s="39">
        <f t="shared" si="3"/>
        <v>22</v>
      </c>
      <c r="J28" s="39">
        <f t="shared" si="3"/>
        <v>69.113299523037938</v>
      </c>
      <c r="K28" s="39">
        <f t="shared" si="3"/>
        <v>69.113299523037938</v>
      </c>
      <c r="L28" s="39">
        <f t="shared" si="3"/>
        <v>69.113299523037938</v>
      </c>
      <c r="M28" s="39">
        <f t="shared" si="3"/>
        <v>69.113299523037938</v>
      </c>
      <c r="N28" s="39">
        <f t="shared" si="3"/>
        <v>22</v>
      </c>
      <c r="O28" s="39">
        <f t="shared" si="3"/>
        <v>22</v>
      </c>
      <c r="P28" s="39">
        <f t="shared" si="3"/>
        <v>22</v>
      </c>
      <c r="Q28" s="39">
        <f t="shared" si="3"/>
        <v>22</v>
      </c>
    </row>
    <row r="29" spans="1:17" x14ac:dyDescent="0.15">
      <c r="A29" s="37" t="s">
        <v>19</v>
      </c>
      <c r="B29" s="56"/>
      <c r="C29" s="56"/>
      <c r="D29" s="56"/>
      <c r="E29" s="56"/>
      <c r="F29" s="56"/>
      <c r="G29" s="56"/>
      <c r="H29" s="56"/>
      <c r="I29" s="56"/>
      <c r="J29" s="56"/>
      <c r="K29" s="56"/>
      <c r="L29" s="56"/>
      <c r="M29" s="56"/>
      <c r="N29" s="56"/>
      <c r="O29" s="56"/>
      <c r="P29" s="56"/>
      <c r="Q29" s="56"/>
    </row>
    <row r="30" spans="1:17" ht="30" x14ac:dyDescent="0.15">
      <c r="A30" s="57" t="s">
        <v>193</v>
      </c>
      <c r="B30" s="34">
        <v>2</v>
      </c>
      <c r="C30" s="58">
        <v>2</v>
      </c>
      <c r="D30" s="34">
        <v>2</v>
      </c>
      <c r="E30" s="58">
        <v>2</v>
      </c>
      <c r="F30" s="58">
        <v>64</v>
      </c>
      <c r="G30" s="58">
        <v>64</v>
      </c>
      <c r="H30" s="58">
        <v>64</v>
      </c>
      <c r="I30" s="58">
        <v>64</v>
      </c>
      <c r="J30" s="34">
        <v>2</v>
      </c>
      <c r="K30" s="58">
        <v>2</v>
      </c>
      <c r="L30" s="34">
        <v>2</v>
      </c>
      <c r="M30" s="58">
        <v>2</v>
      </c>
      <c r="N30" s="58">
        <v>64</v>
      </c>
      <c r="O30" s="58">
        <v>64</v>
      </c>
      <c r="P30" s="58">
        <v>64</v>
      </c>
      <c r="Q30" s="58">
        <v>64</v>
      </c>
    </row>
    <row r="31" spans="1:17" ht="15" x14ac:dyDescent="0.15">
      <c r="A31" s="57" t="s">
        <v>198</v>
      </c>
      <c r="B31" s="34">
        <v>2</v>
      </c>
      <c r="C31" s="58">
        <v>2</v>
      </c>
      <c r="D31" s="34">
        <v>2</v>
      </c>
      <c r="E31" s="58">
        <v>2</v>
      </c>
      <c r="F31" s="58">
        <v>2</v>
      </c>
      <c r="G31" s="58">
        <v>2</v>
      </c>
      <c r="H31" s="58">
        <v>2</v>
      </c>
      <c r="I31" s="58">
        <v>2</v>
      </c>
      <c r="J31" s="34">
        <v>2</v>
      </c>
      <c r="K31" s="58">
        <v>2</v>
      </c>
      <c r="L31" s="34">
        <v>2</v>
      </c>
      <c r="M31" s="58">
        <v>2</v>
      </c>
      <c r="N31" s="58">
        <v>2</v>
      </c>
      <c r="O31" s="58">
        <v>2</v>
      </c>
      <c r="P31" s="58">
        <v>2</v>
      </c>
      <c r="Q31" s="58">
        <v>2</v>
      </c>
    </row>
    <row r="32" spans="1:17" ht="15" x14ac:dyDescent="0.15">
      <c r="A32" s="57" t="s">
        <v>20</v>
      </c>
      <c r="B32" s="34">
        <v>0</v>
      </c>
      <c r="C32" s="58">
        <v>0</v>
      </c>
      <c r="D32" s="34">
        <v>0</v>
      </c>
      <c r="E32" s="58">
        <v>0</v>
      </c>
      <c r="F32" s="58">
        <v>8</v>
      </c>
      <c r="G32" s="58">
        <v>8</v>
      </c>
      <c r="H32" s="58">
        <v>8</v>
      </c>
      <c r="I32" s="58">
        <v>8</v>
      </c>
      <c r="J32" s="34">
        <v>0</v>
      </c>
      <c r="K32" s="58">
        <v>0</v>
      </c>
      <c r="L32" s="34">
        <v>0</v>
      </c>
      <c r="M32" s="58">
        <v>0</v>
      </c>
      <c r="N32" s="58">
        <v>8</v>
      </c>
      <c r="O32" s="58">
        <v>8</v>
      </c>
      <c r="P32" s="58">
        <v>8</v>
      </c>
      <c r="Q32" s="58">
        <v>8</v>
      </c>
    </row>
    <row r="33" spans="1:17" ht="28.5" x14ac:dyDescent="0.15">
      <c r="A33" s="62" t="s">
        <v>202</v>
      </c>
      <c r="B33" s="40">
        <f t="shared" ref="B33:Q33" si="4">IF(B30&gt;=2, 10*LOG10(B30/2), 0)</f>
        <v>0</v>
      </c>
      <c r="C33" s="40">
        <f t="shared" si="4"/>
        <v>0</v>
      </c>
      <c r="D33" s="40">
        <f t="shared" si="4"/>
        <v>0</v>
      </c>
      <c r="E33" s="40">
        <f t="shared" si="4"/>
        <v>0</v>
      </c>
      <c r="F33" s="40">
        <f t="shared" si="4"/>
        <v>15.051499783199061</v>
      </c>
      <c r="G33" s="40">
        <f t="shared" si="4"/>
        <v>15.051499783199061</v>
      </c>
      <c r="H33" s="40">
        <f t="shared" si="4"/>
        <v>15.051499783199061</v>
      </c>
      <c r="I33" s="40">
        <f t="shared" si="4"/>
        <v>15.051499783199061</v>
      </c>
      <c r="J33" s="40">
        <f t="shared" si="4"/>
        <v>0</v>
      </c>
      <c r="K33" s="40">
        <f t="shared" si="4"/>
        <v>0</v>
      </c>
      <c r="L33" s="40">
        <f t="shared" si="4"/>
        <v>0</v>
      </c>
      <c r="M33" s="40">
        <f t="shared" si="4"/>
        <v>0</v>
      </c>
      <c r="N33" s="40">
        <f t="shared" si="4"/>
        <v>15.051499783199061</v>
      </c>
      <c r="O33" s="40">
        <f t="shared" si="4"/>
        <v>15.051499783199061</v>
      </c>
      <c r="P33" s="40">
        <f t="shared" si="4"/>
        <v>15.051499783199061</v>
      </c>
      <c r="Q33" s="40">
        <f t="shared" si="4"/>
        <v>15.051499783199061</v>
      </c>
    </row>
    <row r="34" spans="1:17" ht="30" x14ac:dyDescent="0.15">
      <c r="A34" s="83" t="s">
        <v>21</v>
      </c>
      <c r="B34" s="34">
        <v>1</v>
      </c>
      <c r="C34" s="36">
        <v>1</v>
      </c>
      <c r="D34" s="34">
        <v>1</v>
      </c>
      <c r="E34" s="36">
        <v>1</v>
      </c>
      <c r="F34" s="34">
        <v>3</v>
      </c>
      <c r="G34" s="34">
        <v>3</v>
      </c>
      <c r="H34" s="34">
        <v>3</v>
      </c>
      <c r="I34" s="34">
        <v>3</v>
      </c>
      <c r="J34" s="34">
        <v>1</v>
      </c>
      <c r="K34" s="36">
        <v>1</v>
      </c>
      <c r="L34" s="34">
        <v>1</v>
      </c>
      <c r="M34" s="36">
        <v>1</v>
      </c>
      <c r="N34" s="34">
        <v>3</v>
      </c>
      <c r="O34" s="34">
        <v>3</v>
      </c>
      <c r="P34" s="34">
        <v>3</v>
      </c>
      <c r="Q34" s="34">
        <v>3</v>
      </c>
    </row>
    <row r="35" spans="1:17" ht="15" x14ac:dyDescent="0.15">
      <c r="A35" s="57" t="s">
        <v>22</v>
      </c>
      <c r="B35" s="35">
        <v>7</v>
      </c>
      <c r="C35" s="35">
        <v>7</v>
      </c>
      <c r="D35" s="35">
        <v>7</v>
      </c>
      <c r="E35" s="35">
        <v>7</v>
      </c>
      <c r="F35" s="35">
        <v>5</v>
      </c>
      <c r="G35" s="35">
        <v>5</v>
      </c>
      <c r="H35" s="35">
        <v>5</v>
      </c>
      <c r="I35" s="35">
        <v>5</v>
      </c>
      <c r="J35" s="35">
        <v>7</v>
      </c>
      <c r="K35" s="35">
        <v>7</v>
      </c>
      <c r="L35" s="35">
        <v>7</v>
      </c>
      <c r="M35" s="35">
        <v>7</v>
      </c>
      <c r="N35" s="35">
        <v>5</v>
      </c>
      <c r="O35" s="35">
        <v>5</v>
      </c>
      <c r="P35" s="35">
        <v>5</v>
      </c>
      <c r="Q35" s="35">
        <v>5</v>
      </c>
    </row>
    <row r="36" spans="1:17" ht="15" x14ac:dyDescent="0.15">
      <c r="A36" s="57" t="s">
        <v>23</v>
      </c>
      <c r="B36" s="35">
        <v>-174</v>
      </c>
      <c r="C36" s="35">
        <v>-174</v>
      </c>
      <c r="D36" s="35">
        <v>-174</v>
      </c>
      <c r="E36" s="35">
        <v>-174</v>
      </c>
      <c r="F36" s="34">
        <v>-174</v>
      </c>
      <c r="G36" s="35">
        <v>-174</v>
      </c>
      <c r="H36" s="34">
        <v>-174</v>
      </c>
      <c r="I36" s="35">
        <v>-174</v>
      </c>
      <c r="J36" s="35">
        <v>-174</v>
      </c>
      <c r="K36" s="35">
        <v>-174</v>
      </c>
      <c r="L36" s="35">
        <v>-174</v>
      </c>
      <c r="M36" s="35">
        <v>-174</v>
      </c>
      <c r="N36" s="34">
        <v>-174</v>
      </c>
      <c r="O36" s="35">
        <v>-174</v>
      </c>
      <c r="P36" s="34">
        <v>-174</v>
      </c>
      <c r="Q36" s="35">
        <v>-174</v>
      </c>
    </row>
    <row r="37" spans="1:17" ht="30" x14ac:dyDescent="0.15">
      <c r="A37" s="57" t="s">
        <v>24</v>
      </c>
      <c r="B37" s="34" t="s">
        <v>187</v>
      </c>
      <c r="C37" s="35">
        <v>-169.3</v>
      </c>
      <c r="D37" s="34" t="s">
        <v>187</v>
      </c>
      <c r="E37" s="35">
        <v>-169.3</v>
      </c>
      <c r="F37" s="35" t="s">
        <v>187</v>
      </c>
      <c r="G37" s="35">
        <v>-161.69999999999999</v>
      </c>
      <c r="H37" s="35" t="s">
        <v>187</v>
      </c>
      <c r="I37" s="35">
        <v>-161.69999999999999</v>
      </c>
      <c r="J37" s="34" t="s">
        <v>213</v>
      </c>
      <c r="K37" s="35">
        <v>-169.3</v>
      </c>
      <c r="L37" s="34" t="s">
        <v>213</v>
      </c>
      <c r="M37" s="35">
        <v>-169.3</v>
      </c>
      <c r="N37" s="35" t="s">
        <v>213</v>
      </c>
      <c r="O37" s="35">
        <v>-161.69999999999999</v>
      </c>
      <c r="P37" s="35" t="s">
        <v>213</v>
      </c>
      <c r="Q37" s="35">
        <v>-161.69999999999999</v>
      </c>
    </row>
    <row r="38" spans="1:17" ht="15" x14ac:dyDescent="0.15">
      <c r="A38" s="57" t="s">
        <v>25</v>
      </c>
      <c r="B38" s="34">
        <v>-169.3</v>
      </c>
      <c r="C38" s="35" t="s">
        <v>187</v>
      </c>
      <c r="D38" s="34">
        <v>-169.3</v>
      </c>
      <c r="E38" s="35" t="s">
        <v>187</v>
      </c>
      <c r="F38" s="35">
        <v>-165.7</v>
      </c>
      <c r="G38" s="35" t="s">
        <v>187</v>
      </c>
      <c r="H38" s="35">
        <v>-165.7</v>
      </c>
      <c r="I38" s="35" t="s">
        <v>187</v>
      </c>
      <c r="J38" s="34">
        <v>-169.3</v>
      </c>
      <c r="K38" s="35" t="s">
        <v>213</v>
      </c>
      <c r="L38" s="34">
        <v>-169.3</v>
      </c>
      <c r="M38" s="35" t="s">
        <v>213</v>
      </c>
      <c r="N38" s="35">
        <v>-165.7</v>
      </c>
      <c r="O38" s="35" t="s">
        <v>213</v>
      </c>
      <c r="P38" s="35">
        <v>-165.7</v>
      </c>
      <c r="Q38" s="35" t="s">
        <v>213</v>
      </c>
    </row>
    <row r="39" spans="1:17" ht="45" x14ac:dyDescent="0.15">
      <c r="A39" s="63" t="s">
        <v>45</v>
      </c>
      <c r="B39" s="39" t="s">
        <v>208</v>
      </c>
      <c r="C39" s="39">
        <f t="shared" ref="C39:I39" si="5">10*LOG10(10^((C35+C36)/10)+10^(C37/10))</f>
        <v>-164.98918835931039</v>
      </c>
      <c r="D39" s="39" t="s">
        <v>208</v>
      </c>
      <c r="E39" s="39">
        <f t="shared" si="5"/>
        <v>-164.98918835931039</v>
      </c>
      <c r="F39" s="39" t="s">
        <v>208</v>
      </c>
      <c r="G39" s="39">
        <f t="shared" si="5"/>
        <v>-160.9583889004532</v>
      </c>
      <c r="H39" s="39" t="s">
        <v>208</v>
      </c>
      <c r="I39" s="39">
        <f t="shared" si="5"/>
        <v>-160.9583889004532</v>
      </c>
      <c r="J39" s="39" t="s">
        <v>213</v>
      </c>
      <c r="K39" s="39">
        <f t="shared" ref="K39:Q39" si="6">10*LOG10(10^((K35+K36)/10)+10^(K37/10))</f>
        <v>-164.98918835931039</v>
      </c>
      <c r="L39" s="39" t="s">
        <v>213</v>
      </c>
      <c r="M39" s="39">
        <f t="shared" si="6"/>
        <v>-164.98918835931039</v>
      </c>
      <c r="N39" s="39" t="s">
        <v>213</v>
      </c>
      <c r="O39" s="39">
        <f t="shared" si="6"/>
        <v>-160.9583889004532</v>
      </c>
      <c r="P39" s="39" t="s">
        <v>213</v>
      </c>
      <c r="Q39" s="39">
        <f t="shared" si="6"/>
        <v>-160.9583889004532</v>
      </c>
    </row>
    <row r="40" spans="1:17" ht="45" x14ac:dyDescent="0.15">
      <c r="A40" s="63" t="s">
        <v>46</v>
      </c>
      <c r="B40" s="39">
        <f t="shared" ref="B40:H40" si="7">10*LOG10(10^((B35+B36)/10)+10^(B38/10))</f>
        <v>-164.98918835931039</v>
      </c>
      <c r="C40" s="39" t="s">
        <v>208</v>
      </c>
      <c r="D40" s="39">
        <f t="shared" si="7"/>
        <v>-164.98918835931039</v>
      </c>
      <c r="E40" s="39" t="s">
        <v>208</v>
      </c>
      <c r="F40" s="39">
        <f t="shared" si="7"/>
        <v>-164.03352307536667</v>
      </c>
      <c r="G40" s="39" t="s">
        <v>208</v>
      </c>
      <c r="H40" s="39">
        <f t="shared" si="7"/>
        <v>-164.03352307536667</v>
      </c>
      <c r="I40" s="39" t="s">
        <v>208</v>
      </c>
      <c r="J40" s="39">
        <f t="shared" ref="J40:P40" si="8">10*LOG10(10^((J35+J36)/10)+10^(J38/10))</f>
        <v>-164.98918835931039</v>
      </c>
      <c r="K40" s="39" t="s">
        <v>213</v>
      </c>
      <c r="L40" s="39">
        <f t="shared" si="8"/>
        <v>-164.98918835931039</v>
      </c>
      <c r="M40" s="39" t="s">
        <v>213</v>
      </c>
      <c r="N40" s="39">
        <f t="shared" si="8"/>
        <v>-164.03352307536667</v>
      </c>
      <c r="O40" s="39" t="s">
        <v>213</v>
      </c>
      <c r="P40" s="39">
        <f t="shared" si="8"/>
        <v>-164.03352307536667</v>
      </c>
      <c r="Q40" s="39" t="s">
        <v>213</v>
      </c>
    </row>
    <row r="41" spans="1:17" ht="30" x14ac:dyDescent="0.15">
      <c r="A41" s="57" t="s">
        <v>26</v>
      </c>
      <c r="B41" s="34" t="s">
        <v>187</v>
      </c>
      <c r="C41" s="34">
        <f>'[1]NR MaxN_RB'!$F$6*12*15*1000</f>
        <v>19080000</v>
      </c>
      <c r="D41" s="34" t="s">
        <v>187</v>
      </c>
      <c r="E41" s="34">
        <f>'[1]NR MaxN_RB'!$F$6*12*15*1000</f>
        <v>19080000</v>
      </c>
      <c r="F41" s="58" t="s">
        <v>187</v>
      </c>
      <c r="G41" s="35">
        <f>1*12*30*1000</f>
        <v>360000</v>
      </c>
      <c r="H41" s="58" t="s">
        <v>187</v>
      </c>
      <c r="I41" s="35">
        <f>1*12*30*1000</f>
        <v>360000</v>
      </c>
      <c r="J41" s="34" t="s">
        <v>213</v>
      </c>
      <c r="K41" s="34">
        <f>MaxN_RB!F7*12*30*1000</f>
        <v>18360000</v>
      </c>
      <c r="L41" s="34" t="s">
        <v>57</v>
      </c>
      <c r="M41" s="34">
        <f>MaxN_RB!F7*12*30*1000</f>
        <v>18360000</v>
      </c>
      <c r="N41" s="58" t="s">
        <v>57</v>
      </c>
      <c r="O41" s="35">
        <f>1*12*30*1000</f>
        <v>360000</v>
      </c>
      <c r="P41" s="58" t="s">
        <v>57</v>
      </c>
      <c r="Q41" s="35">
        <f>1*12*30*1000</f>
        <v>360000</v>
      </c>
    </row>
    <row r="42" spans="1:17" ht="30" x14ac:dyDescent="0.15">
      <c r="A42" s="57" t="s">
        <v>27</v>
      </c>
      <c r="B42" s="34">
        <f>'[1]NR MaxN_RB'!$F$7*12*30*1000</f>
        <v>18360000</v>
      </c>
      <c r="C42" s="58" t="s">
        <v>187</v>
      </c>
      <c r="D42" s="34">
        <f>'[1]NR MaxN_RB'!$F$7*12*30*1000</f>
        <v>18360000</v>
      </c>
      <c r="E42" s="58" t="s">
        <v>187</v>
      </c>
      <c r="F42" s="34">
        <f>4*12*30*1000</f>
        <v>1440000</v>
      </c>
      <c r="G42" s="35" t="s">
        <v>187</v>
      </c>
      <c r="H42" s="34">
        <f>4*12*30*1000</f>
        <v>1440000</v>
      </c>
      <c r="I42" s="35" t="s">
        <v>187</v>
      </c>
      <c r="J42" s="34">
        <f>MaxN_RB!F7*12*30*1000</f>
        <v>18360000</v>
      </c>
      <c r="K42" s="58" t="s">
        <v>57</v>
      </c>
      <c r="L42" s="34">
        <f>MaxN_RB!F7*12*30*1000</f>
        <v>18360000</v>
      </c>
      <c r="M42" s="58" t="s">
        <v>57</v>
      </c>
      <c r="N42" s="34">
        <f>4*12*30*1000</f>
        <v>1440000</v>
      </c>
      <c r="O42" s="35" t="s">
        <v>57</v>
      </c>
      <c r="P42" s="34">
        <f>4*12*30*1000</f>
        <v>1440000</v>
      </c>
      <c r="Q42" s="35" t="s">
        <v>213</v>
      </c>
    </row>
    <row r="43" spans="1:17" ht="15" x14ac:dyDescent="0.15">
      <c r="A43" s="61" t="s">
        <v>28</v>
      </c>
      <c r="B43" s="39" t="s">
        <v>208</v>
      </c>
      <c r="C43" s="39">
        <f t="shared" ref="B43:I44" si="9">C39+10*LOG10(C41)</f>
        <v>-92.18340465562963</v>
      </c>
      <c r="D43" s="39" t="s">
        <v>208</v>
      </c>
      <c r="E43" s="39">
        <f t="shared" si="9"/>
        <v>-92.18340465562963</v>
      </c>
      <c r="F43" s="39" t="s">
        <v>208</v>
      </c>
      <c r="G43" s="39">
        <f t="shared" si="9"/>
        <v>-105.39536389278032</v>
      </c>
      <c r="H43" s="39" t="s">
        <v>208</v>
      </c>
      <c r="I43" s="39">
        <f t="shared" si="9"/>
        <v>-105.39536389278032</v>
      </c>
      <c r="J43" s="39" t="s">
        <v>213</v>
      </c>
      <c r="K43" s="39">
        <f t="shared" ref="J43:Q44" si="10">K39+10*LOG10(K41)</f>
        <v>-92.350461590658156</v>
      </c>
      <c r="L43" s="39" t="s">
        <v>57</v>
      </c>
      <c r="M43" s="39">
        <f t="shared" si="10"/>
        <v>-92.350461590658156</v>
      </c>
      <c r="N43" s="39" t="s">
        <v>213</v>
      </c>
      <c r="O43" s="39">
        <f t="shared" si="10"/>
        <v>-105.39536389278032</v>
      </c>
      <c r="P43" s="39" t="s">
        <v>213</v>
      </c>
      <c r="Q43" s="39">
        <f t="shared" si="10"/>
        <v>-105.39536389278032</v>
      </c>
    </row>
    <row r="44" spans="1:17" ht="15" x14ac:dyDescent="0.15">
      <c r="A44" s="61" t="s">
        <v>29</v>
      </c>
      <c r="B44" s="39">
        <f t="shared" si="9"/>
        <v>-92.350461590658156</v>
      </c>
      <c r="C44" s="39" t="s">
        <v>208</v>
      </c>
      <c r="D44" s="39">
        <f t="shared" si="9"/>
        <v>-92.350461590658156</v>
      </c>
      <c r="E44" s="39" t="s">
        <v>208</v>
      </c>
      <c r="F44" s="39">
        <f t="shared" si="9"/>
        <v>-102.44989815441417</v>
      </c>
      <c r="G44" s="39" t="s">
        <v>208</v>
      </c>
      <c r="H44" s="39">
        <f t="shared" si="9"/>
        <v>-102.44989815441417</v>
      </c>
      <c r="I44" s="39" t="s">
        <v>208</v>
      </c>
      <c r="J44" s="39">
        <f t="shared" si="10"/>
        <v>-92.350461590658156</v>
      </c>
      <c r="K44" s="39" t="s">
        <v>213</v>
      </c>
      <c r="L44" s="39">
        <f t="shared" si="10"/>
        <v>-92.350461590658156</v>
      </c>
      <c r="M44" s="39" t="s">
        <v>213</v>
      </c>
      <c r="N44" s="39">
        <f t="shared" si="10"/>
        <v>-102.44989815441417</v>
      </c>
      <c r="O44" s="39" t="s">
        <v>213</v>
      </c>
      <c r="P44" s="39">
        <f t="shared" si="10"/>
        <v>-102.44989815441417</v>
      </c>
      <c r="Q44" s="39" t="s">
        <v>213</v>
      </c>
    </row>
    <row r="45" spans="1:17" ht="15" x14ac:dyDescent="0.15">
      <c r="A45" s="57" t="s">
        <v>30</v>
      </c>
      <c r="B45" s="34" t="s">
        <v>187</v>
      </c>
      <c r="C45" s="74">
        <v>-4.5999999999999996</v>
      </c>
      <c r="D45" s="74" t="s">
        <v>187</v>
      </c>
      <c r="E45" s="74">
        <v>-4.5</v>
      </c>
      <c r="F45" s="34" t="s">
        <v>187</v>
      </c>
      <c r="G45" s="74">
        <v>-5</v>
      </c>
      <c r="H45" s="74" t="s">
        <v>187</v>
      </c>
      <c r="I45" s="74">
        <v>-7.5</v>
      </c>
      <c r="J45" s="74" t="s">
        <v>213</v>
      </c>
      <c r="K45" s="74">
        <v>-9.4</v>
      </c>
      <c r="L45" s="74" t="s">
        <v>213</v>
      </c>
      <c r="M45" s="74">
        <v>-9.6999999999999993</v>
      </c>
      <c r="N45" s="74" t="s">
        <v>57</v>
      </c>
      <c r="O45" s="74">
        <v>-9.4</v>
      </c>
      <c r="P45" s="74" t="s">
        <v>213</v>
      </c>
      <c r="Q45" s="74">
        <v>-10</v>
      </c>
    </row>
    <row r="46" spans="1:17" ht="15" x14ac:dyDescent="0.15">
      <c r="A46" s="57" t="s">
        <v>31</v>
      </c>
      <c r="B46" s="34">
        <v>2.8</v>
      </c>
      <c r="C46" s="34" t="s">
        <v>187</v>
      </c>
      <c r="D46" s="34">
        <v>-0.5</v>
      </c>
      <c r="E46" s="34" t="s">
        <v>187</v>
      </c>
      <c r="F46" s="74">
        <v>1.28</v>
      </c>
      <c r="G46" s="34" t="s">
        <v>187</v>
      </c>
      <c r="H46" s="74">
        <v>0.45</v>
      </c>
      <c r="I46" s="34" t="s">
        <v>187</v>
      </c>
      <c r="J46" s="74">
        <v>0.2</v>
      </c>
      <c r="K46" s="74" t="s">
        <v>213</v>
      </c>
      <c r="L46" s="74">
        <v>-0.8</v>
      </c>
      <c r="M46" s="74" t="s">
        <v>213</v>
      </c>
      <c r="N46" s="74">
        <v>-2</v>
      </c>
      <c r="O46" s="74" t="s">
        <v>213</v>
      </c>
      <c r="P46" s="74">
        <v>-2</v>
      </c>
      <c r="Q46" s="74" t="s">
        <v>213</v>
      </c>
    </row>
    <row r="47" spans="1:17" ht="15" x14ac:dyDescent="0.15">
      <c r="A47" s="57" t="s">
        <v>32</v>
      </c>
      <c r="B47" s="34">
        <v>2</v>
      </c>
      <c r="C47" s="35">
        <v>2</v>
      </c>
      <c r="D47" s="34">
        <v>2</v>
      </c>
      <c r="E47" s="35">
        <v>2</v>
      </c>
      <c r="F47" s="58">
        <v>2</v>
      </c>
      <c r="G47" s="35">
        <v>2</v>
      </c>
      <c r="H47" s="58">
        <v>2</v>
      </c>
      <c r="I47" s="35">
        <v>2</v>
      </c>
      <c r="J47" s="34">
        <v>2</v>
      </c>
      <c r="K47" s="35">
        <v>2</v>
      </c>
      <c r="L47" s="34">
        <v>2</v>
      </c>
      <c r="M47" s="35">
        <v>2</v>
      </c>
      <c r="N47" s="58">
        <v>2</v>
      </c>
      <c r="O47" s="35">
        <v>2</v>
      </c>
      <c r="P47" s="58">
        <v>2</v>
      </c>
      <c r="Q47" s="35">
        <v>2</v>
      </c>
    </row>
    <row r="48" spans="1:17" ht="15" x14ac:dyDescent="0.15">
      <c r="A48" s="57" t="s">
        <v>33</v>
      </c>
      <c r="B48" s="34" t="s">
        <v>187</v>
      </c>
      <c r="C48" s="35">
        <v>0</v>
      </c>
      <c r="D48" s="34" t="s">
        <v>187</v>
      </c>
      <c r="E48" s="35">
        <v>0</v>
      </c>
      <c r="F48" s="58" t="s">
        <v>187</v>
      </c>
      <c r="G48" s="35">
        <v>0</v>
      </c>
      <c r="H48" s="58" t="s">
        <v>187</v>
      </c>
      <c r="I48" s="35">
        <v>0</v>
      </c>
      <c r="J48" s="34" t="s">
        <v>213</v>
      </c>
      <c r="K48" s="35">
        <v>0</v>
      </c>
      <c r="L48" s="34" t="s">
        <v>213</v>
      </c>
      <c r="M48" s="35">
        <v>0</v>
      </c>
      <c r="N48" s="58" t="s">
        <v>57</v>
      </c>
      <c r="O48" s="35">
        <v>0</v>
      </c>
      <c r="P48" s="58" t="s">
        <v>213</v>
      </c>
      <c r="Q48" s="35">
        <v>0</v>
      </c>
    </row>
    <row r="49" spans="1:17" ht="15" x14ac:dyDescent="0.15">
      <c r="A49" s="57" t="s">
        <v>34</v>
      </c>
      <c r="B49" s="34">
        <v>0.5</v>
      </c>
      <c r="C49" s="35" t="s">
        <v>187</v>
      </c>
      <c r="D49" s="34">
        <v>0.5</v>
      </c>
      <c r="E49" s="35" t="s">
        <v>187</v>
      </c>
      <c r="F49" s="58">
        <v>0.5</v>
      </c>
      <c r="G49" s="35" t="s">
        <v>187</v>
      </c>
      <c r="H49" s="58">
        <v>0.5</v>
      </c>
      <c r="I49" s="35" t="s">
        <v>187</v>
      </c>
      <c r="J49" s="34">
        <v>0.5</v>
      </c>
      <c r="K49" s="35" t="s">
        <v>57</v>
      </c>
      <c r="L49" s="34">
        <v>0.5</v>
      </c>
      <c r="M49" s="35" t="s">
        <v>57</v>
      </c>
      <c r="N49" s="58">
        <v>0.5</v>
      </c>
      <c r="O49" s="35" t="s">
        <v>213</v>
      </c>
      <c r="P49" s="58">
        <v>0.5</v>
      </c>
      <c r="Q49" s="35" t="s">
        <v>213</v>
      </c>
    </row>
    <row r="50" spans="1:17" ht="30" x14ac:dyDescent="0.15">
      <c r="A50" s="63" t="s">
        <v>47</v>
      </c>
      <c r="B50" s="39" t="s">
        <v>208</v>
      </c>
      <c r="C50" s="39">
        <f t="shared" ref="C50:I50" si="11">C43+C45+C47-C48</f>
        <v>-94.783404655629624</v>
      </c>
      <c r="D50" s="39" t="s">
        <v>208</v>
      </c>
      <c r="E50" s="39">
        <f t="shared" si="11"/>
        <v>-94.68340465562963</v>
      </c>
      <c r="F50" s="39" t="s">
        <v>208</v>
      </c>
      <c r="G50" s="39">
        <f t="shared" si="11"/>
        <v>-108.39536389278032</v>
      </c>
      <c r="H50" s="39" t="s">
        <v>208</v>
      </c>
      <c r="I50" s="39">
        <f t="shared" si="11"/>
        <v>-110.89536389278032</v>
      </c>
      <c r="J50" s="39" t="s">
        <v>213</v>
      </c>
      <c r="K50" s="39">
        <f t="shared" ref="K50:Q50" si="12">K43+K45+K47-K48</f>
        <v>-99.750461590658162</v>
      </c>
      <c r="L50" s="39" t="s">
        <v>213</v>
      </c>
      <c r="M50" s="39">
        <f t="shared" si="12"/>
        <v>-100.05046159065816</v>
      </c>
      <c r="N50" s="39" t="s">
        <v>213</v>
      </c>
      <c r="O50" s="39">
        <f t="shared" si="12"/>
        <v>-112.79536389278033</v>
      </c>
      <c r="P50" s="39" t="s">
        <v>227</v>
      </c>
      <c r="Q50" s="39">
        <f t="shared" si="12"/>
        <v>-113.39536389278032</v>
      </c>
    </row>
    <row r="51" spans="1:17" ht="30" x14ac:dyDescent="0.15">
      <c r="A51" s="63" t="s">
        <v>48</v>
      </c>
      <c r="B51" s="39">
        <f>B44+B46+B47-B49</f>
        <v>-88.050461590658159</v>
      </c>
      <c r="C51" s="39" t="s">
        <v>208</v>
      </c>
      <c r="D51" s="39">
        <f t="shared" ref="D51:H51" si="13">D44+D46+D47-D49</f>
        <v>-91.350461590658156</v>
      </c>
      <c r="E51" s="39" t="s">
        <v>208</v>
      </c>
      <c r="F51" s="39">
        <f t="shared" si="13"/>
        <v>-99.66989815441417</v>
      </c>
      <c r="G51" s="39" t="s">
        <v>208</v>
      </c>
      <c r="H51" s="39">
        <f t="shared" si="13"/>
        <v>-100.49989815441417</v>
      </c>
      <c r="I51" s="39" t="s">
        <v>208</v>
      </c>
      <c r="J51" s="39">
        <f>J44+J46+J47-J49</f>
        <v>-90.650461590658153</v>
      </c>
      <c r="K51" s="39" t="s">
        <v>227</v>
      </c>
      <c r="L51" s="39">
        <f t="shared" ref="L51:P51" si="14">L44+L46+L47-L49</f>
        <v>-91.650461590658153</v>
      </c>
      <c r="M51" s="39" t="s">
        <v>227</v>
      </c>
      <c r="N51" s="39">
        <f t="shared" si="14"/>
        <v>-102.94989815441417</v>
      </c>
      <c r="O51" s="39" t="s">
        <v>227</v>
      </c>
      <c r="P51" s="39">
        <f t="shared" si="14"/>
        <v>-102.94989815441417</v>
      </c>
      <c r="Q51" s="39" t="s">
        <v>213</v>
      </c>
    </row>
    <row r="52" spans="1:17" ht="30" x14ac:dyDescent="0.15">
      <c r="A52" s="63" t="s">
        <v>101</v>
      </c>
      <c r="B52" s="39" t="s">
        <v>208</v>
      </c>
      <c r="C52" s="39">
        <f t="shared" ref="C52:I52" si="15">C27+C32+C33-C50</f>
        <v>163.89670417866756</v>
      </c>
      <c r="D52" s="39" t="s">
        <v>208</v>
      </c>
      <c r="E52" s="39">
        <f t="shared" si="15"/>
        <v>163.79670417866757</v>
      </c>
      <c r="F52" s="39" t="s">
        <v>208</v>
      </c>
      <c r="G52" s="39">
        <f t="shared" si="15"/>
        <v>153.44686367597939</v>
      </c>
      <c r="H52" s="39" t="s">
        <v>208</v>
      </c>
      <c r="I52" s="39">
        <f t="shared" si="15"/>
        <v>155.94686367597939</v>
      </c>
      <c r="J52" s="39" t="s">
        <v>227</v>
      </c>
      <c r="K52" s="39">
        <f t="shared" ref="K52:Q52" si="16">K27+K32+K33-K50</f>
        <v>168.86376111369611</v>
      </c>
      <c r="L52" s="39" t="s">
        <v>227</v>
      </c>
      <c r="M52" s="39">
        <f t="shared" si="16"/>
        <v>169.1637611136961</v>
      </c>
      <c r="N52" s="39" t="s">
        <v>227</v>
      </c>
      <c r="O52" s="39">
        <f t="shared" si="16"/>
        <v>157.84686367597939</v>
      </c>
      <c r="P52" s="39" t="s">
        <v>227</v>
      </c>
      <c r="Q52" s="39">
        <f t="shared" si="16"/>
        <v>158.44686367597939</v>
      </c>
    </row>
    <row r="53" spans="1:17" ht="30" x14ac:dyDescent="0.15">
      <c r="A53" s="63" t="s">
        <v>102</v>
      </c>
      <c r="B53" s="39">
        <f t="shared" ref="B53:H53" si="17">B28+B32+B33-B51</f>
        <v>157.1637611136961</v>
      </c>
      <c r="C53" s="39" t="s">
        <v>208</v>
      </c>
      <c r="D53" s="39">
        <f t="shared" si="17"/>
        <v>160.46376111369608</v>
      </c>
      <c r="E53" s="39" t="s">
        <v>208</v>
      </c>
      <c r="F53" s="39">
        <f t="shared" si="17"/>
        <v>144.72139793761323</v>
      </c>
      <c r="G53" s="39" t="s">
        <v>208</v>
      </c>
      <c r="H53" s="39">
        <f t="shared" si="17"/>
        <v>145.55139793761322</v>
      </c>
      <c r="I53" s="39" t="s">
        <v>208</v>
      </c>
      <c r="J53" s="39">
        <f t="shared" ref="J53:P53" si="18">J28+J32+J33-J51</f>
        <v>159.76376111369609</v>
      </c>
      <c r="K53" s="39" t="s">
        <v>213</v>
      </c>
      <c r="L53" s="39">
        <f t="shared" si="18"/>
        <v>160.76376111369609</v>
      </c>
      <c r="M53" s="39" t="s">
        <v>227</v>
      </c>
      <c r="N53" s="39">
        <f t="shared" si="18"/>
        <v>148.00139793761323</v>
      </c>
      <c r="O53" s="39" t="s">
        <v>227</v>
      </c>
      <c r="P53" s="39">
        <f t="shared" si="18"/>
        <v>148.00139793761323</v>
      </c>
      <c r="Q53" s="39" t="s">
        <v>213</v>
      </c>
    </row>
    <row r="54" spans="1:17" x14ac:dyDescent="0.15">
      <c r="A54" s="37" t="s">
        <v>35</v>
      </c>
      <c r="B54" s="56"/>
      <c r="C54" s="56"/>
      <c r="D54" s="56"/>
      <c r="E54" s="56"/>
      <c r="F54" s="56"/>
      <c r="G54" s="56"/>
      <c r="H54" s="56"/>
      <c r="I54" s="56"/>
      <c r="J54" s="56"/>
      <c r="K54" s="56"/>
      <c r="L54" s="56"/>
      <c r="M54" s="56"/>
      <c r="N54" s="56"/>
      <c r="O54" s="56"/>
      <c r="P54" s="56"/>
      <c r="Q54" s="56"/>
    </row>
    <row r="55" spans="1:17" ht="15" x14ac:dyDescent="0.15">
      <c r="A55" s="57" t="s">
        <v>36</v>
      </c>
      <c r="B55" s="58">
        <v>8</v>
      </c>
      <c r="C55" s="58">
        <v>8</v>
      </c>
      <c r="D55" s="58">
        <v>8</v>
      </c>
      <c r="E55" s="58">
        <v>8</v>
      </c>
      <c r="F55" s="58">
        <v>8</v>
      </c>
      <c r="G55" s="58">
        <v>8</v>
      </c>
      <c r="H55" s="58">
        <v>8</v>
      </c>
      <c r="I55" s="58">
        <v>8</v>
      </c>
      <c r="J55" s="76">
        <v>6</v>
      </c>
      <c r="K55" s="76">
        <v>6</v>
      </c>
      <c r="L55" s="76">
        <v>8</v>
      </c>
      <c r="M55" s="76">
        <v>8</v>
      </c>
      <c r="N55" s="76">
        <v>6</v>
      </c>
      <c r="O55" s="76">
        <v>6</v>
      </c>
      <c r="P55" s="76">
        <v>8</v>
      </c>
      <c r="Q55" s="76">
        <v>8</v>
      </c>
    </row>
    <row r="56" spans="1:17" ht="30" x14ac:dyDescent="0.15">
      <c r="A56" s="57" t="s">
        <v>37</v>
      </c>
      <c r="B56" s="42" t="s">
        <v>123</v>
      </c>
      <c r="C56" s="58">
        <v>10.45</v>
      </c>
      <c r="D56" s="58" t="s">
        <v>90</v>
      </c>
      <c r="E56" s="58">
        <v>8.4499999999999993</v>
      </c>
      <c r="F56" s="42" t="s">
        <v>123</v>
      </c>
      <c r="G56" s="58">
        <v>10.45</v>
      </c>
      <c r="H56" s="58" t="s">
        <v>90</v>
      </c>
      <c r="I56" s="58">
        <v>8.4499999999999993</v>
      </c>
      <c r="J56" s="89" t="s">
        <v>227</v>
      </c>
      <c r="K56" s="76">
        <v>8.06</v>
      </c>
      <c r="L56" s="76" t="s">
        <v>227</v>
      </c>
      <c r="M56" s="76">
        <v>8.2899999999999991</v>
      </c>
      <c r="N56" s="89" t="s">
        <v>227</v>
      </c>
      <c r="O56" s="76">
        <v>8.06</v>
      </c>
      <c r="P56" s="76" t="s">
        <v>227</v>
      </c>
      <c r="Q56" s="76">
        <v>8.2899999999999991</v>
      </c>
    </row>
    <row r="57" spans="1:17" ht="30" x14ac:dyDescent="0.15">
      <c r="A57" s="57" t="s">
        <v>38</v>
      </c>
      <c r="B57" s="58">
        <v>6.61</v>
      </c>
      <c r="C57" s="42" t="s">
        <v>123</v>
      </c>
      <c r="D57" s="58">
        <v>5.13</v>
      </c>
      <c r="E57" s="42" t="s">
        <v>90</v>
      </c>
      <c r="F57" s="58">
        <v>6.61</v>
      </c>
      <c r="G57" s="42" t="s">
        <v>123</v>
      </c>
      <c r="H57" s="58">
        <v>5.13</v>
      </c>
      <c r="I57" s="42" t="s">
        <v>90</v>
      </c>
      <c r="J57" s="76">
        <v>4.79</v>
      </c>
      <c r="K57" s="89" t="s">
        <v>213</v>
      </c>
      <c r="L57" s="76">
        <v>5.0199999999999996</v>
      </c>
      <c r="M57" s="89" t="s">
        <v>227</v>
      </c>
      <c r="N57" s="76">
        <v>4.79</v>
      </c>
      <c r="O57" s="89" t="s">
        <v>213</v>
      </c>
      <c r="P57" s="76">
        <v>5.0199999999999996</v>
      </c>
      <c r="Q57" s="89" t="s">
        <v>213</v>
      </c>
    </row>
    <row r="58" spans="1:17" ht="15" x14ac:dyDescent="0.15">
      <c r="A58" s="57" t="s">
        <v>39</v>
      </c>
      <c r="B58" s="36">
        <v>0</v>
      </c>
      <c r="C58" s="36">
        <v>0</v>
      </c>
      <c r="D58" s="36">
        <v>0</v>
      </c>
      <c r="E58" s="36">
        <v>0</v>
      </c>
      <c r="F58" s="36">
        <v>0</v>
      </c>
      <c r="G58" s="36">
        <v>0</v>
      </c>
      <c r="H58" s="36">
        <v>0</v>
      </c>
      <c r="I58" s="36">
        <v>0</v>
      </c>
      <c r="J58" s="75">
        <v>0</v>
      </c>
      <c r="K58" s="75">
        <v>0</v>
      </c>
      <c r="L58" s="75">
        <v>0</v>
      </c>
      <c r="M58" s="75">
        <v>0</v>
      </c>
      <c r="N58" s="75">
        <v>0</v>
      </c>
      <c r="O58" s="75">
        <v>0</v>
      </c>
      <c r="P58" s="75">
        <v>0</v>
      </c>
      <c r="Q58" s="75">
        <v>0</v>
      </c>
    </row>
    <row r="59" spans="1:17" ht="15" x14ac:dyDescent="0.15">
      <c r="A59" s="57" t="s">
        <v>40</v>
      </c>
      <c r="B59" s="36">
        <v>9</v>
      </c>
      <c r="C59" s="36">
        <v>9</v>
      </c>
      <c r="D59" s="36">
        <v>12.5</v>
      </c>
      <c r="E59" s="36">
        <v>12.5</v>
      </c>
      <c r="F59" s="36">
        <v>9</v>
      </c>
      <c r="G59" s="36">
        <v>9</v>
      </c>
      <c r="H59" s="36">
        <v>12.5</v>
      </c>
      <c r="I59" s="36">
        <v>12.5</v>
      </c>
      <c r="J59" s="75">
        <v>9</v>
      </c>
      <c r="K59" s="75">
        <v>9</v>
      </c>
      <c r="L59" s="75">
        <v>12.5</v>
      </c>
      <c r="M59" s="75">
        <v>12.5</v>
      </c>
      <c r="N59" s="75">
        <v>9</v>
      </c>
      <c r="O59" s="75">
        <v>9</v>
      </c>
      <c r="P59" s="75">
        <v>12.5</v>
      </c>
      <c r="Q59" s="75">
        <v>12.5</v>
      </c>
    </row>
    <row r="60" spans="1:17" ht="15" x14ac:dyDescent="0.15">
      <c r="A60" s="57" t="s">
        <v>41</v>
      </c>
      <c r="B60" s="58">
        <v>0</v>
      </c>
      <c r="C60" s="58">
        <v>0</v>
      </c>
      <c r="D60" s="58">
        <v>0</v>
      </c>
      <c r="E60" s="58">
        <v>0</v>
      </c>
      <c r="F60" s="58">
        <v>0</v>
      </c>
      <c r="G60" s="58">
        <v>0</v>
      </c>
      <c r="H60" s="58">
        <v>0</v>
      </c>
      <c r="I60" s="58">
        <v>0</v>
      </c>
      <c r="J60" s="58">
        <v>0</v>
      </c>
      <c r="K60" s="58">
        <v>0</v>
      </c>
      <c r="L60" s="58">
        <v>0</v>
      </c>
      <c r="M60" s="58">
        <v>0</v>
      </c>
      <c r="N60" s="58">
        <v>0</v>
      </c>
      <c r="O60" s="58">
        <v>0</v>
      </c>
      <c r="P60" s="58">
        <v>0</v>
      </c>
      <c r="Q60" s="58">
        <v>0</v>
      </c>
    </row>
    <row r="61" spans="1:17" ht="30" x14ac:dyDescent="0.15">
      <c r="A61" s="63" t="s">
        <v>194</v>
      </c>
      <c r="B61" s="39" t="s">
        <v>208</v>
      </c>
      <c r="C61" s="39">
        <f t="shared" ref="C61:I61" si="19">C52-C56+C58-C59+C60-C34</f>
        <v>143.44670417866757</v>
      </c>
      <c r="D61" s="39" t="s">
        <v>208</v>
      </c>
      <c r="E61" s="39">
        <f t="shared" si="19"/>
        <v>141.84670417866758</v>
      </c>
      <c r="F61" s="39" t="s">
        <v>208</v>
      </c>
      <c r="G61" s="39">
        <f t="shared" si="19"/>
        <v>130.9968636759794</v>
      </c>
      <c r="H61" s="39" t="s">
        <v>208</v>
      </c>
      <c r="I61" s="39">
        <f t="shared" si="19"/>
        <v>131.9968636759794</v>
      </c>
      <c r="J61" s="39" t="s">
        <v>227</v>
      </c>
      <c r="K61" s="39">
        <f t="shared" ref="K61:Q61" si="20">K52-K56+K58-K59+K60-K34</f>
        <v>150.80376111369611</v>
      </c>
      <c r="L61" s="39" t="s">
        <v>227</v>
      </c>
      <c r="M61" s="39">
        <f t="shared" si="20"/>
        <v>147.3737611136961</v>
      </c>
      <c r="N61" s="39" t="s">
        <v>213</v>
      </c>
      <c r="O61" s="39">
        <f t="shared" si="20"/>
        <v>137.78686367597939</v>
      </c>
      <c r="P61" s="39" t="s">
        <v>213</v>
      </c>
      <c r="Q61" s="39">
        <f t="shared" si="20"/>
        <v>134.65686367597939</v>
      </c>
    </row>
    <row r="62" spans="1:17" ht="30" x14ac:dyDescent="0.15">
      <c r="A62" s="63" t="s">
        <v>49</v>
      </c>
      <c r="B62" s="39">
        <f t="shared" ref="B62:H62" si="21">B53-B57+B58-B59+B60-B34</f>
        <v>140.55376111369608</v>
      </c>
      <c r="C62" s="39" t="s">
        <v>208</v>
      </c>
      <c r="D62" s="39">
        <f t="shared" si="21"/>
        <v>141.83376111369608</v>
      </c>
      <c r="E62" s="39" t="s">
        <v>208</v>
      </c>
      <c r="F62" s="39">
        <f t="shared" si="21"/>
        <v>126.11139793761322</v>
      </c>
      <c r="G62" s="39" t="s">
        <v>208</v>
      </c>
      <c r="H62" s="39">
        <f t="shared" si="21"/>
        <v>124.92139793761322</v>
      </c>
      <c r="I62" s="39" t="s">
        <v>208</v>
      </c>
      <c r="J62" s="39">
        <f t="shared" ref="J62:P62" si="22">J53-J57+J58-J59+J60-J34</f>
        <v>144.9737611136961</v>
      </c>
      <c r="K62" s="39" t="s">
        <v>213</v>
      </c>
      <c r="L62" s="39">
        <f t="shared" si="22"/>
        <v>142.24376111369608</v>
      </c>
      <c r="M62" s="39" t="s">
        <v>227</v>
      </c>
      <c r="N62" s="39">
        <f t="shared" si="22"/>
        <v>131.21139793761324</v>
      </c>
      <c r="O62" s="39" t="s">
        <v>213</v>
      </c>
      <c r="P62" s="39">
        <f t="shared" si="22"/>
        <v>127.48139793761322</v>
      </c>
      <c r="Q62" s="39" t="s">
        <v>213</v>
      </c>
    </row>
    <row r="63" spans="1:17" x14ac:dyDescent="0.15">
      <c r="A63" s="37" t="s">
        <v>42</v>
      </c>
      <c r="B63" s="56"/>
      <c r="C63" s="56"/>
      <c r="D63" s="56"/>
      <c r="E63" s="56"/>
      <c r="F63" s="56"/>
      <c r="G63" s="56"/>
      <c r="H63" s="56"/>
      <c r="I63" s="56"/>
      <c r="J63" s="56"/>
      <c r="K63" s="56"/>
      <c r="L63" s="56"/>
      <c r="M63" s="56"/>
      <c r="N63" s="56"/>
      <c r="O63" s="56"/>
      <c r="P63" s="56"/>
      <c r="Q63" s="56"/>
    </row>
    <row r="64" spans="1:17" ht="30" x14ac:dyDescent="0.15">
      <c r="A64" s="64" t="s">
        <v>195</v>
      </c>
      <c r="B64" s="35" t="s">
        <v>187</v>
      </c>
      <c r="C64" s="58">
        <f>10^((C61-161.04+7.1*LOG10(20)-7.5*LOG10(5)+(24.37-3.7*(5/C$5)^2)*LOG10(C$5)-20*LOG10(C$4)+(3.2*(LOG10(11.75*C$6)^2)-4.97))/(43.42-3.1*LOG10(C$5))+3)</f>
        <v>5002.2735449836473</v>
      </c>
      <c r="D64" s="35" t="s">
        <v>187</v>
      </c>
      <c r="E64" s="58">
        <f>10^((E61-161.04+7.1*LOG10(20)-7.5*LOG10(5)+(24.37-3.7*(5/E$5)^2)*LOG10(E$5)-20*LOG10(E$4)+(3.2*(LOG10(11.75*E$6)^2)-4.97))/(43.42-3.1*LOG10(E$5))+3)</f>
        <v>4547.2882406131503</v>
      </c>
      <c r="F64" s="35" t="s">
        <v>187</v>
      </c>
      <c r="G64" s="58">
        <f>10^((G61-161.04+7.1*LOG10(20)-7.5*LOG10(5)+(24.37-3.7*(5/G$5)^2)*LOG10(G$5)-20*LOG10(G$4)+(3.2*(LOG10(11.75*G$6)^2)-4.97))/(43.42-3.1*LOG10(G$5))+3)</f>
        <v>2381.8338385122202</v>
      </c>
      <c r="H64" s="35" t="s">
        <v>187</v>
      </c>
      <c r="I64" s="58">
        <f>10^((I61-161.04+7.1*LOG10(20)-7.5*LOG10(5)+(24.37-3.7*(5/I$5)^2)*LOG10(I$5)-20*LOG10(I$4)+(3.2*(LOG10(11.75*I$6)^2)-4.97))/(43.42-3.1*LOG10(I$5))+3)</f>
        <v>2528.1090697532591</v>
      </c>
      <c r="J64" s="35" t="s">
        <v>213</v>
      </c>
      <c r="K64" s="58">
        <f>10^((K61-161.04+7.1*LOG10(20)-7.5*LOG10(5)+(24.37-3.7*(5/K$5)^2)*LOG10(K$5)-20*LOG10(K$4)+(3.2*(LOG10(11.75*K$6)^2)-4.97))/(43.42-3.1*LOG10(K$5))+3)</f>
        <v>7755.3257160081284</v>
      </c>
      <c r="L64" s="35" t="s">
        <v>213</v>
      </c>
      <c r="M64" s="58">
        <f>10^((M61-161.04+7.1*LOG10(20)-7.5*LOG10(5)+(24.37-3.7*(5/M$5)^2)*LOG10(M$5)-20*LOG10(M$4)+(3.2*(LOG10(11.75*M$6)^2)-4.97))/(43.42-3.1*LOG10(M$5))+3)</f>
        <v>6321.4504271504775</v>
      </c>
      <c r="N64" s="35" t="s">
        <v>213</v>
      </c>
      <c r="O64" s="58">
        <f>10^((O61-161.04+7.1*LOG10(20)-7.5*LOG10(5)+(24.37-3.7*(5/O$5)^2)*LOG10(O$5)-20*LOG10(O$4)+(3.2*(LOG10(11.75*O$6)^2)-4.97))/(43.42-3.1*LOG10(O$5))+3)</f>
        <v>3569.9831689981334</v>
      </c>
      <c r="P64" s="35" t="s">
        <v>227</v>
      </c>
      <c r="Q64" s="58">
        <f>10^((Q61-161.04+7.1*LOG10(20)-7.5*LOG10(5)+(24.37-3.7*(5/Q$5)^2)*LOG10(Q$5)-20*LOG10(Q$4)+(3.2*(LOG10(11.75*Q$6)^2)-4.97))/(43.42-3.1*LOG10(Q$5))+3)</f>
        <v>2962.4304727970284</v>
      </c>
    </row>
    <row r="65" spans="1:17" ht="30" x14ac:dyDescent="0.15">
      <c r="A65" s="64" t="s">
        <v>196</v>
      </c>
      <c r="B65" s="58">
        <f>10^((B62-161.04+7.1*LOG10(20)-7.5*LOG10(5)+(24.37-3.7*(5/B$5)^2)*LOG10(B$5)-20*LOG10(B$4)+(3.2*(LOG10(11.75*B$6)^2)-4.97))/(43.42-3.1*LOG10(B$5))+3)</f>
        <v>4210.0329854575284</v>
      </c>
      <c r="C65" s="35" t="s">
        <v>187</v>
      </c>
      <c r="D65" s="58">
        <f>10^((D62-161.04+7.1*LOG10(20)-7.5*LOG10(5)+(24.37-3.7*(5/D$5)^2)*LOG10(D$5)-20*LOG10(D$4)+(3.2*(LOG10(11.75*D$6)^2)-4.97))/(43.42-3.1*LOG10(D$5))+3)</f>
        <v>4543.7817313099704</v>
      </c>
      <c r="E65" s="35" t="s">
        <v>187</v>
      </c>
      <c r="F65" s="58">
        <f>10^((F62-161.04+7.1*LOG10(20)-7.5*LOG10(5)+(24.37-3.7*(5/F$5)^2)*LOG10(F$5)-20*LOG10(F$4)+(3.2*(LOG10(11.75*F$6)^2)-4.97))/(43.42-3.1*LOG10(F$5))+3)</f>
        <v>1780.1408922167677</v>
      </c>
      <c r="G65" s="35" t="s">
        <v>187</v>
      </c>
      <c r="H65" s="58">
        <f>10^((H62-161.04+7.1*LOG10(20)-7.5*LOG10(5)+(24.37-3.7*(5/H$5)^2)*LOG10(H$5)-20*LOG10(H$4)+(3.2*(LOG10(11.75*H$6)^2)-4.97))/(43.42-3.1*LOG10(H$5))+3)</f>
        <v>1658.2576335486058</v>
      </c>
      <c r="I65" s="35" t="s">
        <v>187</v>
      </c>
      <c r="J65" s="58">
        <f>10^((J62-161.04+7.1*LOG10(20)-7.5*LOG10(5)+(24.37-3.7*(5/J$5)^2)*LOG10(J$5)-20*LOG10(J$4)+(3.2*(LOG10(11.75*J$6)^2)-4.97))/(43.42-3.1*LOG10(J$5))+3)</f>
        <v>5478.911769299667</v>
      </c>
      <c r="K65" s="35" t="s">
        <v>213</v>
      </c>
      <c r="L65" s="58">
        <f>10^((L62-161.04+7.1*LOG10(20)-7.5*LOG10(5)+(24.37-3.7*(5/L$5)^2)*LOG10(L$5)-20*LOG10(L$4)+(3.2*(LOG10(11.75*L$6)^2)-4.97))/(43.42-3.1*LOG10(L$5))+3)</f>
        <v>4656.183021209562</v>
      </c>
      <c r="M65" s="35" t="s">
        <v>227</v>
      </c>
      <c r="N65" s="58">
        <f>10^((N62-161.04+7.1*LOG10(20)-7.5*LOG10(5)+(24.37-3.7*(5/N$5)^2)*LOG10(N$5)-20*LOG10(N$4)+(3.2*(LOG10(11.75*N$6)^2)-4.97))/(43.42-3.1*LOG10(N$5))+3)</f>
        <v>2412.484545745107</v>
      </c>
      <c r="O65" s="35" t="s">
        <v>213</v>
      </c>
      <c r="P65" s="58">
        <f>10^((P62-161.04+7.1*LOG10(20)-7.5*LOG10(5)+(24.37-3.7*(5/P$5)^2)*LOG10(P$5)-20*LOG10(P$4)+(3.2*(LOG10(11.75*P$6)^2)-4.97))/(43.42-3.1*LOG10(P$5))+3)</f>
        <v>1931.594367381975</v>
      </c>
      <c r="Q65" s="35" t="s">
        <v>213</v>
      </c>
    </row>
    <row r="66" spans="1:17" ht="18" x14ac:dyDescent="0.15">
      <c r="A66" s="64" t="s">
        <v>108</v>
      </c>
      <c r="B66" s="35" t="s">
        <v>187</v>
      </c>
      <c r="C66" s="35">
        <f>PI()*(C64)^2</f>
        <v>78611258.100840911</v>
      </c>
      <c r="D66" s="35" t="s">
        <v>187</v>
      </c>
      <c r="E66" s="35">
        <f>PI()*(E64)^2</f>
        <v>64961319.898431785</v>
      </c>
      <c r="F66" s="35" t="s">
        <v>187</v>
      </c>
      <c r="G66" s="35">
        <f>PI()*(G64)^2</f>
        <v>17822671.17838186</v>
      </c>
      <c r="H66" s="35" t="s">
        <v>187</v>
      </c>
      <c r="I66" s="35">
        <f>PI()*(I64)^2</f>
        <v>20078972.554683272</v>
      </c>
      <c r="J66" s="35" t="s">
        <v>227</v>
      </c>
      <c r="K66" s="35">
        <f>PI()*(K64)^2</f>
        <v>188951331.93145466</v>
      </c>
      <c r="L66" s="35" t="s">
        <v>213</v>
      </c>
      <c r="M66" s="35">
        <f>PI()*(M64)^2</f>
        <v>125540353.08802129</v>
      </c>
      <c r="N66" s="35" t="s">
        <v>213</v>
      </c>
      <c r="O66" s="35">
        <f>PI()*(O64)^2</f>
        <v>40038906.675902538</v>
      </c>
      <c r="P66" s="35" t="s">
        <v>213</v>
      </c>
      <c r="Q66" s="35">
        <f>PI()*(Q64)^2</f>
        <v>27570599.240166876</v>
      </c>
    </row>
    <row r="67" spans="1:17" ht="18" x14ac:dyDescent="0.15">
      <c r="A67" s="64" t="s">
        <v>109</v>
      </c>
      <c r="B67" s="35">
        <f>PI()*(B65)^2</f>
        <v>55682774.893163249</v>
      </c>
      <c r="C67" s="35" t="s">
        <v>187</v>
      </c>
      <c r="D67" s="35">
        <f>PI()*(D65)^2</f>
        <v>64861172.454648018</v>
      </c>
      <c r="E67" s="35" t="s">
        <v>187</v>
      </c>
      <c r="F67" s="35">
        <f>PI()*(F65)^2</f>
        <v>9955397.9743896499</v>
      </c>
      <c r="G67" s="35" t="s">
        <v>187</v>
      </c>
      <c r="H67" s="35">
        <f>PI()*(H65)^2</f>
        <v>8638809.2188707255</v>
      </c>
      <c r="I67" s="35" t="s">
        <v>187</v>
      </c>
      <c r="J67" s="35">
        <f>PI()*(J65)^2</f>
        <v>94305817.942575231</v>
      </c>
      <c r="K67" s="35" t="s">
        <v>213</v>
      </c>
      <c r="L67" s="35">
        <f>PI()*(L65)^2</f>
        <v>68109855.420834303</v>
      </c>
      <c r="M67" s="35" t="s">
        <v>213</v>
      </c>
      <c r="N67" s="35">
        <f>PI()*(N65)^2</f>
        <v>18284325.860047232</v>
      </c>
      <c r="O67" s="35" t="s">
        <v>213</v>
      </c>
      <c r="P67" s="35">
        <f>PI()*(P65)^2</f>
        <v>11721460.633325968</v>
      </c>
      <c r="Q67" s="35" t="s">
        <v>213</v>
      </c>
    </row>
    <row r="69" spans="1:17" x14ac:dyDescent="0.15">
      <c r="A69" s="65"/>
    </row>
  </sheetData>
  <mergeCells count="4">
    <mergeCell ref="B1:E1"/>
    <mergeCell ref="F1:I1"/>
    <mergeCell ref="J1:M1"/>
    <mergeCell ref="N1:Q1"/>
  </mergeCells>
  <phoneticPr fontId="1" type="noConversion"/>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80" zoomScaleNormal="80" workbookViewId="0">
      <pane xSplit="1" ySplit="2" topLeftCell="B3" activePane="bottomRight" state="frozen"/>
      <selection pane="topRight"/>
      <selection pane="bottomLeft"/>
      <selection pane="bottomRight" activeCell="F75" sqref="F75"/>
    </sheetView>
  </sheetViews>
  <sheetFormatPr defaultColWidth="9" defaultRowHeight="14.25" x14ac:dyDescent="0.15"/>
  <cols>
    <col min="1" max="1" width="37.125" style="114" customWidth="1"/>
    <col min="2" max="3" width="16" style="102" customWidth="1"/>
    <col min="4" max="4" width="15.25" style="102" customWidth="1"/>
    <col min="5" max="5" width="14.875" style="102" customWidth="1"/>
    <col min="6" max="6" width="15" style="114" customWidth="1"/>
    <col min="7" max="7" width="14.5" style="114" customWidth="1"/>
    <col min="8" max="8" width="14.625" style="114" customWidth="1"/>
    <col min="9" max="9" width="13.75" style="114" customWidth="1"/>
    <col min="10" max="16384" width="9" style="1"/>
  </cols>
  <sheetData>
    <row r="1" spans="1:9" x14ac:dyDescent="0.15">
      <c r="A1" s="136" t="s">
        <v>0</v>
      </c>
      <c r="B1" s="226" t="s">
        <v>341</v>
      </c>
      <c r="C1" s="214"/>
      <c r="D1" s="214"/>
      <c r="E1" s="215"/>
      <c r="F1" s="227" t="s">
        <v>340</v>
      </c>
      <c r="G1" s="216"/>
      <c r="H1" s="216"/>
      <c r="I1" s="216"/>
    </row>
    <row r="2" spans="1:9" ht="28.5" x14ac:dyDescent="0.15">
      <c r="A2" s="106"/>
      <c r="B2" s="148" t="s">
        <v>240</v>
      </c>
      <c r="C2" s="148" t="s">
        <v>269</v>
      </c>
      <c r="D2" s="148" t="s">
        <v>270</v>
      </c>
      <c r="E2" s="148" t="s">
        <v>271</v>
      </c>
      <c r="F2" s="148" t="s">
        <v>263</v>
      </c>
      <c r="G2" s="148" t="s">
        <v>272</v>
      </c>
      <c r="H2" s="148" t="s">
        <v>265</v>
      </c>
      <c r="I2" s="148" t="s">
        <v>273</v>
      </c>
    </row>
    <row r="3" spans="1:9" x14ac:dyDescent="0.15">
      <c r="A3" s="92" t="s">
        <v>1</v>
      </c>
      <c r="B3" s="107"/>
      <c r="C3" s="107"/>
      <c r="D3" s="107"/>
      <c r="E3" s="107"/>
      <c r="F3" s="107"/>
      <c r="G3" s="107"/>
      <c r="H3" s="107"/>
      <c r="I3" s="107"/>
    </row>
    <row r="4" spans="1:9" ht="15" x14ac:dyDescent="0.15">
      <c r="A4" s="137" t="s">
        <v>2</v>
      </c>
      <c r="B4" s="108">
        <v>0.7</v>
      </c>
      <c r="C4" s="109">
        <v>0.7</v>
      </c>
      <c r="D4" s="108">
        <v>0.7</v>
      </c>
      <c r="E4" s="109">
        <v>0.7</v>
      </c>
      <c r="F4" s="108">
        <v>0.7</v>
      </c>
      <c r="G4" s="109">
        <v>0.7</v>
      </c>
      <c r="H4" s="108">
        <v>0.7</v>
      </c>
      <c r="I4" s="109">
        <v>0.7</v>
      </c>
    </row>
    <row r="5" spans="1:9" ht="15" x14ac:dyDescent="0.15">
      <c r="A5" s="137" t="s">
        <v>3</v>
      </c>
      <c r="B5" s="109">
        <v>35</v>
      </c>
      <c r="C5" s="109">
        <v>35</v>
      </c>
      <c r="D5" s="109">
        <v>35</v>
      </c>
      <c r="E5" s="109">
        <v>35</v>
      </c>
      <c r="F5" s="109">
        <v>35</v>
      </c>
      <c r="G5" s="109">
        <v>35</v>
      </c>
      <c r="H5" s="109">
        <v>35</v>
      </c>
      <c r="I5" s="109">
        <v>35</v>
      </c>
    </row>
    <row r="6" spans="1:9" ht="15" x14ac:dyDescent="0.15">
      <c r="A6" s="137" t="s">
        <v>4</v>
      </c>
      <c r="B6" s="108">
        <v>1.5</v>
      </c>
      <c r="C6" s="109">
        <v>1.5</v>
      </c>
      <c r="D6" s="108">
        <v>1.5</v>
      </c>
      <c r="E6" s="109">
        <v>1.5</v>
      </c>
      <c r="F6" s="108">
        <v>1.5</v>
      </c>
      <c r="G6" s="109">
        <v>1.5</v>
      </c>
      <c r="H6" s="108">
        <v>1.5</v>
      </c>
      <c r="I6" s="109">
        <v>1.5</v>
      </c>
    </row>
    <row r="7" spans="1:9" ht="46.5" x14ac:dyDescent="0.15">
      <c r="A7" s="137" t="s">
        <v>244</v>
      </c>
      <c r="B7" s="94" t="s">
        <v>245</v>
      </c>
      <c r="C7" s="138">
        <v>0.95</v>
      </c>
      <c r="D7" s="94" t="s">
        <v>245</v>
      </c>
      <c r="E7" s="138">
        <v>0.95</v>
      </c>
      <c r="F7" s="138" t="s">
        <v>245</v>
      </c>
      <c r="G7" s="119">
        <v>0.95</v>
      </c>
      <c r="H7" s="138" t="s">
        <v>245</v>
      </c>
      <c r="I7" s="119">
        <v>0.95</v>
      </c>
    </row>
    <row r="8" spans="1:9" ht="46.5" x14ac:dyDescent="0.15">
      <c r="A8" s="137" t="s">
        <v>246</v>
      </c>
      <c r="B8" s="94">
        <v>0.9</v>
      </c>
      <c r="C8" s="138" t="s">
        <v>245</v>
      </c>
      <c r="D8" s="94">
        <v>0.9</v>
      </c>
      <c r="E8" s="138" t="s">
        <v>245</v>
      </c>
      <c r="F8" s="138">
        <v>0.9</v>
      </c>
      <c r="G8" s="119" t="s">
        <v>245</v>
      </c>
      <c r="H8" s="138">
        <v>0.9</v>
      </c>
      <c r="I8" s="119" t="s">
        <v>245</v>
      </c>
    </row>
    <row r="9" spans="1:9" ht="15" x14ac:dyDescent="0.15">
      <c r="A9" s="137" t="s">
        <v>5</v>
      </c>
      <c r="B9" s="84" t="s">
        <v>245</v>
      </c>
      <c r="C9" s="84">
        <f>64/(0.5*0.001)</f>
        <v>128000</v>
      </c>
      <c r="D9" s="84" t="s">
        <v>245</v>
      </c>
      <c r="E9" s="84">
        <f>64/(0.5*0.001)</f>
        <v>128000</v>
      </c>
      <c r="F9" s="109" t="s">
        <v>245</v>
      </c>
      <c r="G9" s="93">
        <f>2/(0.5*0.001)</f>
        <v>4000</v>
      </c>
      <c r="H9" s="109" t="s">
        <v>245</v>
      </c>
      <c r="I9" s="93">
        <f>2/(0.5*0.001)</f>
        <v>4000</v>
      </c>
    </row>
    <row r="10" spans="1:9" ht="30" customHeight="1" x14ac:dyDescent="0.15">
      <c r="A10" s="137" t="s">
        <v>6</v>
      </c>
      <c r="B10" s="84">
        <f>2248233*3</f>
        <v>6744699</v>
      </c>
      <c r="C10" s="84" t="s">
        <v>245</v>
      </c>
      <c r="D10" s="84">
        <f>2248233*3</f>
        <v>6744699</v>
      </c>
      <c r="E10" s="84" t="s">
        <v>245</v>
      </c>
      <c r="F10" s="84">
        <f>74880*3</f>
        <v>224640</v>
      </c>
      <c r="G10" s="84" t="s">
        <v>245</v>
      </c>
      <c r="H10" s="84">
        <f>74880*3</f>
        <v>224640</v>
      </c>
      <c r="I10" s="84" t="s">
        <v>245</v>
      </c>
    </row>
    <row r="11" spans="1:9" ht="30" x14ac:dyDescent="0.15">
      <c r="A11" s="137" t="s">
        <v>7</v>
      </c>
      <c r="B11" s="94" t="s">
        <v>245</v>
      </c>
      <c r="C11" s="138">
        <v>0.01</v>
      </c>
      <c r="D11" s="94" t="s">
        <v>245</v>
      </c>
      <c r="E11" s="138">
        <v>0.01</v>
      </c>
      <c r="F11" s="138" t="s">
        <v>245</v>
      </c>
      <c r="G11" s="119">
        <v>0.01</v>
      </c>
      <c r="H11" s="138" t="s">
        <v>245</v>
      </c>
      <c r="I11" s="119">
        <v>0.01</v>
      </c>
    </row>
    <row r="12" spans="1:9" ht="30" x14ac:dyDescent="0.15">
      <c r="A12" s="137" t="s">
        <v>8</v>
      </c>
      <c r="B12" s="94">
        <v>0.1</v>
      </c>
      <c r="C12" s="138" t="s">
        <v>245</v>
      </c>
      <c r="D12" s="94">
        <v>0.1</v>
      </c>
      <c r="E12" s="138" t="s">
        <v>245</v>
      </c>
      <c r="F12" s="138">
        <v>0.1</v>
      </c>
      <c r="G12" s="119" t="s">
        <v>245</v>
      </c>
      <c r="H12" s="138">
        <v>0.1</v>
      </c>
      <c r="I12" s="119" t="s">
        <v>245</v>
      </c>
    </row>
    <row r="13" spans="1:9" s="140" customFormat="1" ht="16.5" x14ac:dyDescent="0.15">
      <c r="A13" s="137" t="s">
        <v>247</v>
      </c>
      <c r="B13" s="120">
        <f>B10/(B42*(5+2*11/14)/10)</f>
        <v>0.55902355072463772</v>
      </c>
      <c r="C13" s="139" t="s">
        <v>245</v>
      </c>
      <c r="D13" s="120">
        <f>D10/(D42*(5+2*11/14)/10)</f>
        <v>0.55902355072463772</v>
      </c>
      <c r="E13" s="139" t="s">
        <v>245</v>
      </c>
      <c r="F13" s="120">
        <f>F10/(F42*(3+2*3/14)/10)</f>
        <v>0.45499999999999996</v>
      </c>
      <c r="G13" s="120" t="s">
        <v>245</v>
      </c>
      <c r="H13" s="120">
        <f>H10/(H42*(3+2*3/14)/10)</f>
        <v>0.45499999999999996</v>
      </c>
      <c r="I13" s="120" t="s">
        <v>245</v>
      </c>
    </row>
    <row r="14" spans="1:9" ht="16.5" x14ac:dyDescent="0.15">
      <c r="A14" s="137" t="s">
        <v>248</v>
      </c>
      <c r="B14" s="109" t="s">
        <v>249</v>
      </c>
      <c r="C14" s="109" t="s">
        <v>249</v>
      </c>
      <c r="D14" s="109" t="s">
        <v>267</v>
      </c>
      <c r="E14" s="109" t="s">
        <v>267</v>
      </c>
      <c r="F14" s="109" t="s">
        <v>249</v>
      </c>
      <c r="G14" s="109" t="s">
        <v>249</v>
      </c>
      <c r="H14" s="109" t="s">
        <v>267</v>
      </c>
      <c r="I14" s="109" t="s">
        <v>267</v>
      </c>
    </row>
    <row r="15" spans="1:9" ht="15" x14ac:dyDescent="0.15">
      <c r="A15" s="137" t="s">
        <v>250</v>
      </c>
      <c r="B15" s="84">
        <v>120</v>
      </c>
      <c r="C15" s="93">
        <v>120</v>
      </c>
      <c r="D15" s="84">
        <v>3</v>
      </c>
      <c r="E15" s="93">
        <v>3</v>
      </c>
      <c r="F15" s="84">
        <v>120</v>
      </c>
      <c r="G15" s="93">
        <v>120</v>
      </c>
      <c r="H15" s="93">
        <v>3</v>
      </c>
      <c r="I15" s="93">
        <v>3</v>
      </c>
    </row>
    <row r="16" spans="1:9" ht="15" x14ac:dyDescent="0.15">
      <c r="A16" s="137" t="s">
        <v>9</v>
      </c>
      <c r="B16" s="84">
        <v>3</v>
      </c>
      <c r="C16" s="109">
        <v>3</v>
      </c>
      <c r="D16" s="84">
        <v>3</v>
      </c>
      <c r="E16" s="109">
        <v>3</v>
      </c>
      <c r="F16" s="109">
        <v>3</v>
      </c>
      <c r="G16" s="93">
        <v>3</v>
      </c>
      <c r="H16" s="109">
        <v>3</v>
      </c>
      <c r="I16" s="93">
        <v>3</v>
      </c>
    </row>
    <row r="17" spans="1:9" x14ac:dyDescent="0.15">
      <c r="A17" s="92" t="s">
        <v>10</v>
      </c>
      <c r="B17" s="107"/>
      <c r="C17" s="107"/>
      <c r="D17" s="107"/>
      <c r="E17" s="107"/>
      <c r="F17" s="107"/>
      <c r="G17" s="107"/>
      <c r="H17" s="107"/>
      <c r="I17" s="107"/>
    </row>
    <row r="18" spans="1:9" ht="45" x14ac:dyDescent="0.15">
      <c r="A18" s="137" t="s">
        <v>251</v>
      </c>
      <c r="B18" s="84">
        <v>64</v>
      </c>
      <c r="C18" s="109">
        <v>64</v>
      </c>
      <c r="D18" s="84">
        <v>64</v>
      </c>
      <c r="E18" s="109">
        <v>64</v>
      </c>
      <c r="F18" s="93">
        <v>1</v>
      </c>
      <c r="G18" s="109">
        <v>1</v>
      </c>
      <c r="H18" s="93">
        <v>1</v>
      </c>
      <c r="I18" s="109">
        <v>1</v>
      </c>
    </row>
    <row r="19" spans="1:9" ht="15" x14ac:dyDescent="0.15">
      <c r="A19" s="137" t="s">
        <v>268</v>
      </c>
      <c r="B19" s="84">
        <v>2</v>
      </c>
      <c r="C19" s="109">
        <v>2</v>
      </c>
      <c r="D19" s="84">
        <v>2</v>
      </c>
      <c r="E19" s="109">
        <v>2</v>
      </c>
      <c r="F19" s="93">
        <v>1</v>
      </c>
      <c r="G19" s="109">
        <v>1</v>
      </c>
      <c r="H19" s="93">
        <v>1</v>
      </c>
      <c r="I19" s="109">
        <v>1</v>
      </c>
    </row>
    <row r="20" spans="1:9" ht="15" x14ac:dyDescent="0.15">
      <c r="A20" s="137" t="s">
        <v>11</v>
      </c>
      <c r="B20" s="84">
        <v>31</v>
      </c>
      <c r="C20" s="109">
        <v>31</v>
      </c>
      <c r="D20" s="84">
        <v>31</v>
      </c>
      <c r="E20" s="109">
        <v>31</v>
      </c>
      <c r="F20" s="93">
        <v>23</v>
      </c>
      <c r="G20" s="109">
        <v>23</v>
      </c>
      <c r="H20" s="93">
        <v>23</v>
      </c>
      <c r="I20" s="109">
        <v>23</v>
      </c>
    </row>
    <row r="21" spans="1:9" ht="45" x14ac:dyDescent="0.15">
      <c r="A21" s="141" t="s">
        <v>253</v>
      </c>
      <c r="B21" s="125">
        <f t="shared" ref="B21:I21" si="0">B20+10*LOG10(B18)</f>
        <v>49.061799739838875</v>
      </c>
      <c r="C21" s="125">
        <f t="shared" si="0"/>
        <v>49.061799739838875</v>
      </c>
      <c r="D21" s="125">
        <f t="shared" si="0"/>
        <v>49.061799739838875</v>
      </c>
      <c r="E21" s="125">
        <f t="shared" si="0"/>
        <v>49.061799739838875</v>
      </c>
      <c r="F21" s="125">
        <f t="shared" si="0"/>
        <v>23</v>
      </c>
      <c r="G21" s="125">
        <f t="shared" si="0"/>
        <v>23</v>
      </c>
      <c r="H21" s="125">
        <f t="shared" si="0"/>
        <v>23</v>
      </c>
      <c r="I21" s="125">
        <f t="shared" si="0"/>
        <v>23</v>
      </c>
    </row>
    <row r="22" spans="1:9" ht="45" customHeight="1" x14ac:dyDescent="0.15">
      <c r="A22" s="137" t="s">
        <v>12</v>
      </c>
      <c r="B22" s="84">
        <v>8</v>
      </c>
      <c r="C22" s="109">
        <v>8</v>
      </c>
      <c r="D22" s="84">
        <v>8</v>
      </c>
      <c r="E22" s="109">
        <v>8</v>
      </c>
      <c r="F22" s="93">
        <v>0</v>
      </c>
      <c r="G22" s="109">
        <v>0</v>
      </c>
      <c r="H22" s="93">
        <v>0</v>
      </c>
      <c r="I22" s="109">
        <v>0</v>
      </c>
    </row>
    <row r="23" spans="1:9" ht="60" x14ac:dyDescent="0.15">
      <c r="A23" s="142" t="s">
        <v>13</v>
      </c>
      <c r="B23" s="125">
        <f t="shared" ref="B23:I23" si="1">IF(B18&gt;=2,10*LOG10(B18/2),0)</f>
        <v>15.051499783199061</v>
      </c>
      <c r="C23" s="125">
        <f t="shared" si="1"/>
        <v>15.051499783199061</v>
      </c>
      <c r="D23" s="125">
        <f t="shared" si="1"/>
        <v>15.051499783199061</v>
      </c>
      <c r="E23" s="125">
        <f t="shared" si="1"/>
        <v>15.051499783199061</v>
      </c>
      <c r="F23" s="125">
        <f t="shared" si="1"/>
        <v>0</v>
      </c>
      <c r="G23" s="125">
        <f t="shared" si="1"/>
        <v>0</v>
      </c>
      <c r="H23" s="125">
        <f t="shared" si="1"/>
        <v>0</v>
      </c>
      <c r="I23" s="125">
        <f t="shared" si="1"/>
        <v>0</v>
      </c>
    </row>
    <row r="24" spans="1:9" ht="15" x14ac:dyDescent="0.15">
      <c r="A24" s="137" t="s">
        <v>14</v>
      </c>
      <c r="B24" s="84">
        <v>0</v>
      </c>
      <c r="C24" s="93">
        <v>0</v>
      </c>
      <c r="D24" s="84">
        <v>0</v>
      </c>
      <c r="E24" s="93">
        <v>0</v>
      </c>
      <c r="F24" s="93">
        <v>0</v>
      </c>
      <c r="G24" s="93">
        <v>0</v>
      </c>
      <c r="H24" s="93">
        <v>0</v>
      </c>
      <c r="I24" s="93">
        <v>0</v>
      </c>
    </row>
    <row r="25" spans="1:9" ht="30" x14ac:dyDescent="0.15">
      <c r="A25" s="137" t="s">
        <v>15</v>
      </c>
      <c r="B25" s="84">
        <v>0</v>
      </c>
      <c r="C25" s="93">
        <v>0</v>
      </c>
      <c r="D25" s="84">
        <v>0</v>
      </c>
      <c r="E25" s="93">
        <v>0</v>
      </c>
      <c r="F25" s="93">
        <v>0</v>
      </c>
      <c r="G25" s="93">
        <v>0</v>
      </c>
      <c r="H25" s="93">
        <v>0</v>
      </c>
      <c r="I25" s="93">
        <v>0</v>
      </c>
    </row>
    <row r="26" spans="1:9" ht="45" x14ac:dyDescent="0.15">
      <c r="A26" s="137" t="s">
        <v>16</v>
      </c>
      <c r="B26" s="84">
        <v>3</v>
      </c>
      <c r="C26" s="84">
        <v>3</v>
      </c>
      <c r="D26" s="84">
        <v>3</v>
      </c>
      <c r="E26" s="84">
        <v>3</v>
      </c>
      <c r="F26" s="84">
        <v>1</v>
      </c>
      <c r="G26" s="84">
        <v>1</v>
      </c>
      <c r="H26" s="84">
        <v>1</v>
      </c>
      <c r="I26" s="84">
        <v>1</v>
      </c>
    </row>
    <row r="27" spans="1:9" ht="30" x14ac:dyDescent="0.15">
      <c r="A27" s="110" t="s">
        <v>17</v>
      </c>
      <c r="B27" s="96">
        <f t="shared" ref="B27:I27" si="2">B21+B22+B23+B24-B26</f>
        <v>69.113299523037938</v>
      </c>
      <c r="C27" s="96">
        <f t="shared" si="2"/>
        <v>69.113299523037938</v>
      </c>
      <c r="D27" s="96">
        <f t="shared" si="2"/>
        <v>69.113299523037938</v>
      </c>
      <c r="E27" s="96">
        <f t="shared" si="2"/>
        <v>69.113299523037938</v>
      </c>
      <c r="F27" s="96">
        <f t="shared" si="2"/>
        <v>22</v>
      </c>
      <c r="G27" s="96">
        <f t="shared" si="2"/>
        <v>22</v>
      </c>
      <c r="H27" s="96">
        <f t="shared" si="2"/>
        <v>22</v>
      </c>
      <c r="I27" s="96">
        <f t="shared" si="2"/>
        <v>22</v>
      </c>
    </row>
    <row r="28" spans="1:9" ht="30" x14ac:dyDescent="0.15">
      <c r="A28" s="110" t="s">
        <v>18</v>
      </c>
      <c r="B28" s="96">
        <f t="shared" ref="B28:I28" si="3">B21+B22+B23-B25-B26</f>
        <v>69.113299523037938</v>
      </c>
      <c r="C28" s="96">
        <f t="shared" si="3"/>
        <v>69.113299523037938</v>
      </c>
      <c r="D28" s="96">
        <f t="shared" si="3"/>
        <v>69.113299523037938</v>
      </c>
      <c r="E28" s="96">
        <f t="shared" si="3"/>
        <v>69.113299523037938</v>
      </c>
      <c r="F28" s="96">
        <f t="shared" si="3"/>
        <v>22</v>
      </c>
      <c r="G28" s="96">
        <f t="shared" si="3"/>
        <v>22</v>
      </c>
      <c r="H28" s="96">
        <f t="shared" si="3"/>
        <v>22</v>
      </c>
      <c r="I28" s="96">
        <f t="shared" si="3"/>
        <v>22</v>
      </c>
    </row>
    <row r="29" spans="1:9" x14ac:dyDescent="0.15">
      <c r="A29" s="92" t="s">
        <v>19</v>
      </c>
      <c r="B29" s="107"/>
      <c r="C29" s="107"/>
      <c r="D29" s="107"/>
      <c r="E29" s="107"/>
      <c r="F29" s="107"/>
      <c r="G29" s="107"/>
      <c r="H29" s="107"/>
      <c r="I29" s="107"/>
    </row>
    <row r="30" spans="1:9" ht="45" x14ac:dyDescent="0.15">
      <c r="A30" s="137" t="s">
        <v>254</v>
      </c>
      <c r="B30" s="84">
        <v>2</v>
      </c>
      <c r="C30" s="109">
        <v>2</v>
      </c>
      <c r="D30" s="84">
        <v>2</v>
      </c>
      <c r="E30" s="109">
        <v>2</v>
      </c>
      <c r="F30" s="109">
        <v>64</v>
      </c>
      <c r="G30" s="109">
        <v>64</v>
      </c>
      <c r="H30" s="109">
        <v>64</v>
      </c>
      <c r="I30" s="109">
        <v>64</v>
      </c>
    </row>
    <row r="31" spans="1:9" ht="15" x14ac:dyDescent="0.15">
      <c r="A31" s="137" t="s">
        <v>255</v>
      </c>
      <c r="B31" s="84">
        <v>2</v>
      </c>
      <c r="C31" s="109">
        <v>2</v>
      </c>
      <c r="D31" s="84">
        <v>2</v>
      </c>
      <c r="E31" s="109">
        <v>2</v>
      </c>
      <c r="F31" s="109">
        <v>2</v>
      </c>
      <c r="G31" s="109">
        <v>2</v>
      </c>
      <c r="H31" s="109">
        <v>2</v>
      </c>
      <c r="I31" s="109">
        <v>2</v>
      </c>
    </row>
    <row r="32" spans="1:9" ht="15" x14ac:dyDescent="0.15">
      <c r="A32" s="137" t="s">
        <v>20</v>
      </c>
      <c r="B32" s="84">
        <v>0</v>
      </c>
      <c r="C32" s="109">
        <v>0</v>
      </c>
      <c r="D32" s="84">
        <v>0</v>
      </c>
      <c r="E32" s="109">
        <v>0</v>
      </c>
      <c r="F32" s="109">
        <v>8</v>
      </c>
      <c r="G32" s="109">
        <v>8</v>
      </c>
      <c r="H32" s="109">
        <v>8</v>
      </c>
      <c r="I32" s="109">
        <v>8</v>
      </c>
    </row>
    <row r="33" spans="1:10" ht="57" x14ac:dyDescent="0.15">
      <c r="A33" s="143" t="s">
        <v>256</v>
      </c>
      <c r="B33" s="125">
        <f t="shared" ref="B33:I33" si="4">IF(B30&gt;=2,10*LOG10(B30/2),0)</f>
        <v>0</v>
      </c>
      <c r="C33" s="125">
        <f t="shared" si="4"/>
        <v>0</v>
      </c>
      <c r="D33" s="125">
        <f t="shared" si="4"/>
        <v>0</v>
      </c>
      <c r="E33" s="125">
        <f t="shared" si="4"/>
        <v>0</v>
      </c>
      <c r="F33" s="125">
        <f t="shared" si="4"/>
        <v>15.051499783199061</v>
      </c>
      <c r="G33" s="125">
        <f t="shared" si="4"/>
        <v>15.051499783199061</v>
      </c>
      <c r="H33" s="125">
        <f t="shared" si="4"/>
        <v>15.051499783199061</v>
      </c>
      <c r="I33" s="125">
        <f t="shared" si="4"/>
        <v>15.051499783199061</v>
      </c>
    </row>
    <row r="34" spans="1:10" ht="45" x14ac:dyDescent="0.15">
      <c r="A34" s="137" t="s">
        <v>21</v>
      </c>
      <c r="B34" s="84">
        <v>1</v>
      </c>
      <c r="C34" s="108">
        <v>1</v>
      </c>
      <c r="D34" s="84">
        <v>1</v>
      </c>
      <c r="E34" s="108">
        <v>1</v>
      </c>
      <c r="F34" s="84">
        <v>3</v>
      </c>
      <c r="G34" s="84">
        <v>3</v>
      </c>
      <c r="H34" s="84">
        <v>3</v>
      </c>
      <c r="I34" s="84">
        <v>3</v>
      </c>
    </row>
    <row r="35" spans="1:10" ht="15" x14ac:dyDescent="0.15">
      <c r="A35" s="137" t="s">
        <v>22</v>
      </c>
      <c r="B35" s="93">
        <v>7</v>
      </c>
      <c r="C35" s="93">
        <v>7</v>
      </c>
      <c r="D35" s="93">
        <v>7</v>
      </c>
      <c r="E35" s="93">
        <v>7</v>
      </c>
      <c r="F35" s="93">
        <v>5</v>
      </c>
      <c r="G35" s="93">
        <v>5</v>
      </c>
      <c r="H35" s="93">
        <v>5</v>
      </c>
      <c r="I35" s="93">
        <v>5</v>
      </c>
    </row>
    <row r="36" spans="1:10" ht="15" x14ac:dyDescent="0.15">
      <c r="A36" s="137" t="s">
        <v>23</v>
      </c>
      <c r="B36" s="93">
        <v>-174</v>
      </c>
      <c r="C36" s="93">
        <v>-174</v>
      </c>
      <c r="D36" s="93">
        <v>-174</v>
      </c>
      <c r="E36" s="93">
        <v>-174</v>
      </c>
      <c r="F36" s="84">
        <v>-174</v>
      </c>
      <c r="G36" s="93">
        <v>-174</v>
      </c>
      <c r="H36" s="84">
        <v>-174</v>
      </c>
      <c r="I36" s="93">
        <v>-174</v>
      </c>
    </row>
    <row r="37" spans="1:10" ht="45" x14ac:dyDescent="0.15">
      <c r="A37" s="137" t="s">
        <v>24</v>
      </c>
      <c r="B37" s="84" t="s">
        <v>245</v>
      </c>
      <c r="C37" s="93">
        <v>-169.3</v>
      </c>
      <c r="D37" s="84" t="s">
        <v>245</v>
      </c>
      <c r="E37" s="93">
        <v>-169.3</v>
      </c>
      <c r="F37" s="93" t="s">
        <v>245</v>
      </c>
      <c r="G37" s="93">
        <v>-161.69999999999999</v>
      </c>
      <c r="H37" s="93" t="s">
        <v>245</v>
      </c>
      <c r="I37" s="93">
        <v>-161.69999999999999</v>
      </c>
    </row>
    <row r="38" spans="1:10" ht="30" x14ac:dyDescent="0.15">
      <c r="A38" s="137" t="s">
        <v>25</v>
      </c>
      <c r="B38" s="84">
        <v>-169.3</v>
      </c>
      <c r="C38" s="93" t="s">
        <v>245</v>
      </c>
      <c r="D38" s="84">
        <v>-169.3</v>
      </c>
      <c r="E38" s="93" t="s">
        <v>245</v>
      </c>
      <c r="F38" s="93">
        <v>-165.7</v>
      </c>
      <c r="G38" s="93" t="s">
        <v>245</v>
      </c>
      <c r="H38" s="93">
        <v>-165.7</v>
      </c>
      <c r="I38" s="93" t="s">
        <v>245</v>
      </c>
    </row>
    <row r="39" spans="1:10" ht="60" x14ac:dyDescent="0.15">
      <c r="A39" s="111" t="s">
        <v>45</v>
      </c>
      <c r="B39" s="96" t="s">
        <v>245</v>
      </c>
      <c r="C39" s="96">
        <f t="shared" ref="C39:G39" si="5">10*LOG10(10^((C35+C36)/10)+10^(C37/10))</f>
        <v>-164.98918835931039</v>
      </c>
      <c r="D39" s="96" t="s">
        <v>245</v>
      </c>
      <c r="E39" s="96">
        <f t="shared" si="5"/>
        <v>-164.98918835931039</v>
      </c>
      <c r="F39" s="96" t="s">
        <v>245</v>
      </c>
      <c r="G39" s="96">
        <f t="shared" si="5"/>
        <v>-160.9583889004532</v>
      </c>
      <c r="H39" s="96" t="s">
        <v>245</v>
      </c>
      <c r="I39" s="96">
        <f>10*LOG10(10^((I35+I36)/10)+10^(I37/10))</f>
        <v>-160.9583889004532</v>
      </c>
    </row>
    <row r="40" spans="1:10" ht="60" x14ac:dyDescent="0.15">
      <c r="A40" s="111" t="s">
        <v>46</v>
      </c>
      <c r="B40" s="96">
        <f t="shared" ref="B40:F40" si="6">10*LOG10(10^((B35+B36)/10)+10^(B38/10))</f>
        <v>-164.98918835931039</v>
      </c>
      <c r="C40" s="96" t="s">
        <v>245</v>
      </c>
      <c r="D40" s="96">
        <f t="shared" si="6"/>
        <v>-164.98918835931039</v>
      </c>
      <c r="E40" s="96" t="s">
        <v>245</v>
      </c>
      <c r="F40" s="96">
        <f t="shared" si="6"/>
        <v>-164.03352307536667</v>
      </c>
      <c r="G40" s="96" t="s">
        <v>245</v>
      </c>
      <c r="H40" s="96">
        <f>10*LOG10(10^((H35+H36)/10)+10^(H38/10))</f>
        <v>-164.03352307536667</v>
      </c>
      <c r="I40" s="96" t="s">
        <v>245</v>
      </c>
    </row>
    <row r="41" spans="1:10" ht="45" x14ac:dyDescent="0.15">
      <c r="A41" s="137" t="s">
        <v>26</v>
      </c>
      <c r="B41" s="84" t="s">
        <v>245</v>
      </c>
      <c r="C41" s="84">
        <f>'[4]NR MaxN_RB'!$F$7*12*30*1000</f>
        <v>18360000</v>
      </c>
      <c r="D41" s="84" t="s">
        <v>245</v>
      </c>
      <c r="E41" s="84">
        <f>'[4]NR MaxN_RB'!$F$7*12*30*1000</f>
        <v>18360000</v>
      </c>
      <c r="F41" s="109" t="s">
        <v>245</v>
      </c>
      <c r="G41" s="93">
        <f>1*12*30*1000</f>
        <v>360000</v>
      </c>
      <c r="H41" s="109" t="s">
        <v>245</v>
      </c>
      <c r="I41" s="93">
        <f>1*12*30*1000</f>
        <v>360000</v>
      </c>
    </row>
    <row r="42" spans="1:10" ht="45" x14ac:dyDescent="0.15">
      <c r="A42" s="137" t="s">
        <v>27</v>
      </c>
      <c r="B42" s="84">
        <f>'[4]NR MaxN_RB'!$F$7*12*30*1000</f>
        <v>18360000</v>
      </c>
      <c r="C42" s="109" t="s">
        <v>245</v>
      </c>
      <c r="D42" s="84">
        <f>'[4]NR MaxN_RB'!$F$7*12*30*1000</f>
        <v>18360000</v>
      </c>
      <c r="E42" s="109" t="s">
        <v>245</v>
      </c>
      <c r="F42" s="84">
        <f>4*12*30*1000</f>
        <v>1440000</v>
      </c>
      <c r="G42" s="93" t="s">
        <v>245</v>
      </c>
      <c r="H42" s="84">
        <f>4*12*30*1000</f>
        <v>1440000</v>
      </c>
      <c r="I42" s="93" t="s">
        <v>245</v>
      </c>
    </row>
    <row r="43" spans="1:10" ht="30" x14ac:dyDescent="0.15">
      <c r="A43" s="110" t="s">
        <v>28</v>
      </c>
      <c r="B43" s="96" t="s">
        <v>245</v>
      </c>
      <c r="C43" s="96">
        <f t="shared" ref="C43:G43" si="7">C39+10*LOG10(C41)</f>
        <v>-92.350461590658156</v>
      </c>
      <c r="D43" s="96" t="s">
        <v>245</v>
      </c>
      <c r="E43" s="96">
        <f t="shared" si="7"/>
        <v>-92.350461590658156</v>
      </c>
      <c r="F43" s="96" t="s">
        <v>245</v>
      </c>
      <c r="G43" s="96">
        <f t="shared" si="7"/>
        <v>-105.39536389278032</v>
      </c>
      <c r="H43" s="96" t="s">
        <v>245</v>
      </c>
      <c r="I43" s="96">
        <f>I39+10*LOG10(I41)</f>
        <v>-105.39536389278032</v>
      </c>
    </row>
    <row r="44" spans="1:10" ht="30" x14ac:dyDescent="0.15">
      <c r="A44" s="110" t="s">
        <v>29</v>
      </c>
      <c r="B44" s="96">
        <f t="shared" ref="B44:F44" si="8">B40+10*LOG10(B42)</f>
        <v>-92.350461590658156</v>
      </c>
      <c r="C44" s="96" t="s">
        <v>245</v>
      </c>
      <c r="D44" s="96">
        <f t="shared" si="8"/>
        <v>-92.350461590658156</v>
      </c>
      <c r="E44" s="96" t="s">
        <v>245</v>
      </c>
      <c r="F44" s="96">
        <f t="shared" si="8"/>
        <v>-102.44989815441417</v>
      </c>
      <c r="G44" s="96" t="s">
        <v>245</v>
      </c>
      <c r="H44" s="96">
        <f>H40+10*LOG10(H42)</f>
        <v>-102.44989815441417</v>
      </c>
      <c r="I44" s="96" t="s">
        <v>245</v>
      </c>
    </row>
    <row r="45" spans="1:10" s="140" customFormat="1" ht="15" x14ac:dyDescent="0.15">
      <c r="A45" s="137" t="s">
        <v>30</v>
      </c>
      <c r="B45" s="120" t="s">
        <v>245</v>
      </c>
      <c r="C45" s="144">
        <f>(-6.9-6.05)/2</f>
        <v>-6.4749999999999996</v>
      </c>
      <c r="D45" s="144" t="s">
        <v>245</v>
      </c>
      <c r="E45" s="144">
        <f>(-6.8-6.13)/2</f>
        <v>-6.4649999999999999</v>
      </c>
      <c r="F45" s="120" t="s">
        <v>245</v>
      </c>
      <c r="G45" s="144">
        <f>-6.4</f>
        <v>-6.4</v>
      </c>
      <c r="H45" s="144" t="s">
        <v>245</v>
      </c>
      <c r="I45" s="145">
        <f>(-5.4-6.4)/2</f>
        <v>-5.9</v>
      </c>
      <c r="J45" s="146"/>
    </row>
    <row r="46" spans="1:10" s="140" customFormat="1" ht="15" x14ac:dyDescent="0.15">
      <c r="A46" s="137" t="s">
        <v>31</v>
      </c>
      <c r="B46" s="120">
        <f>(1.2+0.92)/2</f>
        <v>1.06</v>
      </c>
      <c r="C46" s="120" t="s">
        <v>245</v>
      </c>
      <c r="D46" s="132">
        <f>(-0.4+0.85)/2</f>
        <v>0.22499999999999998</v>
      </c>
      <c r="E46" s="120" t="s">
        <v>245</v>
      </c>
      <c r="F46" s="144">
        <f>(-0.1-0.15)/2</f>
        <v>-0.125</v>
      </c>
      <c r="G46" s="120" t="s">
        <v>245</v>
      </c>
      <c r="H46" s="144">
        <f>(-1.2+0.77)/2</f>
        <v>-0.21499999999999997</v>
      </c>
      <c r="I46" s="120" t="s">
        <v>245</v>
      </c>
    </row>
    <row r="47" spans="1:10" ht="15" x14ac:dyDescent="0.15">
      <c r="A47" s="137" t="s">
        <v>32</v>
      </c>
      <c r="B47" s="84">
        <v>2</v>
      </c>
      <c r="C47" s="93">
        <v>2</v>
      </c>
      <c r="D47" s="84">
        <v>2</v>
      </c>
      <c r="E47" s="93">
        <v>2</v>
      </c>
      <c r="F47" s="109">
        <v>2</v>
      </c>
      <c r="G47" s="93">
        <v>2</v>
      </c>
      <c r="H47" s="109">
        <v>2</v>
      </c>
      <c r="I47" s="93">
        <v>2</v>
      </c>
    </row>
    <row r="48" spans="1:10" ht="15" x14ac:dyDescent="0.15">
      <c r="A48" s="137" t="s">
        <v>33</v>
      </c>
      <c r="B48" s="84" t="s">
        <v>245</v>
      </c>
      <c r="C48" s="93">
        <v>0</v>
      </c>
      <c r="D48" s="84" t="s">
        <v>245</v>
      </c>
      <c r="E48" s="93">
        <v>0</v>
      </c>
      <c r="F48" s="109" t="s">
        <v>245</v>
      </c>
      <c r="G48" s="93">
        <v>0</v>
      </c>
      <c r="H48" s="109" t="s">
        <v>245</v>
      </c>
      <c r="I48" s="93">
        <v>0</v>
      </c>
    </row>
    <row r="49" spans="1:9" ht="15" x14ac:dyDescent="0.15">
      <c r="A49" s="137" t="s">
        <v>34</v>
      </c>
      <c r="B49" s="84">
        <v>0.5</v>
      </c>
      <c r="C49" s="93" t="s">
        <v>245</v>
      </c>
      <c r="D49" s="84">
        <v>0.5</v>
      </c>
      <c r="E49" s="93" t="s">
        <v>245</v>
      </c>
      <c r="F49" s="109">
        <v>0.5</v>
      </c>
      <c r="G49" s="93" t="s">
        <v>245</v>
      </c>
      <c r="H49" s="109">
        <v>0.5</v>
      </c>
      <c r="I49" s="93" t="s">
        <v>245</v>
      </c>
    </row>
    <row r="50" spans="1:9" ht="30" x14ac:dyDescent="0.15">
      <c r="A50" s="111" t="s">
        <v>47</v>
      </c>
      <c r="B50" s="96" t="s">
        <v>245</v>
      </c>
      <c r="C50" s="96">
        <f t="shared" ref="C50:G50" si="9">C43+C45+C47-C48</f>
        <v>-96.825461590658151</v>
      </c>
      <c r="D50" s="96" t="s">
        <v>245</v>
      </c>
      <c r="E50" s="96">
        <f t="shared" si="9"/>
        <v>-96.81546159065816</v>
      </c>
      <c r="F50" s="96" t="s">
        <v>245</v>
      </c>
      <c r="G50" s="96">
        <f t="shared" si="9"/>
        <v>-109.79536389278033</v>
      </c>
      <c r="H50" s="96" t="s">
        <v>245</v>
      </c>
      <c r="I50" s="96">
        <f>I43+I45+I47-I48</f>
        <v>-109.29536389278033</v>
      </c>
    </row>
    <row r="51" spans="1:9" ht="30" x14ac:dyDescent="0.15">
      <c r="A51" s="111" t="s">
        <v>48</v>
      </c>
      <c r="B51" s="96">
        <f t="shared" ref="B51:F51" si="10">B44+B46+B47-B49</f>
        <v>-89.790461590658154</v>
      </c>
      <c r="C51" s="96" t="s">
        <v>245</v>
      </c>
      <c r="D51" s="96">
        <f t="shared" si="10"/>
        <v>-90.625461590658162</v>
      </c>
      <c r="E51" s="96" t="s">
        <v>245</v>
      </c>
      <c r="F51" s="96">
        <f t="shared" si="10"/>
        <v>-101.07489815441417</v>
      </c>
      <c r="G51" s="96" t="s">
        <v>245</v>
      </c>
      <c r="H51" s="96">
        <f>H44+H46+H47-H49</f>
        <v>-101.16489815441417</v>
      </c>
      <c r="I51" s="96" t="s">
        <v>245</v>
      </c>
    </row>
    <row r="52" spans="1:9" ht="30" x14ac:dyDescent="0.15">
      <c r="A52" s="111" t="s">
        <v>101</v>
      </c>
      <c r="B52" s="96" t="s">
        <v>245</v>
      </c>
      <c r="C52" s="96">
        <f t="shared" ref="C52:G52" si="11">C27+C32+C33-C50</f>
        <v>165.9387611136961</v>
      </c>
      <c r="D52" s="96" t="s">
        <v>245</v>
      </c>
      <c r="E52" s="96">
        <f t="shared" si="11"/>
        <v>165.92876111369611</v>
      </c>
      <c r="F52" s="96" t="s">
        <v>245</v>
      </c>
      <c r="G52" s="96">
        <f t="shared" si="11"/>
        <v>154.84686367597939</v>
      </c>
      <c r="H52" s="96" t="s">
        <v>245</v>
      </c>
      <c r="I52" s="96">
        <f>I27+I32+I33-I50</f>
        <v>154.34686367597939</v>
      </c>
    </row>
    <row r="53" spans="1:9" ht="30" x14ac:dyDescent="0.15">
      <c r="A53" s="111" t="s">
        <v>102</v>
      </c>
      <c r="B53" s="96">
        <f t="shared" ref="B53:F53" si="12">B28+B32+B33-B51</f>
        <v>158.90376111369608</v>
      </c>
      <c r="C53" s="96" t="s">
        <v>245</v>
      </c>
      <c r="D53" s="96">
        <f t="shared" si="12"/>
        <v>159.73876111369611</v>
      </c>
      <c r="E53" s="96" t="s">
        <v>245</v>
      </c>
      <c r="F53" s="96">
        <f t="shared" si="12"/>
        <v>146.12639793761323</v>
      </c>
      <c r="G53" s="96" t="s">
        <v>245</v>
      </c>
      <c r="H53" s="96">
        <f>H28+H32+H33-H51</f>
        <v>146.21639793761324</v>
      </c>
      <c r="I53" s="96" t="s">
        <v>245</v>
      </c>
    </row>
    <row r="54" spans="1:9" x14ac:dyDescent="0.15">
      <c r="A54" s="92" t="s">
        <v>35</v>
      </c>
      <c r="B54" s="107"/>
      <c r="C54" s="107"/>
      <c r="D54" s="107"/>
      <c r="E54" s="107"/>
      <c r="F54" s="107"/>
      <c r="G54" s="107"/>
      <c r="H54" s="107"/>
      <c r="I54" s="107"/>
    </row>
    <row r="55" spans="1:9" ht="15" x14ac:dyDescent="0.15">
      <c r="A55" s="137" t="s">
        <v>36</v>
      </c>
      <c r="B55" s="109">
        <v>8</v>
      </c>
      <c r="C55" s="109">
        <v>8</v>
      </c>
      <c r="D55" s="109">
        <v>8</v>
      </c>
      <c r="E55" s="109">
        <v>8</v>
      </c>
      <c r="F55" s="109">
        <v>8</v>
      </c>
      <c r="G55" s="109">
        <v>8</v>
      </c>
      <c r="H55" s="109">
        <v>8</v>
      </c>
      <c r="I55" s="109">
        <v>8</v>
      </c>
    </row>
    <row r="56" spans="1:9" ht="30" x14ac:dyDescent="0.15">
      <c r="A56" s="137" t="s">
        <v>37</v>
      </c>
      <c r="B56" s="102" t="s">
        <v>245</v>
      </c>
      <c r="C56" s="109">
        <v>10.45</v>
      </c>
      <c r="D56" s="109" t="s">
        <v>245</v>
      </c>
      <c r="E56" s="109">
        <v>8.4499999999999993</v>
      </c>
      <c r="F56" s="102" t="s">
        <v>245</v>
      </c>
      <c r="G56" s="109">
        <v>10.45</v>
      </c>
      <c r="H56" s="109" t="s">
        <v>245</v>
      </c>
      <c r="I56" s="109">
        <v>8.4499999999999993</v>
      </c>
    </row>
    <row r="57" spans="1:9" ht="30" x14ac:dyDescent="0.15">
      <c r="A57" s="137" t="s">
        <v>38</v>
      </c>
      <c r="B57" s="109">
        <v>6.61</v>
      </c>
      <c r="C57" s="102" t="s">
        <v>245</v>
      </c>
      <c r="D57" s="109">
        <v>5.13</v>
      </c>
      <c r="E57" s="102" t="s">
        <v>245</v>
      </c>
      <c r="F57" s="109">
        <v>6.61</v>
      </c>
      <c r="G57" s="102" t="s">
        <v>245</v>
      </c>
      <c r="H57" s="109">
        <v>5.13</v>
      </c>
      <c r="I57" s="102" t="s">
        <v>245</v>
      </c>
    </row>
    <row r="58" spans="1:9" ht="15" x14ac:dyDescent="0.15">
      <c r="A58" s="137" t="s">
        <v>39</v>
      </c>
      <c r="B58" s="108">
        <v>0</v>
      </c>
      <c r="C58" s="108">
        <v>0</v>
      </c>
      <c r="D58" s="108">
        <v>0</v>
      </c>
      <c r="E58" s="108">
        <v>0</v>
      </c>
      <c r="F58" s="108">
        <v>0</v>
      </c>
      <c r="G58" s="108">
        <v>0</v>
      </c>
      <c r="H58" s="108">
        <v>0</v>
      </c>
      <c r="I58" s="108">
        <v>0</v>
      </c>
    </row>
    <row r="59" spans="1:9" ht="15" x14ac:dyDescent="0.15">
      <c r="A59" s="137" t="s">
        <v>40</v>
      </c>
      <c r="B59" s="108">
        <v>9</v>
      </c>
      <c r="C59" s="108">
        <v>9</v>
      </c>
      <c r="D59" s="108">
        <v>12.5</v>
      </c>
      <c r="E59" s="108">
        <v>12.5</v>
      </c>
      <c r="F59" s="108">
        <v>9</v>
      </c>
      <c r="G59" s="108">
        <v>9</v>
      </c>
      <c r="H59" s="108">
        <v>12.5</v>
      </c>
      <c r="I59" s="108">
        <v>12.5</v>
      </c>
    </row>
    <row r="60" spans="1:9" ht="15" x14ac:dyDescent="0.15">
      <c r="A60" s="137" t="s">
        <v>41</v>
      </c>
      <c r="B60" s="109">
        <v>0</v>
      </c>
      <c r="C60" s="109">
        <v>0</v>
      </c>
      <c r="D60" s="109">
        <v>0</v>
      </c>
      <c r="E60" s="109">
        <v>0</v>
      </c>
      <c r="F60" s="109">
        <v>0</v>
      </c>
      <c r="G60" s="109">
        <v>0</v>
      </c>
      <c r="H60" s="109">
        <v>0</v>
      </c>
      <c r="I60" s="109">
        <v>0</v>
      </c>
    </row>
    <row r="61" spans="1:9" ht="30" x14ac:dyDescent="0.15">
      <c r="A61" s="111" t="s">
        <v>257</v>
      </c>
      <c r="B61" s="96" t="s">
        <v>245</v>
      </c>
      <c r="C61" s="96">
        <f t="shared" ref="C61:G61" si="13">C52-C56+C58-C59+C60-C34</f>
        <v>145.48876111369611</v>
      </c>
      <c r="D61" s="96" t="s">
        <v>245</v>
      </c>
      <c r="E61" s="96">
        <f t="shared" si="13"/>
        <v>143.97876111369612</v>
      </c>
      <c r="F61" s="96" t="s">
        <v>245</v>
      </c>
      <c r="G61" s="96">
        <f t="shared" si="13"/>
        <v>132.3968636759794</v>
      </c>
      <c r="H61" s="96" t="s">
        <v>245</v>
      </c>
      <c r="I61" s="96">
        <f>I52-I56+I58-I59+I60-I34</f>
        <v>130.3968636759794</v>
      </c>
    </row>
    <row r="62" spans="1:9" ht="30" x14ac:dyDescent="0.15">
      <c r="A62" s="111" t="s">
        <v>49</v>
      </c>
      <c r="B62" s="96">
        <f t="shared" ref="B62:F62" si="14">B53-B57+B58-B59+B60-B34</f>
        <v>142.29376111369606</v>
      </c>
      <c r="C62" s="96" t="s">
        <v>245</v>
      </c>
      <c r="D62" s="96">
        <f t="shared" si="14"/>
        <v>141.10876111369612</v>
      </c>
      <c r="E62" s="96" t="s">
        <v>245</v>
      </c>
      <c r="F62" s="96">
        <f t="shared" si="14"/>
        <v>127.51639793761322</v>
      </c>
      <c r="G62" s="96" t="s">
        <v>245</v>
      </c>
      <c r="H62" s="96">
        <f>H53-H57+H58-H59+H60-H34</f>
        <v>125.58639793761324</v>
      </c>
      <c r="I62" s="96" t="s">
        <v>245</v>
      </c>
    </row>
    <row r="63" spans="1:9" x14ac:dyDescent="0.15">
      <c r="A63" s="92" t="s">
        <v>42</v>
      </c>
      <c r="B63" s="107"/>
      <c r="C63" s="107"/>
      <c r="D63" s="107"/>
      <c r="E63" s="107"/>
      <c r="F63" s="107"/>
      <c r="G63" s="107"/>
      <c r="H63" s="107"/>
      <c r="I63" s="107"/>
    </row>
    <row r="64" spans="1:9" ht="45" x14ac:dyDescent="0.15">
      <c r="A64" s="112" t="s">
        <v>43</v>
      </c>
      <c r="B64" s="93" t="s">
        <v>245</v>
      </c>
      <c r="C64" s="109">
        <f t="shared" ref="C64:G64" si="15">10^((C61-161.04+7.1*LOG10(20)-7.5*LOG10(5)+(24.37-3.7*(5/C$5)^2)*LOG10(C$5)-20*LOG10(C$4)+(3.2*(LOG10(11.75*C$6)^2)-4.97))/(43.42-3.1*LOG10(C$5))+3)</f>
        <v>5649.691641586006</v>
      </c>
      <c r="D64" s="93" t="s">
        <v>245</v>
      </c>
      <c r="E64" s="109">
        <f t="shared" si="15"/>
        <v>5163.4429474753279</v>
      </c>
      <c r="F64" s="93" t="s">
        <v>245</v>
      </c>
      <c r="G64" s="109">
        <f t="shared" si="15"/>
        <v>2589.1042940937641</v>
      </c>
      <c r="H64" s="93" t="s">
        <v>245</v>
      </c>
      <c r="I64" s="109">
        <f>10^((I61-161.04+7.1*LOG10(20)-7.5*LOG10(5)+(24.37-3.7*(5/I$5)^2)*LOG10(I$5)-20*LOG10(I$4)+(3.2*(LOG10(11.75*I$6)^2)-4.97))/(43.42-3.1*LOG10(I$5))+3)</f>
        <v>2298.1631333226178</v>
      </c>
    </row>
    <row r="65" spans="1:9" ht="45" x14ac:dyDescent="0.15">
      <c r="A65" s="112" t="s">
        <v>44</v>
      </c>
      <c r="B65" s="109">
        <f t="shared" ref="B65:F65" si="16">10^((B62-161.04+7.1*LOG10(20)-7.5*LOG10(5)+(24.37-3.7*(5/B$5)^2)*LOG10(B$5)-20*LOG10(B$4)+(3.2*(LOG10(11.75*B$6)^2)-4.97))/(43.42-3.1*LOG10(B$5))+3)</f>
        <v>4670.0793537257196</v>
      </c>
      <c r="C65" s="93" t="s">
        <v>245</v>
      </c>
      <c r="D65" s="109">
        <f t="shared" si="16"/>
        <v>4351.6234701319172</v>
      </c>
      <c r="E65" s="93" t="s">
        <v>245</v>
      </c>
      <c r="F65" s="109">
        <f t="shared" si="16"/>
        <v>1935.6279402814559</v>
      </c>
      <c r="G65" s="93" t="s">
        <v>245</v>
      </c>
      <c r="H65" s="109">
        <f>10^((H62-161.04+7.1*LOG10(20)-7.5*LOG10(5)+(24.37-3.7*(5/H$5)^2)*LOG10(H$5)-20*LOG10(H$4)+(3.2*(LOG10(11.75*H$6)^2)-4.97))/(43.42-3.1*LOG10(H$5))+3)</f>
        <v>1725.3018782432068</v>
      </c>
      <c r="I65" s="93" t="s">
        <v>245</v>
      </c>
    </row>
    <row r="66" spans="1:9" ht="33" x14ac:dyDescent="0.15">
      <c r="A66" s="112" t="s">
        <v>258</v>
      </c>
      <c r="B66" s="93" t="s">
        <v>245</v>
      </c>
      <c r="C66" s="93">
        <f t="shared" ref="C66:G66" si="17">PI()*(C64)^2</f>
        <v>100276545.06017096</v>
      </c>
      <c r="D66" s="93" t="s">
        <v>245</v>
      </c>
      <c r="E66" s="93">
        <f t="shared" si="17"/>
        <v>83758451.210776031</v>
      </c>
      <c r="F66" s="93" t="s">
        <v>245</v>
      </c>
      <c r="G66" s="93">
        <f t="shared" si="17"/>
        <v>21059543.974780038</v>
      </c>
      <c r="H66" s="93" t="s">
        <v>245</v>
      </c>
      <c r="I66" s="93">
        <f>PI()*(I64)^2</f>
        <v>16592490.577919679</v>
      </c>
    </row>
    <row r="67" spans="1:9" ht="33" x14ac:dyDescent="0.15">
      <c r="A67" s="112" t="s">
        <v>259</v>
      </c>
      <c r="B67" s="93">
        <f t="shared" ref="B67:F67" si="18">PI()*(B65)^2</f>
        <v>68517008.47740069</v>
      </c>
      <c r="C67" s="93" t="s">
        <v>245</v>
      </c>
      <c r="D67" s="93">
        <f t="shared" si="18"/>
        <v>59491167.719713949</v>
      </c>
      <c r="E67" s="93" t="s">
        <v>245</v>
      </c>
      <c r="F67" s="93">
        <f t="shared" si="18"/>
        <v>11770465.467211187</v>
      </c>
      <c r="G67" s="93" t="s">
        <v>245</v>
      </c>
      <c r="H67" s="93">
        <f>PI()*(H65)^2</f>
        <v>9351473.8318583779</v>
      </c>
      <c r="I67" s="93" t="s">
        <v>245</v>
      </c>
    </row>
    <row r="69" spans="1:9" x14ac:dyDescent="0.15">
      <c r="A69" s="113"/>
      <c r="F69" s="102"/>
      <c r="G69" s="102"/>
      <c r="H69" s="102"/>
      <c r="I69" s="102"/>
    </row>
    <row r="72" spans="1:9" ht="15" x14ac:dyDescent="0.15">
      <c r="A72" s="147"/>
    </row>
    <row r="73" spans="1:9" ht="15" x14ac:dyDescent="0.15">
      <c r="A73" s="147"/>
    </row>
  </sheetData>
  <mergeCells count="2">
    <mergeCell ref="B1:E1"/>
    <mergeCell ref="F1:I1"/>
  </mergeCells>
  <phoneticPr fontId="1" type="noConversion"/>
  <dataValidations count="1">
    <dataValidation type="list" allowBlank="1" showInputMessage="1" showErrorMessage="1" sqref="B26:E26 F34:I34">
      <formula1>"0,3"</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zoomScale="70" zoomScaleNormal="70" workbookViewId="0">
      <pane xSplit="1" ySplit="2" topLeftCell="B3" activePane="bottomRight" state="frozen"/>
      <selection pane="topRight"/>
      <selection pane="bottomLeft"/>
      <selection pane="bottomRight" activeCell="F7" sqref="F7"/>
    </sheetView>
  </sheetViews>
  <sheetFormatPr defaultColWidth="9" defaultRowHeight="14.25" x14ac:dyDescent="0.15"/>
  <cols>
    <col min="1" max="1" width="69" style="114" customWidth="1"/>
    <col min="2" max="3" width="16" style="102" customWidth="1"/>
    <col min="4" max="4" width="15.25" style="102" customWidth="1"/>
    <col min="5" max="5" width="14.875" style="102" customWidth="1"/>
    <col min="6" max="6" width="15" style="114" customWidth="1"/>
    <col min="7" max="7" width="14.5" style="114" customWidth="1"/>
    <col min="8" max="8" width="14.625" style="114" customWidth="1"/>
    <col min="9" max="9" width="13.75" style="114" customWidth="1"/>
    <col min="10" max="16384" width="9" style="1"/>
  </cols>
  <sheetData>
    <row r="1" spans="1:9" x14ac:dyDescent="0.15">
      <c r="A1" s="136" t="s">
        <v>0</v>
      </c>
      <c r="B1" s="226" t="s">
        <v>341</v>
      </c>
      <c r="C1" s="214"/>
      <c r="D1" s="214"/>
      <c r="E1" s="215"/>
      <c r="F1" s="227" t="s">
        <v>340</v>
      </c>
      <c r="G1" s="216"/>
      <c r="H1" s="216"/>
      <c r="I1" s="216"/>
    </row>
    <row r="2" spans="1:9" ht="28.5" x14ac:dyDescent="0.15">
      <c r="A2" s="106"/>
      <c r="B2" s="148" t="s">
        <v>240</v>
      </c>
      <c r="C2" s="148" t="s">
        <v>269</v>
      </c>
      <c r="D2" s="148" t="s">
        <v>270</v>
      </c>
      <c r="E2" s="148" t="s">
        <v>271</v>
      </c>
      <c r="F2" s="148" t="s">
        <v>263</v>
      </c>
      <c r="G2" s="148" t="s">
        <v>272</v>
      </c>
      <c r="H2" s="148" t="s">
        <v>265</v>
      </c>
      <c r="I2" s="148" t="s">
        <v>273</v>
      </c>
    </row>
    <row r="3" spans="1:9" x14ac:dyDescent="0.15">
      <c r="A3" s="92" t="s">
        <v>1</v>
      </c>
      <c r="B3" s="107"/>
      <c r="C3" s="107"/>
      <c r="D3" s="107"/>
      <c r="E3" s="107"/>
      <c r="F3" s="107"/>
      <c r="G3" s="107"/>
      <c r="H3" s="107"/>
      <c r="I3" s="107"/>
    </row>
    <row r="4" spans="1:9" ht="15" x14ac:dyDescent="0.15">
      <c r="A4" s="137" t="s">
        <v>2</v>
      </c>
      <c r="B4" s="108">
        <v>0.7</v>
      </c>
      <c r="C4" s="109">
        <v>0.7</v>
      </c>
      <c r="D4" s="108">
        <v>0.7</v>
      </c>
      <c r="E4" s="109">
        <v>0.7</v>
      </c>
      <c r="F4" s="108">
        <v>0.7</v>
      </c>
      <c r="G4" s="109">
        <v>0.7</v>
      </c>
      <c r="H4" s="108">
        <v>0.7</v>
      </c>
      <c r="I4" s="109">
        <v>0.7</v>
      </c>
    </row>
    <row r="5" spans="1:9" ht="15" x14ac:dyDescent="0.15">
      <c r="A5" s="137" t="s">
        <v>3</v>
      </c>
      <c r="B5" s="109">
        <v>35</v>
      </c>
      <c r="C5" s="109">
        <v>35</v>
      </c>
      <c r="D5" s="109">
        <v>35</v>
      </c>
      <c r="E5" s="109">
        <v>35</v>
      </c>
      <c r="F5" s="109">
        <v>35</v>
      </c>
      <c r="G5" s="109">
        <v>35</v>
      </c>
      <c r="H5" s="109">
        <v>35</v>
      </c>
      <c r="I5" s="109">
        <v>35</v>
      </c>
    </row>
    <row r="6" spans="1:9" ht="15" x14ac:dyDescent="0.15">
      <c r="A6" s="137" t="s">
        <v>4</v>
      </c>
      <c r="B6" s="108">
        <v>1.5</v>
      </c>
      <c r="C6" s="109">
        <v>1.5</v>
      </c>
      <c r="D6" s="108">
        <v>1.5</v>
      </c>
      <c r="E6" s="109">
        <v>1.5</v>
      </c>
      <c r="F6" s="108">
        <v>1.5</v>
      </c>
      <c r="G6" s="109">
        <v>1.5</v>
      </c>
      <c r="H6" s="108">
        <v>1.5</v>
      </c>
      <c r="I6" s="109">
        <v>1.5</v>
      </c>
    </row>
    <row r="7" spans="1:9" ht="31.5" x14ac:dyDescent="0.15">
      <c r="A7" s="137" t="s">
        <v>244</v>
      </c>
      <c r="B7" s="94" t="s">
        <v>245</v>
      </c>
      <c r="C7" s="138">
        <v>0.95</v>
      </c>
      <c r="D7" s="94" t="s">
        <v>245</v>
      </c>
      <c r="E7" s="138">
        <v>0.95</v>
      </c>
      <c r="F7" s="138" t="s">
        <v>245</v>
      </c>
      <c r="G7" s="119">
        <v>0.95</v>
      </c>
      <c r="H7" s="138" t="s">
        <v>245</v>
      </c>
      <c r="I7" s="119">
        <v>0.95</v>
      </c>
    </row>
    <row r="8" spans="1:9" ht="31.5" x14ac:dyDescent="0.15">
      <c r="A8" s="137" t="s">
        <v>246</v>
      </c>
      <c r="B8" s="94">
        <v>0.9</v>
      </c>
      <c r="C8" s="138" t="s">
        <v>245</v>
      </c>
      <c r="D8" s="94">
        <v>0.9</v>
      </c>
      <c r="E8" s="138" t="s">
        <v>245</v>
      </c>
      <c r="F8" s="138">
        <v>0.9</v>
      </c>
      <c r="G8" s="119" t="s">
        <v>245</v>
      </c>
      <c r="H8" s="138">
        <v>0.9</v>
      </c>
      <c r="I8" s="119" t="s">
        <v>245</v>
      </c>
    </row>
    <row r="9" spans="1:9" ht="15" x14ac:dyDescent="0.15">
      <c r="A9" s="137" t="s">
        <v>5</v>
      </c>
      <c r="B9" s="84" t="s">
        <v>245</v>
      </c>
      <c r="C9" s="84">
        <f>64/(0.5*0.001)</f>
        <v>128000</v>
      </c>
      <c r="D9" s="84" t="s">
        <v>245</v>
      </c>
      <c r="E9" s="84">
        <f>64/(0.5*0.001)</f>
        <v>128000</v>
      </c>
      <c r="F9" s="109" t="s">
        <v>245</v>
      </c>
      <c r="G9" s="93">
        <f>2/(0.5*0.001)</f>
        <v>4000</v>
      </c>
      <c r="H9" s="109" t="s">
        <v>245</v>
      </c>
      <c r="I9" s="93">
        <f>2/(0.5*0.001)</f>
        <v>4000</v>
      </c>
    </row>
    <row r="10" spans="1:9" ht="30" customHeight="1" x14ac:dyDescent="0.15">
      <c r="A10" s="137" t="s">
        <v>6</v>
      </c>
      <c r="B10" s="84">
        <f>2248233*3</f>
        <v>6744699</v>
      </c>
      <c r="C10" s="109" t="s">
        <v>245</v>
      </c>
      <c r="D10" s="84">
        <f>2248233*3</f>
        <v>6744699</v>
      </c>
      <c r="E10" s="109" t="s">
        <v>245</v>
      </c>
      <c r="F10" s="109">
        <f>74880*3</f>
        <v>224640</v>
      </c>
      <c r="G10" s="93" t="s">
        <v>245</v>
      </c>
      <c r="H10" s="109">
        <f>74880*3</f>
        <v>224640</v>
      </c>
      <c r="I10" s="93" t="s">
        <v>245</v>
      </c>
    </row>
    <row r="11" spans="1:9" ht="15" x14ac:dyDescent="0.15">
      <c r="A11" s="137" t="s">
        <v>7</v>
      </c>
      <c r="B11" s="94" t="s">
        <v>245</v>
      </c>
      <c r="C11" s="138">
        <v>0.01</v>
      </c>
      <c r="D11" s="94" t="s">
        <v>245</v>
      </c>
      <c r="E11" s="138">
        <v>0.01</v>
      </c>
      <c r="F11" s="138" t="s">
        <v>245</v>
      </c>
      <c r="G11" s="119">
        <v>0.01</v>
      </c>
      <c r="H11" s="138" t="s">
        <v>245</v>
      </c>
      <c r="I11" s="119">
        <v>0.01</v>
      </c>
    </row>
    <row r="12" spans="1:9" ht="15" x14ac:dyDescent="0.15">
      <c r="A12" s="137" t="s">
        <v>8</v>
      </c>
      <c r="B12" s="94">
        <v>0.1</v>
      </c>
      <c r="C12" s="138" t="s">
        <v>245</v>
      </c>
      <c r="D12" s="94">
        <v>0.1</v>
      </c>
      <c r="E12" s="138" t="s">
        <v>245</v>
      </c>
      <c r="F12" s="138">
        <v>0.1</v>
      </c>
      <c r="G12" s="119" t="s">
        <v>245</v>
      </c>
      <c r="H12" s="138">
        <v>0.1</v>
      </c>
      <c r="I12" s="119" t="s">
        <v>245</v>
      </c>
    </row>
    <row r="13" spans="1:9" ht="16.5" x14ac:dyDescent="0.15">
      <c r="A13" s="137" t="s">
        <v>247</v>
      </c>
      <c r="B13" s="84">
        <f>B10/(B42*(7+(6+4*0.5)/14)/10)</f>
        <v>0.48519025157232709</v>
      </c>
      <c r="C13" s="138" t="s">
        <v>245</v>
      </c>
      <c r="D13" s="84">
        <f>D10/(D42*(7+(6+4*0.5)/14)/10)</f>
        <v>0.48519025157232709</v>
      </c>
      <c r="E13" s="109" t="s">
        <v>245</v>
      </c>
      <c r="F13" s="99">
        <f>F10/(F42*(2+(4+4*0.5)/14)/10)</f>
        <v>0.64235294117647068</v>
      </c>
      <c r="G13" s="119" t="s">
        <v>245</v>
      </c>
      <c r="H13" s="99">
        <f>H10/(H42*(2+(4+4*0.5)/14)/10)</f>
        <v>0.64235294117647068</v>
      </c>
      <c r="I13" s="93" t="s">
        <v>245</v>
      </c>
    </row>
    <row r="14" spans="1:9" ht="16.5" x14ac:dyDescent="0.15">
      <c r="A14" s="137" t="s">
        <v>248</v>
      </c>
      <c r="B14" s="109" t="s">
        <v>249</v>
      </c>
      <c r="C14" s="109" t="s">
        <v>249</v>
      </c>
      <c r="D14" s="109" t="s">
        <v>267</v>
      </c>
      <c r="E14" s="109" t="s">
        <v>267</v>
      </c>
      <c r="F14" s="109" t="s">
        <v>249</v>
      </c>
      <c r="G14" s="109" t="s">
        <v>249</v>
      </c>
      <c r="H14" s="109" t="s">
        <v>267</v>
      </c>
      <c r="I14" s="109" t="s">
        <v>267</v>
      </c>
    </row>
    <row r="15" spans="1:9" ht="15" x14ac:dyDescent="0.15">
      <c r="A15" s="137" t="s">
        <v>250</v>
      </c>
      <c r="B15" s="84">
        <v>120</v>
      </c>
      <c r="C15" s="93">
        <v>120</v>
      </c>
      <c r="D15" s="84">
        <v>3</v>
      </c>
      <c r="E15" s="93">
        <v>3</v>
      </c>
      <c r="F15" s="84">
        <v>120</v>
      </c>
      <c r="G15" s="93">
        <v>120</v>
      </c>
      <c r="H15" s="93">
        <v>3</v>
      </c>
      <c r="I15" s="93">
        <v>3</v>
      </c>
    </row>
    <row r="16" spans="1:9" ht="15" x14ac:dyDescent="0.15">
      <c r="A16" s="137" t="s">
        <v>9</v>
      </c>
      <c r="B16" s="84">
        <v>3</v>
      </c>
      <c r="C16" s="109">
        <v>3</v>
      </c>
      <c r="D16" s="84">
        <v>3</v>
      </c>
      <c r="E16" s="109">
        <v>3</v>
      </c>
      <c r="F16" s="109">
        <v>3</v>
      </c>
      <c r="G16" s="93">
        <v>3</v>
      </c>
      <c r="H16" s="109">
        <v>3</v>
      </c>
      <c r="I16" s="93">
        <v>3</v>
      </c>
    </row>
    <row r="17" spans="1:9" x14ac:dyDescent="0.15">
      <c r="A17" s="92" t="s">
        <v>10</v>
      </c>
      <c r="B17" s="107"/>
      <c r="C17" s="107"/>
      <c r="D17" s="107"/>
      <c r="E17" s="107"/>
      <c r="F17" s="107"/>
      <c r="G17" s="107"/>
      <c r="H17" s="107"/>
      <c r="I17" s="107"/>
    </row>
    <row r="18" spans="1:9" ht="30" x14ac:dyDescent="0.15">
      <c r="A18" s="137" t="s">
        <v>251</v>
      </c>
      <c r="B18" s="84">
        <v>64</v>
      </c>
      <c r="C18" s="109">
        <v>64</v>
      </c>
      <c r="D18" s="84">
        <v>64</v>
      </c>
      <c r="E18" s="109">
        <v>64</v>
      </c>
      <c r="F18" s="93">
        <v>1</v>
      </c>
      <c r="G18" s="109">
        <v>1</v>
      </c>
      <c r="H18" s="93">
        <v>1</v>
      </c>
      <c r="I18" s="109">
        <v>1</v>
      </c>
    </row>
    <row r="19" spans="1:9" ht="15" x14ac:dyDescent="0.15">
      <c r="A19" s="137" t="s">
        <v>268</v>
      </c>
      <c r="B19" s="84">
        <v>2</v>
      </c>
      <c r="C19" s="109">
        <v>2</v>
      </c>
      <c r="D19" s="84">
        <v>2</v>
      </c>
      <c r="E19" s="109">
        <v>2</v>
      </c>
      <c r="F19" s="93">
        <v>1</v>
      </c>
      <c r="G19" s="109">
        <v>1</v>
      </c>
      <c r="H19" s="93">
        <v>1</v>
      </c>
      <c r="I19" s="109">
        <v>1</v>
      </c>
    </row>
    <row r="20" spans="1:9" ht="15" x14ac:dyDescent="0.15">
      <c r="A20" s="137" t="s">
        <v>11</v>
      </c>
      <c r="B20" s="84">
        <v>31</v>
      </c>
      <c r="C20" s="109">
        <v>31</v>
      </c>
      <c r="D20" s="84">
        <v>31</v>
      </c>
      <c r="E20" s="109">
        <v>31</v>
      </c>
      <c r="F20" s="93">
        <v>23</v>
      </c>
      <c r="G20" s="109">
        <v>23</v>
      </c>
      <c r="H20" s="93">
        <v>23</v>
      </c>
      <c r="I20" s="109">
        <v>23</v>
      </c>
    </row>
    <row r="21" spans="1:9" ht="30" x14ac:dyDescent="0.15">
      <c r="A21" s="141" t="s">
        <v>253</v>
      </c>
      <c r="B21" s="125">
        <f t="shared" ref="B21:I21" si="0">B20+10*LOG10(B18)</f>
        <v>49.061799739838875</v>
      </c>
      <c r="C21" s="125">
        <f t="shared" si="0"/>
        <v>49.061799739838875</v>
      </c>
      <c r="D21" s="125">
        <f t="shared" si="0"/>
        <v>49.061799739838875</v>
      </c>
      <c r="E21" s="125">
        <f t="shared" si="0"/>
        <v>49.061799739838875</v>
      </c>
      <c r="F21" s="125">
        <f t="shared" si="0"/>
        <v>23</v>
      </c>
      <c r="G21" s="125">
        <f t="shared" si="0"/>
        <v>23</v>
      </c>
      <c r="H21" s="125">
        <f t="shared" si="0"/>
        <v>23</v>
      </c>
      <c r="I21" s="125">
        <f t="shared" si="0"/>
        <v>23</v>
      </c>
    </row>
    <row r="22" spans="1:9" ht="45" customHeight="1" x14ac:dyDescent="0.15">
      <c r="A22" s="137" t="s">
        <v>12</v>
      </c>
      <c r="B22" s="84">
        <v>8</v>
      </c>
      <c r="C22" s="109">
        <v>8</v>
      </c>
      <c r="D22" s="84">
        <v>8</v>
      </c>
      <c r="E22" s="109">
        <v>8</v>
      </c>
      <c r="F22" s="93">
        <v>0</v>
      </c>
      <c r="G22" s="109">
        <v>0</v>
      </c>
      <c r="H22" s="93">
        <v>0</v>
      </c>
      <c r="I22" s="109">
        <v>0</v>
      </c>
    </row>
    <row r="23" spans="1:9" ht="30" x14ac:dyDescent="0.15">
      <c r="A23" s="142" t="s">
        <v>13</v>
      </c>
      <c r="B23" s="125">
        <f t="shared" ref="B23:I23" si="1">IF(B18&gt;=2,10*LOG10(B18/2),0)</f>
        <v>15.051499783199061</v>
      </c>
      <c r="C23" s="125">
        <f t="shared" si="1"/>
        <v>15.051499783199061</v>
      </c>
      <c r="D23" s="125">
        <f t="shared" si="1"/>
        <v>15.051499783199061</v>
      </c>
      <c r="E23" s="125">
        <f t="shared" si="1"/>
        <v>15.051499783199061</v>
      </c>
      <c r="F23" s="125">
        <f t="shared" si="1"/>
        <v>0</v>
      </c>
      <c r="G23" s="125">
        <f t="shared" si="1"/>
        <v>0</v>
      </c>
      <c r="H23" s="125">
        <f t="shared" si="1"/>
        <v>0</v>
      </c>
      <c r="I23" s="125">
        <f t="shared" si="1"/>
        <v>0</v>
      </c>
    </row>
    <row r="24" spans="1:9" ht="15" x14ac:dyDescent="0.15">
      <c r="A24" s="137" t="s">
        <v>14</v>
      </c>
      <c r="B24" s="84">
        <v>0</v>
      </c>
      <c r="C24" s="93">
        <v>0</v>
      </c>
      <c r="D24" s="84">
        <v>0</v>
      </c>
      <c r="E24" s="93">
        <v>0</v>
      </c>
      <c r="F24" s="93">
        <v>0</v>
      </c>
      <c r="G24" s="93">
        <v>0</v>
      </c>
      <c r="H24" s="93">
        <v>0</v>
      </c>
      <c r="I24" s="93">
        <v>0</v>
      </c>
    </row>
    <row r="25" spans="1:9" ht="15" x14ac:dyDescent="0.15">
      <c r="A25" s="137" t="s">
        <v>15</v>
      </c>
      <c r="B25" s="84">
        <v>0</v>
      </c>
      <c r="C25" s="93">
        <v>0</v>
      </c>
      <c r="D25" s="84">
        <v>0</v>
      </c>
      <c r="E25" s="93">
        <v>0</v>
      </c>
      <c r="F25" s="93">
        <v>0</v>
      </c>
      <c r="G25" s="93">
        <v>0</v>
      </c>
      <c r="H25" s="93">
        <v>0</v>
      </c>
      <c r="I25" s="93">
        <v>0</v>
      </c>
    </row>
    <row r="26" spans="1:9" ht="30" x14ac:dyDescent="0.15">
      <c r="A26" s="137" t="s">
        <v>16</v>
      </c>
      <c r="B26" s="84">
        <v>3</v>
      </c>
      <c r="C26" s="84">
        <v>3</v>
      </c>
      <c r="D26" s="84">
        <v>3</v>
      </c>
      <c r="E26" s="84">
        <v>3</v>
      </c>
      <c r="F26" s="84">
        <v>1</v>
      </c>
      <c r="G26" s="84">
        <v>1</v>
      </c>
      <c r="H26" s="84">
        <v>1</v>
      </c>
      <c r="I26" s="84">
        <v>1</v>
      </c>
    </row>
    <row r="27" spans="1:9" ht="15" x14ac:dyDescent="0.15">
      <c r="A27" s="110" t="s">
        <v>17</v>
      </c>
      <c r="B27" s="96">
        <f t="shared" ref="B27:I27" si="2">B21+B22+B23+B24-B26</f>
        <v>69.113299523037938</v>
      </c>
      <c r="C27" s="96">
        <f t="shared" si="2"/>
        <v>69.113299523037938</v>
      </c>
      <c r="D27" s="96">
        <f t="shared" si="2"/>
        <v>69.113299523037938</v>
      </c>
      <c r="E27" s="96">
        <f t="shared" si="2"/>
        <v>69.113299523037938</v>
      </c>
      <c r="F27" s="96">
        <f t="shared" si="2"/>
        <v>22</v>
      </c>
      <c r="G27" s="96">
        <f t="shared" si="2"/>
        <v>22</v>
      </c>
      <c r="H27" s="96">
        <f t="shared" si="2"/>
        <v>22</v>
      </c>
      <c r="I27" s="96">
        <f t="shared" si="2"/>
        <v>22</v>
      </c>
    </row>
    <row r="28" spans="1:9" ht="15" x14ac:dyDescent="0.15">
      <c r="A28" s="110" t="s">
        <v>18</v>
      </c>
      <c r="B28" s="96">
        <f t="shared" ref="B28:I28" si="3">B21+B22+B23-B25-B26</f>
        <v>69.113299523037938</v>
      </c>
      <c r="C28" s="96">
        <f t="shared" si="3"/>
        <v>69.113299523037938</v>
      </c>
      <c r="D28" s="96">
        <f t="shared" si="3"/>
        <v>69.113299523037938</v>
      </c>
      <c r="E28" s="96">
        <f t="shared" si="3"/>
        <v>69.113299523037938</v>
      </c>
      <c r="F28" s="96">
        <f t="shared" si="3"/>
        <v>22</v>
      </c>
      <c r="G28" s="96">
        <f t="shared" si="3"/>
        <v>22</v>
      </c>
      <c r="H28" s="96">
        <f t="shared" si="3"/>
        <v>22</v>
      </c>
      <c r="I28" s="96">
        <f t="shared" si="3"/>
        <v>22</v>
      </c>
    </row>
    <row r="29" spans="1:9" x14ac:dyDescent="0.15">
      <c r="A29" s="92" t="s">
        <v>19</v>
      </c>
      <c r="B29" s="107"/>
      <c r="C29" s="107"/>
      <c r="D29" s="107"/>
      <c r="E29" s="107"/>
      <c r="F29" s="107"/>
      <c r="G29" s="107"/>
      <c r="H29" s="107"/>
      <c r="I29" s="107"/>
    </row>
    <row r="30" spans="1:9" ht="30" x14ac:dyDescent="0.15">
      <c r="A30" s="137" t="s">
        <v>254</v>
      </c>
      <c r="B30" s="84">
        <v>2</v>
      </c>
      <c r="C30" s="109">
        <v>2</v>
      </c>
      <c r="D30" s="84">
        <v>2</v>
      </c>
      <c r="E30" s="109">
        <v>2</v>
      </c>
      <c r="F30" s="109">
        <v>64</v>
      </c>
      <c r="G30" s="109">
        <v>64</v>
      </c>
      <c r="H30" s="109">
        <v>64</v>
      </c>
      <c r="I30" s="109">
        <v>64</v>
      </c>
    </row>
    <row r="31" spans="1:9" ht="15" x14ac:dyDescent="0.15">
      <c r="A31" s="137" t="s">
        <v>255</v>
      </c>
      <c r="B31" s="84">
        <v>2</v>
      </c>
      <c r="C31" s="109">
        <v>2</v>
      </c>
      <c r="D31" s="84">
        <v>2</v>
      </c>
      <c r="E31" s="109">
        <v>2</v>
      </c>
      <c r="F31" s="109">
        <v>2</v>
      </c>
      <c r="G31" s="109">
        <v>2</v>
      </c>
      <c r="H31" s="109">
        <v>2</v>
      </c>
      <c r="I31" s="109">
        <v>2</v>
      </c>
    </row>
    <row r="32" spans="1:9" ht="15" x14ac:dyDescent="0.15">
      <c r="A32" s="137" t="s">
        <v>20</v>
      </c>
      <c r="B32" s="84">
        <v>0</v>
      </c>
      <c r="C32" s="109">
        <v>0</v>
      </c>
      <c r="D32" s="84">
        <v>0</v>
      </c>
      <c r="E32" s="109">
        <v>0</v>
      </c>
      <c r="F32" s="109">
        <v>8</v>
      </c>
      <c r="G32" s="109">
        <v>8</v>
      </c>
      <c r="H32" s="109">
        <v>8</v>
      </c>
      <c r="I32" s="109">
        <v>8</v>
      </c>
    </row>
    <row r="33" spans="1:9" ht="28.5" x14ac:dyDescent="0.15">
      <c r="A33" s="143" t="s">
        <v>256</v>
      </c>
      <c r="B33" s="125">
        <f t="shared" ref="B33:I33" si="4">IF(B30&gt;=2,10*LOG10(B30/2),0)</f>
        <v>0</v>
      </c>
      <c r="C33" s="125">
        <f t="shared" si="4"/>
        <v>0</v>
      </c>
      <c r="D33" s="125">
        <f t="shared" si="4"/>
        <v>0</v>
      </c>
      <c r="E33" s="125">
        <f t="shared" si="4"/>
        <v>0</v>
      </c>
      <c r="F33" s="125">
        <f t="shared" si="4"/>
        <v>15.051499783199061</v>
      </c>
      <c r="G33" s="125">
        <f t="shared" si="4"/>
        <v>15.051499783199061</v>
      </c>
      <c r="H33" s="125">
        <f t="shared" si="4"/>
        <v>15.051499783199061</v>
      </c>
      <c r="I33" s="125">
        <f t="shared" si="4"/>
        <v>15.051499783199061</v>
      </c>
    </row>
    <row r="34" spans="1:9" ht="30" x14ac:dyDescent="0.15">
      <c r="A34" s="137" t="s">
        <v>21</v>
      </c>
      <c r="B34" s="84">
        <v>1</v>
      </c>
      <c r="C34" s="108">
        <v>1</v>
      </c>
      <c r="D34" s="84">
        <v>1</v>
      </c>
      <c r="E34" s="108">
        <v>1</v>
      </c>
      <c r="F34" s="84">
        <v>3</v>
      </c>
      <c r="G34" s="84">
        <v>3</v>
      </c>
      <c r="H34" s="84">
        <v>3</v>
      </c>
      <c r="I34" s="84">
        <v>3</v>
      </c>
    </row>
    <row r="35" spans="1:9" ht="15" x14ac:dyDescent="0.15">
      <c r="A35" s="137" t="s">
        <v>22</v>
      </c>
      <c r="B35" s="93">
        <v>7</v>
      </c>
      <c r="C35" s="93">
        <v>7</v>
      </c>
      <c r="D35" s="93">
        <v>7</v>
      </c>
      <c r="E35" s="93">
        <v>7</v>
      </c>
      <c r="F35" s="93">
        <v>5</v>
      </c>
      <c r="G35" s="93">
        <v>5</v>
      </c>
      <c r="H35" s="93">
        <v>5</v>
      </c>
      <c r="I35" s="93">
        <v>5</v>
      </c>
    </row>
    <row r="36" spans="1:9" ht="15" x14ac:dyDescent="0.15">
      <c r="A36" s="137" t="s">
        <v>23</v>
      </c>
      <c r="B36" s="93">
        <v>-174</v>
      </c>
      <c r="C36" s="93">
        <v>-174</v>
      </c>
      <c r="D36" s="93">
        <v>-174</v>
      </c>
      <c r="E36" s="93">
        <v>-174</v>
      </c>
      <c r="F36" s="84">
        <v>-174</v>
      </c>
      <c r="G36" s="93">
        <v>-174</v>
      </c>
      <c r="H36" s="84">
        <v>-174</v>
      </c>
      <c r="I36" s="93">
        <v>-174</v>
      </c>
    </row>
    <row r="37" spans="1:9" ht="30" x14ac:dyDescent="0.15">
      <c r="A37" s="137" t="s">
        <v>24</v>
      </c>
      <c r="B37" s="84" t="s">
        <v>245</v>
      </c>
      <c r="C37" s="93">
        <v>-169.3</v>
      </c>
      <c r="D37" s="84" t="s">
        <v>245</v>
      </c>
      <c r="E37" s="93">
        <v>-169.3</v>
      </c>
      <c r="F37" s="93" t="s">
        <v>245</v>
      </c>
      <c r="G37" s="93">
        <v>-161.69999999999999</v>
      </c>
      <c r="H37" s="93" t="s">
        <v>245</v>
      </c>
      <c r="I37" s="93">
        <v>-161.69999999999999</v>
      </c>
    </row>
    <row r="38" spans="1:9" ht="15" x14ac:dyDescent="0.15">
      <c r="A38" s="137" t="s">
        <v>25</v>
      </c>
      <c r="B38" s="84">
        <v>-169.3</v>
      </c>
      <c r="C38" s="93" t="s">
        <v>245</v>
      </c>
      <c r="D38" s="84">
        <v>-169.3</v>
      </c>
      <c r="E38" s="93" t="s">
        <v>245</v>
      </c>
      <c r="F38" s="93">
        <v>-165.7</v>
      </c>
      <c r="G38" s="93" t="s">
        <v>245</v>
      </c>
      <c r="H38" s="93">
        <v>-165.7</v>
      </c>
      <c r="I38" s="93" t="s">
        <v>245</v>
      </c>
    </row>
    <row r="39" spans="1:9" ht="30" x14ac:dyDescent="0.15">
      <c r="A39" s="111" t="s">
        <v>45</v>
      </c>
      <c r="B39" s="96" t="s">
        <v>245</v>
      </c>
      <c r="C39" s="96">
        <f>10*LOG10(10^((C35+C36)/10)+10^(C37/10))</f>
        <v>-164.98918835931039</v>
      </c>
      <c r="D39" s="96" t="s">
        <v>245</v>
      </c>
      <c r="E39" s="96">
        <f>10*LOG10(10^((E35+E36)/10)+10^(E37/10))</f>
        <v>-164.98918835931039</v>
      </c>
      <c r="F39" s="96" t="s">
        <v>245</v>
      </c>
      <c r="G39" s="96">
        <f>10*LOG10(10^((G35+G36)/10)+10^(G37/10))</f>
        <v>-160.9583889004532</v>
      </c>
      <c r="H39" s="96" t="s">
        <v>245</v>
      </c>
      <c r="I39" s="96">
        <f>10*LOG10(10^((I35+I36)/10)+10^(I37/10))</f>
        <v>-160.9583889004532</v>
      </c>
    </row>
    <row r="40" spans="1:9" ht="30" x14ac:dyDescent="0.15">
      <c r="A40" s="111" t="s">
        <v>46</v>
      </c>
      <c r="B40" s="96">
        <f>10*LOG10(10^((B35+B36)/10)+10^(B38/10))</f>
        <v>-164.98918835931039</v>
      </c>
      <c r="C40" s="96" t="s">
        <v>245</v>
      </c>
      <c r="D40" s="96">
        <f>10*LOG10(10^((D35+D36)/10)+10^(D38/10))</f>
        <v>-164.98918835931039</v>
      </c>
      <c r="E40" s="96" t="s">
        <v>245</v>
      </c>
      <c r="F40" s="96">
        <f>10*LOG10(10^((F35+F36)/10)+10^(F38/10))</f>
        <v>-164.03352307536667</v>
      </c>
      <c r="G40" s="96" t="s">
        <v>245</v>
      </c>
      <c r="H40" s="96">
        <f>10*LOG10(10^((H35+H36)/10)+10^(H38/10))</f>
        <v>-164.03352307536667</v>
      </c>
      <c r="I40" s="96" t="s">
        <v>245</v>
      </c>
    </row>
    <row r="41" spans="1:9" ht="30" x14ac:dyDescent="0.15">
      <c r="A41" s="137" t="s">
        <v>26</v>
      </c>
      <c r="B41" s="84" t="s">
        <v>245</v>
      </c>
      <c r="C41" s="84">
        <f>'[4]NR MaxN_RB'!$F$7*12*30*1000</f>
        <v>18360000</v>
      </c>
      <c r="D41" s="84" t="s">
        <v>245</v>
      </c>
      <c r="E41" s="84">
        <f>'[4]NR MaxN_RB'!$F$7*12*30*1000</f>
        <v>18360000</v>
      </c>
      <c r="F41" s="109" t="s">
        <v>245</v>
      </c>
      <c r="G41" s="93">
        <f>1*12*30*1000</f>
        <v>360000</v>
      </c>
      <c r="H41" s="109" t="s">
        <v>245</v>
      </c>
      <c r="I41" s="93">
        <f>1*12*30*1000</f>
        <v>360000</v>
      </c>
    </row>
    <row r="42" spans="1:9" ht="30" x14ac:dyDescent="0.15">
      <c r="A42" s="137" t="s">
        <v>27</v>
      </c>
      <c r="B42" s="84">
        <f>'[4]NR MaxN_RB'!$F$7*12*30*1000</f>
        <v>18360000</v>
      </c>
      <c r="C42" s="109" t="s">
        <v>245</v>
      </c>
      <c r="D42" s="84">
        <f>'[4]NR MaxN_RB'!$F$7*12*30*1000</f>
        <v>18360000</v>
      </c>
      <c r="E42" s="109" t="s">
        <v>245</v>
      </c>
      <c r="F42" s="84">
        <f>4*12*30*1000</f>
        <v>1440000</v>
      </c>
      <c r="G42" s="93" t="s">
        <v>245</v>
      </c>
      <c r="H42" s="84">
        <f>4*12*30*1000</f>
        <v>1440000</v>
      </c>
      <c r="I42" s="93" t="s">
        <v>245</v>
      </c>
    </row>
    <row r="43" spans="1:9" ht="15" x14ac:dyDescent="0.15">
      <c r="A43" s="110" t="s">
        <v>28</v>
      </c>
      <c r="B43" s="96" t="s">
        <v>245</v>
      </c>
      <c r="C43" s="96">
        <f>C39+10*LOG10(C41)</f>
        <v>-92.350461590658156</v>
      </c>
      <c r="D43" s="96" t="s">
        <v>245</v>
      </c>
      <c r="E43" s="96">
        <f>E39+10*LOG10(E41)</f>
        <v>-92.350461590658156</v>
      </c>
      <c r="F43" s="96" t="s">
        <v>245</v>
      </c>
      <c r="G43" s="96">
        <f>G39+10*LOG10(G41)</f>
        <v>-105.39536389278032</v>
      </c>
      <c r="H43" s="96" t="s">
        <v>245</v>
      </c>
      <c r="I43" s="96">
        <f>I39+10*LOG10(I41)</f>
        <v>-105.39536389278032</v>
      </c>
    </row>
    <row r="44" spans="1:9" ht="15" x14ac:dyDescent="0.15">
      <c r="A44" s="110" t="s">
        <v>29</v>
      </c>
      <c r="B44" s="96">
        <f>B40+10*LOG10(B42)</f>
        <v>-92.350461590658156</v>
      </c>
      <c r="C44" s="96" t="s">
        <v>245</v>
      </c>
      <c r="D44" s="96">
        <f>D40+10*LOG10(D42)</f>
        <v>-92.350461590658156</v>
      </c>
      <c r="E44" s="96" t="s">
        <v>245</v>
      </c>
      <c r="F44" s="96">
        <f>F40+10*LOG10(F42)</f>
        <v>-102.44989815441417</v>
      </c>
      <c r="G44" s="96" t="s">
        <v>245</v>
      </c>
      <c r="H44" s="96">
        <f>H40+10*LOG10(H42)</f>
        <v>-102.44989815441417</v>
      </c>
      <c r="I44" s="96" t="s">
        <v>245</v>
      </c>
    </row>
    <row r="45" spans="1:9" ht="15" x14ac:dyDescent="0.15">
      <c r="A45" s="137" t="s">
        <v>30</v>
      </c>
      <c r="B45" s="84" t="s">
        <v>245</v>
      </c>
      <c r="C45" s="93">
        <v>-6.99</v>
      </c>
      <c r="D45" s="84" t="s">
        <v>245</v>
      </c>
      <c r="E45" s="93">
        <v>-7</v>
      </c>
      <c r="F45" s="84" t="s">
        <v>245</v>
      </c>
      <c r="G45" s="152">
        <v>-6.36</v>
      </c>
      <c r="H45" s="99" t="s">
        <v>245</v>
      </c>
      <c r="I45" s="93">
        <v>-5.8</v>
      </c>
    </row>
    <row r="46" spans="1:9" ht="15" x14ac:dyDescent="0.15">
      <c r="A46" s="137" t="s">
        <v>31</v>
      </c>
      <c r="B46" s="93">
        <v>1.08</v>
      </c>
      <c r="C46" s="93" t="s">
        <v>245</v>
      </c>
      <c r="D46" s="93">
        <v>-0.1</v>
      </c>
      <c r="E46" s="93" t="s">
        <v>245</v>
      </c>
      <c r="F46" s="93">
        <v>3.88</v>
      </c>
      <c r="G46" s="93" t="s">
        <v>245</v>
      </c>
      <c r="H46" s="93">
        <v>2.7</v>
      </c>
      <c r="I46" s="93" t="s">
        <v>245</v>
      </c>
    </row>
    <row r="47" spans="1:9" ht="15" x14ac:dyDescent="0.15">
      <c r="A47" s="137" t="s">
        <v>32</v>
      </c>
      <c r="B47" s="84">
        <v>2</v>
      </c>
      <c r="C47" s="93">
        <v>2</v>
      </c>
      <c r="D47" s="84">
        <v>2</v>
      </c>
      <c r="E47" s="93">
        <v>2</v>
      </c>
      <c r="F47" s="109">
        <v>2</v>
      </c>
      <c r="G47" s="93">
        <v>2</v>
      </c>
      <c r="H47" s="109">
        <v>2</v>
      </c>
      <c r="I47" s="93">
        <v>2</v>
      </c>
    </row>
    <row r="48" spans="1:9" ht="15" x14ac:dyDescent="0.15">
      <c r="A48" s="137" t="s">
        <v>33</v>
      </c>
      <c r="B48" s="84" t="s">
        <v>245</v>
      </c>
      <c r="C48" s="93">
        <v>0</v>
      </c>
      <c r="D48" s="84" t="s">
        <v>245</v>
      </c>
      <c r="E48" s="93">
        <v>0</v>
      </c>
      <c r="F48" s="109" t="s">
        <v>245</v>
      </c>
      <c r="G48" s="93">
        <v>0</v>
      </c>
      <c r="H48" s="109" t="s">
        <v>245</v>
      </c>
      <c r="I48" s="93">
        <v>0</v>
      </c>
    </row>
    <row r="49" spans="1:9" ht="15" x14ac:dyDescent="0.15">
      <c r="A49" s="137" t="s">
        <v>34</v>
      </c>
      <c r="B49" s="84">
        <v>0.5</v>
      </c>
      <c r="C49" s="93" t="s">
        <v>245</v>
      </c>
      <c r="D49" s="84">
        <v>0.5</v>
      </c>
      <c r="E49" s="93" t="s">
        <v>245</v>
      </c>
      <c r="F49" s="109">
        <v>0.5</v>
      </c>
      <c r="G49" s="93" t="s">
        <v>245</v>
      </c>
      <c r="H49" s="109">
        <v>0.5</v>
      </c>
      <c r="I49" s="93" t="s">
        <v>245</v>
      </c>
    </row>
    <row r="50" spans="1:9" ht="15" x14ac:dyDescent="0.15">
      <c r="A50" s="111" t="s">
        <v>47</v>
      </c>
      <c r="B50" s="96" t="s">
        <v>245</v>
      </c>
      <c r="C50" s="96">
        <f>C43+C45+C47-C48</f>
        <v>-97.340461590658151</v>
      </c>
      <c r="D50" s="96" t="s">
        <v>245</v>
      </c>
      <c r="E50" s="96">
        <f>E43+E45+E47-E48</f>
        <v>-97.350461590658156</v>
      </c>
      <c r="F50" s="96" t="s">
        <v>245</v>
      </c>
      <c r="G50" s="96">
        <f>G43+G45+G47-G48</f>
        <v>-109.75536389278032</v>
      </c>
      <c r="H50" s="96" t="s">
        <v>245</v>
      </c>
      <c r="I50" s="96">
        <f>I43+I45+I47-I48</f>
        <v>-109.19536389278032</v>
      </c>
    </row>
    <row r="51" spans="1:9" ht="15" x14ac:dyDescent="0.15">
      <c r="A51" s="111" t="s">
        <v>48</v>
      </c>
      <c r="B51" s="96">
        <f>B44+B46+B47-B49</f>
        <v>-89.770461590658158</v>
      </c>
      <c r="C51" s="96" t="s">
        <v>245</v>
      </c>
      <c r="D51" s="96">
        <f>D44+D46+D47-D49</f>
        <v>-90.950461590658151</v>
      </c>
      <c r="E51" s="96" t="s">
        <v>245</v>
      </c>
      <c r="F51" s="96">
        <f>F44+F46+F47-F49</f>
        <v>-97.069898154414176</v>
      </c>
      <c r="G51" s="96" t="s">
        <v>245</v>
      </c>
      <c r="H51" s="96">
        <f>H44+H46+H47-H49</f>
        <v>-98.249898154414169</v>
      </c>
      <c r="I51" s="96" t="s">
        <v>245</v>
      </c>
    </row>
    <row r="52" spans="1:9" ht="15" x14ac:dyDescent="0.15">
      <c r="A52" s="111" t="s">
        <v>101</v>
      </c>
      <c r="B52" s="96" t="s">
        <v>245</v>
      </c>
      <c r="C52" s="96">
        <f>C27+C32+C33-C50</f>
        <v>166.45376111369609</v>
      </c>
      <c r="D52" s="96" t="s">
        <v>245</v>
      </c>
      <c r="E52" s="96">
        <f>E27+E32+E33-E50</f>
        <v>166.46376111369608</v>
      </c>
      <c r="F52" s="96" t="s">
        <v>245</v>
      </c>
      <c r="G52" s="96">
        <f>G27+G32+G33-G50</f>
        <v>154.8068636759794</v>
      </c>
      <c r="H52" s="96" t="s">
        <v>245</v>
      </c>
      <c r="I52" s="96">
        <f>I27+I32+I33-I50</f>
        <v>154.2468636759794</v>
      </c>
    </row>
    <row r="53" spans="1:9" ht="15" x14ac:dyDescent="0.15">
      <c r="A53" s="111" t="s">
        <v>102</v>
      </c>
      <c r="B53" s="96">
        <f>B28+B32+B33-B51</f>
        <v>158.8837611136961</v>
      </c>
      <c r="C53" s="96" t="s">
        <v>245</v>
      </c>
      <c r="D53" s="96">
        <f>D28+D32+D33-D51</f>
        <v>160.0637611136961</v>
      </c>
      <c r="E53" s="96" t="s">
        <v>245</v>
      </c>
      <c r="F53" s="96">
        <f>F28+F32+F33-F51</f>
        <v>142.12139793761324</v>
      </c>
      <c r="G53" s="96" t="s">
        <v>245</v>
      </c>
      <c r="H53" s="96">
        <f>H28+H32+H33-H51</f>
        <v>143.30139793761322</v>
      </c>
      <c r="I53" s="96" t="s">
        <v>245</v>
      </c>
    </row>
    <row r="54" spans="1:9" x14ac:dyDescent="0.15">
      <c r="A54" s="92" t="s">
        <v>35</v>
      </c>
      <c r="B54" s="107"/>
      <c r="C54" s="107"/>
      <c r="D54" s="107"/>
      <c r="E54" s="107"/>
      <c r="F54" s="107"/>
      <c r="G54" s="107"/>
      <c r="H54" s="107"/>
      <c r="I54" s="107"/>
    </row>
    <row r="55" spans="1:9" ht="15" x14ac:dyDescent="0.15">
      <c r="A55" s="137" t="s">
        <v>36</v>
      </c>
      <c r="B55" s="109">
        <v>8</v>
      </c>
      <c r="C55" s="109">
        <v>8</v>
      </c>
      <c r="D55" s="109">
        <v>8</v>
      </c>
      <c r="E55" s="109">
        <v>8</v>
      </c>
      <c r="F55" s="109">
        <v>8</v>
      </c>
      <c r="G55" s="109">
        <v>8</v>
      </c>
      <c r="H55" s="109">
        <v>8</v>
      </c>
      <c r="I55" s="109">
        <v>8</v>
      </c>
    </row>
    <row r="56" spans="1:9" ht="30" x14ac:dyDescent="0.15">
      <c r="A56" s="137" t="s">
        <v>37</v>
      </c>
      <c r="B56" s="102" t="s">
        <v>245</v>
      </c>
      <c r="C56" s="109">
        <v>10.45</v>
      </c>
      <c r="D56" s="109" t="s">
        <v>245</v>
      </c>
      <c r="E56" s="109">
        <v>8.4499999999999993</v>
      </c>
      <c r="F56" s="102" t="s">
        <v>245</v>
      </c>
      <c r="G56" s="109">
        <v>10.45</v>
      </c>
      <c r="H56" s="109" t="s">
        <v>245</v>
      </c>
      <c r="I56" s="109">
        <v>8.4499999999999993</v>
      </c>
    </row>
    <row r="57" spans="1:9" ht="30" x14ac:dyDescent="0.15">
      <c r="A57" s="137" t="s">
        <v>38</v>
      </c>
      <c r="B57" s="109">
        <v>6.61</v>
      </c>
      <c r="C57" s="102" t="s">
        <v>245</v>
      </c>
      <c r="D57" s="109">
        <v>5.13</v>
      </c>
      <c r="E57" s="102" t="s">
        <v>245</v>
      </c>
      <c r="F57" s="109">
        <v>6.61</v>
      </c>
      <c r="G57" s="102" t="s">
        <v>245</v>
      </c>
      <c r="H57" s="109">
        <v>5.13</v>
      </c>
      <c r="I57" s="102" t="s">
        <v>245</v>
      </c>
    </row>
    <row r="58" spans="1:9" ht="15" x14ac:dyDescent="0.15">
      <c r="A58" s="137" t="s">
        <v>39</v>
      </c>
      <c r="B58" s="108">
        <v>0</v>
      </c>
      <c r="C58" s="108">
        <v>0</v>
      </c>
      <c r="D58" s="108">
        <v>0</v>
      </c>
      <c r="E58" s="108">
        <v>0</v>
      </c>
      <c r="F58" s="108">
        <v>0</v>
      </c>
      <c r="G58" s="108">
        <v>0</v>
      </c>
      <c r="H58" s="108">
        <v>0</v>
      </c>
      <c r="I58" s="108">
        <v>0</v>
      </c>
    </row>
    <row r="59" spans="1:9" ht="15" x14ac:dyDescent="0.15">
      <c r="A59" s="137" t="s">
        <v>40</v>
      </c>
      <c r="B59" s="108">
        <v>9</v>
      </c>
      <c r="C59" s="108">
        <v>9</v>
      </c>
      <c r="D59" s="108">
        <v>12.5</v>
      </c>
      <c r="E59" s="108">
        <v>12.5</v>
      </c>
      <c r="F59" s="108">
        <v>9</v>
      </c>
      <c r="G59" s="108">
        <v>9</v>
      </c>
      <c r="H59" s="108">
        <v>12.5</v>
      </c>
      <c r="I59" s="108">
        <v>12.5</v>
      </c>
    </row>
    <row r="60" spans="1:9" ht="15" x14ac:dyDescent="0.15">
      <c r="A60" s="137" t="s">
        <v>41</v>
      </c>
      <c r="B60" s="109">
        <v>0</v>
      </c>
      <c r="C60" s="109">
        <v>0</v>
      </c>
      <c r="D60" s="109">
        <v>0</v>
      </c>
      <c r="E60" s="109">
        <v>0</v>
      </c>
      <c r="F60" s="109">
        <v>0</v>
      </c>
      <c r="G60" s="109">
        <v>0</v>
      </c>
      <c r="H60" s="109">
        <v>0</v>
      </c>
      <c r="I60" s="109">
        <v>0</v>
      </c>
    </row>
    <row r="61" spans="1:9" ht="30" x14ac:dyDescent="0.15">
      <c r="A61" s="111" t="s">
        <v>257</v>
      </c>
      <c r="B61" s="96" t="s">
        <v>245</v>
      </c>
      <c r="C61" s="96">
        <f>C52-C56+C58-C59+C60-C34</f>
        <v>146.0037611136961</v>
      </c>
      <c r="D61" s="96" t="s">
        <v>245</v>
      </c>
      <c r="E61" s="96">
        <f>E52-E56+E58-E59+E60-E34</f>
        <v>144.51376111369609</v>
      </c>
      <c r="F61" s="96" t="s">
        <v>245</v>
      </c>
      <c r="G61" s="96">
        <f>G52-G56+G58-G59+G60-G34</f>
        <v>132.35686367597941</v>
      </c>
      <c r="H61" s="96" t="s">
        <v>245</v>
      </c>
      <c r="I61" s="96">
        <f>I52-I56+I58-I59+I60-I34</f>
        <v>130.29686367597941</v>
      </c>
    </row>
    <row r="62" spans="1:9" ht="30" x14ac:dyDescent="0.15">
      <c r="A62" s="111" t="s">
        <v>49</v>
      </c>
      <c r="B62" s="96">
        <f>B53-B57+B58-B59+B60-B34</f>
        <v>142.27376111369608</v>
      </c>
      <c r="C62" s="96" t="s">
        <v>245</v>
      </c>
      <c r="D62" s="96">
        <f>D53-D57+D58-D59+D60-D34</f>
        <v>141.43376111369611</v>
      </c>
      <c r="E62" s="96" t="s">
        <v>245</v>
      </c>
      <c r="F62" s="96">
        <f>F53-F57+F58-F59+F60-F34</f>
        <v>123.51139793761322</v>
      </c>
      <c r="G62" s="96" t="s">
        <v>245</v>
      </c>
      <c r="H62" s="96">
        <f>H53-H57+H58-H59+H60-H34</f>
        <v>122.67139793761322</v>
      </c>
      <c r="I62" s="96" t="s">
        <v>245</v>
      </c>
    </row>
    <row r="63" spans="1:9" x14ac:dyDescent="0.15">
      <c r="A63" s="92" t="s">
        <v>42</v>
      </c>
      <c r="B63" s="107"/>
      <c r="C63" s="107"/>
      <c r="D63" s="107"/>
      <c r="E63" s="107"/>
      <c r="F63" s="107"/>
      <c r="G63" s="107"/>
      <c r="H63" s="107"/>
      <c r="I63" s="107"/>
    </row>
    <row r="64" spans="1:9" ht="30" x14ac:dyDescent="0.15">
      <c r="A64" s="112" t="s">
        <v>43</v>
      </c>
      <c r="B64" s="93" t="s">
        <v>245</v>
      </c>
      <c r="C64" s="109">
        <f>10^((C61-161.04+7.1*LOG10(20)-7.5*LOG10(5)+(24.37-3.7*(5/C$5)^2)*LOG10(C$5)-20*LOG10(C$4)+(3.2*(LOG10(11.75*C$6)^2)-4.97))/(43.42-3.1*LOG10(C$5))+3)</f>
        <v>5825.7947908306469</v>
      </c>
      <c r="D64" s="93" t="s">
        <v>245</v>
      </c>
      <c r="E64" s="109">
        <f>10^((E61-161.04+7.1*LOG10(20)-7.5*LOG10(5)+(24.37-3.7*(5/E$5)^2)*LOG10(E$5)-20*LOG10(E$4)+(3.2*(LOG10(11.75*E$6)^2)-4.97))/(43.42-3.1*LOG10(E$5))+3)</f>
        <v>5330.7400836652105</v>
      </c>
      <c r="F64" s="93" t="s">
        <v>245</v>
      </c>
      <c r="G64" s="109">
        <f>10^((G61-161.04+7.1*LOG10(20)-7.5*LOG10(5)+(24.37-3.7*(5/G$5)^2)*LOG10(G$5)-20*LOG10(G$4)+(3.2*(LOG10(11.75*G$6)^2)-4.97))/(43.42-3.1*LOG10(G$5))+3)</f>
        <v>2582.9391272622966</v>
      </c>
      <c r="H64" s="93" t="s">
        <v>245</v>
      </c>
      <c r="I64" s="109">
        <f>10^((I61-161.04+7.1*LOG10(20)-7.5*LOG10(5)+(24.37-3.7*(5/I$5)^2)*LOG10(I$5)-20*LOG10(I$4)+(3.2*(LOG10(11.75*I$6)^2)-4.97))/(43.42-3.1*LOG10(I$5))+3)</f>
        <v>2284.5066097087893</v>
      </c>
    </row>
    <row r="65" spans="1:9" ht="30" x14ac:dyDescent="0.15">
      <c r="A65" s="112" t="s">
        <v>44</v>
      </c>
      <c r="B65" s="109">
        <f>10^((B62-161.04+7.1*LOG10(20)-7.5*LOG10(5)+(24.37-3.7*(5/B$5)^2)*LOG10(B$5)-20*LOG10(B$4)+(3.2*(LOG10(11.75*B$6)^2)-4.97))/(43.42-3.1*LOG10(B$5))+3)</f>
        <v>4664.5158508222421</v>
      </c>
      <c r="C65" s="93" t="s">
        <v>245</v>
      </c>
      <c r="D65" s="109">
        <f>10^((D62-161.04+7.1*LOG10(20)-7.5*LOG10(5)+(24.37-3.7*(5/D$5)^2)*LOG10(D$5)-20*LOG10(D$4)+(3.2*(LOG10(11.75*D$6)^2)-4.97))/(43.42-3.1*LOG10(D$5))+3)</f>
        <v>4436.7373813825661</v>
      </c>
      <c r="E65" s="93" t="s">
        <v>245</v>
      </c>
      <c r="F65" s="109">
        <f>10^((F62-161.04+7.1*LOG10(20)-7.5*LOG10(5)+(24.37-3.7*(5/F$5)^2)*LOG10(F$5)-20*LOG10(F$4)+(3.2*(LOG10(11.75*F$6)^2)-4.97))/(43.42-3.1*LOG10(F$5))+3)</f>
        <v>1524.5970590452894</v>
      </c>
      <c r="G65" s="93" t="s">
        <v>245</v>
      </c>
      <c r="H65" s="109">
        <f>10^((H62-161.04+7.1*LOG10(20)-7.5*LOG10(5)+(24.37-3.7*(5/H$5)^2)*LOG10(H$5)-20*LOG10(H$4)+(3.2*(LOG10(11.75*H$6)^2)-4.97))/(43.42-3.1*LOG10(H$5))+3)</f>
        <v>1450.1476637108622</v>
      </c>
      <c r="I65" s="93" t="s">
        <v>245</v>
      </c>
    </row>
    <row r="66" spans="1:9" ht="18" x14ac:dyDescent="0.15">
      <c r="A66" s="112" t="s">
        <v>258</v>
      </c>
      <c r="B66" s="93" t="s">
        <v>245</v>
      </c>
      <c r="C66" s="93">
        <f>PI()*(C64)^2</f>
        <v>106625293.20648485</v>
      </c>
      <c r="D66" s="93" t="s">
        <v>245</v>
      </c>
      <c r="E66" s="93">
        <f>PI()*(E64)^2</f>
        <v>89273978.198676646</v>
      </c>
      <c r="F66" s="93" t="s">
        <v>245</v>
      </c>
      <c r="G66" s="93">
        <f>PI()*(G64)^2</f>
        <v>20959369.54748046</v>
      </c>
      <c r="H66" s="93" t="s">
        <v>245</v>
      </c>
      <c r="I66" s="93">
        <f>PI()*(I64)^2</f>
        <v>16395879.224403784</v>
      </c>
    </row>
    <row r="67" spans="1:9" ht="18" x14ac:dyDescent="0.15">
      <c r="A67" s="112" t="s">
        <v>259</v>
      </c>
      <c r="B67" s="93">
        <f>PI()*(B65)^2</f>
        <v>68353855.996822998</v>
      </c>
      <c r="C67" s="93" t="s">
        <v>245</v>
      </c>
      <c r="D67" s="93">
        <f>PI()*(D65)^2</f>
        <v>61841115.987178631</v>
      </c>
      <c r="E67" s="93" t="s">
        <v>245</v>
      </c>
      <c r="F67" s="93">
        <f>PI()*(F65)^2</f>
        <v>7302306.0022315793</v>
      </c>
      <c r="G67" s="93" t="s">
        <v>245</v>
      </c>
      <c r="H67" s="93">
        <f>PI()*(H65)^2</f>
        <v>6606543.9304384356</v>
      </c>
      <c r="I67" s="93" t="s">
        <v>245</v>
      </c>
    </row>
    <row r="69" spans="1:9" x14ac:dyDescent="0.15">
      <c r="A69" s="113"/>
      <c r="F69" s="102"/>
      <c r="G69" s="102"/>
      <c r="H69" s="102"/>
      <c r="I69" s="102"/>
    </row>
    <row r="72" spans="1:9" ht="15" x14ac:dyDescent="0.15">
      <c r="A72" s="147"/>
    </row>
    <row r="73" spans="1:9" ht="15" x14ac:dyDescent="0.15">
      <c r="A73" s="147"/>
    </row>
  </sheetData>
  <mergeCells count="2">
    <mergeCell ref="B1:E1"/>
    <mergeCell ref="F1:I1"/>
  </mergeCells>
  <phoneticPr fontId="1" type="noConversion"/>
  <dataValidations count="1">
    <dataValidation type="list" allowBlank="1" showInputMessage="1" showErrorMessage="1" sqref="B26:E26 F34:I34">
      <formula1>"0,3"</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85" zoomScaleNormal="85" workbookViewId="0">
      <pane xSplit="1" ySplit="3" topLeftCell="B4" activePane="bottomRight" state="frozen"/>
      <selection pane="topRight" activeCell="B1" sqref="B1"/>
      <selection pane="bottomLeft" activeCell="A4" sqref="A4"/>
      <selection pane="bottomRight" activeCell="K21" sqref="K21"/>
    </sheetView>
  </sheetViews>
  <sheetFormatPr defaultRowHeight="15.75" x14ac:dyDescent="0.15"/>
  <cols>
    <col min="1" max="1" width="42.5" style="169" customWidth="1"/>
    <col min="2" max="2" width="12.75" style="172" customWidth="1"/>
    <col min="3" max="3" width="13.375" style="172" bestFit="1" customWidth="1"/>
    <col min="4" max="4" width="13.625" style="172" customWidth="1"/>
    <col min="5" max="5" width="14.875" style="172" bestFit="1" customWidth="1"/>
    <col min="6" max="6" width="13.25" style="172" customWidth="1"/>
    <col min="7" max="7" width="12.625" style="172" bestFit="1" customWidth="1"/>
    <col min="8" max="8" width="12.375" style="172" customWidth="1"/>
    <col min="9" max="9" width="11" style="172" customWidth="1"/>
    <col min="10" max="16384" width="9" style="169"/>
  </cols>
  <sheetData>
    <row r="1" spans="1:9" x14ac:dyDescent="0.15">
      <c r="A1" s="168" t="s">
        <v>0</v>
      </c>
      <c r="B1" s="217" t="s">
        <v>299</v>
      </c>
      <c r="C1" s="217"/>
      <c r="D1" s="217"/>
      <c r="E1" s="218"/>
      <c r="F1" s="217" t="s">
        <v>300</v>
      </c>
      <c r="G1" s="217"/>
      <c r="H1" s="217"/>
      <c r="I1" s="218"/>
    </row>
    <row r="2" spans="1:9" ht="42.75" x14ac:dyDescent="0.15">
      <c r="A2" s="168"/>
      <c r="B2" s="115" t="s">
        <v>301</v>
      </c>
      <c r="C2" s="115" t="s">
        <v>302</v>
      </c>
      <c r="D2" s="115" t="s">
        <v>303</v>
      </c>
      <c r="E2" s="115" t="s">
        <v>304</v>
      </c>
      <c r="F2" s="115" t="s">
        <v>305</v>
      </c>
      <c r="G2" s="115" t="s">
        <v>306</v>
      </c>
      <c r="H2" s="115" t="s">
        <v>307</v>
      </c>
      <c r="I2" s="115" t="s">
        <v>308</v>
      </c>
    </row>
    <row r="3" spans="1:9" x14ac:dyDescent="0.15">
      <c r="A3" s="155" t="s">
        <v>1</v>
      </c>
      <c r="B3" s="170"/>
      <c r="C3" s="170"/>
      <c r="D3" s="170"/>
      <c r="E3" s="170"/>
      <c r="F3" s="170"/>
      <c r="G3" s="170"/>
      <c r="H3" s="170"/>
      <c r="I3" s="170"/>
    </row>
    <row r="4" spans="1:9" x14ac:dyDescent="0.15">
      <c r="A4" s="171" t="s">
        <v>2</v>
      </c>
      <c r="B4" s="172">
        <v>0.7</v>
      </c>
      <c r="C4" s="172">
        <v>0.7</v>
      </c>
      <c r="D4" s="172">
        <v>0.7</v>
      </c>
      <c r="E4" s="172">
        <v>0.7</v>
      </c>
      <c r="F4" s="172">
        <v>0.7</v>
      </c>
      <c r="G4" s="172">
        <v>0.7</v>
      </c>
      <c r="H4" s="172">
        <v>0.7</v>
      </c>
      <c r="I4" s="172">
        <v>0.7</v>
      </c>
    </row>
    <row r="5" spans="1:9" x14ac:dyDescent="0.15">
      <c r="A5" s="171" t="s">
        <v>3</v>
      </c>
      <c r="B5" s="172">
        <v>25</v>
      </c>
      <c r="C5" s="172">
        <v>25</v>
      </c>
      <c r="D5" s="172">
        <v>25</v>
      </c>
      <c r="E5" s="172">
        <v>25</v>
      </c>
      <c r="F5" s="172">
        <v>25</v>
      </c>
      <c r="G5" s="172">
        <v>25</v>
      </c>
      <c r="H5" s="172">
        <v>25</v>
      </c>
      <c r="I5" s="172">
        <v>25</v>
      </c>
    </row>
    <row r="6" spans="1:9" x14ac:dyDescent="0.15">
      <c r="A6" s="171" t="s">
        <v>4</v>
      </c>
      <c r="B6" s="172">
        <v>1.5</v>
      </c>
      <c r="C6" s="172">
        <v>1.5</v>
      </c>
      <c r="D6" s="172">
        <v>1.5</v>
      </c>
      <c r="E6" s="172">
        <v>1.5</v>
      </c>
      <c r="F6" s="172">
        <v>1.5</v>
      </c>
      <c r="G6" s="172">
        <v>1.5</v>
      </c>
      <c r="H6" s="172">
        <v>1.5</v>
      </c>
      <c r="I6" s="172">
        <v>1.5</v>
      </c>
    </row>
    <row r="7" spans="1:9" ht="46.5" x14ac:dyDescent="0.15">
      <c r="A7" s="171" t="s">
        <v>127</v>
      </c>
      <c r="B7" s="173" t="s">
        <v>309</v>
      </c>
      <c r="C7" s="173">
        <v>0.99</v>
      </c>
      <c r="D7" s="173" t="s">
        <v>309</v>
      </c>
      <c r="E7" s="173">
        <v>0.99</v>
      </c>
      <c r="F7" s="173" t="s">
        <v>309</v>
      </c>
      <c r="G7" s="173">
        <v>0.99</v>
      </c>
      <c r="H7" s="173" t="s">
        <v>309</v>
      </c>
      <c r="I7" s="173">
        <v>0.99</v>
      </c>
    </row>
    <row r="8" spans="1:9" ht="46.5" x14ac:dyDescent="0.15">
      <c r="A8" s="171" t="s">
        <v>128</v>
      </c>
      <c r="B8" s="156">
        <v>0.99</v>
      </c>
      <c r="C8" s="156" t="s">
        <v>309</v>
      </c>
      <c r="D8" s="156">
        <v>0.99</v>
      </c>
      <c r="E8" s="156" t="s">
        <v>309</v>
      </c>
      <c r="F8" s="156">
        <v>0.99</v>
      </c>
      <c r="G8" s="156" t="s">
        <v>309</v>
      </c>
      <c r="H8" s="156">
        <v>0.99</v>
      </c>
      <c r="I8" s="156" t="s">
        <v>309</v>
      </c>
    </row>
    <row r="9" spans="1:9" x14ac:dyDescent="0.15">
      <c r="A9" s="171" t="s">
        <v>310</v>
      </c>
      <c r="B9" s="174" t="s">
        <v>309</v>
      </c>
      <c r="C9" s="175">
        <f>64/(0.001)</f>
        <v>64000</v>
      </c>
      <c r="D9" s="174" t="s">
        <v>309</v>
      </c>
      <c r="E9" s="175">
        <f>64/(0.001)</f>
        <v>64000</v>
      </c>
      <c r="F9" s="174"/>
      <c r="G9" s="175">
        <f>2/(0.001)</f>
        <v>2000</v>
      </c>
      <c r="H9" s="174"/>
      <c r="I9" s="175">
        <f>2/(0.001)</f>
        <v>2000</v>
      </c>
    </row>
    <row r="10" spans="1:9" x14ac:dyDescent="0.15">
      <c r="A10" s="171" t="s">
        <v>311</v>
      </c>
      <c r="B10" s="176">
        <v>1000000</v>
      </c>
      <c r="C10" s="174" t="s">
        <v>309</v>
      </c>
      <c r="D10" s="176">
        <v>1000000</v>
      </c>
      <c r="E10" s="174" t="s">
        <v>309</v>
      </c>
      <c r="F10" s="177">
        <v>36000</v>
      </c>
      <c r="G10" s="178" t="s">
        <v>309</v>
      </c>
      <c r="H10" s="177">
        <v>36000</v>
      </c>
      <c r="I10" s="178" t="s">
        <v>309</v>
      </c>
    </row>
    <row r="11" spans="1:9" ht="30" x14ac:dyDescent="0.15">
      <c r="A11" s="171" t="s">
        <v>7</v>
      </c>
      <c r="B11" s="179" t="s">
        <v>309</v>
      </c>
      <c r="C11" s="173">
        <v>0.01</v>
      </c>
      <c r="D11" s="179" t="s">
        <v>309</v>
      </c>
      <c r="E11" s="173">
        <v>0.01</v>
      </c>
      <c r="F11" s="180" t="s">
        <v>309</v>
      </c>
      <c r="G11" s="173">
        <v>0.01</v>
      </c>
      <c r="H11" s="180" t="s">
        <v>309</v>
      </c>
      <c r="I11" s="173">
        <v>0.01</v>
      </c>
    </row>
    <row r="12" spans="1:9" ht="30" x14ac:dyDescent="0.15">
      <c r="A12" s="171" t="s">
        <v>312</v>
      </c>
      <c r="B12" s="173">
        <v>0.1</v>
      </c>
      <c r="C12" s="181" t="s">
        <v>309</v>
      </c>
      <c r="D12" s="173">
        <v>0.1</v>
      </c>
      <c r="E12" s="181" t="s">
        <v>309</v>
      </c>
      <c r="F12" s="180">
        <v>0.1</v>
      </c>
      <c r="G12" s="173" t="s">
        <v>309</v>
      </c>
      <c r="H12" s="180">
        <v>0.1</v>
      </c>
      <c r="I12" s="173" t="s">
        <v>309</v>
      </c>
    </row>
    <row r="13" spans="1:9" ht="16.5" x14ac:dyDescent="0.15">
      <c r="A13" s="171" t="s">
        <v>129</v>
      </c>
      <c r="B13" s="182">
        <f>B10/B42</f>
        <v>0.10683760683760683</v>
      </c>
      <c r="C13" s="183" t="s">
        <v>313</v>
      </c>
      <c r="D13" s="182">
        <f>D10/D42</f>
        <v>0.10683760683760683</v>
      </c>
      <c r="E13" s="181" t="s">
        <v>309</v>
      </c>
      <c r="F13" s="184">
        <f>F10/F42</f>
        <v>0.1</v>
      </c>
      <c r="G13" s="185" t="s">
        <v>313</v>
      </c>
      <c r="H13" s="184">
        <f>H10/H42</f>
        <v>0.1</v>
      </c>
      <c r="I13" s="186" t="s">
        <v>309</v>
      </c>
    </row>
    <row r="14" spans="1:9" ht="16.5" x14ac:dyDescent="0.15">
      <c r="A14" s="171" t="s">
        <v>130</v>
      </c>
      <c r="B14" s="172" t="s">
        <v>314</v>
      </c>
      <c r="C14" s="172" t="s">
        <v>314</v>
      </c>
      <c r="D14" s="172" t="s">
        <v>298</v>
      </c>
      <c r="E14" s="172" t="s">
        <v>298</v>
      </c>
      <c r="F14" s="172" t="s">
        <v>315</v>
      </c>
      <c r="G14" s="172" t="s">
        <v>315</v>
      </c>
      <c r="H14" s="172" t="s">
        <v>298</v>
      </c>
      <c r="I14" s="172" t="s">
        <v>298</v>
      </c>
    </row>
    <row r="15" spans="1:9" x14ac:dyDescent="0.15">
      <c r="A15" s="171" t="s">
        <v>316</v>
      </c>
      <c r="B15" s="187">
        <v>3</v>
      </c>
      <c r="C15" s="187">
        <v>3</v>
      </c>
      <c r="D15" s="187">
        <v>3</v>
      </c>
      <c r="E15" s="187">
        <v>3</v>
      </c>
      <c r="F15" s="187">
        <v>3</v>
      </c>
      <c r="G15" s="187">
        <v>3</v>
      </c>
      <c r="H15" s="187">
        <v>3</v>
      </c>
      <c r="I15" s="187">
        <v>3</v>
      </c>
    </row>
    <row r="16" spans="1:9" x14ac:dyDescent="0.15">
      <c r="A16" s="171" t="s">
        <v>9</v>
      </c>
      <c r="B16" s="187">
        <v>3</v>
      </c>
      <c r="C16" s="187">
        <v>3</v>
      </c>
      <c r="D16" s="187">
        <v>3</v>
      </c>
      <c r="E16" s="187">
        <v>3</v>
      </c>
      <c r="F16" s="187">
        <v>3</v>
      </c>
      <c r="G16" s="187">
        <v>3</v>
      </c>
      <c r="H16" s="187">
        <v>3</v>
      </c>
      <c r="I16" s="187">
        <v>3</v>
      </c>
    </row>
    <row r="17" spans="1:9" x14ac:dyDescent="0.15">
      <c r="A17" s="155" t="s">
        <v>10</v>
      </c>
      <c r="B17" s="188"/>
      <c r="C17" s="188"/>
      <c r="D17" s="188"/>
      <c r="E17" s="188"/>
      <c r="F17" s="189"/>
      <c r="G17" s="189"/>
      <c r="H17" s="189"/>
      <c r="I17" s="189"/>
    </row>
    <row r="18" spans="1:9" ht="45" x14ac:dyDescent="0.15">
      <c r="A18" s="171" t="s">
        <v>317</v>
      </c>
      <c r="B18" s="190">
        <v>16</v>
      </c>
      <c r="C18" s="190">
        <v>16</v>
      </c>
      <c r="D18" s="190">
        <v>16</v>
      </c>
      <c r="E18" s="190">
        <v>16</v>
      </c>
      <c r="F18" s="190">
        <v>1</v>
      </c>
      <c r="G18" s="190">
        <v>1</v>
      </c>
      <c r="H18" s="190">
        <v>1</v>
      </c>
      <c r="I18" s="190">
        <v>1</v>
      </c>
    </row>
    <row r="19" spans="1:9" x14ac:dyDescent="0.15">
      <c r="A19" s="171" t="s">
        <v>318</v>
      </c>
      <c r="B19" s="190">
        <v>2</v>
      </c>
      <c r="C19" s="190">
        <v>2</v>
      </c>
      <c r="D19" s="190">
        <v>2</v>
      </c>
      <c r="E19" s="190">
        <v>2</v>
      </c>
      <c r="F19" s="190">
        <v>23</v>
      </c>
      <c r="G19" s="190">
        <v>23</v>
      </c>
      <c r="H19" s="190">
        <v>23</v>
      </c>
      <c r="I19" s="190">
        <v>23</v>
      </c>
    </row>
    <row r="20" spans="1:9" x14ac:dyDescent="0.15">
      <c r="A20" s="171" t="s">
        <v>11</v>
      </c>
      <c r="B20" s="187">
        <v>24.76</v>
      </c>
      <c r="C20" s="187">
        <v>24.76</v>
      </c>
      <c r="D20" s="187">
        <v>24.76</v>
      </c>
      <c r="E20" s="187">
        <v>24.76</v>
      </c>
      <c r="F20" s="187">
        <f t="shared" ref="F20:I20" si="0">F19+10*LOG10(F18)</f>
        <v>23</v>
      </c>
      <c r="G20" s="187">
        <f t="shared" si="0"/>
        <v>23</v>
      </c>
      <c r="H20" s="187">
        <f t="shared" si="0"/>
        <v>23</v>
      </c>
      <c r="I20" s="187">
        <f t="shared" si="0"/>
        <v>23</v>
      </c>
    </row>
    <row r="21" spans="1:9" ht="45" x14ac:dyDescent="0.15">
      <c r="A21" s="191" t="s">
        <v>319</v>
      </c>
      <c r="B21" s="192">
        <f t="shared" ref="B21:I21" si="1">B20+10*LOG10(B18)</f>
        <v>36.801199826559248</v>
      </c>
      <c r="C21" s="192">
        <f t="shared" si="1"/>
        <v>36.801199826559248</v>
      </c>
      <c r="D21" s="192">
        <f t="shared" si="1"/>
        <v>36.801199826559248</v>
      </c>
      <c r="E21" s="192">
        <f t="shared" si="1"/>
        <v>36.801199826559248</v>
      </c>
      <c r="F21" s="192">
        <f t="shared" si="1"/>
        <v>23</v>
      </c>
      <c r="G21" s="192">
        <f t="shared" si="1"/>
        <v>23</v>
      </c>
      <c r="H21" s="192">
        <f t="shared" si="1"/>
        <v>23</v>
      </c>
      <c r="I21" s="192">
        <f t="shared" si="1"/>
        <v>23</v>
      </c>
    </row>
    <row r="22" spans="1:9" x14ac:dyDescent="0.15">
      <c r="A22" s="171" t="s">
        <v>320</v>
      </c>
      <c r="B22" s="187">
        <f>8</f>
        <v>8</v>
      </c>
      <c r="C22" s="187">
        <f>8</f>
        <v>8</v>
      </c>
      <c r="D22" s="187">
        <f>8</f>
        <v>8</v>
      </c>
      <c r="E22" s="187">
        <f>8</f>
        <v>8</v>
      </c>
      <c r="F22" s="187">
        <v>0</v>
      </c>
      <c r="G22" s="187">
        <v>0</v>
      </c>
      <c r="H22" s="187">
        <v>0</v>
      </c>
      <c r="I22" s="187">
        <v>0</v>
      </c>
    </row>
    <row r="23" spans="1:9" ht="45" x14ac:dyDescent="0.15">
      <c r="A23" s="193" t="s">
        <v>13</v>
      </c>
      <c r="B23" s="192">
        <f t="shared" ref="B23:E23" si="2">IF(B18&gt;=2, 10*LOG10(B18/B19), 0)</f>
        <v>9.0308998699194358</v>
      </c>
      <c r="C23" s="192">
        <f t="shared" si="2"/>
        <v>9.0308998699194358</v>
      </c>
      <c r="D23" s="192">
        <f t="shared" si="2"/>
        <v>9.0308998699194358</v>
      </c>
      <c r="E23" s="192">
        <f t="shared" si="2"/>
        <v>9.0308998699194358</v>
      </c>
      <c r="F23" s="192">
        <f t="shared" ref="F23:I23" si="3">IF(F18&gt;=2, 10*LOG10(F18/2), 0)</f>
        <v>0</v>
      </c>
      <c r="G23" s="192">
        <f t="shared" si="3"/>
        <v>0</v>
      </c>
      <c r="H23" s="192">
        <f t="shared" si="3"/>
        <v>0</v>
      </c>
      <c r="I23" s="192">
        <f t="shared" si="3"/>
        <v>0</v>
      </c>
    </row>
    <row r="24" spans="1:9" x14ac:dyDescent="0.15">
      <c r="A24" s="171" t="s">
        <v>14</v>
      </c>
      <c r="B24" s="187">
        <v>0</v>
      </c>
      <c r="C24" s="187">
        <v>0</v>
      </c>
      <c r="D24" s="187">
        <v>0</v>
      </c>
      <c r="E24" s="187">
        <v>0</v>
      </c>
      <c r="F24" s="187">
        <v>0</v>
      </c>
      <c r="G24" s="187">
        <v>0</v>
      </c>
      <c r="H24" s="187">
        <v>0</v>
      </c>
      <c r="I24" s="187">
        <v>0</v>
      </c>
    </row>
    <row r="25" spans="1:9" ht="30" x14ac:dyDescent="0.15">
      <c r="A25" s="171" t="s">
        <v>15</v>
      </c>
      <c r="B25" s="187">
        <v>0</v>
      </c>
      <c r="C25" s="187">
        <v>0</v>
      </c>
      <c r="D25" s="187">
        <v>0</v>
      </c>
      <c r="E25" s="187">
        <v>0</v>
      </c>
      <c r="F25" s="187">
        <v>0</v>
      </c>
      <c r="G25" s="187">
        <v>0</v>
      </c>
      <c r="H25" s="187">
        <v>0</v>
      </c>
      <c r="I25" s="187">
        <v>0</v>
      </c>
    </row>
    <row r="26" spans="1:9" ht="45" x14ac:dyDescent="0.15">
      <c r="A26" s="171" t="s">
        <v>16</v>
      </c>
      <c r="B26" s="187">
        <v>3</v>
      </c>
      <c r="C26" s="187">
        <v>3</v>
      </c>
      <c r="D26" s="187">
        <v>3</v>
      </c>
      <c r="E26" s="187">
        <v>3</v>
      </c>
      <c r="F26" s="187">
        <v>0</v>
      </c>
      <c r="G26" s="187">
        <v>0</v>
      </c>
      <c r="H26" s="187">
        <v>0</v>
      </c>
      <c r="I26" s="187">
        <v>0</v>
      </c>
    </row>
    <row r="27" spans="1:9" ht="30" x14ac:dyDescent="0.15">
      <c r="A27" s="157" t="s">
        <v>17</v>
      </c>
      <c r="B27" s="194">
        <f t="shared" ref="B27:I27" si="4">B21+B22+B23+B24-B26</f>
        <v>50.832099696478686</v>
      </c>
      <c r="C27" s="194">
        <f t="shared" si="4"/>
        <v>50.832099696478686</v>
      </c>
      <c r="D27" s="194">
        <f t="shared" si="4"/>
        <v>50.832099696478686</v>
      </c>
      <c r="E27" s="194">
        <f t="shared" si="4"/>
        <v>50.832099696478686</v>
      </c>
      <c r="F27" s="194">
        <f t="shared" si="4"/>
        <v>23</v>
      </c>
      <c r="G27" s="194">
        <f t="shared" si="4"/>
        <v>23</v>
      </c>
      <c r="H27" s="194">
        <f t="shared" si="4"/>
        <v>23</v>
      </c>
      <c r="I27" s="194">
        <f t="shared" si="4"/>
        <v>23</v>
      </c>
    </row>
    <row r="28" spans="1:9" ht="30" x14ac:dyDescent="0.15">
      <c r="A28" s="157" t="s">
        <v>321</v>
      </c>
      <c r="B28" s="194">
        <f t="shared" ref="B28:I28" si="5">B21+B22+B23-B25-B26</f>
        <v>50.832099696478686</v>
      </c>
      <c r="C28" s="194">
        <f t="shared" si="5"/>
        <v>50.832099696478686</v>
      </c>
      <c r="D28" s="194">
        <f t="shared" si="5"/>
        <v>50.832099696478686</v>
      </c>
      <c r="E28" s="194">
        <f t="shared" si="5"/>
        <v>50.832099696478686</v>
      </c>
      <c r="F28" s="194">
        <f t="shared" si="5"/>
        <v>23</v>
      </c>
      <c r="G28" s="194">
        <f t="shared" si="5"/>
        <v>23</v>
      </c>
      <c r="H28" s="194">
        <f t="shared" si="5"/>
        <v>23</v>
      </c>
      <c r="I28" s="194">
        <f t="shared" si="5"/>
        <v>23</v>
      </c>
    </row>
    <row r="29" spans="1:9" x14ac:dyDescent="0.15">
      <c r="A29" s="155" t="s">
        <v>19</v>
      </c>
      <c r="B29" s="188"/>
      <c r="C29" s="188"/>
      <c r="D29" s="188"/>
      <c r="E29" s="188"/>
      <c r="F29" s="189"/>
      <c r="G29" s="189"/>
      <c r="H29" s="189"/>
      <c r="I29" s="189"/>
    </row>
    <row r="30" spans="1:9" ht="45" x14ac:dyDescent="0.15">
      <c r="A30" s="171" t="s">
        <v>322</v>
      </c>
      <c r="B30" s="190">
        <v>2</v>
      </c>
      <c r="C30" s="190">
        <v>2</v>
      </c>
      <c r="D30" s="190">
        <v>2</v>
      </c>
      <c r="E30" s="190">
        <v>2</v>
      </c>
      <c r="F30" s="190">
        <v>32</v>
      </c>
      <c r="G30" s="190">
        <v>32</v>
      </c>
      <c r="H30" s="190">
        <v>32</v>
      </c>
      <c r="I30" s="190">
        <v>32</v>
      </c>
    </row>
    <row r="31" spans="1:9" x14ac:dyDescent="0.15">
      <c r="A31" s="171" t="s">
        <v>323</v>
      </c>
      <c r="B31" s="190">
        <v>1</v>
      </c>
      <c r="C31" s="190">
        <v>1</v>
      </c>
      <c r="D31" s="190">
        <v>1</v>
      </c>
      <c r="E31" s="190">
        <v>1</v>
      </c>
      <c r="F31" s="190">
        <v>4</v>
      </c>
      <c r="G31" s="190">
        <v>4</v>
      </c>
      <c r="H31" s="190">
        <v>4</v>
      </c>
      <c r="I31" s="190">
        <v>4</v>
      </c>
    </row>
    <row r="32" spans="1:9" x14ac:dyDescent="0.15">
      <c r="A32" s="171" t="s">
        <v>20</v>
      </c>
      <c r="B32" s="187">
        <v>0</v>
      </c>
      <c r="C32" s="187">
        <v>0</v>
      </c>
      <c r="D32" s="187">
        <v>0</v>
      </c>
      <c r="E32" s="187">
        <v>0</v>
      </c>
      <c r="F32" s="187">
        <v>8</v>
      </c>
      <c r="G32" s="187">
        <v>8</v>
      </c>
      <c r="H32" s="187">
        <v>8</v>
      </c>
      <c r="I32" s="187">
        <v>8</v>
      </c>
    </row>
    <row r="33" spans="1:9" ht="42.75" x14ac:dyDescent="0.15">
      <c r="A33" s="195" t="s">
        <v>324</v>
      </c>
      <c r="B33" s="192">
        <f t="shared" ref="B33:E33" si="6">IF(B30&gt;=2, 10*LOG10(B30/2), 0)</f>
        <v>0</v>
      </c>
      <c r="C33" s="192">
        <f t="shared" si="6"/>
        <v>0</v>
      </c>
      <c r="D33" s="192">
        <f t="shared" si="6"/>
        <v>0</v>
      </c>
      <c r="E33" s="192">
        <f t="shared" si="6"/>
        <v>0</v>
      </c>
      <c r="F33" s="192">
        <f t="shared" ref="F33:I33" si="7">IF(F30/F31&gt;=2, 10*LOG10(F30/F31), 0)</f>
        <v>9.0308998699194358</v>
      </c>
      <c r="G33" s="192">
        <f t="shared" si="7"/>
        <v>9.0308998699194358</v>
      </c>
      <c r="H33" s="192">
        <f t="shared" si="7"/>
        <v>9.0308998699194358</v>
      </c>
      <c r="I33" s="192">
        <f t="shared" si="7"/>
        <v>9.0308998699194358</v>
      </c>
    </row>
    <row r="34" spans="1:9" ht="45" x14ac:dyDescent="0.15">
      <c r="A34" s="171" t="s">
        <v>21</v>
      </c>
      <c r="B34" s="187">
        <v>0</v>
      </c>
      <c r="C34" s="187">
        <v>0</v>
      </c>
      <c r="D34" s="187">
        <v>0</v>
      </c>
      <c r="E34" s="187">
        <v>0</v>
      </c>
      <c r="F34" s="187">
        <v>3</v>
      </c>
      <c r="G34" s="187">
        <v>3</v>
      </c>
      <c r="H34" s="187">
        <v>3</v>
      </c>
      <c r="I34" s="187">
        <v>3</v>
      </c>
    </row>
    <row r="35" spans="1:9" x14ac:dyDescent="0.15">
      <c r="A35" s="171" t="s">
        <v>22</v>
      </c>
      <c r="B35" s="187">
        <v>7</v>
      </c>
      <c r="C35" s="187">
        <v>7</v>
      </c>
      <c r="D35" s="187">
        <v>7</v>
      </c>
      <c r="E35" s="187">
        <v>7</v>
      </c>
      <c r="F35" s="187">
        <v>5</v>
      </c>
      <c r="G35" s="187">
        <v>5</v>
      </c>
      <c r="H35" s="187">
        <v>5</v>
      </c>
      <c r="I35" s="187">
        <v>5</v>
      </c>
    </row>
    <row r="36" spans="1:9" x14ac:dyDescent="0.15">
      <c r="A36" s="171" t="s">
        <v>23</v>
      </c>
      <c r="B36" s="172">
        <v>-174</v>
      </c>
      <c r="C36" s="172">
        <v>-174</v>
      </c>
      <c r="D36" s="172">
        <v>-174</v>
      </c>
      <c r="E36" s="172">
        <v>-174</v>
      </c>
      <c r="F36" s="172">
        <v>-174</v>
      </c>
      <c r="G36" s="172">
        <v>-174</v>
      </c>
      <c r="H36" s="172">
        <v>-174</v>
      </c>
      <c r="I36" s="172">
        <v>-174</v>
      </c>
    </row>
    <row r="37" spans="1:9" ht="30" x14ac:dyDescent="0.15">
      <c r="A37" s="171" t="s">
        <v>325</v>
      </c>
      <c r="B37" s="172" t="s">
        <v>309</v>
      </c>
      <c r="C37" s="99">
        <v>-169.3</v>
      </c>
      <c r="D37" s="172" t="s">
        <v>309</v>
      </c>
      <c r="E37" s="99">
        <v>-169.3</v>
      </c>
      <c r="F37" s="172" t="s">
        <v>309</v>
      </c>
      <c r="G37" s="152">
        <v>-161.69999999999999</v>
      </c>
      <c r="H37" s="172" t="s">
        <v>309</v>
      </c>
      <c r="I37" s="152">
        <v>-161.69999999999999</v>
      </c>
    </row>
    <row r="38" spans="1:9" ht="30" x14ac:dyDescent="0.15">
      <c r="A38" s="171" t="s">
        <v>326</v>
      </c>
      <c r="B38" s="99">
        <v>-169.3</v>
      </c>
      <c r="C38" s="99" t="s">
        <v>309</v>
      </c>
      <c r="D38" s="99">
        <v>-169.3</v>
      </c>
      <c r="E38" s="99" t="s">
        <v>309</v>
      </c>
      <c r="F38" s="152">
        <v>-165.7</v>
      </c>
      <c r="G38" s="152" t="s">
        <v>309</v>
      </c>
      <c r="H38" s="152">
        <v>-165.7</v>
      </c>
      <c r="I38" s="152" t="s">
        <v>309</v>
      </c>
    </row>
    <row r="39" spans="1:9" ht="60" x14ac:dyDescent="0.15">
      <c r="A39" s="159" t="s">
        <v>45</v>
      </c>
      <c r="B39" s="158" t="s">
        <v>309</v>
      </c>
      <c r="C39" s="158">
        <f t="shared" ref="C39" si="8">10*LOG10(10^((C35+C36)/10)+10^(C37/10))</f>
        <v>-164.98918835931039</v>
      </c>
      <c r="D39" s="158" t="s">
        <v>309</v>
      </c>
      <c r="E39" s="158">
        <f t="shared" ref="E39" si="9">10*LOG10(10^((E35+E36)/10)+10^(E37/10))</f>
        <v>-164.98918835931039</v>
      </c>
      <c r="F39" s="158" t="s">
        <v>309</v>
      </c>
      <c r="G39" s="158">
        <f t="shared" ref="G39" si="10">10*LOG10(10^((G35+G36)/10)+10^(G37/10))</f>
        <v>-160.9583889004532</v>
      </c>
      <c r="H39" s="158" t="s">
        <v>309</v>
      </c>
      <c r="I39" s="158">
        <f t="shared" ref="I39" si="11">10*LOG10(10^((I35+I36)/10)+10^(I37/10))</f>
        <v>-160.9583889004532</v>
      </c>
    </row>
    <row r="40" spans="1:9" ht="60" x14ac:dyDescent="0.15">
      <c r="A40" s="159" t="s">
        <v>327</v>
      </c>
      <c r="B40" s="158">
        <f t="shared" ref="B40" si="12">10*LOG10(10^((B35+B36)/10)+10^(B38/10))</f>
        <v>-164.98918835931039</v>
      </c>
      <c r="C40" s="158" t="s">
        <v>309</v>
      </c>
      <c r="D40" s="158">
        <f t="shared" ref="D40" si="13">10*LOG10(10^((D35+D36)/10)+10^(D38/10))</f>
        <v>-164.98918835931039</v>
      </c>
      <c r="E40" s="158" t="s">
        <v>309</v>
      </c>
      <c r="F40" s="158">
        <f t="shared" ref="F40" si="14">10*LOG10(10^((F35+F36)/10)+10^(F38/10))</f>
        <v>-164.03352307536667</v>
      </c>
      <c r="G40" s="158" t="s">
        <v>309</v>
      </c>
      <c r="H40" s="158">
        <f t="shared" ref="H40" si="15">10*LOG10(10^((H35+H36)/10)+10^(H38/10))</f>
        <v>-164.03352307536667</v>
      </c>
      <c r="I40" s="158" t="s">
        <v>309</v>
      </c>
    </row>
    <row r="41" spans="1:9" ht="30" x14ac:dyDescent="0.15">
      <c r="A41" s="171" t="s">
        <v>26</v>
      </c>
      <c r="B41" s="174" t="s">
        <v>309</v>
      </c>
      <c r="C41" s="176">
        <f>[5]MaxN_RB!$D$6*12*15*1000</f>
        <v>9360000</v>
      </c>
      <c r="D41" s="174" t="s">
        <v>309</v>
      </c>
      <c r="E41" s="176">
        <f>[5]MaxN_RB!$D$6*12*15*1000</f>
        <v>9360000</v>
      </c>
      <c r="F41" s="176" t="s">
        <v>309</v>
      </c>
      <c r="G41" s="175">
        <f>1*12*15*1000</f>
        <v>180000</v>
      </c>
      <c r="H41" s="176" t="s">
        <v>309</v>
      </c>
      <c r="I41" s="175">
        <f>1*12*15*1000</f>
        <v>180000</v>
      </c>
    </row>
    <row r="42" spans="1:9" ht="30" x14ac:dyDescent="0.15">
      <c r="A42" s="171" t="s">
        <v>27</v>
      </c>
      <c r="B42" s="176">
        <f>[5]MaxN_RB!$D$6*12*15*1000</f>
        <v>9360000</v>
      </c>
      <c r="C42" s="176" t="s">
        <v>309</v>
      </c>
      <c r="D42" s="176">
        <f>[5]MaxN_RB!$D$6*12*15*1000</f>
        <v>9360000</v>
      </c>
      <c r="E42" s="176" t="s">
        <v>309</v>
      </c>
      <c r="F42" s="176">
        <v>360000</v>
      </c>
      <c r="G42" s="178" t="s">
        <v>309</v>
      </c>
      <c r="H42" s="176">
        <v>360000</v>
      </c>
      <c r="I42" s="178" t="s">
        <v>309</v>
      </c>
    </row>
    <row r="43" spans="1:9" ht="30" x14ac:dyDescent="0.15">
      <c r="A43" s="157" t="s">
        <v>28</v>
      </c>
      <c r="B43" s="158" t="s">
        <v>309</v>
      </c>
      <c r="C43" s="158">
        <f t="shared" ref="B43:I44" si="16">C39+10*LOG10(C41)</f>
        <v>-95.276429871929338</v>
      </c>
      <c r="D43" s="158" t="s">
        <v>309</v>
      </c>
      <c r="E43" s="158">
        <f t="shared" ref="E43" si="17">E39+10*LOG10(E41)</f>
        <v>-95.276429871929338</v>
      </c>
      <c r="F43" s="158" t="s">
        <v>309</v>
      </c>
      <c r="G43" s="158">
        <f t="shared" ref="G43" si="18">G39+10*LOG10(G41)</f>
        <v>-108.40566384942014</v>
      </c>
      <c r="H43" s="158" t="s">
        <v>309</v>
      </c>
      <c r="I43" s="158">
        <f t="shared" si="16"/>
        <v>-108.40566384942014</v>
      </c>
    </row>
    <row r="44" spans="1:9" ht="30" x14ac:dyDescent="0.15">
      <c r="A44" s="157" t="s">
        <v>328</v>
      </c>
      <c r="B44" s="158">
        <f t="shared" si="16"/>
        <v>-95.276429871929338</v>
      </c>
      <c r="C44" s="158" t="s">
        <v>309</v>
      </c>
      <c r="D44" s="158">
        <f t="shared" ref="D44" si="19">D40+10*LOG10(D42)</f>
        <v>-95.276429871929338</v>
      </c>
      <c r="E44" s="158" t="s">
        <v>309</v>
      </c>
      <c r="F44" s="158">
        <f t="shared" ref="F44" si="20">F40+10*LOG10(F42)</f>
        <v>-108.4704980676938</v>
      </c>
      <c r="G44" s="158" t="s">
        <v>309</v>
      </c>
      <c r="H44" s="158">
        <f t="shared" si="16"/>
        <v>-108.4704980676938</v>
      </c>
      <c r="I44" s="158" t="s">
        <v>309</v>
      </c>
    </row>
    <row r="45" spans="1:9" x14ac:dyDescent="0.15">
      <c r="A45" s="171" t="s">
        <v>30</v>
      </c>
      <c r="B45" s="99" t="s">
        <v>309</v>
      </c>
      <c r="C45" s="196">
        <v>-7.4</v>
      </c>
      <c r="D45" s="99" t="s">
        <v>309</v>
      </c>
      <c r="E45" s="196">
        <v>-7.5</v>
      </c>
      <c r="F45" s="99" t="s">
        <v>309</v>
      </c>
      <c r="G45" s="152">
        <v>-6.3</v>
      </c>
      <c r="H45" s="99" t="s">
        <v>309</v>
      </c>
      <c r="I45" s="152">
        <v>-6.3</v>
      </c>
    </row>
    <row r="46" spans="1:9" x14ac:dyDescent="0.15">
      <c r="A46" s="171" t="s">
        <v>329</v>
      </c>
      <c r="B46" s="152">
        <v>-6</v>
      </c>
      <c r="C46" s="196" t="s">
        <v>309</v>
      </c>
      <c r="D46" s="99">
        <v>-6</v>
      </c>
      <c r="E46" s="196" t="s">
        <v>309</v>
      </c>
      <c r="F46" s="152">
        <v>-6</v>
      </c>
      <c r="G46" s="152" t="s">
        <v>309</v>
      </c>
      <c r="H46" s="152">
        <v>-6</v>
      </c>
      <c r="I46" s="152" t="s">
        <v>309</v>
      </c>
    </row>
    <row r="47" spans="1:9" x14ac:dyDescent="0.15">
      <c r="A47" s="171" t="s">
        <v>32</v>
      </c>
      <c r="B47" s="99">
        <v>2</v>
      </c>
      <c r="C47" s="172">
        <v>2</v>
      </c>
      <c r="D47" s="99">
        <v>2</v>
      </c>
      <c r="E47" s="172">
        <v>2</v>
      </c>
      <c r="F47" s="172">
        <v>2</v>
      </c>
      <c r="G47" s="172">
        <v>2</v>
      </c>
      <c r="H47" s="172">
        <v>2</v>
      </c>
      <c r="I47" s="172">
        <v>2</v>
      </c>
    </row>
    <row r="48" spans="1:9" x14ac:dyDescent="0.15">
      <c r="A48" s="171" t="s">
        <v>33</v>
      </c>
      <c r="B48" s="99" t="s">
        <v>309</v>
      </c>
      <c r="C48" s="172">
        <v>0</v>
      </c>
      <c r="D48" s="99" t="s">
        <v>309</v>
      </c>
      <c r="E48" s="172">
        <v>0</v>
      </c>
      <c r="F48" s="172" t="s">
        <v>309</v>
      </c>
      <c r="G48" s="172">
        <v>0</v>
      </c>
      <c r="H48" s="172" t="s">
        <v>309</v>
      </c>
      <c r="I48" s="172">
        <v>0</v>
      </c>
    </row>
    <row r="49" spans="1:10" x14ac:dyDescent="0.15">
      <c r="A49" s="171" t="s">
        <v>34</v>
      </c>
      <c r="B49" s="99">
        <v>0</v>
      </c>
      <c r="C49" s="172" t="s">
        <v>309</v>
      </c>
      <c r="D49" s="99">
        <v>0</v>
      </c>
      <c r="E49" s="172" t="s">
        <v>309</v>
      </c>
      <c r="F49" s="99">
        <v>0</v>
      </c>
      <c r="G49" s="172" t="s">
        <v>309</v>
      </c>
      <c r="H49" s="99">
        <v>0</v>
      </c>
      <c r="I49" s="172" t="s">
        <v>309</v>
      </c>
    </row>
    <row r="50" spans="1:10" ht="30" x14ac:dyDescent="0.15">
      <c r="A50" s="159" t="s">
        <v>47</v>
      </c>
      <c r="B50" s="158" t="s">
        <v>309</v>
      </c>
      <c r="C50" s="158">
        <f t="shared" ref="C50:I50" si="21">C43+C45+C47-C48</f>
        <v>-100.67642987192934</v>
      </c>
      <c r="D50" s="158" t="s">
        <v>309</v>
      </c>
      <c r="E50" s="158">
        <f t="shared" ref="E50" si="22">E43+E45+E47-E48</f>
        <v>-100.77642987192934</v>
      </c>
      <c r="F50" s="158" t="s">
        <v>309</v>
      </c>
      <c r="G50" s="158">
        <f t="shared" si="21"/>
        <v>-112.70566384942013</v>
      </c>
      <c r="H50" s="158" t="s">
        <v>309</v>
      </c>
      <c r="I50" s="158">
        <f t="shared" si="21"/>
        <v>-112.70566384942013</v>
      </c>
    </row>
    <row r="51" spans="1:10" ht="30" x14ac:dyDescent="0.15">
      <c r="A51" s="159" t="s">
        <v>330</v>
      </c>
      <c r="B51" s="158">
        <f>B44+B46+B47-B49</f>
        <v>-99.276429871929338</v>
      </c>
      <c r="C51" s="158" t="s">
        <v>309</v>
      </c>
      <c r="D51" s="158">
        <f>D44+D46+D47-D49</f>
        <v>-99.276429871929338</v>
      </c>
      <c r="E51" s="158" t="s">
        <v>309</v>
      </c>
      <c r="F51" s="158">
        <f>F44+F46+F47-F49</f>
        <v>-112.4704980676938</v>
      </c>
      <c r="G51" s="158" t="s">
        <v>309</v>
      </c>
      <c r="H51" s="158">
        <f t="shared" ref="H51" si="23">H44+H46+H47-H49</f>
        <v>-112.4704980676938</v>
      </c>
      <c r="I51" s="158" t="s">
        <v>309</v>
      </c>
    </row>
    <row r="52" spans="1:10" ht="30" x14ac:dyDescent="0.15">
      <c r="A52" s="159" t="s">
        <v>101</v>
      </c>
      <c r="B52" s="158" t="s">
        <v>309</v>
      </c>
      <c r="C52" s="158">
        <f t="shared" ref="C52:I52" si="24">C27+C32+C33-C50</f>
        <v>151.50852956840802</v>
      </c>
      <c r="D52" s="158" t="s">
        <v>309</v>
      </c>
      <c r="E52" s="158">
        <f t="shared" ref="E52" si="25">E27+E32+E33-E50</f>
        <v>151.60852956840802</v>
      </c>
      <c r="F52" s="158" t="s">
        <v>309</v>
      </c>
      <c r="G52" s="158">
        <f t="shared" si="24"/>
        <v>152.73656371933959</v>
      </c>
      <c r="H52" s="158" t="s">
        <v>309</v>
      </c>
      <c r="I52" s="158">
        <f t="shared" si="24"/>
        <v>152.73656371933959</v>
      </c>
    </row>
    <row r="53" spans="1:10" ht="30" x14ac:dyDescent="0.15">
      <c r="A53" s="159" t="s">
        <v>102</v>
      </c>
      <c r="B53" s="158">
        <f t="shared" ref="B53:F53" si="26">B28+B32+B33-B51</f>
        <v>150.10852956840802</v>
      </c>
      <c r="C53" s="158" t="s">
        <v>309</v>
      </c>
      <c r="D53" s="158">
        <f t="shared" ref="D53" si="27">D28+D32+D33-D51</f>
        <v>150.10852956840802</v>
      </c>
      <c r="E53" s="158" t="s">
        <v>309</v>
      </c>
      <c r="F53" s="158">
        <f t="shared" si="26"/>
        <v>152.50139793761323</v>
      </c>
      <c r="G53" s="158" t="s">
        <v>309</v>
      </c>
      <c r="H53" s="158">
        <f>H28+H32+H33-H51</f>
        <v>152.50139793761323</v>
      </c>
      <c r="I53" s="158" t="s">
        <v>309</v>
      </c>
    </row>
    <row r="54" spans="1:10" x14ac:dyDescent="0.15">
      <c r="A54" s="155" t="s">
        <v>35</v>
      </c>
      <c r="B54" s="170"/>
      <c r="C54" s="170"/>
      <c r="D54" s="170"/>
      <c r="E54" s="170"/>
      <c r="F54" s="170"/>
      <c r="G54" s="170"/>
      <c r="H54" s="170"/>
      <c r="I54" s="170"/>
    </row>
    <row r="55" spans="1:10" x14ac:dyDescent="0.15">
      <c r="A55" s="171" t="s">
        <v>36</v>
      </c>
      <c r="B55" s="152">
        <v>6</v>
      </c>
      <c r="C55" s="152">
        <v>6</v>
      </c>
      <c r="D55" s="197">
        <v>7</v>
      </c>
      <c r="E55" s="197">
        <v>7</v>
      </c>
      <c r="F55" s="152">
        <v>6</v>
      </c>
      <c r="G55" s="152">
        <v>6</v>
      </c>
      <c r="H55" s="197">
        <v>7</v>
      </c>
      <c r="I55" s="197">
        <v>7</v>
      </c>
    </row>
    <row r="56" spans="1:10" ht="30" x14ac:dyDescent="0.15">
      <c r="A56" s="171" t="s">
        <v>37</v>
      </c>
      <c r="B56" s="99" t="s">
        <v>309</v>
      </c>
      <c r="C56" s="99">
        <v>10.26</v>
      </c>
      <c r="D56" s="197" t="s">
        <v>309</v>
      </c>
      <c r="E56" s="197">
        <v>14.07</v>
      </c>
      <c r="F56" s="99" t="s">
        <v>309</v>
      </c>
      <c r="G56" s="99">
        <v>10.26</v>
      </c>
      <c r="H56" s="197" t="s">
        <v>309</v>
      </c>
      <c r="I56" s="197">
        <v>14.07</v>
      </c>
    </row>
    <row r="57" spans="1:10" ht="30" x14ac:dyDescent="0.15">
      <c r="A57" s="171" t="s">
        <v>38</v>
      </c>
      <c r="B57" s="99">
        <v>10.26</v>
      </c>
      <c r="C57" s="99" t="s">
        <v>309</v>
      </c>
      <c r="D57" s="197">
        <v>14.07</v>
      </c>
      <c r="E57" s="197" t="s">
        <v>309</v>
      </c>
      <c r="F57" s="99">
        <v>10.26</v>
      </c>
      <c r="G57" s="99" t="s">
        <v>309</v>
      </c>
      <c r="H57" s="197">
        <v>14.07</v>
      </c>
      <c r="I57" s="197" t="s">
        <v>309</v>
      </c>
    </row>
    <row r="58" spans="1:10" x14ac:dyDescent="0.15">
      <c r="A58" s="171" t="s">
        <v>39</v>
      </c>
      <c r="B58" s="196">
        <v>0</v>
      </c>
      <c r="C58" s="196">
        <v>0</v>
      </c>
      <c r="D58" s="196">
        <v>0</v>
      </c>
      <c r="E58" s="196">
        <v>0</v>
      </c>
      <c r="F58" s="196">
        <v>0</v>
      </c>
      <c r="G58" s="196">
        <v>0</v>
      </c>
      <c r="H58" s="196">
        <v>0</v>
      </c>
      <c r="I58" s="196">
        <v>0</v>
      </c>
    </row>
    <row r="59" spans="1:10" x14ac:dyDescent="0.15">
      <c r="A59" s="171" t="s">
        <v>40</v>
      </c>
      <c r="B59" s="99">
        <v>0</v>
      </c>
      <c r="C59" s="99">
        <v>0</v>
      </c>
      <c r="D59" s="99">
        <f>20+0.5*12.5</f>
        <v>26.25</v>
      </c>
      <c r="E59" s="99">
        <f>20+0.5*12.5</f>
        <v>26.25</v>
      </c>
      <c r="F59" s="99">
        <v>0</v>
      </c>
      <c r="G59" s="99">
        <v>0</v>
      </c>
      <c r="H59" s="99">
        <f>20+0.5*12.5</f>
        <v>26.25</v>
      </c>
      <c r="I59" s="99">
        <f>20+0.5*12.5</f>
        <v>26.25</v>
      </c>
    </row>
    <row r="60" spans="1:10" x14ac:dyDescent="0.15">
      <c r="A60" s="171" t="s">
        <v>41</v>
      </c>
      <c r="B60" s="172">
        <v>0</v>
      </c>
      <c r="C60" s="172">
        <v>0</v>
      </c>
      <c r="D60" s="172">
        <v>0</v>
      </c>
      <c r="E60" s="172">
        <v>0</v>
      </c>
      <c r="F60" s="172">
        <v>0</v>
      </c>
      <c r="G60" s="172">
        <v>0</v>
      </c>
      <c r="H60" s="172">
        <v>0</v>
      </c>
      <c r="I60" s="172">
        <v>0</v>
      </c>
    </row>
    <row r="61" spans="1:10" ht="30" x14ac:dyDescent="0.15">
      <c r="A61" s="159" t="s">
        <v>331</v>
      </c>
      <c r="B61" s="158" t="s">
        <v>309</v>
      </c>
      <c r="C61" s="158">
        <f t="shared" ref="C61:I61" si="28">C52-C56+C58-C59+C60-C34</f>
        <v>141.24852956840803</v>
      </c>
      <c r="D61" s="158" t="s">
        <v>309</v>
      </c>
      <c r="E61" s="158">
        <f t="shared" si="28"/>
        <v>111.28852956840802</v>
      </c>
      <c r="F61" s="158" t="s">
        <v>309</v>
      </c>
      <c r="G61" s="158">
        <f t="shared" si="28"/>
        <v>139.47656371933959</v>
      </c>
      <c r="H61" s="158" t="s">
        <v>309</v>
      </c>
      <c r="I61" s="158">
        <f t="shared" si="28"/>
        <v>109.41656371933959</v>
      </c>
    </row>
    <row r="62" spans="1:10" ht="30" x14ac:dyDescent="0.15">
      <c r="A62" s="159" t="s">
        <v>49</v>
      </c>
      <c r="B62" s="158">
        <f t="shared" ref="B62:F62" si="29">B53-B57+B58-B59+B60-B34</f>
        <v>139.84852956840803</v>
      </c>
      <c r="C62" s="158" t="s">
        <v>309</v>
      </c>
      <c r="D62" s="158">
        <f t="shared" si="29"/>
        <v>109.78852956840802</v>
      </c>
      <c r="E62" s="158" t="s">
        <v>309</v>
      </c>
      <c r="F62" s="158">
        <f t="shared" si="29"/>
        <v>139.24139793761324</v>
      </c>
      <c r="G62" s="158" t="s">
        <v>309</v>
      </c>
      <c r="H62" s="158">
        <f>H53-H57+H58-H59+H60-H34</f>
        <v>109.18139793761324</v>
      </c>
      <c r="I62" s="158" t="s">
        <v>309</v>
      </c>
    </row>
    <row r="63" spans="1:10" x14ac:dyDescent="0.15">
      <c r="A63" s="155" t="s">
        <v>42</v>
      </c>
      <c r="B63" s="170"/>
      <c r="C63" s="170"/>
      <c r="D63" s="170"/>
      <c r="E63" s="170"/>
      <c r="F63" s="170"/>
      <c r="G63" s="170"/>
      <c r="H63" s="170"/>
      <c r="I63" s="170"/>
    </row>
    <row r="64" spans="1:10" x14ac:dyDescent="0.15">
      <c r="A64" s="160"/>
      <c r="B64" s="198"/>
      <c r="C64" s="198"/>
      <c r="D64" s="198"/>
      <c r="E64" s="198"/>
      <c r="F64" s="198"/>
      <c r="G64" s="198"/>
      <c r="H64" s="198"/>
      <c r="I64" s="198"/>
      <c r="J64" s="199"/>
    </row>
    <row r="65" spans="1:9" ht="45" x14ac:dyDescent="0.15">
      <c r="A65" s="160" t="s">
        <v>43</v>
      </c>
      <c r="B65" s="152" t="s">
        <v>309</v>
      </c>
      <c r="C65" s="152">
        <f>SQRT((10^((C61-161.04+7.1*LOG10(20)-7.5*LOG10(20)+(24.37-3.7*(20/C5)^2)*LOG10(C5)-20*LOG10(C4)+(3.2*(LOG10(17.625))^2-4.97)+0.6*(C6-1.5))/(43.42-3.1*LOG10(C5))+3))^2-(C5-C6)^2)</f>
        <v>2220.5332821805673</v>
      </c>
      <c r="D65" s="152" t="s">
        <v>309</v>
      </c>
      <c r="E65" s="152">
        <f>SQRT((10^((E61-161.04+7.1*LOG10(20)-7.5*LOG10(20)+(24.37-3.7*(20/E5)^2)*LOG10(E5)-20*LOG10(E4)+(3.2*(LOG10(17.625))^2-4.97)+0.6*(E6-1.5))/(43.42-3.1*LOG10(E5))+3))^2-(E5-E6)^2)</f>
        <v>379.43988731656418</v>
      </c>
      <c r="F65" s="152" t="s">
        <v>309</v>
      </c>
      <c r="G65" s="152">
        <f>SQRT((10^((G61-161.04+7.1*LOG10(20)-7.5*LOG10(20)+(24.37-3.7*(20/G5)^2)*LOG10(G5)-20*LOG10(G4)+(3.2*(LOG10(17.625))^2-4.97)+0.6*(G6-1.5))/(43.42-3.1*LOG10(G5))+3))^2-(G5-G6)^2)</f>
        <v>2000.4008754117601</v>
      </c>
      <c r="H65" s="152" t="s">
        <v>309</v>
      </c>
      <c r="I65" s="152">
        <f>SQRT((10^((I61-161.04+7.1*LOG10(20)-7.5*LOG10(20)+(24.37-3.7*(20/I5)^2)*LOG10(I5)-20*LOG10(I4)+(3.2*(LOG10(17.625))^2-4.97)+0.6*(I6-1.5))/(43.42-3.1*LOG10(I5))+3))^2-(I5-I6)^2)</f>
        <v>339.65992225852796</v>
      </c>
    </row>
    <row r="66" spans="1:9" ht="45" x14ac:dyDescent="0.15">
      <c r="A66" s="160" t="s">
        <v>44</v>
      </c>
      <c r="B66" s="152">
        <f>SQRT((10^((B62-161.04+7.1*LOG10(20)-7.5*LOG10(20)+(24.37-3.7*(20/B5)^2)*LOG10(B5)-20*LOG10(B4)+(3.2*(LOG10(17.625))^2-4.97)+0.6*(B6-1.5))/(43.42-3.1*LOG10(B5))+3))^2-(B5-B6)^2)</f>
        <v>2044.7246258263972</v>
      </c>
      <c r="C66" s="152" t="s">
        <v>309</v>
      </c>
      <c r="D66" s="152">
        <f>SQRT((10^((D62-161.04+7.1*LOG10(20)-7.5*LOG10(20)+(24.37-3.7*(20/D5)^2)*LOG10(D5)-20*LOG10(D4)+(3.2*(LOG10(17.625))^2-4.97)+0.6*(D6-1.5))/(43.42-3.1*LOG10(D5))+3))^2-(D5-D6)^2)</f>
        <v>347.22051579917382</v>
      </c>
      <c r="E66" s="152" t="s">
        <v>309</v>
      </c>
      <c r="F66" s="152">
        <f>SQRT((10^((F62-161.04+7.1*LOG10(20)-7.5*LOG10(20)+(24.37-3.7*(20/F5)^2)*LOG10(F5)-20*LOG10(F4)+(3.2*(LOG10(17.625))^2-4.97)+0.6*(F6-1.5))/(43.42-3.1*LOG10(F5))+3))^2-(F5-F6)^2)</f>
        <v>1972.8752701441758</v>
      </c>
      <c r="G66" s="152" t="s">
        <v>309</v>
      </c>
      <c r="H66" s="152">
        <f>SQRT((10^((H62-161.04+7.1*LOG10(20)-7.5*LOG10(20)+(24.37-3.7*(20/H5)^2)*LOG10(H5)-20*LOG10(H4)+(3.2*(LOG10(17.625))^2-4.97)+0.6*(H6-1.5))/(43.42-3.1*LOG10(H5))+3))^2-(H5-H6)^2)</f>
        <v>334.96430999013648</v>
      </c>
      <c r="I66" s="152" t="s">
        <v>309</v>
      </c>
    </row>
    <row r="67" spans="1:9" ht="36" x14ac:dyDescent="0.15">
      <c r="A67" s="160" t="s">
        <v>133</v>
      </c>
      <c r="B67" s="152" t="s">
        <v>309</v>
      </c>
      <c r="C67" s="152">
        <f>PI()*(C65)^2</f>
        <v>15490464.705279684</v>
      </c>
      <c r="D67" s="152" t="s">
        <v>309</v>
      </c>
      <c r="E67" s="152">
        <f>PI()*(E65)^2</f>
        <v>452309.6339008353</v>
      </c>
      <c r="F67" s="152" t="s">
        <v>309</v>
      </c>
      <c r="G67" s="152">
        <f>PI()*(G65)^2</f>
        <v>12571408.668210916</v>
      </c>
      <c r="H67" s="152" t="s">
        <v>309</v>
      </c>
      <c r="I67" s="152">
        <f>PI()*(I65)^2</f>
        <v>362441.97178989218</v>
      </c>
    </row>
    <row r="68" spans="1:9" ht="36" x14ac:dyDescent="0.15">
      <c r="A68" s="160" t="s">
        <v>134</v>
      </c>
      <c r="B68" s="152">
        <f>PI()*(B66)^2</f>
        <v>13134680.941222377</v>
      </c>
      <c r="C68" s="152" t="s">
        <v>309</v>
      </c>
      <c r="D68" s="152">
        <f>PI()*(D66)^2</f>
        <v>378756.96553839458</v>
      </c>
      <c r="E68" s="152" t="s">
        <v>309</v>
      </c>
      <c r="F68" s="152">
        <f>PI()*(F66)^2</f>
        <v>12227822.636017956</v>
      </c>
      <c r="G68" s="152" t="s">
        <v>309</v>
      </c>
      <c r="H68" s="152">
        <f>PI()*(H66)^2</f>
        <v>352490.11682403059</v>
      </c>
      <c r="I68" s="152" t="s">
        <v>309</v>
      </c>
    </row>
    <row r="70" spans="1:9" x14ac:dyDescent="0.15">
      <c r="A70" s="200"/>
    </row>
    <row r="73" spans="1:9" x14ac:dyDescent="0.15">
      <c r="A73" s="201"/>
    </row>
    <row r="75" spans="1:9" x14ac:dyDescent="0.15">
      <c r="A75" s="169" t="s">
        <v>332</v>
      </c>
    </row>
    <row r="76" spans="1:9" x14ac:dyDescent="0.15">
      <c r="A76" s="169" t="s">
        <v>333</v>
      </c>
    </row>
  </sheetData>
  <mergeCells count="2">
    <mergeCell ref="B1:E1"/>
    <mergeCell ref="F1:I1"/>
  </mergeCells>
  <phoneticPr fontId="1" type="noConversion"/>
  <pageMargins left="0.7" right="0.7" top="0.75" bottom="0.75" header="0.3" footer="0.3"/>
  <pageSetup paperSize="9" orientation="portrait" horizontalDpi="180"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tabSelected="1" zoomScaleNormal="100" workbookViewId="0">
      <pane xSplit="1" ySplit="2" topLeftCell="B3" activePane="bottomRight" state="frozen"/>
      <selection pane="topRight" activeCell="B1" sqref="B1"/>
      <selection pane="bottomLeft" activeCell="A4" sqref="A4"/>
      <selection pane="bottomRight" activeCell="B1" sqref="B1"/>
    </sheetView>
  </sheetViews>
  <sheetFormatPr defaultRowHeight="14.25" x14ac:dyDescent="0.15"/>
  <cols>
    <col min="1" max="1" width="69" customWidth="1"/>
    <col min="2" max="2" width="11.625" style="71" bestFit="1" customWidth="1"/>
    <col min="3" max="3" width="14.625" bestFit="1" customWidth="1"/>
    <col min="4" max="4" width="12.625" customWidth="1"/>
    <col min="5" max="5" width="12.125" style="70" customWidth="1"/>
    <col min="6" max="6" width="12.625" style="70" customWidth="1"/>
    <col min="7" max="7" width="13.375" bestFit="1" customWidth="1"/>
    <col min="8" max="8" width="12" customWidth="1"/>
    <col min="9" max="9" width="13.125" style="70" customWidth="1"/>
    <col min="10" max="10" width="14.625" bestFit="1" customWidth="1"/>
    <col min="11" max="11" width="12.625" customWidth="1"/>
    <col min="12" max="12" width="14.125" customWidth="1"/>
    <col min="13" max="13" width="13.875" customWidth="1"/>
  </cols>
  <sheetData>
    <row r="1" spans="1:13" x14ac:dyDescent="0.15">
      <c r="A1" s="16" t="s">
        <v>0</v>
      </c>
      <c r="B1" s="17" t="s">
        <v>51</v>
      </c>
      <c r="C1" s="228" t="s">
        <v>50</v>
      </c>
      <c r="D1" s="229"/>
      <c r="E1" s="228" t="s">
        <v>51</v>
      </c>
      <c r="F1" s="229"/>
      <c r="G1" s="228" t="s">
        <v>50</v>
      </c>
      <c r="H1" s="229"/>
      <c r="I1" s="17" t="s">
        <v>51</v>
      </c>
      <c r="J1" s="228" t="s">
        <v>50</v>
      </c>
      <c r="K1" s="229"/>
      <c r="L1" s="228" t="s">
        <v>50</v>
      </c>
      <c r="M1" s="229"/>
    </row>
    <row r="2" spans="1:13" ht="42.75" x14ac:dyDescent="0.15">
      <c r="A2" s="16"/>
      <c r="B2" s="17" t="s">
        <v>286</v>
      </c>
      <c r="C2" s="149" t="s">
        <v>55</v>
      </c>
      <c r="D2" s="149" t="s">
        <v>56</v>
      </c>
      <c r="E2" s="17" t="s">
        <v>289</v>
      </c>
      <c r="F2" s="17" t="s">
        <v>290</v>
      </c>
      <c r="G2" s="149" t="s">
        <v>54</v>
      </c>
      <c r="H2" s="149" t="s">
        <v>53</v>
      </c>
      <c r="I2" s="17" t="s">
        <v>296</v>
      </c>
      <c r="J2" s="149" t="s">
        <v>278</v>
      </c>
      <c r="K2" s="149" t="s">
        <v>279</v>
      </c>
      <c r="L2" s="149" t="s">
        <v>280</v>
      </c>
      <c r="M2" s="149" t="s">
        <v>281</v>
      </c>
    </row>
    <row r="3" spans="1:13" x14ac:dyDescent="0.15">
      <c r="A3" s="18" t="s">
        <v>1</v>
      </c>
      <c r="B3" s="18"/>
      <c r="C3" s="18"/>
      <c r="D3" s="18"/>
      <c r="E3" s="18"/>
      <c r="F3" s="18"/>
      <c r="G3" s="18"/>
      <c r="H3" s="18"/>
      <c r="I3" s="18"/>
      <c r="J3" s="18"/>
      <c r="K3" s="18"/>
      <c r="L3" s="18"/>
      <c r="M3" s="18"/>
    </row>
    <row r="4" spans="1:13" ht="15" x14ac:dyDescent="0.15">
      <c r="A4" s="19" t="s">
        <v>2</v>
      </c>
      <c r="B4" s="34">
        <v>0.7</v>
      </c>
      <c r="C4" s="35">
        <v>0.7</v>
      </c>
      <c r="D4" s="34">
        <v>0.7</v>
      </c>
      <c r="E4" s="35">
        <v>0.7</v>
      </c>
      <c r="F4" s="34">
        <v>0.7</v>
      </c>
      <c r="G4" s="35">
        <v>0.7</v>
      </c>
      <c r="H4" s="34">
        <v>0.7</v>
      </c>
      <c r="I4" s="35">
        <v>0.7</v>
      </c>
      <c r="J4" s="35">
        <v>0.7</v>
      </c>
      <c r="K4" s="34">
        <v>0.7</v>
      </c>
      <c r="L4" s="35">
        <v>0.7</v>
      </c>
      <c r="M4" s="34">
        <v>0.7</v>
      </c>
    </row>
    <row r="5" spans="1:13" ht="15" x14ac:dyDescent="0.15">
      <c r="A5" s="19" t="s">
        <v>3</v>
      </c>
      <c r="B5" s="34">
        <v>25</v>
      </c>
      <c r="C5" s="35">
        <v>25</v>
      </c>
      <c r="D5" s="35">
        <v>25</v>
      </c>
      <c r="E5" s="35">
        <v>25</v>
      </c>
      <c r="F5" s="34">
        <v>25</v>
      </c>
      <c r="G5" s="35">
        <v>25</v>
      </c>
      <c r="H5" s="35">
        <v>25</v>
      </c>
      <c r="I5" s="35">
        <v>25</v>
      </c>
      <c r="J5" s="35">
        <v>25</v>
      </c>
      <c r="K5" s="35">
        <v>25</v>
      </c>
      <c r="L5" s="35">
        <v>25</v>
      </c>
      <c r="M5" s="35">
        <v>25</v>
      </c>
    </row>
    <row r="6" spans="1:13" ht="15" x14ac:dyDescent="0.15">
      <c r="A6" s="19" t="s">
        <v>4</v>
      </c>
      <c r="B6" s="34">
        <v>1.5</v>
      </c>
      <c r="C6" s="35">
        <v>1.5</v>
      </c>
      <c r="D6" s="34">
        <v>1.5</v>
      </c>
      <c r="E6" s="35">
        <v>1.5</v>
      </c>
      <c r="F6" s="34">
        <v>1.5</v>
      </c>
      <c r="G6" s="35">
        <v>1.5</v>
      </c>
      <c r="H6" s="34">
        <v>1.5</v>
      </c>
      <c r="I6" s="35">
        <v>1.5</v>
      </c>
      <c r="J6" s="35">
        <v>1.5</v>
      </c>
      <c r="K6" s="34">
        <v>1.5</v>
      </c>
      <c r="L6" s="35">
        <v>1.5</v>
      </c>
      <c r="M6" s="34">
        <v>1.5</v>
      </c>
    </row>
    <row r="7" spans="1:13" ht="31.5" x14ac:dyDescent="0.15">
      <c r="A7" s="19" t="s">
        <v>103</v>
      </c>
      <c r="B7" s="20" t="s">
        <v>287</v>
      </c>
      <c r="C7" s="20">
        <v>0.95</v>
      </c>
      <c r="D7" s="20" t="s">
        <v>57</v>
      </c>
      <c r="E7" s="20">
        <v>0.95</v>
      </c>
      <c r="F7" s="20" t="s">
        <v>291</v>
      </c>
      <c r="G7" s="20">
        <v>0.95</v>
      </c>
      <c r="H7" s="20" t="s">
        <v>57</v>
      </c>
      <c r="I7" s="20">
        <v>0.95</v>
      </c>
      <c r="J7" s="20">
        <v>0.95</v>
      </c>
      <c r="K7" s="20" t="s">
        <v>274</v>
      </c>
      <c r="L7" s="20">
        <v>0.95</v>
      </c>
      <c r="M7" s="20" t="s">
        <v>274</v>
      </c>
    </row>
    <row r="8" spans="1:13" ht="31.5" x14ac:dyDescent="0.15">
      <c r="A8" s="19" t="s">
        <v>104</v>
      </c>
      <c r="B8" s="20">
        <v>0.9</v>
      </c>
      <c r="C8" s="20" t="s">
        <v>57</v>
      </c>
      <c r="D8" s="20">
        <v>0.9</v>
      </c>
      <c r="E8" s="20" t="s">
        <v>291</v>
      </c>
      <c r="F8" s="20">
        <v>0.9</v>
      </c>
      <c r="G8" s="20" t="s">
        <v>57</v>
      </c>
      <c r="H8" s="20">
        <v>0.9</v>
      </c>
      <c r="I8" s="20" t="s">
        <v>297</v>
      </c>
      <c r="J8" s="20" t="s">
        <v>57</v>
      </c>
      <c r="K8" s="20">
        <v>0.9</v>
      </c>
      <c r="L8" s="20" t="s">
        <v>274</v>
      </c>
      <c r="M8" s="20">
        <v>0.9</v>
      </c>
    </row>
    <row r="9" spans="1:13" ht="15" x14ac:dyDescent="0.15">
      <c r="A9" s="19" t="s">
        <v>5</v>
      </c>
      <c r="B9" s="34" t="s">
        <v>287</v>
      </c>
      <c r="C9" s="35"/>
      <c r="D9" s="34" t="s">
        <v>57</v>
      </c>
      <c r="E9" s="35"/>
      <c r="F9" s="34" t="s">
        <v>291</v>
      </c>
      <c r="G9" s="35"/>
      <c r="H9" s="34" t="s">
        <v>57</v>
      </c>
      <c r="I9" s="35"/>
      <c r="J9" s="35"/>
      <c r="K9" s="34" t="s">
        <v>57</v>
      </c>
      <c r="L9" s="35"/>
      <c r="M9" s="34" t="s">
        <v>274</v>
      </c>
    </row>
    <row r="10" spans="1:13" ht="15" x14ac:dyDescent="0.15">
      <c r="A10" s="19" t="s">
        <v>6</v>
      </c>
      <c r="B10" s="34">
        <f>32*8/0.001</f>
        <v>256000</v>
      </c>
      <c r="C10" s="35" t="s">
        <v>57</v>
      </c>
      <c r="D10" s="34">
        <f>32*8/0.001</f>
        <v>256000</v>
      </c>
      <c r="E10" s="35" t="s">
        <v>291</v>
      </c>
      <c r="F10" s="34">
        <f>32*8/0.001</f>
        <v>256000</v>
      </c>
      <c r="G10" s="35" t="s">
        <v>57</v>
      </c>
      <c r="H10" s="34">
        <f>32*8/0.001</f>
        <v>256000</v>
      </c>
      <c r="I10" s="35" t="s">
        <v>297</v>
      </c>
      <c r="J10" s="35" t="s">
        <v>57</v>
      </c>
      <c r="K10" s="34">
        <f>32*8/0.001</f>
        <v>256000</v>
      </c>
      <c r="L10" s="35" t="s">
        <v>276</v>
      </c>
      <c r="M10" s="34">
        <f>32*8/0.001</f>
        <v>256000</v>
      </c>
    </row>
    <row r="11" spans="1:13" ht="15" x14ac:dyDescent="0.15">
      <c r="A11" s="66" t="s">
        <v>7</v>
      </c>
      <c r="B11" s="67" t="s">
        <v>123</v>
      </c>
      <c r="C11" s="67">
        <v>1.0000000000000001E-5</v>
      </c>
      <c r="D11" s="67" t="s">
        <v>57</v>
      </c>
      <c r="E11" s="67">
        <v>1.0000000000000001E-5</v>
      </c>
      <c r="F11" s="67" t="s">
        <v>291</v>
      </c>
      <c r="G11" s="67">
        <v>1.0000000000000001E-5</v>
      </c>
      <c r="H11" s="67" t="s">
        <v>57</v>
      </c>
      <c r="I11" s="67">
        <v>1.0000000000000001E-5</v>
      </c>
      <c r="J11" s="67">
        <v>1.0000000000000001E-5</v>
      </c>
      <c r="K11" s="67" t="s">
        <v>57</v>
      </c>
      <c r="L11" s="67">
        <v>1.0000000000000001E-5</v>
      </c>
      <c r="M11" s="67" t="s">
        <v>276</v>
      </c>
    </row>
    <row r="12" spans="1:13" ht="15" x14ac:dyDescent="0.15">
      <c r="A12" s="66" t="s">
        <v>8</v>
      </c>
      <c r="B12" s="67">
        <v>1.0000000000000001E-5</v>
      </c>
      <c r="C12" s="68" t="s">
        <v>57</v>
      </c>
      <c r="D12" s="67">
        <v>1.0000000000000001E-5</v>
      </c>
      <c r="E12" s="68" t="s">
        <v>291</v>
      </c>
      <c r="F12" s="67">
        <v>1.0000000000000001E-5</v>
      </c>
      <c r="G12" s="68" t="s">
        <v>57</v>
      </c>
      <c r="H12" s="67">
        <v>1.0000000000000001E-5</v>
      </c>
      <c r="I12" s="68" t="s">
        <v>297</v>
      </c>
      <c r="J12" s="68" t="s">
        <v>275</v>
      </c>
      <c r="K12" s="67">
        <v>1.0000000000000001E-5</v>
      </c>
      <c r="L12" s="68" t="s">
        <v>57</v>
      </c>
      <c r="M12" s="67">
        <v>1.0000000000000001E-5</v>
      </c>
    </row>
    <row r="13" spans="1:13" ht="16.5" x14ac:dyDescent="0.15">
      <c r="A13" s="19" t="s">
        <v>105</v>
      </c>
      <c r="B13" s="34">
        <f>B10/B42</f>
        <v>4.4444444444444446E-2</v>
      </c>
      <c r="C13" s="35" t="s">
        <v>57</v>
      </c>
      <c r="D13" s="34">
        <f>D10/D42</f>
        <v>1.3943355119825708E-2</v>
      </c>
      <c r="E13" s="35" t="s">
        <v>291</v>
      </c>
      <c r="F13" s="34">
        <f>F10/F42</f>
        <v>4.4444444444444446E-2</v>
      </c>
      <c r="G13" s="35" t="s">
        <v>57</v>
      </c>
      <c r="H13" s="34">
        <f>H10/H42</f>
        <v>1.3943355119825708E-2</v>
      </c>
      <c r="I13" s="35" t="s">
        <v>297</v>
      </c>
      <c r="J13" s="68" t="s">
        <v>275</v>
      </c>
      <c r="K13" s="34">
        <f t="shared" ref="K13" si="0">K10/(K42*(4+2*11/14+1/14)/10)</f>
        <v>2.4709743250324042E-2</v>
      </c>
      <c r="L13" s="35" t="s">
        <v>275</v>
      </c>
      <c r="M13" s="34">
        <f>M10/M42</f>
        <v>1.3943355119825708E-2</v>
      </c>
    </row>
    <row r="14" spans="1:13" ht="16.5" x14ac:dyDescent="0.15">
      <c r="A14" s="19" t="s">
        <v>106</v>
      </c>
      <c r="B14" s="35" t="s">
        <v>158</v>
      </c>
      <c r="C14" s="35" t="s">
        <v>88</v>
      </c>
      <c r="D14" s="34" t="s">
        <v>88</v>
      </c>
      <c r="E14" s="35" t="s">
        <v>292</v>
      </c>
      <c r="F14" s="35" t="s">
        <v>293</v>
      </c>
      <c r="G14" s="35" t="s">
        <v>89</v>
      </c>
      <c r="H14" s="35" t="s">
        <v>89</v>
      </c>
      <c r="I14" s="35" t="s">
        <v>298</v>
      </c>
      <c r="J14" s="35" t="s">
        <v>131</v>
      </c>
      <c r="K14" s="34" t="s">
        <v>131</v>
      </c>
      <c r="L14" s="35" t="s">
        <v>282</v>
      </c>
      <c r="M14" s="35" t="s">
        <v>282</v>
      </c>
    </row>
    <row r="15" spans="1:13" ht="15" x14ac:dyDescent="0.15">
      <c r="A15" s="19" t="s">
        <v>87</v>
      </c>
      <c r="B15" s="34">
        <v>30</v>
      </c>
      <c r="C15" s="35">
        <v>30</v>
      </c>
      <c r="D15" s="35">
        <v>30</v>
      </c>
      <c r="E15" s="35">
        <v>30</v>
      </c>
      <c r="F15" s="35">
        <v>3</v>
      </c>
      <c r="G15" s="35">
        <v>3</v>
      </c>
      <c r="H15" s="35">
        <v>3</v>
      </c>
      <c r="I15" s="35">
        <v>3</v>
      </c>
      <c r="J15" s="35">
        <v>30</v>
      </c>
      <c r="K15" s="35">
        <v>30</v>
      </c>
      <c r="L15" s="35">
        <v>3</v>
      </c>
      <c r="M15" s="35">
        <v>3</v>
      </c>
    </row>
    <row r="16" spans="1:13" ht="15" x14ac:dyDescent="0.15">
      <c r="A16" s="19" t="s">
        <v>9</v>
      </c>
      <c r="B16" s="35">
        <v>3</v>
      </c>
      <c r="C16" s="35">
        <v>3</v>
      </c>
      <c r="D16" s="34">
        <v>3</v>
      </c>
      <c r="E16" s="35">
        <v>3</v>
      </c>
      <c r="F16" s="35">
        <v>3</v>
      </c>
      <c r="G16" s="35">
        <v>3</v>
      </c>
      <c r="H16" s="35">
        <v>3</v>
      </c>
      <c r="I16" s="35">
        <v>3</v>
      </c>
      <c r="J16" s="35">
        <v>3</v>
      </c>
      <c r="K16" s="34">
        <v>3</v>
      </c>
      <c r="L16" s="35">
        <v>3</v>
      </c>
      <c r="M16" s="35">
        <v>3</v>
      </c>
    </row>
    <row r="17" spans="1:13" x14ac:dyDescent="0.15">
      <c r="A17" s="18" t="s">
        <v>10</v>
      </c>
      <c r="B17" s="37"/>
      <c r="C17" s="37"/>
      <c r="D17" s="37"/>
      <c r="E17" s="37"/>
      <c r="F17" s="37"/>
      <c r="G17" s="37"/>
      <c r="H17" s="37"/>
      <c r="I17" s="37"/>
      <c r="J17" s="37"/>
      <c r="K17" s="37"/>
      <c r="L17" s="37"/>
      <c r="M17" s="37"/>
    </row>
    <row r="18" spans="1:13" ht="30" x14ac:dyDescent="0.15">
      <c r="A18" s="19" t="s">
        <v>85</v>
      </c>
      <c r="B18" s="34">
        <v>1</v>
      </c>
      <c r="C18" s="34">
        <v>64</v>
      </c>
      <c r="D18" s="34">
        <v>64</v>
      </c>
      <c r="E18" s="35">
        <v>1</v>
      </c>
      <c r="F18" s="34">
        <v>1</v>
      </c>
      <c r="G18" s="34">
        <v>64</v>
      </c>
      <c r="H18" s="34">
        <v>64</v>
      </c>
      <c r="I18" s="35">
        <v>1</v>
      </c>
      <c r="J18" s="34">
        <v>64</v>
      </c>
      <c r="K18" s="34">
        <v>64</v>
      </c>
      <c r="L18" s="34">
        <v>64</v>
      </c>
      <c r="M18" s="34">
        <v>64</v>
      </c>
    </row>
    <row r="19" spans="1:13" ht="15" x14ac:dyDescent="0.15">
      <c r="A19" s="19" t="s">
        <v>126</v>
      </c>
      <c r="B19" s="34">
        <v>1</v>
      </c>
      <c r="C19" s="34">
        <v>2</v>
      </c>
      <c r="D19" s="34">
        <v>2</v>
      </c>
      <c r="E19" s="35">
        <v>1</v>
      </c>
      <c r="F19" s="34">
        <v>1</v>
      </c>
      <c r="G19" s="34">
        <v>2</v>
      </c>
      <c r="H19" s="34">
        <v>2</v>
      </c>
      <c r="I19" s="35">
        <v>1</v>
      </c>
      <c r="J19" s="34">
        <v>2</v>
      </c>
      <c r="K19" s="34">
        <v>2</v>
      </c>
      <c r="L19" s="34">
        <v>2</v>
      </c>
      <c r="M19" s="34">
        <v>2</v>
      </c>
    </row>
    <row r="20" spans="1:13" ht="15" x14ac:dyDescent="0.15">
      <c r="A20" s="19" t="s">
        <v>11</v>
      </c>
      <c r="B20" s="34">
        <v>23</v>
      </c>
      <c r="C20" s="34">
        <v>28</v>
      </c>
      <c r="D20" s="34">
        <v>28</v>
      </c>
      <c r="E20" s="35">
        <v>23</v>
      </c>
      <c r="F20" s="34">
        <v>23</v>
      </c>
      <c r="G20" s="34">
        <v>28</v>
      </c>
      <c r="H20" s="34">
        <v>28</v>
      </c>
      <c r="I20" s="35">
        <v>23</v>
      </c>
      <c r="J20" s="34">
        <v>28</v>
      </c>
      <c r="K20" s="34">
        <v>28</v>
      </c>
      <c r="L20" s="34">
        <v>28</v>
      </c>
      <c r="M20" s="34">
        <v>28</v>
      </c>
    </row>
    <row r="21" spans="1:13" ht="30" x14ac:dyDescent="0.15">
      <c r="A21" s="46" t="s">
        <v>86</v>
      </c>
      <c r="B21" s="40">
        <f t="shared" ref="B21" si="1">B20+10*LOG10(B18)</f>
        <v>23</v>
      </c>
      <c r="C21" s="40">
        <f t="shared" ref="C21:M21" si="2">C20+10*LOG10(C18)</f>
        <v>46.061799739838875</v>
      </c>
      <c r="D21" s="40">
        <f t="shared" si="2"/>
        <v>46.061799739838875</v>
      </c>
      <c r="E21" s="40">
        <f t="shared" si="2"/>
        <v>23</v>
      </c>
      <c r="F21" s="40">
        <f t="shared" si="2"/>
        <v>23</v>
      </c>
      <c r="G21" s="40">
        <f t="shared" si="2"/>
        <v>46.061799739838875</v>
      </c>
      <c r="H21" s="40">
        <f t="shared" si="2"/>
        <v>46.061799739838875</v>
      </c>
      <c r="I21" s="40">
        <f t="shared" si="2"/>
        <v>23</v>
      </c>
      <c r="J21" s="40">
        <f t="shared" si="2"/>
        <v>46.061799739838875</v>
      </c>
      <c r="K21" s="40">
        <f t="shared" si="2"/>
        <v>46.061799739838875</v>
      </c>
      <c r="L21" s="40">
        <f t="shared" si="2"/>
        <v>46.061799739838875</v>
      </c>
      <c r="M21" s="40">
        <f t="shared" si="2"/>
        <v>46.061799739838875</v>
      </c>
    </row>
    <row r="22" spans="1:13" ht="15" x14ac:dyDescent="0.15">
      <c r="A22" s="19" t="s">
        <v>12</v>
      </c>
      <c r="B22" s="34">
        <v>0</v>
      </c>
      <c r="C22" s="34">
        <v>8</v>
      </c>
      <c r="D22" s="34">
        <v>8</v>
      </c>
      <c r="E22" s="35">
        <v>0</v>
      </c>
      <c r="F22" s="34">
        <v>0</v>
      </c>
      <c r="G22" s="34">
        <v>8</v>
      </c>
      <c r="H22" s="34">
        <v>8</v>
      </c>
      <c r="I22" s="35">
        <v>0</v>
      </c>
      <c r="J22" s="34">
        <v>8</v>
      </c>
      <c r="K22" s="34">
        <v>8</v>
      </c>
      <c r="L22" s="34">
        <v>8</v>
      </c>
      <c r="M22" s="34">
        <v>8</v>
      </c>
    </row>
    <row r="23" spans="1:13" ht="30" x14ac:dyDescent="0.15">
      <c r="A23" s="47" t="s">
        <v>13</v>
      </c>
      <c r="B23" s="40">
        <f t="shared" ref="B23" si="3">IF(B18&gt;=2, 10*LOG10(B18/2), 0)</f>
        <v>0</v>
      </c>
      <c r="C23" s="40">
        <f t="shared" ref="C23:M23" si="4">IF(C18&gt;=2, 10*LOG10(C18/2), 0)</f>
        <v>15.051499783199061</v>
      </c>
      <c r="D23" s="40">
        <f t="shared" si="4"/>
        <v>15.051499783199061</v>
      </c>
      <c r="E23" s="40">
        <f t="shared" si="4"/>
        <v>0</v>
      </c>
      <c r="F23" s="40">
        <f t="shared" si="4"/>
        <v>0</v>
      </c>
      <c r="G23" s="40">
        <f t="shared" si="4"/>
        <v>15.051499783199061</v>
      </c>
      <c r="H23" s="40">
        <f t="shared" si="4"/>
        <v>15.051499783199061</v>
      </c>
      <c r="I23" s="40">
        <f t="shared" si="4"/>
        <v>0</v>
      </c>
      <c r="J23" s="40">
        <f t="shared" si="4"/>
        <v>15.051499783199061</v>
      </c>
      <c r="K23" s="40">
        <f t="shared" si="4"/>
        <v>15.051499783199061</v>
      </c>
      <c r="L23" s="40">
        <f t="shared" si="4"/>
        <v>15.051499783199061</v>
      </c>
      <c r="M23" s="40">
        <f t="shared" si="4"/>
        <v>15.051499783199061</v>
      </c>
    </row>
    <row r="24" spans="1:13" ht="15" x14ac:dyDescent="0.15">
      <c r="A24" s="19" t="s">
        <v>14</v>
      </c>
      <c r="B24" s="35">
        <v>0</v>
      </c>
      <c r="C24" s="34">
        <v>0</v>
      </c>
      <c r="D24" s="34">
        <v>0</v>
      </c>
      <c r="E24" s="35">
        <v>0</v>
      </c>
      <c r="F24" s="35">
        <v>0</v>
      </c>
      <c r="G24" s="34">
        <v>0</v>
      </c>
      <c r="H24" s="34">
        <v>0</v>
      </c>
      <c r="I24" s="35">
        <v>0</v>
      </c>
      <c r="J24" s="34">
        <v>0</v>
      </c>
      <c r="K24" s="34">
        <v>0</v>
      </c>
      <c r="L24" s="34">
        <v>0</v>
      </c>
      <c r="M24" s="34">
        <v>0</v>
      </c>
    </row>
    <row r="25" spans="1:13" ht="15" x14ac:dyDescent="0.15">
      <c r="A25" s="19" t="s">
        <v>15</v>
      </c>
      <c r="B25" s="35">
        <v>0</v>
      </c>
      <c r="C25" s="34">
        <v>0</v>
      </c>
      <c r="D25" s="34">
        <v>0</v>
      </c>
      <c r="E25" s="35">
        <v>0</v>
      </c>
      <c r="F25" s="35">
        <v>0</v>
      </c>
      <c r="G25" s="34">
        <v>0</v>
      </c>
      <c r="H25" s="34">
        <v>0</v>
      </c>
      <c r="I25" s="35">
        <v>0</v>
      </c>
      <c r="J25" s="34">
        <v>0</v>
      </c>
      <c r="K25" s="34">
        <v>0</v>
      </c>
      <c r="L25" s="34">
        <v>0</v>
      </c>
      <c r="M25" s="34">
        <v>0</v>
      </c>
    </row>
    <row r="26" spans="1:13" ht="30" x14ac:dyDescent="0.15">
      <c r="A26" s="19" t="s">
        <v>16</v>
      </c>
      <c r="B26" s="35">
        <v>1</v>
      </c>
      <c r="C26" s="34">
        <v>3</v>
      </c>
      <c r="D26" s="34">
        <v>3</v>
      </c>
      <c r="E26" s="35">
        <v>1</v>
      </c>
      <c r="F26" s="35">
        <v>1</v>
      </c>
      <c r="G26" s="34">
        <v>3</v>
      </c>
      <c r="H26" s="34">
        <v>3</v>
      </c>
      <c r="I26" s="35">
        <v>1</v>
      </c>
      <c r="J26" s="34">
        <v>3</v>
      </c>
      <c r="K26" s="34">
        <v>3</v>
      </c>
      <c r="L26" s="34">
        <v>3</v>
      </c>
      <c r="M26" s="34">
        <v>3</v>
      </c>
    </row>
    <row r="27" spans="1:13" ht="15" x14ac:dyDescent="0.15">
      <c r="A27" s="24" t="s">
        <v>17</v>
      </c>
      <c r="B27" s="72">
        <f t="shared" ref="B27" si="5">B21+B22+B23+B24-B26</f>
        <v>22</v>
      </c>
      <c r="C27" s="72">
        <f t="shared" ref="C27:M27" si="6">C21+C22+C23+C24-C26</f>
        <v>66.113299523037938</v>
      </c>
      <c r="D27" s="72">
        <f t="shared" si="6"/>
        <v>66.113299523037938</v>
      </c>
      <c r="E27" s="72">
        <f t="shared" si="6"/>
        <v>22</v>
      </c>
      <c r="F27" s="72">
        <f t="shared" si="6"/>
        <v>22</v>
      </c>
      <c r="G27" s="72">
        <f t="shared" si="6"/>
        <v>66.113299523037938</v>
      </c>
      <c r="H27" s="72">
        <f t="shared" si="6"/>
        <v>66.113299523037938</v>
      </c>
      <c r="I27" s="72">
        <f t="shared" si="6"/>
        <v>22</v>
      </c>
      <c r="J27" s="72">
        <f t="shared" si="6"/>
        <v>66.113299523037938</v>
      </c>
      <c r="K27" s="72">
        <f t="shared" si="6"/>
        <v>66.113299523037938</v>
      </c>
      <c r="L27" s="72">
        <f t="shared" si="6"/>
        <v>66.113299523037938</v>
      </c>
      <c r="M27" s="72">
        <f t="shared" si="6"/>
        <v>66.113299523037938</v>
      </c>
    </row>
    <row r="28" spans="1:13" ht="15" x14ac:dyDescent="0.15">
      <c r="A28" s="24" t="s">
        <v>18</v>
      </c>
      <c r="B28" s="72">
        <f t="shared" ref="B28" si="7">B21+B22+B23-B25-B26</f>
        <v>22</v>
      </c>
      <c r="C28" s="72">
        <f t="shared" ref="C28:M28" si="8">C21+C22+C23-C25-C26</f>
        <v>66.113299523037938</v>
      </c>
      <c r="D28" s="72">
        <f t="shared" si="8"/>
        <v>66.113299523037938</v>
      </c>
      <c r="E28" s="72">
        <f t="shared" si="8"/>
        <v>22</v>
      </c>
      <c r="F28" s="72">
        <f t="shared" si="8"/>
        <v>22</v>
      </c>
      <c r="G28" s="72">
        <f t="shared" si="8"/>
        <v>66.113299523037938</v>
      </c>
      <c r="H28" s="72">
        <f t="shared" si="8"/>
        <v>66.113299523037938</v>
      </c>
      <c r="I28" s="72">
        <f t="shared" si="8"/>
        <v>22</v>
      </c>
      <c r="J28" s="72">
        <f t="shared" si="8"/>
        <v>66.113299523037938</v>
      </c>
      <c r="K28" s="72">
        <f t="shared" si="8"/>
        <v>66.113299523037938</v>
      </c>
      <c r="L28" s="72">
        <f t="shared" si="8"/>
        <v>66.113299523037938</v>
      </c>
      <c r="M28" s="72">
        <f t="shared" si="8"/>
        <v>66.113299523037938</v>
      </c>
    </row>
    <row r="29" spans="1:13" x14ac:dyDescent="0.15">
      <c r="A29" s="18" t="s">
        <v>19</v>
      </c>
      <c r="B29" s="37"/>
      <c r="C29" s="37"/>
      <c r="D29" s="37"/>
      <c r="E29" s="37"/>
      <c r="F29" s="37"/>
      <c r="G29" s="37"/>
      <c r="H29" s="37"/>
      <c r="I29" s="37"/>
      <c r="J29" s="37"/>
      <c r="K29" s="37"/>
      <c r="L29" s="37"/>
      <c r="M29" s="37"/>
    </row>
    <row r="30" spans="1:13" ht="30" x14ac:dyDescent="0.15">
      <c r="A30" s="19" t="s">
        <v>84</v>
      </c>
      <c r="B30" s="34">
        <v>64</v>
      </c>
      <c r="C30" s="34">
        <v>2</v>
      </c>
      <c r="D30" s="34">
        <v>2</v>
      </c>
      <c r="E30" s="35">
        <v>64</v>
      </c>
      <c r="F30" s="34">
        <v>64</v>
      </c>
      <c r="G30" s="34">
        <v>2</v>
      </c>
      <c r="H30" s="34">
        <v>2</v>
      </c>
      <c r="I30" s="35">
        <v>64</v>
      </c>
      <c r="J30" s="34">
        <v>2</v>
      </c>
      <c r="K30" s="34">
        <v>2</v>
      </c>
      <c r="L30" s="34">
        <v>2</v>
      </c>
      <c r="M30" s="34">
        <v>2</v>
      </c>
    </row>
    <row r="31" spans="1:13" ht="15" x14ac:dyDescent="0.15">
      <c r="A31" s="19" t="s">
        <v>205</v>
      </c>
      <c r="B31" s="34">
        <v>2</v>
      </c>
      <c r="C31" s="34">
        <v>2</v>
      </c>
      <c r="D31" s="34">
        <v>2</v>
      </c>
      <c r="E31" s="35">
        <v>2</v>
      </c>
      <c r="F31" s="34">
        <v>2</v>
      </c>
      <c r="G31" s="34">
        <v>2</v>
      </c>
      <c r="H31" s="34">
        <v>2</v>
      </c>
      <c r="I31" s="35">
        <v>2</v>
      </c>
      <c r="J31" s="34">
        <v>2</v>
      </c>
      <c r="K31" s="34">
        <v>2</v>
      </c>
      <c r="L31" s="34">
        <v>2</v>
      </c>
      <c r="M31" s="34">
        <v>2</v>
      </c>
    </row>
    <row r="32" spans="1:13" ht="15" x14ac:dyDescent="0.15">
      <c r="A32" s="19" t="s">
        <v>20</v>
      </c>
      <c r="B32" s="34">
        <v>8</v>
      </c>
      <c r="C32" s="34">
        <v>0</v>
      </c>
      <c r="D32" s="34">
        <v>0</v>
      </c>
      <c r="E32" s="35">
        <v>8</v>
      </c>
      <c r="F32" s="34">
        <v>8</v>
      </c>
      <c r="G32" s="34">
        <v>0</v>
      </c>
      <c r="H32" s="34">
        <v>0</v>
      </c>
      <c r="I32" s="35">
        <v>8</v>
      </c>
      <c r="J32" s="34">
        <v>0</v>
      </c>
      <c r="K32" s="34">
        <v>0</v>
      </c>
      <c r="L32" s="34">
        <v>0</v>
      </c>
      <c r="M32" s="34">
        <v>0</v>
      </c>
    </row>
    <row r="33" spans="1:13" ht="28.5" x14ac:dyDescent="0.15">
      <c r="A33" s="25" t="s">
        <v>201</v>
      </c>
      <c r="B33" s="40">
        <f t="shared" ref="B33" si="9">IF(B30&gt;=2, 10*LOG10(B30/2), 0)</f>
        <v>15.051499783199061</v>
      </c>
      <c r="C33" s="40">
        <f t="shared" ref="C33:M33" si="10">IF(C30&gt;=2, 10*LOG10(C30/2), 0)</f>
        <v>0</v>
      </c>
      <c r="D33" s="40">
        <f t="shared" si="10"/>
        <v>0</v>
      </c>
      <c r="E33" s="40">
        <f t="shared" si="10"/>
        <v>15.051499783199061</v>
      </c>
      <c r="F33" s="40">
        <f t="shared" si="10"/>
        <v>15.051499783199061</v>
      </c>
      <c r="G33" s="40">
        <f t="shared" si="10"/>
        <v>0</v>
      </c>
      <c r="H33" s="40">
        <f t="shared" si="10"/>
        <v>0</v>
      </c>
      <c r="I33" s="40">
        <f t="shared" si="10"/>
        <v>15.051499783199061</v>
      </c>
      <c r="J33" s="40">
        <f t="shared" si="10"/>
        <v>0</v>
      </c>
      <c r="K33" s="40">
        <f t="shared" si="10"/>
        <v>0</v>
      </c>
      <c r="L33" s="40">
        <f t="shared" si="10"/>
        <v>0</v>
      </c>
      <c r="M33" s="40">
        <f t="shared" si="10"/>
        <v>0</v>
      </c>
    </row>
    <row r="34" spans="1:13" ht="30" x14ac:dyDescent="0.15">
      <c r="A34" s="19" t="s">
        <v>21</v>
      </c>
      <c r="B34" s="35">
        <v>3</v>
      </c>
      <c r="C34" s="34">
        <v>1</v>
      </c>
      <c r="D34" s="34">
        <v>1</v>
      </c>
      <c r="E34" s="58">
        <v>3</v>
      </c>
      <c r="F34" s="35">
        <v>3</v>
      </c>
      <c r="G34" s="34">
        <v>1</v>
      </c>
      <c r="H34" s="34">
        <v>1</v>
      </c>
      <c r="I34" s="58">
        <v>3</v>
      </c>
      <c r="J34" s="34">
        <v>1</v>
      </c>
      <c r="K34" s="34">
        <v>1</v>
      </c>
      <c r="L34" s="34">
        <v>1</v>
      </c>
      <c r="M34" s="34">
        <v>1</v>
      </c>
    </row>
    <row r="35" spans="1:13" ht="15" x14ac:dyDescent="0.15">
      <c r="A35" s="19" t="s">
        <v>22</v>
      </c>
      <c r="B35" s="35">
        <v>5</v>
      </c>
      <c r="C35" s="34">
        <v>7</v>
      </c>
      <c r="D35" s="34">
        <v>7</v>
      </c>
      <c r="E35" s="35">
        <v>5</v>
      </c>
      <c r="F35" s="35">
        <v>5</v>
      </c>
      <c r="G35" s="34">
        <v>7</v>
      </c>
      <c r="H35" s="34">
        <v>7</v>
      </c>
      <c r="I35" s="35">
        <v>5</v>
      </c>
      <c r="J35" s="34">
        <v>7</v>
      </c>
      <c r="K35" s="34">
        <v>7</v>
      </c>
      <c r="L35" s="34">
        <v>7</v>
      </c>
      <c r="M35" s="34">
        <v>7</v>
      </c>
    </row>
    <row r="36" spans="1:13" ht="15" x14ac:dyDescent="0.15">
      <c r="A36" s="19" t="s">
        <v>23</v>
      </c>
      <c r="B36" s="34">
        <v>-174</v>
      </c>
      <c r="C36" s="34">
        <v>-174</v>
      </c>
      <c r="D36" s="34">
        <v>-174</v>
      </c>
      <c r="E36" s="35">
        <v>-174</v>
      </c>
      <c r="F36" s="34">
        <v>-174</v>
      </c>
      <c r="G36" s="34">
        <v>-174</v>
      </c>
      <c r="H36" s="34">
        <v>-174</v>
      </c>
      <c r="I36" s="35">
        <v>-174</v>
      </c>
      <c r="J36" s="34">
        <v>-174</v>
      </c>
      <c r="K36" s="34">
        <v>-174</v>
      </c>
      <c r="L36" s="34">
        <v>-174</v>
      </c>
      <c r="M36" s="34">
        <v>-174</v>
      </c>
    </row>
    <row r="37" spans="1:13" ht="30" x14ac:dyDescent="0.15">
      <c r="A37" s="19" t="s">
        <v>24</v>
      </c>
      <c r="B37" s="35" t="s">
        <v>287</v>
      </c>
      <c r="C37" s="34">
        <v>-169.3</v>
      </c>
      <c r="D37" s="34" t="s">
        <v>57</v>
      </c>
      <c r="E37" s="35">
        <v>-161.69999999999999</v>
      </c>
      <c r="F37" s="35" t="s">
        <v>294</v>
      </c>
      <c r="G37" s="34">
        <v>-169.3</v>
      </c>
      <c r="H37" s="34" t="s">
        <v>57</v>
      </c>
      <c r="I37" s="35">
        <v>-161.69999999999999</v>
      </c>
      <c r="J37" s="34">
        <v>-169.3</v>
      </c>
      <c r="K37" s="34" t="s">
        <v>274</v>
      </c>
      <c r="L37" s="34">
        <v>-169.3</v>
      </c>
      <c r="M37" s="34" t="s">
        <v>57</v>
      </c>
    </row>
    <row r="38" spans="1:13" ht="15" x14ac:dyDescent="0.15">
      <c r="A38" s="19" t="s">
        <v>25</v>
      </c>
      <c r="B38" s="35">
        <v>-165.7</v>
      </c>
      <c r="C38" s="34" t="s">
        <v>57</v>
      </c>
      <c r="D38" s="34">
        <v>-169.3</v>
      </c>
      <c r="E38" s="35" t="s">
        <v>294</v>
      </c>
      <c r="F38" s="35">
        <v>-165.7</v>
      </c>
      <c r="G38" s="34" t="s">
        <v>57</v>
      </c>
      <c r="H38" s="34">
        <v>-169.3</v>
      </c>
      <c r="I38" s="35" t="s">
        <v>297</v>
      </c>
      <c r="J38" s="34" t="s">
        <v>57</v>
      </c>
      <c r="K38" s="34">
        <v>-169.3</v>
      </c>
      <c r="L38" s="34" t="s">
        <v>275</v>
      </c>
      <c r="M38" s="34">
        <v>-169.3</v>
      </c>
    </row>
    <row r="39" spans="1:13" ht="30" x14ac:dyDescent="0.15">
      <c r="A39" s="24" t="s">
        <v>45</v>
      </c>
      <c r="B39" s="72" t="s">
        <v>287</v>
      </c>
      <c r="C39" s="72">
        <f t="shared" ref="C39" si="11">10*LOG10(10^((C35+C36)/10)+10^(C37/10))</f>
        <v>-164.98918835931039</v>
      </c>
      <c r="D39" s="72" t="s">
        <v>57</v>
      </c>
      <c r="E39" s="72">
        <f t="shared" ref="E39" si="12">10*LOG10(10^((E35+E36)/10)+10^(E37/10))</f>
        <v>-160.9583889004532</v>
      </c>
      <c r="F39" s="72" t="s">
        <v>294</v>
      </c>
      <c r="G39" s="72">
        <f t="shared" ref="G39:J39" si="13">10*LOG10(10^((G35+G36)/10)+10^(G37/10))</f>
        <v>-164.98918835931039</v>
      </c>
      <c r="H39" s="72" t="s">
        <v>57</v>
      </c>
      <c r="I39" s="72">
        <f t="shared" ref="I39" si="14">10*LOG10(10^((I35+I36)/10)+10^(I37/10))</f>
        <v>-160.9583889004532</v>
      </c>
      <c r="J39" s="72">
        <f t="shared" si="13"/>
        <v>-164.98918835931039</v>
      </c>
      <c r="K39" s="72" t="s">
        <v>57</v>
      </c>
      <c r="L39" s="72">
        <f t="shared" ref="L39" si="15">10*LOG10(10^((L35+L36)/10)+10^(L37/10))</f>
        <v>-164.98918835931039</v>
      </c>
      <c r="M39" s="72" t="s">
        <v>274</v>
      </c>
    </row>
    <row r="40" spans="1:13" ht="30" x14ac:dyDescent="0.15">
      <c r="A40" s="24" t="s">
        <v>46</v>
      </c>
      <c r="B40" s="72">
        <f t="shared" ref="B40" si="16">10*LOG10(10^((B35+B36)/10)+10^(B38/10))</f>
        <v>-164.03352307536667</v>
      </c>
      <c r="C40" s="72" t="s">
        <v>57</v>
      </c>
      <c r="D40" s="72">
        <f t="shared" ref="D40:H40" si="17">10*LOG10(10^((D35+D36)/10)+10^(D38/10))</f>
        <v>-164.98918835931039</v>
      </c>
      <c r="E40" s="72" t="s">
        <v>294</v>
      </c>
      <c r="F40" s="72">
        <f t="shared" ref="F40" si="18">10*LOG10(10^((F35+F36)/10)+10^(F38/10))</f>
        <v>-164.03352307536667</v>
      </c>
      <c r="G40" s="72" t="s">
        <v>57</v>
      </c>
      <c r="H40" s="72">
        <f t="shared" si="17"/>
        <v>-164.98918835931039</v>
      </c>
      <c r="I40" s="72" t="s">
        <v>297</v>
      </c>
      <c r="J40" s="72" t="s">
        <v>275</v>
      </c>
      <c r="K40" s="72">
        <f t="shared" ref="K40" si="19">10*LOG10(10^((K35+K36)/10)+10^(K38/10))</f>
        <v>-164.98918835931039</v>
      </c>
      <c r="L40" s="72" t="s">
        <v>275</v>
      </c>
      <c r="M40" s="72">
        <f t="shared" ref="M40" si="20">10*LOG10(10^((M35+M36)/10)+10^(M38/10))</f>
        <v>-164.98918835931039</v>
      </c>
    </row>
    <row r="41" spans="1:13" ht="30" x14ac:dyDescent="0.15">
      <c r="A41" s="19" t="s">
        <v>26</v>
      </c>
      <c r="B41" s="34" t="s">
        <v>287</v>
      </c>
      <c r="C41" s="34">
        <f>MaxN_RB!$F$7*12*30*1000</f>
        <v>18360000</v>
      </c>
      <c r="D41" s="34" t="s">
        <v>57</v>
      </c>
      <c r="E41" s="34">
        <f>1*12*30*1000</f>
        <v>360000</v>
      </c>
      <c r="F41" s="34" t="s">
        <v>291</v>
      </c>
      <c r="G41" s="34">
        <f>MaxN_RB!$F$7*12*30*1000</f>
        <v>18360000</v>
      </c>
      <c r="H41" s="34" t="s">
        <v>57</v>
      </c>
      <c r="I41" s="34">
        <f>1*12*30*1000</f>
        <v>360000</v>
      </c>
      <c r="J41" s="34">
        <f>MaxN_RB!$F$7*12*30*1000</f>
        <v>18360000</v>
      </c>
      <c r="K41" s="34" t="s">
        <v>275</v>
      </c>
      <c r="L41" s="34">
        <f>MaxN_RB!$F$7*12*30*1000</f>
        <v>18360000</v>
      </c>
      <c r="M41" s="34" t="s">
        <v>57</v>
      </c>
    </row>
    <row r="42" spans="1:13" ht="30" x14ac:dyDescent="0.15">
      <c r="A42" s="19" t="s">
        <v>27</v>
      </c>
      <c r="B42" s="34">
        <f>16*12*30*1000</f>
        <v>5760000</v>
      </c>
      <c r="C42" s="34" t="s">
        <v>57</v>
      </c>
      <c r="D42" s="34">
        <f>MaxN_RB!$F$7*12*30*1000</f>
        <v>18360000</v>
      </c>
      <c r="E42" s="34" t="s">
        <v>291</v>
      </c>
      <c r="F42" s="34">
        <f>16*12*30*1000</f>
        <v>5760000</v>
      </c>
      <c r="G42" s="34" t="s">
        <v>57</v>
      </c>
      <c r="H42" s="34">
        <f>MaxN_RB!$F$7*12*30*1000</f>
        <v>18360000</v>
      </c>
      <c r="I42" s="34" t="s">
        <v>297</v>
      </c>
      <c r="J42" s="34" t="s">
        <v>275</v>
      </c>
      <c r="K42" s="34">
        <f>MaxN_RB!$F$7*12*30*1000</f>
        <v>18360000</v>
      </c>
      <c r="L42" s="34" t="s">
        <v>274</v>
      </c>
      <c r="M42" s="34">
        <f>MaxN_RB!$F$7*12*30*1000</f>
        <v>18360000</v>
      </c>
    </row>
    <row r="43" spans="1:13" ht="15" x14ac:dyDescent="0.15">
      <c r="A43" s="24" t="s">
        <v>28</v>
      </c>
      <c r="B43" s="72" t="s">
        <v>288</v>
      </c>
      <c r="C43" s="72">
        <f t="shared" ref="C43" si="21">C39+10*LOG10(C41)</f>
        <v>-92.350461590658156</v>
      </c>
      <c r="D43" s="72" t="s">
        <v>57</v>
      </c>
      <c r="E43" s="72">
        <f t="shared" ref="E43" si="22">E39+10*LOG10(E41)</f>
        <v>-105.39536389278032</v>
      </c>
      <c r="F43" s="72" t="s">
        <v>294</v>
      </c>
      <c r="G43" s="72">
        <f t="shared" ref="G43:J43" si="23">G39+10*LOG10(G41)</f>
        <v>-92.350461590658156</v>
      </c>
      <c r="H43" s="72" t="s">
        <v>57</v>
      </c>
      <c r="I43" s="72">
        <f t="shared" ref="I43" si="24">I39+10*LOG10(I41)</f>
        <v>-105.39536389278032</v>
      </c>
      <c r="J43" s="72">
        <f t="shared" si="23"/>
        <v>-92.350461590658156</v>
      </c>
      <c r="K43" s="72" t="s">
        <v>275</v>
      </c>
      <c r="L43" s="72">
        <f t="shared" ref="L43" si="25">L39+10*LOG10(L41)</f>
        <v>-92.350461590658156</v>
      </c>
      <c r="M43" s="72" t="s">
        <v>274</v>
      </c>
    </row>
    <row r="44" spans="1:13" ht="15" x14ac:dyDescent="0.15">
      <c r="A44" s="24" t="s">
        <v>29</v>
      </c>
      <c r="B44" s="72">
        <f t="shared" ref="B44" si="26">B40+10*LOG10(B42)</f>
        <v>-96.42929824113456</v>
      </c>
      <c r="C44" s="72" t="s">
        <v>57</v>
      </c>
      <c r="D44" s="72">
        <f>D40+10*LOG10(D42)</f>
        <v>-92.350461590658156</v>
      </c>
      <c r="E44" s="72" t="s">
        <v>294</v>
      </c>
      <c r="F44" s="72">
        <f t="shared" ref="F44" si="27">F40+10*LOG10(F42)</f>
        <v>-96.42929824113456</v>
      </c>
      <c r="G44" s="72" t="s">
        <v>57</v>
      </c>
      <c r="H44" s="72">
        <f t="shared" ref="H44" si="28">H40+10*LOG10(H42)</f>
        <v>-92.350461590658156</v>
      </c>
      <c r="I44" s="72" t="s">
        <v>297</v>
      </c>
      <c r="J44" s="72" t="s">
        <v>275</v>
      </c>
      <c r="K44" s="72">
        <f>K40+10*LOG10(K42)</f>
        <v>-92.350461590658156</v>
      </c>
      <c r="L44" s="72" t="s">
        <v>275</v>
      </c>
      <c r="M44" s="72">
        <f t="shared" ref="M44" si="29">M40+10*LOG10(M42)</f>
        <v>-92.350461590658156</v>
      </c>
    </row>
    <row r="45" spans="1:13" ht="15" x14ac:dyDescent="0.15">
      <c r="A45" s="19" t="s">
        <v>30</v>
      </c>
      <c r="B45" s="75" t="s">
        <v>288</v>
      </c>
      <c r="C45" s="150">
        <f>(-2.7-3.7)/2</f>
        <v>-3.2</v>
      </c>
      <c r="D45" s="74" t="s">
        <v>57</v>
      </c>
      <c r="E45" s="75">
        <v>4.2</v>
      </c>
      <c r="F45" s="76" t="s">
        <v>294</v>
      </c>
      <c r="G45" s="151">
        <f>(-2.7-3.8)/2</f>
        <v>-3.25</v>
      </c>
      <c r="H45" s="74" t="s">
        <v>57</v>
      </c>
      <c r="I45" s="76">
        <v>4.2</v>
      </c>
      <c r="J45" s="75">
        <v>-8.8000000000000007</v>
      </c>
      <c r="K45" s="74" t="s">
        <v>275</v>
      </c>
      <c r="L45" s="75">
        <v>-9</v>
      </c>
      <c r="M45" s="74" t="s">
        <v>275</v>
      </c>
    </row>
    <row r="46" spans="1:13" ht="15" x14ac:dyDescent="0.15">
      <c r="A46" s="19" t="s">
        <v>31</v>
      </c>
      <c r="B46" s="75">
        <v>-2</v>
      </c>
      <c r="C46" s="74" t="s">
        <v>57</v>
      </c>
      <c r="D46" s="150">
        <f>(-2.5-2.7)/2</f>
        <v>-2.6</v>
      </c>
      <c r="E46" s="74" t="s">
        <v>294</v>
      </c>
      <c r="F46" s="76">
        <v>-1.9</v>
      </c>
      <c r="G46" s="74" t="s">
        <v>57</v>
      </c>
      <c r="H46" s="151">
        <f>(-2.4-2.7)/2</f>
        <v>-2.5499999999999998</v>
      </c>
      <c r="I46" s="74" t="s">
        <v>297</v>
      </c>
      <c r="J46" s="74" t="s">
        <v>275</v>
      </c>
      <c r="K46" s="75">
        <v>-6.5</v>
      </c>
      <c r="L46" s="74" t="s">
        <v>275</v>
      </c>
      <c r="M46" s="75">
        <v>-6.7</v>
      </c>
    </row>
    <row r="47" spans="1:13" ht="15" x14ac:dyDescent="0.15">
      <c r="A47" s="19" t="s">
        <v>32</v>
      </c>
      <c r="B47" s="58">
        <v>2</v>
      </c>
      <c r="C47" s="34">
        <v>2</v>
      </c>
      <c r="D47" s="34">
        <v>2</v>
      </c>
      <c r="E47" s="34">
        <v>2</v>
      </c>
      <c r="F47" s="58">
        <v>2</v>
      </c>
      <c r="G47" s="34">
        <v>2</v>
      </c>
      <c r="H47" s="34">
        <v>2</v>
      </c>
      <c r="I47" s="34">
        <v>2</v>
      </c>
      <c r="J47" s="34">
        <v>2</v>
      </c>
      <c r="K47" s="34">
        <v>2</v>
      </c>
      <c r="L47" s="34">
        <v>2</v>
      </c>
      <c r="M47" s="34">
        <v>2</v>
      </c>
    </row>
    <row r="48" spans="1:13" ht="15" x14ac:dyDescent="0.15">
      <c r="A48" s="19" t="s">
        <v>33</v>
      </c>
      <c r="B48" s="58" t="s">
        <v>288</v>
      </c>
      <c r="C48" s="34">
        <v>0</v>
      </c>
      <c r="D48" s="34" t="s">
        <v>57</v>
      </c>
      <c r="E48" s="34">
        <v>0</v>
      </c>
      <c r="F48" s="58" t="s">
        <v>294</v>
      </c>
      <c r="G48" s="34">
        <v>0</v>
      </c>
      <c r="H48" s="34" t="s">
        <v>57</v>
      </c>
      <c r="I48" s="34">
        <v>0</v>
      </c>
      <c r="J48" s="34">
        <v>0</v>
      </c>
      <c r="K48" s="34" t="s">
        <v>275</v>
      </c>
      <c r="L48" s="34">
        <v>0</v>
      </c>
      <c r="M48" s="34" t="s">
        <v>275</v>
      </c>
    </row>
    <row r="49" spans="1:13" ht="15" x14ac:dyDescent="0.15">
      <c r="A49" s="19" t="s">
        <v>34</v>
      </c>
      <c r="B49" s="58">
        <v>0.5</v>
      </c>
      <c r="C49" s="34" t="s">
        <v>57</v>
      </c>
      <c r="D49" s="34">
        <v>0.5</v>
      </c>
      <c r="E49" s="34" t="s">
        <v>294</v>
      </c>
      <c r="F49" s="58">
        <v>0.5</v>
      </c>
      <c r="G49" s="34" t="s">
        <v>57</v>
      </c>
      <c r="H49" s="34">
        <v>0.5</v>
      </c>
      <c r="I49" s="34" t="s">
        <v>297</v>
      </c>
      <c r="J49" s="34" t="s">
        <v>275</v>
      </c>
      <c r="K49" s="34">
        <v>0.5</v>
      </c>
      <c r="L49" s="34" t="s">
        <v>275</v>
      </c>
      <c r="M49" s="34">
        <v>0.5</v>
      </c>
    </row>
    <row r="50" spans="1:13" ht="15" x14ac:dyDescent="0.15">
      <c r="A50" s="24" t="s">
        <v>47</v>
      </c>
      <c r="B50" s="72" t="s">
        <v>288</v>
      </c>
      <c r="C50" s="72">
        <f t="shared" ref="C50" si="30">C43+C45+C47-C48</f>
        <v>-93.550461590658159</v>
      </c>
      <c r="D50" s="72" t="s">
        <v>57</v>
      </c>
      <c r="E50" s="72">
        <f t="shared" ref="E50" si="31">E43+E45+E47-E48</f>
        <v>-99.195363892780321</v>
      </c>
      <c r="F50" s="72" t="s">
        <v>294</v>
      </c>
      <c r="G50" s="72">
        <f t="shared" ref="G50:J50" si="32">G43+G45+G47-G48</f>
        <v>-93.600461590658156</v>
      </c>
      <c r="H50" s="72" t="s">
        <v>57</v>
      </c>
      <c r="I50" s="72">
        <f t="shared" ref="I50" si="33">I43+I45+I47-I48</f>
        <v>-99.195363892780321</v>
      </c>
      <c r="J50" s="72">
        <f t="shared" si="32"/>
        <v>-99.150461590658153</v>
      </c>
      <c r="K50" s="72" t="s">
        <v>275</v>
      </c>
      <c r="L50" s="72">
        <f t="shared" ref="L50" si="34">L43+L45+L47-L48</f>
        <v>-99.350461590658156</v>
      </c>
      <c r="M50" s="72" t="s">
        <v>275</v>
      </c>
    </row>
    <row r="51" spans="1:13" ht="15" x14ac:dyDescent="0.15">
      <c r="A51" s="24" t="s">
        <v>48</v>
      </c>
      <c r="B51" s="72">
        <f t="shared" ref="B51" si="35">B44+B46+B47-B49</f>
        <v>-96.92929824113456</v>
      </c>
      <c r="C51" s="72" t="s">
        <v>57</v>
      </c>
      <c r="D51" s="72">
        <f t="shared" ref="D51:H51" si="36">D44+D46+D47-D49</f>
        <v>-93.450461590658151</v>
      </c>
      <c r="E51" s="72" t="s">
        <v>294</v>
      </c>
      <c r="F51" s="72">
        <f t="shared" ref="F51" si="37">F44+F46+F47-F49</f>
        <v>-96.829298241134566</v>
      </c>
      <c r="G51" s="72" t="s">
        <v>57</v>
      </c>
      <c r="H51" s="72">
        <f t="shared" si="36"/>
        <v>-93.400461590658153</v>
      </c>
      <c r="I51" s="72" t="s">
        <v>297</v>
      </c>
      <c r="J51" s="72" t="s">
        <v>275</v>
      </c>
      <c r="K51" s="72">
        <f t="shared" ref="K51" si="38">K44+K46+K47-K49</f>
        <v>-97.350461590658156</v>
      </c>
      <c r="L51" s="72" t="s">
        <v>275</v>
      </c>
      <c r="M51" s="72">
        <f t="shared" ref="M51" si="39">M44+M46+M47-M49</f>
        <v>-97.550461590658159</v>
      </c>
    </row>
    <row r="52" spans="1:13" ht="15" x14ac:dyDescent="0.15">
      <c r="A52" s="26" t="s">
        <v>101</v>
      </c>
      <c r="B52" s="72" t="s">
        <v>288</v>
      </c>
      <c r="C52" s="72">
        <f t="shared" ref="C52:J52" si="40">C27+C32+C33-C50</f>
        <v>159.6637611136961</v>
      </c>
      <c r="D52" s="72" t="s">
        <v>57</v>
      </c>
      <c r="E52" s="72">
        <f t="shared" ref="E52" si="41">E27+E32+E33-E50</f>
        <v>144.2468636759794</v>
      </c>
      <c r="F52" s="72" t="s">
        <v>294</v>
      </c>
      <c r="G52" s="72">
        <f t="shared" si="40"/>
        <v>159.71376111369608</v>
      </c>
      <c r="H52" s="72" t="s">
        <v>57</v>
      </c>
      <c r="I52" s="72">
        <f t="shared" ref="I52" si="42">I27+I32+I33-I50</f>
        <v>144.2468636759794</v>
      </c>
      <c r="J52" s="72">
        <f t="shared" si="40"/>
        <v>165.26376111369609</v>
      </c>
      <c r="K52" s="72" t="s">
        <v>275</v>
      </c>
      <c r="L52" s="72">
        <f t="shared" ref="L52" si="43">L27+L32+L33-L50</f>
        <v>165.46376111369608</v>
      </c>
      <c r="M52" s="72" t="s">
        <v>275</v>
      </c>
    </row>
    <row r="53" spans="1:13" ht="15" x14ac:dyDescent="0.15">
      <c r="A53" s="26" t="s">
        <v>102</v>
      </c>
      <c r="B53" s="72">
        <f t="shared" ref="B53" si="44">B28+B32+B33-B51</f>
        <v>141.98079802433364</v>
      </c>
      <c r="C53" s="72" t="s">
        <v>57</v>
      </c>
      <c r="D53" s="72">
        <f t="shared" ref="D53:H53" si="45">D28+D32+D33-D51</f>
        <v>159.5637611136961</v>
      </c>
      <c r="E53" s="72" t="s">
        <v>294</v>
      </c>
      <c r="F53" s="72">
        <f t="shared" ref="F53" si="46">F28+F32+F33-F51</f>
        <v>141.88079802433361</v>
      </c>
      <c r="G53" s="72" t="s">
        <v>57</v>
      </c>
      <c r="H53" s="72">
        <f t="shared" si="45"/>
        <v>159.51376111369609</v>
      </c>
      <c r="I53" s="72" t="s">
        <v>297</v>
      </c>
      <c r="J53" s="72" t="s">
        <v>275</v>
      </c>
      <c r="K53" s="72">
        <f t="shared" ref="K53" si="47">K28+K32+K33-K51</f>
        <v>163.46376111369608</v>
      </c>
      <c r="L53" s="72" t="s">
        <v>275</v>
      </c>
      <c r="M53" s="72">
        <f t="shared" ref="M53" si="48">M28+M32+M33-M51</f>
        <v>163.6637611136961</v>
      </c>
    </row>
    <row r="54" spans="1:13" x14ac:dyDescent="0.15">
      <c r="A54" s="18" t="s">
        <v>35</v>
      </c>
      <c r="B54" s="37"/>
      <c r="C54" s="37"/>
      <c r="D54" s="37"/>
      <c r="E54" s="37"/>
      <c r="F54" s="37"/>
      <c r="G54" s="37"/>
      <c r="H54" s="37"/>
      <c r="I54" s="37"/>
      <c r="J54" s="37"/>
      <c r="K54" s="37"/>
      <c r="L54" s="37"/>
      <c r="M54" s="37"/>
    </row>
    <row r="55" spans="1:13" ht="15" x14ac:dyDescent="0.15">
      <c r="A55" s="19" t="s">
        <v>36</v>
      </c>
      <c r="B55" s="35">
        <v>6</v>
      </c>
      <c r="C55" s="73">
        <v>6</v>
      </c>
      <c r="D55" s="74">
        <v>6</v>
      </c>
      <c r="E55" s="35">
        <v>6</v>
      </c>
      <c r="F55" s="162">
        <v>7</v>
      </c>
      <c r="G55" s="74">
        <v>7</v>
      </c>
      <c r="H55" s="74">
        <v>7</v>
      </c>
      <c r="I55" s="162">
        <v>7</v>
      </c>
      <c r="J55" s="74">
        <v>4</v>
      </c>
      <c r="K55" s="74">
        <v>4</v>
      </c>
      <c r="L55" s="74">
        <v>7</v>
      </c>
      <c r="M55" s="74">
        <v>7</v>
      </c>
    </row>
    <row r="56" spans="1:13" ht="18" x14ac:dyDescent="0.15">
      <c r="A56" s="69" t="s">
        <v>107</v>
      </c>
      <c r="B56" s="35"/>
      <c r="C56" s="73"/>
      <c r="D56" s="74"/>
      <c r="E56" s="35"/>
      <c r="F56" s="35"/>
      <c r="G56" s="73"/>
      <c r="H56" s="73"/>
      <c r="I56" s="35"/>
      <c r="J56" s="73"/>
      <c r="K56" s="74"/>
      <c r="L56" s="73"/>
      <c r="M56" s="73"/>
    </row>
    <row r="57" spans="1:13" ht="30" x14ac:dyDescent="0.15">
      <c r="A57" s="19" t="s">
        <v>37</v>
      </c>
      <c r="B57" s="34" t="s">
        <v>288</v>
      </c>
      <c r="C57" s="154">
        <f>(5.54+5.6)/2</f>
        <v>5.57</v>
      </c>
      <c r="D57" s="154" t="s">
        <v>285</v>
      </c>
      <c r="E57" s="162">
        <f>(5.54+5.6)/2</f>
        <v>5.57</v>
      </c>
      <c r="F57" s="162" t="s">
        <v>294</v>
      </c>
      <c r="G57" s="154">
        <f>(8.22+6.88)/2</f>
        <v>7.5500000000000007</v>
      </c>
      <c r="H57" s="165" t="s">
        <v>57</v>
      </c>
      <c r="I57" s="162">
        <f>(8.22+6.88)/2</f>
        <v>7.5500000000000007</v>
      </c>
      <c r="J57" s="74">
        <v>2.96</v>
      </c>
      <c r="K57" s="74" t="s">
        <v>275</v>
      </c>
      <c r="L57" s="74">
        <v>6.88</v>
      </c>
      <c r="M57" s="85" t="s">
        <v>57</v>
      </c>
    </row>
    <row r="58" spans="1:13" ht="30" x14ac:dyDescent="0.15">
      <c r="A58" s="19" t="s">
        <v>38</v>
      </c>
      <c r="B58" s="162">
        <f>(2.98+3.03)/2</f>
        <v>3.0049999999999999</v>
      </c>
      <c r="C58" s="154" t="s">
        <v>285</v>
      </c>
      <c r="D58" s="154">
        <f>(2.98+3.03)/2</f>
        <v>3.0049999999999999</v>
      </c>
      <c r="E58" s="167" t="s">
        <v>294</v>
      </c>
      <c r="F58" s="162">
        <f>(4.98+3.98)/2</f>
        <v>4.4800000000000004</v>
      </c>
      <c r="G58" s="165" t="s">
        <v>57</v>
      </c>
      <c r="H58" s="154">
        <f>(4.98+3.98)/2</f>
        <v>4.4800000000000004</v>
      </c>
      <c r="I58" s="35" t="s">
        <v>297</v>
      </c>
      <c r="J58" s="74" t="s">
        <v>275</v>
      </c>
      <c r="K58" s="74">
        <v>1.1200000000000001</v>
      </c>
      <c r="L58" s="85" t="s">
        <v>57</v>
      </c>
      <c r="M58" s="74">
        <v>3.98</v>
      </c>
    </row>
    <row r="59" spans="1:13" ht="15" x14ac:dyDescent="0.15">
      <c r="A59" s="19" t="s">
        <v>39</v>
      </c>
      <c r="B59" s="35">
        <v>0</v>
      </c>
      <c r="C59" s="73">
        <v>0</v>
      </c>
      <c r="D59" s="74">
        <v>0</v>
      </c>
      <c r="E59" s="35">
        <v>0</v>
      </c>
      <c r="F59" s="35">
        <v>0</v>
      </c>
      <c r="G59" s="73">
        <v>0</v>
      </c>
      <c r="H59" s="73">
        <v>0</v>
      </c>
      <c r="I59" s="35">
        <v>0</v>
      </c>
      <c r="J59" s="73">
        <v>0</v>
      </c>
      <c r="K59" s="74">
        <v>0</v>
      </c>
      <c r="L59" s="73">
        <v>0</v>
      </c>
      <c r="M59" s="73">
        <v>0</v>
      </c>
    </row>
    <row r="60" spans="1:13" ht="15" x14ac:dyDescent="0.15">
      <c r="A60" s="19" t="s">
        <v>284</v>
      </c>
      <c r="B60" s="167">
        <v>0</v>
      </c>
      <c r="C60" s="74">
        <v>0</v>
      </c>
      <c r="D60" s="74">
        <v>0</v>
      </c>
      <c r="E60" s="167">
        <v>0</v>
      </c>
      <c r="F60" s="34">
        <f>20+0.5*12.5</f>
        <v>26.25</v>
      </c>
      <c r="G60" s="74">
        <f>20+0.5*12.5</f>
        <v>26.25</v>
      </c>
      <c r="H60" s="74">
        <f>20+0.5*12.5</f>
        <v>26.25</v>
      </c>
      <c r="I60" s="34">
        <f>20+0.5*12.5</f>
        <v>26.25</v>
      </c>
      <c r="J60" s="74">
        <v>0</v>
      </c>
      <c r="K60" s="74">
        <v>0</v>
      </c>
      <c r="L60" s="74">
        <f>20+0.5*12.5</f>
        <v>26.25</v>
      </c>
      <c r="M60" s="74">
        <f>20+0.5*12.5</f>
        <v>26.25</v>
      </c>
    </row>
    <row r="61" spans="1:13" ht="15" x14ac:dyDescent="0.15">
      <c r="A61" s="19" t="s">
        <v>41</v>
      </c>
      <c r="B61" s="35">
        <v>0</v>
      </c>
      <c r="C61" s="73">
        <v>0</v>
      </c>
      <c r="D61" s="74">
        <v>0</v>
      </c>
      <c r="E61" s="35">
        <v>0</v>
      </c>
      <c r="F61" s="35">
        <v>0</v>
      </c>
      <c r="G61" s="73">
        <v>0</v>
      </c>
      <c r="H61" s="73">
        <v>0</v>
      </c>
      <c r="I61" s="35">
        <v>0</v>
      </c>
      <c r="J61" s="73">
        <v>0</v>
      </c>
      <c r="K61" s="74">
        <v>0</v>
      </c>
      <c r="L61" s="73">
        <v>0</v>
      </c>
      <c r="M61" s="73">
        <v>0</v>
      </c>
    </row>
    <row r="62" spans="1:13" ht="30" x14ac:dyDescent="0.15">
      <c r="A62" s="24" t="s">
        <v>52</v>
      </c>
      <c r="B62" s="72" t="s">
        <v>288</v>
      </c>
      <c r="C62" s="72">
        <f t="shared" ref="C62" si="49">C52-C57+C59-C60+C61-C34</f>
        <v>153.0937611136961</v>
      </c>
      <c r="D62" s="72" t="s">
        <v>57</v>
      </c>
      <c r="E62" s="72">
        <f t="shared" ref="E62" si="50">E52-E57+E59-E60+E61-E34</f>
        <v>135.6768636759794</v>
      </c>
      <c r="F62" s="72" t="s">
        <v>294</v>
      </c>
      <c r="G62" s="72">
        <f t="shared" ref="G62:J62" si="51">G52-G57+G59-G60+G61-G34</f>
        <v>124.91376111369607</v>
      </c>
      <c r="H62" s="72" t="s">
        <v>57</v>
      </c>
      <c r="I62" s="72">
        <f t="shared" ref="I62" si="52">I52-I57+I59-I60+I61-I34</f>
        <v>107.44686367597939</v>
      </c>
      <c r="J62" s="72">
        <f t="shared" si="51"/>
        <v>161.30376111369608</v>
      </c>
      <c r="K62" s="72" t="s">
        <v>275</v>
      </c>
      <c r="L62" s="72">
        <f t="shared" ref="L62" si="53">L52-L57+L59-L60+L61-L34</f>
        <v>131.33376111369608</v>
      </c>
      <c r="M62" s="72" t="s">
        <v>275</v>
      </c>
    </row>
    <row r="63" spans="1:13" ht="30" x14ac:dyDescent="0.15">
      <c r="A63" s="24" t="s">
        <v>49</v>
      </c>
      <c r="B63" s="72">
        <f t="shared" ref="B63" si="54">B53-B58+B59-B60+B61-B34</f>
        <v>135.97579802433364</v>
      </c>
      <c r="C63" s="72" t="s">
        <v>57</v>
      </c>
      <c r="D63" s="72">
        <f t="shared" ref="D63:H63" si="55">D53-D58+D59-D60+D61-D34</f>
        <v>155.55876111369611</v>
      </c>
      <c r="E63" s="72" t="s">
        <v>294</v>
      </c>
      <c r="F63" s="72">
        <f t="shared" ref="F63" si="56">F53-F58+F59-F60+F61-F34</f>
        <v>108.15079802433362</v>
      </c>
      <c r="G63" s="72" t="s">
        <v>57</v>
      </c>
      <c r="H63" s="72">
        <f t="shared" si="55"/>
        <v>127.7837611136961</v>
      </c>
      <c r="I63" s="72" t="s">
        <v>297</v>
      </c>
      <c r="J63" s="72" t="s">
        <v>275</v>
      </c>
      <c r="K63" s="72">
        <f t="shared" ref="K63" si="57">K53-K58+K59-K60+K61-K34</f>
        <v>161.34376111369608</v>
      </c>
      <c r="L63" s="72" t="s">
        <v>277</v>
      </c>
      <c r="M63" s="72">
        <f t="shared" ref="M63" si="58">M53-M58+M59-M60+M61-M34</f>
        <v>132.43376111369611</v>
      </c>
    </row>
    <row r="64" spans="1:13" x14ac:dyDescent="0.15">
      <c r="A64" s="18" t="s">
        <v>42</v>
      </c>
      <c r="B64" s="37"/>
      <c r="C64" s="37"/>
      <c r="D64" s="37"/>
      <c r="E64" s="37"/>
      <c r="F64" s="37"/>
      <c r="G64" s="37"/>
      <c r="H64" s="37"/>
      <c r="I64" s="37"/>
      <c r="J64" s="37"/>
      <c r="K64" s="37"/>
      <c r="L64" s="37"/>
      <c r="M64" s="37"/>
    </row>
    <row r="65" spans="1:13" ht="30" x14ac:dyDescent="0.15">
      <c r="A65" s="28" t="s">
        <v>43</v>
      </c>
      <c r="B65" s="35" t="s">
        <v>288</v>
      </c>
      <c r="C65" s="35">
        <f>10^((C62-161.04+7.1*LOG10(20)-7.5*LOG10(20)+(24.37-3.7*(20/C5)^2)*LOG10(C5)-20*LOG10(C4)+(3.2*(LOG10(17.625))^2-4.97)+0.6*(C6-1.5))/(43.42-3.1*LOG10(C5))+3)</f>
        <v>4462.0478464039606</v>
      </c>
      <c r="D65" s="35" t="s">
        <v>57</v>
      </c>
      <c r="E65" s="35">
        <f>10^((E62-161.04+7.1*LOG10(20)-7.5*LOG10(20)+(24.37-3.7*(20/E5)^2)*LOG10(E5)-20*LOG10(E4)+(3.2*(LOG10(17.625))^2-4.97)+0.6*(E6-1.5))/(43.42-3.1*LOG10(E5))+3)</f>
        <v>1599.3154195538218</v>
      </c>
      <c r="F65" s="35" t="s">
        <v>294</v>
      </c>
      <c r="G65" s="35">
        <f>10^((G62-161.04+7.1*LOG10(20)-7.5*LOG10(20)+(24.37-3.7*(20/G5)^2)*LOG10(G5)-20*LOG10(G4)+(3.2*(LOG10(17.625))^2-4.97)+0.6*(G6-1.5))/(43.42-3.1*LOG10(G5))+3)</f>
        <v>848.33440493116927</v>
      </c>
      <c r="H65" s="35" t="s">
        <v>57</v>
      </c>
      <c r="I65" s="35">
        <f>10^((I62-161.04+7.1*LOG10(20)-7.5*LOG10(20)+(24.37-3.7*(20/I5)^2)*LOG10(I5)-20*LOG10(I4)+(3.2*(LOG10(17.625))^2-4.97)+0.6*(I6-1.5))/(43.42-3.1*LOG10(I5))+3)</f>
        <v>303.17107543282026</v>
      </c>
      <c r="J65" s="35">
        <f>10^((J62-161.04+7.1*LOG10(20)-7.5*LOG10(20)+(24.37-3.7*(20/J5)^2)*LOG10(J5)-20*LOG10(J4)+(3.2*(LOG10(17.625))^2-4.97)+0.6*(J6-1.5))/(43.42-3.1*LOG10(J5))+3)</f>
        <v>7237.3867806566959</v>
      </c>
      <c r="K65" s="35" t="s">
        <v>275</v>
      </c>
      <c r="L65" s="35">
        <f>10^((L62-161.04+7.1*LOG10(20)-7.5*LOG10(20)+(24.37-3.7*(20/L5)^2)*LOG10(L5)-20*LOG10(L4)+(3.2*(LOG10(17.625))^2-4.97)+0.6*(L6-1.5))/(43.42-3.1*LOG10(L5))+3)</f>
        <v>1238.2793879749636</v>
      </c>
      <c r="M65" s="35" t="s">
        <v>275</v>
      </c>
    </row>
    <row r="66" spans="1:13" ht="30" x14ac:dyDescent="0.15">
      <c r="A66" s="28" t="s">
        <v>44</v>
      </c>
      <c r="B66" s="35">
        <f>10^((B63-161.04+7.1*LOG10(20)-7.5*LOG10(20)+(24.37-3.7*(20/B5)^2)*LOG10(B5)-20*LOG10(B4)+(3.2*(LOG10(17.625))^2-4.97)+0.6*(B6-1.5))/(43.42-3.1*LOG10(B5))+3)</f>
        <v>1627.729247705721</v>
      </c>
      <c r="C66" s="35" t="s">
        <v>57</v>
      </c>
      <c r="D66" s="35">
        <f>10^((D63-161.04+7.1*LOG10(20)-7.5*LOG10(20)+(24.37-3.7*(20/D5)^2)*LOG10(D5)-20*LOG10(D4)+(3.2*(LOG10(17.625))^2-4.97)+0.6*(D6-1.5))/(43.42-3.1*LOG10(D5))+3)</f>
        <v>5159.4054678249195</v>
      </c>
      <c r="E66" s="35" t="s">
        <v>294</v>
      </c>
      <c r="F66" s="35">
        <f>10^((F63-161.04+7.1*LOG10(20)-7.5*LOG10(20)+(24.37-3.7*(20/F5)^2)*LOG10(F5)-20*LOG10(F4)+(3.2*(LOG10(17.625))^2-4.97)+0.6*(F6-1.5))/(43.42-3.1*LOG10(F5))+3)</f>
        <v>316.00755887931859</v>
      </c>
      <c r="G66" s="35" t="s">
        <v>57</v>
      </c>
      <c r="H66" s="35">
        <f>10^((H63-161.04+7.1*LOG10(20)-7.5*LOG10(20)+(24.37-3.7*(20/H5)^2)*LOG10(H5)-20*LOG10(H4)+(3.2*(LOG10(17.625))^2-4.97)+0.6*(H6-1.5))/(43.42-3.1*LOG10(H5))+3)</f>
        <v>1004.6023304149566</v>
      </c>
      <c r="I66" s="35" t="s">
        <v>297</v>
      </c>
      <c r="J66" s="35" t="s">
        <v>275</v>
      </c>
      <c r="K66" s="35">
        <f>10^((K63-161.04+7.1*LOG10(20)-7.5*LOG10(20)+(24.37-3.7*(20/K5)^2)*LOG10(K5)-20*LOG10(K4)+(3.2*(LOG10(17.625))^2-4.97)+0.6*(K6-1.5))/(43.42-3.1*LOG10(K5))+3)</f>
        <v>7254.4611131430793</v>
      </c>
      <c r="L66" s="35" t="s">
        <v>275</v>
      </c>
      <c r="M66" s="35">
        <f>10^((M63-161.04+7.1*LOG10(20)-7.5*LOG10(20)+(24.37-3.7*(20/M5)^2)*LOG10(M5)-20*LOG10(M4)+(3.2*(LOG10(17.625))^2-4.97)+0.6*(M6-1.5))/(43.42-3.1*LOG10(M5))+3)</f>
        <v>1321.1783096201045</v>
      </c>
    </row>
    <row r="67" spans="1:13" ht="18" x14ac:dyDescent="0.15">
      <c r="A67" s="28" t="s">
        <v>108</v>
      </c>
      <c r="B67" s="33" t="s">
        <v>288</v>
      </c>
      <c r="C67" s="33">
        <f>PI()*(C65)^2</f>
        <v>62548704.415992774</v>
      </c>
      <c r="D67" s="33" t="s">
        <v>57</v>
      </c>
      <c r="E67" s="33">
        <f>PI()*(E65)^2</f>
        <v>8035596.5122168697</v>
      </c>
      <c r="F67" s="33" t="s">
        <v>291</v>
      </c>
      <c r="G67" s="33">
        <f>PI()*(G65)^2</f>
        <v>2260913.9515521871</v>
      </c>
      <c r="H67" s="33" t="s">
        <v>57</v>
      </c>
      <c r="I67" s="33">
        <f>PI()*(I65)^2</f>
        <v>288752.26616751333</v>
      </c>
      <c r="J67" s="33">
        <f>PI()*(J65)^2</f>
        <v>164555892.50087085</v>
      </c>
      <c r="K67" s="33" t="s">
        <v>275</v>
      </c>
      <c r="L67" s="33">
        <f>PI()*(L65)^2</f>
        <v>4817116.6188608706</v>
      </c>
      <c r="M67" s="33" t="s">
        <v>275</v>
      </c>
    </row>
    <row r="68" spans="1:13" ht="18" x14ac:dyDescent="0.15">
      <c r="A68" s="28" t="s">
        <v>109</v>
      </c>
      <c r="B68" s="33">
        <f>PI()*(B66)^2</f>
        <v>8323657.6017209282</v>
      </c>
      <c r="C68" s="33" t="s">
        <v>57</v>
      </c>
      <c r="D68" s="33">
        <f>PI()*(D66)^2</f>
        <v>83627514.999806568</v>
      </c>
      <c r="E68" s="33" t="s">
        <v>291</v>
      </c>
      <c r="F68" s="33">
        <f>PI()*(F66)^2</f>
        <v>313721.88424963603</v>
      </c>
      <c r="G68" s="33" t="s">
        <v>57</v>
      </c>
      <c r="H68" s="33">
        <f>PI()*(H66)^2</f>
        <v>3170576.4919046187</v>
      </c>
      <c r="I68" s="33" t="s">
        <v>295</v>
      </c>
      <c r="J68" s="33" t="s">
        <v>275</v>
      </c>
      <c r="K68" s="33">
        <f>PI()*(K66)^2</f>
        <v>165333243.88083383</v>
      </c>
      <c r="L68" s="33" t="s">
        <v>275</v>
      </c>
      <c r="M68" s="33">
        <f>PI()*(M66)^2</f>
        <v>5483688.0711985985</v>
      </c>
    </row>
    <row r="69" spans="1:13" ht="15" x14ac:dyDescent="0.15">
      <c r="B69" s="163"/>
      <c r="E69" s="163"/>
      <c r="F69" s="163"/>
      <c r="I69" s="163"/>
    </row>
    <row r="70" spans="1:13" ht="15" x14ac:dyDescent="0.15">
      <c r="B70" s="163"/>
      <c r="E70" s="163"/>
      <c r="F70" s="163"/>
      <c r="I70" s="163"/>
    </row>
    <row r="72" spans="1:13" ht="15" x14ac:dyDescent="0.15">
      <c r="A72" s="28"/>
    </row>
    <row r="74" spans="1:13" ht="15" x14ac:dyDescent="0.15">
      <c r="B74" s="53"/>
      <c r="E74" s="53"/>
      <c r="F74" s="49"/>
      <c r="I74" s="49"/>
    </row>
    <row r="75" spans="1:13" ht="15" x14ac:dyDescent="0.15">
      <c r="B75" s="50"/>
      <c r="E75" s="50"/>
      <c r="F75" s="51"/>
      <c r="I75" s="51"/>
    </row>
  </sheetData>
  <mergeCells count="5">
    <mergeCell ref="L1:M1"/>
    <mergeCell ref="C1:D1"/>
    <mergeCell ref="G1:H1"/>
    <mergeCell ref="J1:K1"/>
    <mergeCell ref="E1:F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H17" sqref="H17"/>
    </sheetView>
  </sheetViews>
  <sheetFormatPr defaultColWidth="9" defaultRowHeight="14.25" x14ac:dyDescent="0.15"/>
  <cols>
    <col min="1" max="16384" width="9" style="1"/>
  </cols>
  <sheetData>
    <row r="1" spans="1:16" x14ac:dyDescent="0.15">
      <c r="A1"/>
      <c r="B1" s="2" t="s">
        <v>209</v>
      </c>
      <c r="C1"/>
      <c r="D1"/>
      <c r="E1"/>
      <c r="F1"/>
      <c r="G1"/>
      <c r="H1"/>
      <c r="I1"/>
      <c r="J1"/>
      <c r="K1"/>
      <c r="L1"/>
      <c r="M1"/>
      <c r="N1"/>
      <c r="O1"/>
      <c r="P1"/>
    </row>
    <row r="2" spans="1:16" ht="15" thickBot="1" x14ac:dyDescent="0.2">
      <c r="A2"/>
      <c r="B2" s="3" t="s">
        <v>60</v>
      </c>
      <c r="C2"/>
      <c r="D2"/>
      <c r="E2"/>
      <c r="F2"/>
      <c r="G2"/>
      <c r="H2"/>
      <c r="I2"/>
      <c r="J2"/>
      <c r="K2"/>
      <c r="L2"/>
      <c r="M2"/>
      <c r="N2"/>
      <c r="O2"/>
      <c r="P2"/>
    </row>
    <row r="3" spans="1:16" x14ac:dyDescent="0.15">
      <c r="A3"/>
      <c r="B3" s="219" t="s">
        <v>61</v>
      </c>
      <c r="C3" s="219" t="s">
        <v>62</v>
      </c>
      <c r="D3" s="219" t="s">
        <v>63</v>
      </c>
      <c r="E3" s="219" t="s">
        <v>64</v>
      </c>
      <c r="F3" s="219" t="s">
        <v>65</v>
      </c>
      <c r="G3" s="219" t="s">
        <v>66</v>
      </c>
      <c r="H3" s="219" t="s">
        <v>67</v>
      </c>
      <c r="I3" s="219" t="s">
        <v>68</v>
      </c>
      <c r="J3" s="219" t="s">
        <v>69</v>
      </c>
      <c r="K3" s="219" t="s">
        <v>70</v>
      </c>
      <c r="L3" s="4">
        <v>70</v>
      </c>
      <c r="M3" s="219" t="s">
        <v>71</v>
      </c>
      <c r="N3" s="219" t="s">
        <v>72</v>
      </c>
      <c r="O3" s="219" t="s">
        <v>73</v>
      </c>
      <c r="P3"/>
    </row>
    <row r="4" spans="1:16" ht="15" thickBot="1" x14ac:dyDescent="0.2">
      <c r="A4"/>
      <c r="B4" s="223"/>
      <c r="C4" s="220"/>
      <c r="D4" s="220"/>
      <c r="E4" s="220"/>
      <c r="F4" s="220"/>
      <c r="G4" s="220"/>
      <c r="H4" s="220"/>
      <c r="I4" s="220"/>
      <c r="J4" s="220"/>
      <c r="K4" s="220"/>
      <c r="L4" s="5" t="s">
        <v>74</v>
      </c>
      <c r="M4" s="220"/>
      <c r="N4" s="220"/>
      <c r="O4" s="220"/>
      <c r="P4"/>
    </row>
    <row r="5" spans="1:16" ht="15" thickBot="1" x14ac:dyDescent="0.2">
      <c r="A5"/>
      <c r="B5" s="220"/>
      <c r="C5" s="6" t="s">
        <v>75</v>
      </c>
      <c r="D5" s="6" t="s">
        <v>75</v>
      </c>
      <c r="E5" s="6" t="s">
        <v>75</v>
      </c>
      <c r="F5" s="6" t="s">
        <v>75</v>
      </c>
      <c r="G5" s="6" t="s">
        <v>75</v>
      </c>
      <c r="H5" s="6" t="s">
        <v>75</v>
      </c>
      <c r="I5" s="6" t="s">
        <v>75</v>
      </c>
      <c r="J5" s="6" t="s">
        <v>75</v>
      </c>
      <c r="K5" s="6" t="s">
        <v>75</v>
      </c>
      <c r="L5" s="6" t="s">
        <v>75</v>
      </c>
      <c r="M5" s="6" t="s">
        <v>75</v>
      </c>
      <c r="N5" s="6" t="s">
        <v>75</v>
      </c>
      <c r="O5" s="6" t="s">
        <v>75</v>
      </c>
      <c r="P5"/>
    </row>
    <row r="6" spans="1:16" ht="15" thickBot="1" x14ac:dyDescent="0.2">
      <c r="A6"/>
      <c r="B6" s="7">
        <v>15</v>
      </c>
      <c r="C6" s="8">
        <v>25</v>
      </c>
      <c r="D6" s="8">
        <v>52</v>
      </c>
      <c r="E6" s="8">
        <v>79</v>
      </c>
      <c r="F6" s="8">
        <v>106</v>
      </c>
      <c r="G6" s="8">
        <v>133</v>
      </c>
      <c r="H6" s="8">
        <v>160</v>
      </c>
      <c r="I6" s="8">
        <v>216</v>
      </c>
      <c r="J6" s="8">
        <v>270</v>
      </c>
      <c r="K6" s="8" t="s">
        <v>76</v>
      </c>
      <c r="L6" s="8" t="s">
        <v>77</v>
      </c>
      <c r="M6" s="8" t="s">
        <v>76</v>
      </c>
      <c r="N6" s="8" t="s">
        <v>76</v>
      </c>
      <c r="O6" s="8" t="s">
        <v>76</v>
      </c>
      <c r="P6"/>
    </row>
    <row r="7" spans="1:16" ht="15" thickBot="1" x14ac:dyDescent="0.2">
      <c r="A7"/>
      <c r="B7" s="7">
        <v>30</v>
      </c>
      <c r="C7" s="8">
        <v>11</v>
      </c>
      <c r="D7" s="8">
        <v>24</v>
      </c>
      <c r="E7" s="8">
        <v>38</v>
      </c>
      <c r="F7" s="8">
        <v>51</v>
      </c>
      <c r="G7" s="8">
        <v>65</v>
      </c>
      <c r="H7" s="8">
        <v>78</v>
      </c>
      <c r="I7" s="8">
        <v>106</v>
      </c>
      <c r="J7" s="8">
        <v>133</v>
      </c>
      <c r="K7" s="8">
        <v>162</v>
      </c>
      <c r="L7" s="8">
        <v>189</v>
      </c>
      <c r="M7" s="8">
        <v>217</v>
      </c>
      <c r="N7" s="8">
        <v>245</v>
      </c>
      <c r="O7" s="8">
        <v>273</v>
      </c>
      <c r="P7"/>
    </row>
    <row r="8" spans="1:16" ht="15" thickBot="1" x14ac:dyDescent="0.2">
      <c r="A8"/>
      <c r="B8" s="7">
        <v>60</v>
      </c>
      <c r="C8" s="8" t="s">
        <v>76</v>
      </c>
      <c r="D8" s="8">
        <v>11</v>
      </c>
      <c r="E8" s="8">
        <v>18</v>
      </c>
      <c r="F8" s="8">
        <v>24</v>
      </c>
      <c r="G8" s="8">
        <v>31</v>
      </c>
      <c r="H8" s="8">
        <v>38</v>
      </c>
      <c r="I8" s="8">
        <v>51</v>
      </c>
      <c r="J8" s="8">
        <v>65</v>
      </c>
      <c r="K8" s="8">
        <v>79</v>
      </c>
      <c r="L8" s="8">
        <v>93</v>
      </c>
      <c r="M8" s="8">
        <v>107</v>
      </c>
      <c r="N8" s="8">
        <v>121</v>
      </c>
      <c r="O8" s="8">
        <v>135</v>
      </c>
      <c r="P8"/>
    </row>
    <row r="9" spans="1:16" x14ac:dyDescent="0.15">
      <c r="A9"/>
      <c r="B9"/>
      <c r="C9"/>
      <c r="D9"/>
      <c r="E9"/>
      <c r="F9"/>
      <c r="G9"/>
      <c r="H9"/>
      <c r="I9"/>
      <c r="J9"/>
      <c r="K9"/>
      <c r="L9"/>
      <c r="M9"/>
      <c r="N9"/>
      <c r="O9"/>
      <c r="P9"/>
    </row>
    <row r="10" spans="1:16" ht="15" thickBot="1" x14ac:dyDescent="0.2">
      <c r="A10"/>
      <c r="B10" s="3" t="s">
        <v>78</v>
      </c>
      <c r="C10"/>
      <c r="D10"/>
      <c r="E10"/>
      <c r="F10"/>
      <c r="G10"/>
      <c r="H10"/>
      <c r="I10"/>
      <c r="J10"/>
      <c r="K10"/>
      <c r="L10"/>
      <c r="M10"/>
      <c r="N10"/>
      <c r="O10"/>
      <c r="P10"/>
    </row>
    <row r="11" spans="1:16" ht="15" thickBot="1" x14ac:dyDescent="0.2">
      <c r="A11"/>
      <c r="B11" s="221" t="s">
        <v>79</v>
      </c>
      <c r="C11" s="9" t="s">
        <v>80</v>
      </c>
      <c r="D11" s="9" t="s">
        <v>81</v>
      </c>
      <c r="E11" s="9" t="s">
        <v>82</v>
      </c>
      <c r="F11" s="9" t="s">
        <v>83</v>
      </c>
      <c r="G11"/>
      <c r="H11"/>
      <c r="I11"/>
      <c r="J11"/>
      <c r="K11"/>
      <c r="L11"/>
      <c r="M11"/>
      <c r="N11"/>
      <c r="O11"/>
      <c r="P11"/>
    </row>
    <row r="12" spans="1:16" ht="15" thickBot="1" x14ac:dyDescent="0.2">
      <c r="A12"/>
      <c r="B12" s="222"/>
      <c r="C12" s="10" t="s">
        <v>75</v>
      </c>
      <c r="D12" s="10" t="s">
        <v>75</v>
      </c>
      <c r="E12" s="10" t="s">
        <v>75</v>
      </c>
      <c r="F12" s="10" t="s">
        <v>75</v>
      </c>
      <c r="G12"/>
      <c r="H12"/>
      <c r="I12"/>
      <c r="J12"/>
      <c r="K12"/>
      <c r="L12"/>
      <c r="M12"/>
      <c r="N12"/>
      <c r="O12"/>
      <c r="P12"/>
    </row>
    <row r="13" spans="1:16" ht="15" thickBot="1" x14ac:dyDescent="0.2">
      <c r="A13"/>
      <c r="B13" s="11">
        <v>60</v>
      </c>
      <c r="C13" s="12">
        <v>66</v>
      </c>
      <c r="D13" s="12">
        <v>132</v>
      </c>
      <c r="E13" s="12">
        <v>264</v>
      </c>
      <c r="F13" s="12" t="s">
        <v>77</v>
      </c>
      <c r="G13"/>
      <c r="H13"/>
      <c r="I13"/>
      <c r="J13"/>
      <c r="K13"/>
      <c r="L13"/>
      <c r="M13"/>
      <c r="N13"/>
      <c r="O13"/>
      <c r="P13"/>
    </row>
    <row r="14" spans="1:16" ht="15" thickBot="1" x14ac:dyDescent="0.2">
      <c r="A14"/>
      <c r="B14" s="11">
        <v>120</v>
      </c>
      <c r="C14" s="12">
        <v>32</v>
      </c>
      <c r="D14" s="12">
        <v>66</v>
      </c>
      <c r="E14" s="12">
        <v>132</v>
      </c>
      <c r="F14" s="12">
        <v>264</v>
      </c>
      <c r="G14"/>
      <c r="H14"/>
      <c r="I14"/>
      <c r="J14"/>
      <c r="K14"/>
      <c r="L14"/>
      <c r="M14"/>
      <c r="N14"/>
      <c r="O14"/>
      <c r="P14"/>
    </row>
    <row r="15" spans="1:16" x14ac:dyDescent="0.15">
      <c r="A15"/>
      <c r="B15"/>
      <c r="C15"/>
      <c r="D15"/>
      <c r="E15"/>
      <c r="F15"/>
      <c r="G15"/>
      <c r="H15"/>
      <c r="I15"/>
      <c r="J15"/>
      <c r="K15"/>
      <c r="L15"/>
      <c r="M15"/>
      <c r="N15"/>
      <c r="O15"/>
      <c r="P15"/>
    </row>
    <row r="16" spans="1:16" x14ac:dyDescent="0.15">
      <c r="A16"/>
      <c r="B16"/>
      <c r="C16"/>
      <c r="D16"/>
      <c r="E16"/>
      <c r="F16"/>
      <c r="G16"/>
      <c r="H16"/>
      <c r="I16"/>
      <c r="J16"/>
      <c r="K16"/>
      <c r="L16"/>
      <c r="M16"/>
      <c r="N16"/>
      <c r="O16"/>
      <c r="P16"/>
    </row>
    <row r="17" spans="1:16" x14ac:dyDescent="0.15">
      <c r="A17"/>
      <c r="B17"/>
      <c r="C17"/>
      <c r="D17"/>
      <c r="E17"/>
      <c r="F17"/>
      <c r="G17"/>
      <c r="H17"/>
      <c r="I17"/>
      <c r="J17"/>
      <c r="K17"/>
      <c r="L17"/>
      <c r="M17"/>
      <c r="N17"/>
      <c r="O17"/>
      <c r="P17"/>
    </row>
  </sheetData>
  <mergeCells count="14">
    <mergeCell ref="O3:O4"/>
    <mergeCell ref="B11:B12"/>
    <mergeCell ref="H3:H4"/>
    <mergeCell ref="I3:I4"/>
    <mergeCell ref="J3:J4"/>
    <mergeCell ref="K3:K4"/>
    <mergeCell ref="M3:M4"/>
    <mergeCell ref="N3:N4"/>
    <mergeCell ref="B3:B5"/>
    <mergeCell ref="C3:C4"/>
    <mergeCell ref="D3:D4"/>
    <mergeCell ref="E3:E4"/>
    <mergeCell ref="F3:F4"/>
    <mergeCell ref="G3:G4"/>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zoomScale="85" zoomScaleNormal="85" workbookViewId="0">
      <pane xSplit="1" ySplit="2" topLeftCell="B57" activePane="bottomRight" state="frozen"/>
      <selection pane="topRight" activeCell="B1" sqref="B1"/>
      <selection pane="bottomLeft" activeCell="A3" sqref="A3"/>
      <selection pane="bottomRight" activeCell="A17" sqref="A17"/>
    </sheetView>
  </sheetViews>
  <sheetFormatPr defaultRowHeight="14.25" x14ac:dyDescent="0.15"/>
  <cols>
    <col min="1" max="1" width="62.125" style="29" bestFit="1" customWidth="1"/>
    <col min="2" max="2" width="16" style="31" customWidth="1"/>
    <col min="3" max="3" width="15.625" style="31" bestFit="1" customWidth="1"/>
    <col min="4" max="4" width="15.25" style="32" customWidth="1"/>
    <col min="5" max="5" width="14.75" style="32" customWidth="1"/>
  </cols>
  <sheetData>
    <row r="1" spans="1:5" x14ac:dyDescent="0.15">
      <c r="A1" s="16" t="s">
        <v>0</v>
      </c>
      <c r="B1" s="208" t="s">
        <v>124</v>
      </c>
      <c r="C1" s="209"/>
      <c r="D1" s="208" t="s">
        <v>125</v>
      </c>
      <c r="E1" s="209"/>
    </row>
    <row r="2" spans="1:5" ht="42.75" x14ac:dyDescent="0.15">
      <c r="A2" s="16"/>
      <c r="B2" s="45" t="s">
        <v>136</v>
      </c>
      <c r="C2" s="45" t="s">
        <v>135</v>
      </c>
      <c r="D2" s="45" t="s">
        <v>137</v>
      </c>
      <c r="E2" s="45" t="s">
        <v>138</v>
      </c>
    </row>
    <row r="3" spans="1:5" ht="15" customHeight="1" x14ac:dyDescent="0.15">
      <c r="A3" s="18" t="s">
        <v>1</v>
      </c>
      <c r="B3" s="30"/>
      <c r="C3" s="30"/>
      <c r="D3" s="30"/>
      <c r="E3" s="30"/>
    </row>
    <row r="4" spans="1:5" ht="15" x14ac:dyDescent="0.15">
      <c r="A4" s="19" t="s">
        <v>2</v>
      </c>
      <c r="B4" s="35">
        <v>4</v>
      </c>
      <c r="C4" s="35">
        <v>4</v>
      </c>
      <c r="D4" s="35">
        <v>4</v>
      </c>
      <c r="E4" s="35">
        <v>4</v>
      </c>
    </row>
    <row r="5" spans="1:5" ht="15" x14ac:dyDescent="0.15">
      <c r="A5" s="19" t="s">
        <v>3</v>
      </c>
      <c r="B5" s="35">
        <v>3</v>
      </c>
      <c r="C5" s="35">
        <v>3</v>
      </c>
      <c r="D5" s="35">
        <v>3</v>
      </c>
      <c r="E5" s="35">
        <v>3</v>
      </c>
    </row>
    <row r="6" spans="1:5" ht="15" x14ac:dyDescent="0.15">
      <c r="A6" s="19" t="s">
        <v>4</v>
      </c>
      <c r="B6" s="34">
        <v>1.5</v>
      </c>
      <c r="C6" s="34">
        <v>1.5</v>
      </c>
      <c r="D6" s="34">
        <v>1.5</v>
      </c>
      <c r="E6" s="34">
        <v>1.5</v>
      </c>
    </row>
    <row r="7" spans="1:5" ht="31.5" x14ac:dyDescent="0.15">
      <c r="A7" s="19" t="s">
        <v>103</v>
      </c>
      <c r="B7" s="20" t="s">
        <v>57</v>
      </c>
      <c r="C7" s="21">
        <v>0.95</v>
      </c>
      <c r="D7" s="21" t="s">
        <v>94</v>
      </c>
      <c r="E7" s="21">
        <v>0.95</v>
      </c>
    </row>
    <row r="8" spans="1:5" ht="31.5" x14ac:dyDescent="0.15">
      <c r="A8" s="19" t="s">
        <v>104</v>
      </c>
      <c r="B8" s="20">
        <v>0.9</v>
      </c>
      <c r="C8" s="21" t="s">
        <v>57</v>
      </c>
      <c r="D8" s="21">
        <v>0.9</v>
      </c>
      <c r="E8" s="21" t="s">
        <v>58</v>
      </c>
    </row>
    <row r="9" spans="1:5" ht="15" x14ac:dyDescent="0.15">
      <c r="A9" s="19" t="s">
        <v>5</v>
      </c>
      <c r="B9" s="34" t="s">
        <v>58</v>
      </c>
      <c r="C9" s="35">
        <f>64/(0.5*0.001)</f>
        <v>128000</v>
      </c>
      <c r="D9" s="35" t="s">
        <v>94</v>
      </c>
      <c r="E9" s="35">
        <f>2/(0.5*0.001)</f>
        <v>4000</v>
      </c>
    </row>
    <row r="10" spans="1:5" ht="15" x14ac:dyDescent="0.15">
      <c r="A10" s="19" t="s">
        <v>6</v>
      </c>
      <c r="B10" s="34">
        <f>4650676*3</f>
        <v>13952028</v>
      </c>
      <c r="C10" s="35" t="s">
        <v>93</v>
      </c>
      <c r="D10" s="36">
        <f>371520*3</f>
        <v>1114560</v>
      </c>
      <c r="E10" s="35" t="s">
        <v>58</v>
      </c>
    </row>
    <row r="11" spans="1:5" ht="15" x14ac:dyDescent="0.15">
      <c r="A11" s="19" t="s">
        <v>7</v>
      </c>
      <c r="B11" s="20" t="s">
        <v>59</v>
      </c>
      <c r="C11" s="21">
        <v>0.01</v>
      </c>
      <c r="D11" s="21" t="s">
        <v>94</v>
      </c>
      <c r="E11" s="21">
        <v>0.01</v>
      </c>
    </row>
    <row r="12" spans="1:5" ht="15" x14ac:dyDescent="0.15">
      <c r="A12" s="19" t="s">
        <v>8</v>
      </c>
      <c r="B12" s="20">
        <v>0.1</v>
      </c>
      <c r="C12" s="21" t="s">
        <v>58</v>
      </c>
      <c r="D12" s="21">
        <v>0.1</v>
      </c>
      <c r="E12" s="21" t="s">
        <v>58</v>
      </c>
    </row>
    <row r="13" spans="1:5" ht="16.5" x14ac:dyDescent="0.15">
      <c r="A13" s="19" t="s">
        <v>105</v>
      </c>
      <c r="B13" s="34">
        <f>B10/(B42*(3+11/14)/5)</f>
        <v>1.0036605006782588</v>
      </c>
      <c r="C13" s="35" t="s">
        <v>93</v>
      </c>
      <c r="D13" s="34">
        <f>D10/(D42*(1+3/14)/5)</f>
        <v>1.5935294117647061</v>
      </c>
      <c r="E13" s="35" t="s">
        <v>59</v>
      </c>
    </row>
    <row r="14" spans="1:5" ht="16.5" x14ac:dyDescent="0.15">
      <c r="A14" s="19" t="s">
        <v>106</v>
      </c>
      <c r="B14" s="35" t="s">
        <v>88</v>
      </c>
      <c r="C14" s="35" t="s">
        <v>88</v>
      </c>
      <c r="D14" s="35" t="s">
        <v>88</v>
      </c>
      <c r="E14" s="35" t="s">
        <v>88</v>
      </c>
    </row>
    <row r="15" spans="1:5" ht="15" x14ac:dyDescent="0.15">
      <c r="A15" s="19" t="s">
        <v>110</v>
      </c>
      <c r="B15" s="34">
        <v>3</v>
      </c>
      <c r="C15" s="35">
        <v>3</v>
      </c>
      <c r="D15" s="35">
        <v>3</v>
      </c>
      <c r="E15" s="35">
        <v>3</v>
      </c>
    </row>
    <row r="16" spans="1:5" ht="15" x14ac:dyDescent="0.15">
      <c r="A16" s="19" t="s">
        <v>9</v>
      </c>
      <c r="B16" s="34">
        <v>3</v>
      </c>
      <c r="C16" s="35">
        <v>3</v>
      </c>
      <c r="D16" s="35">
        <v>3</v>
      </c>
      <c r="E16" s="35">
        <v>3</v>
      </c>
    </row>
    <row r="17" spans="1:5" ht="15" customHeight="1" x14ac:dyDescent="0.15">
      <c r="A17" s="18" t="s">
        <v>10</v>
      </c>
      <c r="B17" s="37"/>
      <c r="C17" s="37"/>
      <c r="D17" s="37"/>
      <c r="E17" s="37"/>
    </row>
    <row r="18" spans="1:5" ht="30" x14ac:dyDescent="0.15">
      <c r="A18" s="19" t="s">
        <v>111</v>
      </c>
      <c r="B18" s="34">
        <v>32</v>
      </c>
      <c r="C18" s="35">
        <v>32</v>
      </c>
      <c r="D18" s="35">
        <v>2</v>
      </c>
      <c r="E18" s="35">
        <v>2</v>
      </c>
    </row>
    <row r="19" spans="1:5" ht="15" x14ac:dyDescent="0.15">
      <c r="A19" s="19" t="s">
        <v>199</v>
      </c>
      <c r="B19" s="34">
        <v>2</v>
      </c>
      <c r="C19" s="35">
        <v>2</v>
      </c>
      <c r="D19" s="35">
        <v>2</v>
      </c>
      <c r="E19" s="35">
        <v>2</v>
      </c>
    </row>
    <row r="20" spans="1:5" ht="15" x14ac:dyDescent="0.15">
      <c r="A20" s="19" t="s">
        <v>11</v>
      </c>
      <c r="B20" s="34">
        <v>9</v>
      </c>
      <c r="C20" s="35">
        <v>9</v>
      </c>
      <c r="D20" s="35">
        <v>20</v>
      </c>
      <c r="E20" s="35">
        <v>20</v>
      </c>
    </row>
    <row r="21" spans="1:5" ht="30" x14ac:dyDescent="0.15">
      <c r="A21" s="22" t="s">
        <v>112</v>
      </c>
      <c r="B21" s="38">
        <f t="shared" ref="B21:E21" si="0">B20+10*LOG10(B18)</f>
        <v>24.051499783199063</v>
      </c>
      <c r="C21" s="38">
        <f t="shared" si="0"/>
        <v>24.051499783199063</v>
      </c>
      <c r="D21" s="38">
        <f t="shared" si="0"/>
        <v>23.010299956639813</v>
      </c>
      <c r="E21" s="38">
        <f t="shared" si="0"/>
        <v>23.010299956639813</v>
      </c>
    </row>
    <row r="22" spans="1:5" ht="15" x14ac:dyDescent="0.15">
      <c r="A22" s="19" t="s">
        <v>12</v>
      </c>
      <c r="B22" s="34">
        <v>5</v>
      </c>
      <c r="C22" s="35">
        <v>5</v>
      </c>
      <c r="D22" s="35">
        <v>0</v>
      </c>
      <c r="E22" s="35">
        <v>0</v>
      </c>
    </row>
    <row r="23" spans="1:5" ht="45" x14ac:dyDescent="0.15">
      <c r="A23" s="23" t="s">
        <v>13</v>
      </c>
      <c r="B23" s="38">
        <f t="shared" ref="B23:E23" si="1">IF(B18&gt;=2, 10*LOG10(B18/2), 0)</f>
        <v>12.041199826559248</v>
      </c>
      <c r="C23" s="38">
        <f t="shared" si="1"/>
        <v>12.041199826559248</v>
      </c>
      <c r="D23" s="38">
        <f t="shared" si="1"/>
        <v>0</v>
      </c>
      <c r="E23" s="38">
        <f t="shared" si="1"/>
        <v>0</v>
      </c>
    </row>
    <row r="24" spans="1:5" ht="15" x14ac:dyDescent="0.15">
      <c r="A24" s="19" t="s">
        <v>14</v>
      </c>
      <c r="B24" s="34">
        <v>0</v>
      </c>
      <c r="C24" s="34">
        <v>0</v>
      </c>
      <c r="D24" s="35">
        <v>0</v>
      </c>
      <c r="E24" s="35">
        <v>0</v>
      </c>
    </row>
    <row r="25" spans="1:5" ht="15.75" customHeight="1" x14ac:dyDescent="0.15">
      <c r="A25" s="19" t="s">
        <v>15</v>
      </c>
      <c r="B25" s="34">
        <v>0</v>
      </c>
      <c r="C25" s="34">
        <v>0</v>
      </c>
      <c r="D25" s="35">
        <v>0</v>
      </c>
      <c r="E25" s="35">
        <v>0</v>
      </c>
    </row>
    <row r="26" spans="1:5" ht="30" x14ac:dyDescent="0.15">
      <c r="A26" s="19" t="s">
        <v>16</v>
      </c>
      <c r="B26" s="34">
        <v>3</v>
      </c>
      <c r="C26" s="34">
        <v>3</v>
      </c>
      <c r="D26" s="35">
        <v>1</v>
      </c>
      <c r="E26" s="35">
        <v>1</v>
      </c>
    </row>
    <row r="27" spans="1:5" ht="15" x14ac:dyDescent="0.15">
      <c r="A27" s="24" t="s">
        <v>17</v>
      </c>
      <c r="B27" s="39">
        <f t="shared" ref="B27:E27" si="2">B21+B22+B23+B24-B26</f>
        <v>38.092699609758313</v>
      </c>
      <c r="C27" s="39">
        <f t="shared" si="2"/>
        <v>38.092699609758313</v>
      </c>
      <c r="D27" s="39">
        <f>D21+D22+D23+D24-D26</f>
        <v>22.010299956639813</v>
      </c>
      <c r="E27" s="39">
        <f t="shared" si="2"/>
        <v>22.010299956639813</v>
      </c>
    </row>
    <row r="28" spans="1:5" ht="15" x14ac:dyDescent="0.15">
      <c r="A28" s="24" t="s">
        <v>18</v>
      </c>
      <c r="B28" s="39">
        <f t="shared" ref="B28:E28" si="3">B21+B22+B23-B25-B26</f>
        <v>38.092699609758313</v>
      </c>
      <c r="C28" s="39">
        <f t="shared" si="3"/>
        <v>38.092699609758313</v>
      </c>
      <c r="D28" s="39">
        <f t="shared" si="3"/>
        <v>22.010299956639813</v>
      </c>
      <c r="E28" s="39">
        <f t="shared" si="3"/>
        <v>22.010299956639813</v>
      </c>
    </row>
    <row r="29" spans="1:5" x14ac:dyDescent="0.15">
      <c r="A29" s="18" t="s">
        <v>19</v>
      </c>
      <c r="B29" s="37"/>
      <c r="C29" s="37"/>
      <c r="D29" s="37"/>
      <c r="E29" s="37"/>
    </row>
    <row r="30" spans="1:5" ht="30" x14ac:dyDescent="0.15">
      <c r="A30" s="19" t="s">
        <v>113</v>
      </c>
      <c r="B30" s="34">
        <v>4</v>
      </c>
      <c r="C30" s="34">
        <v>4</v>
      </c>
      <c r="D30" s="35">
        <v>32</v>
      </c>
      <c r="E30" s="35">
        <v>32</v>
      </c>
    </row>
    <row r="31" spans="1:5" ht="15" x14ac:dyDescent="0.15">
      <c r="A31" s="19" t="s">
        <v>200</v>
      </c>
      <c r="B31" s="34">
        <v>2</v>
      </c>
      <c r="C31" s="34">
        <v>2</v>
      </c>
      <c r="D31" s="35">
        <v>2</v>
      </c>
      <c r="E31" s="35">
        <v>2</v>
      </c>
    </row>
    <row r="32" spans="1:5" ht="15" x14ac:dyDescent="0.15">
      <c r="A32" s="19" t="s">
        <v>20</v>
      </c>
      <c r="B32" s="34">
        <v>0</v>
      </c>
      <c r="C32" s="34">
        <v>0</v>
      </c>
      <c r="D32" s="35">
        <v>5</v>
      </c>
      <c r="E32" s="35">
        <v>5</v>
      </c>
    </row>
    <row r="33" spans="1:5" ht="28.5" x14ac:dyDescent="0.15">
      <c r="A33" s="25" t="s">
        <v>202</v>
      </c>
      <c r="B33" s="40">
        <f t="shared" ref="B33:E33" si="4">IF(B30&gt;=2, 10*LOG10(B30/2), 0)</f>
        <v>3.0102999566398121</v>
      </c>
      <c r="C33" s="40">
        <f t="shared" si="4"/>
        <v>3.0102999566398121</v>
      </c>
      <c r="D33" s="40">
        <f t="shared" si="4"/>
        <v>12.041199826559248</v>
      </c>
      <c r="E33" s="40">
        <f t="shared" si="4"/>
        <v>12.041199826559248</v>
      </c>
    </row>
    <row r="34" spans="1:5" ht="30" x14ac:dyDescent="0.15">
      <c r="A34" s="19" t="s">
        <v>21</v>
      </c>
      <c r="B34" s="34">
        <v>1</v>
      </c>
      <c r="C34" s="34">
        <v>1</v>
      </c>
      <c r="D34" s="35">
        <v>3</v>
      </c>
      <c r="E34" s="35">
        <v>3</v>
      </c>
    </row>
    <row r="35" spans="1:5" ht="15" x14ac:dyDescent="0.15">
      <c r="A35" s="19" t="s">
        <v>22</v>
      </c>
      <c r="B35" s="35">
        <v>7</v>
      </c>
      <c r="C35" s="35">
        <v>7</v>
      </c>
      <c r="D35" s="35">
        <v>5</v>
      </c>
      <c r="E35" s="35">
        <v>5</v>
      </c>
    </row>
    <row r="36" spans="1:5" ht="15" x14ac:dyDescent="0.15">
      <c r="A36" s="19" t="s">
        <v>23</v>
      </c>
      <c r="B36" s="35">
        <v>-174</v>
      </c>
      <c r="C36" s="35">
        <v>-174</v>
      </c>
      <c r="D36" s="35">
        <v>-174</v>
      </c>
      <c r="E36" s="35">
        <v>-174</v>
      </c>
    </row>
    <row r="37" spans="1:5" ht="30" x14ac:dyDescent="0.15">
      <c r="A37" s="19" t="s">
        <v>24</v>
      </c>
      <c r="B37" s="34" t="s">
        <v>58</v>
      </c>
      <c r="C37" s="35">
        <v>-174</v>
      </c>
      <c r="D37" s="35" t="s">
        <v>59</v>
      </c>
      <c r="E37" s="35">
        <v>-174.9</v>
      </c>
    </row>
    <row r="38" spans="1:5" ht="15" x14ac:dyDescent="0.15">
      <c r="A38" s="19" t="s">
        <v>25</v>
      </c>
      <c r="B38" s="34">
        <v>-174</v>
      </c>
      <c r="C38" s="35" t="s">
        <v>59</v>
      </c>
      <c r="D38" s="35">
        <v>-174.9</v>
      </c>
      <c r="E38" s="35" t="s">
        <v>59</v>
      </c>
    </row>
    <row r="39" spans="1:5" ht="45" x14ac:dyDescent="0.15">
      <c r="A39" s="26" t="s">
        <v>45</v>
      </c>
      <c r="B39" s="39" t="s">
        <v>206</v>
      </c>
      <c r="C39" s="39">
        <f t="shared" ref="C39:E39" si="5">10*LOG10(10^((C35+C36)/10)+10^(C37/10))</f>
        <v>-166.20990250347435</v>
      </c>
      <c r="D39" s="39" t="s">
        <v>206</v>
      </c>
      <c r="E39" s="39">
        <f t="shared" si="5"/>
        <v>-168.00651048203736</v>
      </c>
    </row>
    <row r="40" spans="1:5" ht="30" x14ac:dyDescent="0.15">
      <c r="A40" s="26" t="s">
        <v>46</v>
      </c>
      <c r="B40" s="39">
        <f t="shared" ref="B40:D40" si="6">10*LOG10(10^((B35+B36)/10)+10^(B38/10))</f>
        <v>-166.20990250347435</v>
      </c>
      <c r="C40" s="39" t="s">
        <v>206</v>
      </c>
      <c r="D40" s="39">
        <f t="shared" si="6"/>
        <v>-168.00651048203736</v>
      </c>
      <c r="E40" s="39" t="s">
        <v>206</v>
      </c>
    </row>
    <row r="41" spans="1:5" ht="30" x14ac:dyDescent="0.15">
      <c r="A41" s="19" t="s">
        <v>26</v>
      </c>
      <c r="B41" s="34" t="s">
        <v>58</v>
      </c>
      <c r="C41" s="34">
        <f>MaxN_RB!$F$7*12*30*1000</f>
        <v>18360000</v>
      </c>
      <c r="D41" s="35" t="s">
        <v>59</v>
      </c>
      <c r="E41" s="35">
        <f>1*12*30*1000</f>
        <v>360000</v>
      </c>
    </row>
    <row r="42" spans="1:5" ht="30" x14ac:dyDescent="0.15">
      <c r="A42" s="19" t="s">
        <v>27</v>
      </c>
      <c r="B42" s="34">
        <f>MaxN_RB!$F$7*12*30*1000</f>
        <v>18360000</v>
      </c>
      <c r="C42" s="35" t="s">
        <v>92</v>
      </c>
      <c r="D42" s="35">
        <f>8*12*30*1000</f>
        <v>2880000</v>
      </c>
      <c r="E42" s="35" t="s">
        <v>59</v>
      </c>
    </row>
    <row r="43" spans="1:5" ht="15" x14ac:dyDescent="0.15">
      <c r="A43" s="24" t="s">
        <v>28</v>
      </c>
      <c r="B43" s="39" t="s">
        <v>206</v>
      </c>
      <c r="C43" s="39">
        <f t="shared" ref="C43:E43" si="7">C39+10*LOG10(C41)</f>
        <v>-93.57117573482212</v>
      </c>
      <c r="D43" s="39" t="s">
        <v>206</v>
      </c>
      <c r="E43" s="39">
        <f t="shared" si="7"/>
        <v>-112.44348547436448</v>
      </c>
    </row>
    <row r="44" spans="1:5" ht="15" x14ac:dyDescent="0.15">
      <c r="A44" s="24" t="s">
        <v>29</v>
      </c>
      <c r="B44" s="39">
        <f t="shared" ref="B44:D44" si="8">B40+10*LOG10(B42)</f>
        <v>-93.57117573482212</v>
      </c>
      <c r="C44" s="39" t="s">
        <v>206</v>
      </c>
      <c r="D44" s="39">
        <f t="shared" si="8"/>
        <v>-103.41258560444506</v>
      </c>
      <c r="E44" s="39" t="s">
        <v>206</v>
      </c>
    </row>
    <row r="45" spans="1:5" ht="15" x14ac:dyDescent="0.15">
      <c r="A45" s="19" t="s">
        <v>30</v>
      </c>
      <c r="B45" s="34" t="s">
        <v>57</v>
      </c>
      <c r="C45" s="73">
        <v>-7.4</v>
      </c>
      <c r="D45" s="34" t="s">
        <v>57</v>
      </c>
      <c r="E45" s="73">
        <v>-7.6</v>
      </c>
    </row>
    <row r="46" spans="1:5" ht="15" x14ac:dyDescent="0.15">
      <c r="A46" s="19" t="s">
        <v>31</v>
      </c>
      <c r="B46" s="74">
        <v>5.2</v>
      </c>
      <c r="C46" s="35" t="s">
        <v>57</v>
      </c>
      <c r="D46" s="74">
        <v>11.8</v>
      </c>
      <c r="E46" s="35" t="s">
        <v>57</v>
      </c>
    </row>
    <row r="47" spans="1:5" ht="15" x14ac:dyDescent="0.15">
      <c r="A47" s="19" t="s">
        <v>32</v>
      </c>
      <c r="B47" s="34">
        <v>2</v>
      </c>
      <c r="C47" s="35">
        <v>2</v>
      </c>
      <c r="D47" s="35">
        <v>2</v>
      </c>
      <c r="E47" s="35">
        <v>2</v>
      </c>
    </row>
    <row r="48" spans="1:5" ht="15" x14ac:dyDescent="0.15">
      <c r="A48" s="19" t="s">
        <v>33</v>
      </c>
      <c r="B48" s="34" t="s">
        <v>59</v>
      </c>
      <c r="C48" s="35">
        <v>0</v>
      </c>
      <c r="D48" s="35" t="s">
        <v>59</v>
      </c>
      <c r="E48" s="35">
        <v>0</v>
      </c>
    </row>
    <row r="49" spans="1:5" ht="15" x14ac:dyDescent="0.15">
      <c r="A49" s="19" t="s">
        <v>34</v>
      </c>
      <c r="B49" s="34">
        <v>0.5</v>
      </c>
      <c r="C49" s="35" t="s">
        <v>94</v>
      </c>
      <c r="D49" s="35">
        <v>0.5</v>
      </c>
      <c r="E49" s="35" t="s">
        <v>59</v>
      </c>
    </row>
    <row r="50" spans="1:5" ht="30" x14ac:dyDescent="0.15">
      <c r="A50" s="26" t="s">
        <v>47</v>
      </c>
      <c r="B50" s="39" t="s">
        <v>206</v>
      </c>
      <c r="C50" s="39">
        <f t="shared" ref="C50:E50" si="9">C43+C45+C47-C48</f>
        <v>-98.971175734822125</v>
      </c>
      <c r="D50" s="39" t="s">
        <v>206</v>
      </c>
      <c r="E50" s="39">
        <f t="shared" si="9"/>
        <v>-118.04348547436447</v>
      </c>
    </row>
    <row r="51" spans="1:5" ht="30" x14ac:dyDescent="0.15">
      <c r="A51" s="26" t="s">
        <v>48</v>
      </c>
      <c r="B51" s="39">
        <f t="shared" ref="B51:D51" si="10">B44+B46+B47-B49</f>
        <v>-86.871175734822117</v>
      </c>
      <c r="C51" s="39" t="s">
        <v>206</v>
      </c>
      <c r="D51" s="39">
        <f t="shared" si="10"/>
        <v>-90.112585604445059</v>
      </c>
      <c r="E51" s="39" t="s">
        <v>206</v>
      </c>
    </row>
    <row r="52" spans="1:5" ht="30" x14ac:dyDescent="0.15">
      <c r="A52" s="26" t="s">
        <v>101</v>
      </c>
      <c r="B52" s="39" t="s">
        <v>206</v>
      </c>
      <c r="C52" s="39">
        <f t="shared" ref="C52:E52" si="11">C27+C32+C33-C50</f>
        <v>140.07417530122024</v>
      </c>
      <c r="D52" s="39" t="s">
        <v>206</v>
      </c>
      <c r="E52" s="39">
        <f t="shared" si="11"/>
        <v>157.09498525756354</v>
      </c>
    </row>
    <row r="53" spans="1:5" ht="30" x14ac:dyDescent="0.15">
      <c r="A53" s="26" t="s">
        <v>102</v>
      </c>
      <c r="B53" s="39">
        <f t="shared" ref="B53:D53" si="12">B28+B32+B33-B51</f>
        <v>127.97417530122024</v>
      </c>
      <c r="C53" s="39" t="s">
        <v>206</v>
      </c>
      <c r="D53" s="39">
        <f t="shared" si="12"/>
        <v>129.16408538764412</v>
      </c>
      <c r="E53" s="39" t="s">
        <v>206</v>
      </c>
    </row>
    <row r="54" spans="1:5" x14ac:dyDescent="0.15">
      <c r="A54" s="18" t="s">
        <v>35</v>
      </c>
      <c r="B54" s="37"/>
      <c r="C54" s="37"/>
      <c r="D54" s="37"/>
      <c r="E54" s="37"/>
    </row>
    <row r="55" spans="1:5" ht="15" x14ac:dyDescent="0.15">
      <c r="A55" s="19" t="s">
        <v>36</v>
      </c>
      <c r="B55" s="35">
        <v>4</v>
      </c>
      <c r="C55" s="35">
        <v>4</v>
      </c>
      <c r="D55" s="35">
        <v>4</v>
      </c>
      <c r="E55" s="35">
        <v>4</v>
      </c>
    </row>
    <row r="56" spans="1:5" ht="18" x14ac:dyDescent="0.15">
      <c r="A56" s="27" t="s">
        <v>107</v>
      </c>
      <c r="B56" s="35"/>
      <c r="C56" s="35"/>
      <c r="D56" s="35"/>
      <c r="E56" s="35"/>
    </row>
    <row r="57" spans="1:5" ht="30" x14ac:dyDescent="0.15">
      <c r="A57" s="19" t="s">
        <v>37</v>
      </c>
      <c r="B57" s="42" t="s">
        <v>90</v>
      </c>
      <c r="C57" s="35">
        <v>2.8</v>
      </c>
      <c r="D57" s="42" t="s">
        <v>90</v>
      </c>
      <c r="E57" s="35">
        <v>2.8</v>
      </c>
    </row>
    <row r="58" spans="1:5" ht="30" x14ac:dyDescent="0.15">
      <c r="A58" s="19" t="s">
        <v>38</v>
      </c>
      <c r="B58" s="35">
        <v>0.91</v>
      </c>
      <c r="C58" s="42" t="s">
        <v>90</v>
      </c>
      <c r="D58" s="35">
        <v>0.91</v>
      </c>
      <c r="E58" s="41" t="s">
        <v>90</v>
      </c>
    </row>
    <row r="59" spans="1:5" ht="28.5" customHeight="1" x14ac:dyDescent="0.15">
      <c r="A59" s="19" t="s">
        <v>39</v>
      </c>
      <c r="B59" s="35">
        <v>0</v>
      </c>
      <c r="C59" s="35">
        <v>0</v>
      </c>
      <c r="D59" s="35">
        <v>0</v>
      </c>
      <c r="E59" s="35">
        <v>0</v>
      </c>
    </row>
    <row r="60" spans="1:5" ht="15" x14ac:dyDescent="0.15">
      <c r="A60" s="19" t="s">
        <v>40</v>
      </c>
      <c r="B60" s="35">
        <v>0</v>
      </c>
      <c r="C60" s="35">
        <v>0</v>
      </c>
      <c r="D60" s="35">
        <v>0</v>
      </c>
      <c r="E60" s="35">
        <v>0</v>
      </c>
    </row>
    <row r="61" spans="1:5" ht="15" x14ac:dyDescent="0.15">
      <c r="A61" s="19" t="s">
        <v>41</v>
      </c>
      <c r="B61" s="35">
        <v>0</v>
      </c>
      <c r="C61" s="35">
        <v>0</v>
      </c>
      <c r="D61" s="35">
        <v>0</v>
      </c>
      <c r="E61" s="35">
        <v>0</v>
      </c>
    </row>
    <row r="62" spans="1:5" ht="30" x14ac:dyDescent="0.15">
      <c r="A62" s="26" t="s">
        <v>52</v>
      </c>
      <c r="B62" s="39" t="s">
        <v>206</v>
      </c>
      <c r="C62" s="39">
        <f t="shared" ref="C62:E62" si="13">C52-C57+C59-C60+C61-C34</f>
        <v>136.27417530122023</v>
      </c>
      <c r="D62" s="39" t="s">
        <v>206</v>
      </c>
      <c r="E62" s="39">
        <f t="shared" si="13"/>
        <v>151.29498525756352</v>
      </c>
    </row>
    <row r="63" spans="1:5" ht="30" x14ac:dyDescent="0.15">
      <c r="A63" s="26" t="s">
        <v>49</v>
      </c>
      <c r="B63" s="39">
        <f t="shared" ref="B63:D63" si="14">B53-B58+B59-B60+B61-B34</f>
        <v>126.06417530122025</v>
      </c>
      <c r="C63" s="39" t="s">
        <v>206</v>
      </c>
      <c r="D63" s="39">
        <f t="shared" si="14"/>
        <v>125.25408538764412</v>
      </c>
      <c r="E63" s="39" t="s">
        <v>206</v>
      </c>
    </row>
    <row r="64" spans="1:5" x14ac:dyDescent="0.15">
      <c r="A64" s="18" t="s">
        <v>42</v>
      </c>
      <c r="B64" s="37"/>
      <c r="C64" s="37"/>
      <c r="D64" s="37"/>
      <c r="E64" s="37"/>
    </row>
    <row r="65" spans="1:5" ht="30" x14ac:dyDescent="0.15">
      <c r="A65" s="28" t="s">
        <v>43</v>
      </c>
      <c r="B65" s="35" t="s">
        <v>58</v>
      </c>
      <c r="C65" s="35">
        <f>10^((C62-11.5-20*LOG10(C$4))/43.3)</f>
        <v>401.35892138303569</v>
      </c>
      <c r="D65" s="35" t="s">
        <v>58</v>
      </c>
      <c r="E65" s="35">
        <f>10^((E62-11.5-20*LOG10(E$4))/43.3)</f>
        <v>892.14170877754509</v>
      </c>
    </row>
    <row r="66" spans="1:5" ht="30" x14ac:dyDescent="0.15">
      <c r="A66" s="28" t="s">
        <v>44</v>
      </c>
      <c r="B66" s="35">
        <f>10^((B63-11.5-20*LOG10(B$4))/43.3)</f>
        <v>233.20408528251804</v>
      </c>
      <c r="C66" s="35" t="s">
        <v>58</v>
      </c>
      <c r="D66" s="35">
        <f>10^((D63-11.5-20*LOG10(D$4))/43.3)</f>
        <v>223.37130431800776</v>
      </c>
      <c r="E66" s="35" t="s">
        <v>58</v>
      </c>
    </row>
    <row r="67" spans="1:5" ht="18" x14ac:dyDescent="0.15">
      <c r="A67" s="28" t="s">
        <v>108</v>
      </c>
      <c r="B67" s="35" t="s">
        <v>58</v>
      </c>
      <c r="C67" s="35">
        <f>PI()*(C65)^2</f>
        <v>506075.96799787041</v>
      </c>
      <c r="D67" s="35" t="s">
        <v>58</v>
      </c>
      <c r="E67" s="35">
        <f>PI()*(E65)^2</f>
        <v>2500446.4614113783</v>
      </c>
    </row>
    <row r="68" spans="1:5" ht="18" x14ac:dyDescent="0.15">
      <c r="A68" s="28" t="s">
        <v>109</v>
      </c>
      <c r="B68" s="35">
        <f>PI()*(B66)^2</f>
        <v>170852.8316366988</v>
      </c>
      <c r="C68" s="35" t="s">
        <v>58</v>
      </c>
      <c r="D68" s="35">
        <f>PI()*(D66)^2</f>
        <v>156748.94735729016</v>
      </c>
      <c r="E68" s="35" t="s">
        <v>58</v>
      </c>
    </row>
    <row r="72" spans="1:5" x14ac:dyDescent="0.15">
      <c r="D72" s="31"/>
    </row>
    <row r="73" spans="1:5" x14ac:dyDescent="0.15">
      <c r="D73" s="31"/>
    </row>
  </sheetData>
  <mergeCells count="2">
    <mergeCell ref="D1:E1"/>
    <mergeCell ref="B1:C1"/>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85" zoomScaleNormal="85" workbookViewId="0">
      <pane xSplit="1" ySplit="2" topLeftCell="B51" activePane="bottomRight" state="frozen"/>
      <selection pane="topRight" activeCell="B1" sqref="B1"/>
      <selection pane="bottomLeft" activeCell="A3" sqref="A3"/>
      <selection pane="bottomRight" activeCell="G69" sqref="G69:I69"/>
    </sheetView>
  </sheetViews>
  <sheetFormatPr defaultRowHeight="14.25" x14ac:dyDescent="0.15"/>
  <cols>
    <col min="1" max="1" width="62.125" style="29" bestFit="1" customWidth="1"/>
    <col min="2" max="2" width="16" style="31" customWidth="1"/>
    <col min="3" max="3" width="15.625" style="31" bestFit="1" customWidth="1"/>
    <col min="4" max="4" width="15.25" style="32" customWidth="1"/>
    <col min="5" max="5" width="14.75" style="32" customWidth="1"/>
    <col min="6" max="6" width="13.625" customWidth="1"/>
    <col min="7" max="7" width="13.375" customWidth="1"/>
    <col min="8" max="8" width="12.625" customWidth="1"/>
    <col min="9" max="9" width="12.5" customWidth="1"/>
  </cols>
  <sheetData>
    <row r="1" spans="1:9" x14ac:dyDescent="0.15">
      <c r="A1" s="16" t="s">
        <v>0</v>
      </c>
      <c r="B1" s="208" t="s">
        <v>163</v>
      </c>
      <c r="C1" s="209"/>
      <c r="D1" s="208" t="s">
        <v>164</v>
      </c>
      <c r="E1" s="209"/>
      <c r="F1" s="208" t="s">
        <v>50</v>
      </c>
      <c r="G1" s="209"/>
      <c r="H1" s="208" t="s">
        <v>51</v>
      </c>
      <c r="I1" s="209"/>
    </row>
    <row r="2" spans="1:9" ht="28.5" x14ac:dyDescent="0.15">
      <c r="A2" s="16"/>
      <c r="B2" s="77" t="s">
        <v>153</v>
      </c>
      <c r="C2" s="45" t="s">
        <v>154</v>
      </c>
      <c r="D2" s="77" t="s">
        <v>155</v>
      </c>
      <c r="E2" s="77" t="s">
        <v>156</v>
      </c>
      <c r="F2" s="87" t="s">
        <v>210</v>
      </c>
      <c r="G2" s="88" t="s">
        <v>215</v>
      </c>
      <c r="H2" s="87" t="s">
        <v>216</v>
      </c>
      <c r="I2" s="87" t="s">
        <v>212</v>
      </c>
    </row>
    <row r="3" spans="1:9" x14ac:dyDescent="0.15">
      <c r="A3" s="18" t="s">
        <v>1</v>
      </c>
      <c r="B3" s="30"/>
      <c r="C3" s="30"/>
      <c r="D3" s="30"/>
      <c r="E3" s="30"/>
      <c r="F3" s="30"/>
      <c r="G3" s="30"/>
      <c r="H3" s="30"/>
      <c r="I3" s="30"/>
    </row>
    <row r="4" spans="1:9" ht="15" x14ac:dyDescent="0.15">
      <c r="A4" s="19" t="s">
        <v>2</v>
      </c>
      <c r="B4" s="35">
        <v>4</v>
      </c>
      <c r="C4" s="35">
        <v>4</v>
      </c>
      <c r="D4" s="35">
        <v>4</v>
      </c>
      <c r="E4" s="35">
        <v>4</v>
      </c>
      <c r="F4" s="35">
        <v>4</v>
      </c>
      <c r="G4" s="35">
        <v>4</v>
      </c>
      <c r="H4" s="35">
        <v>4</v>
      </c>
      <c r="I4" s="35">
        <v>4</v>
      </c>
    </row>
    <row r="5" spans="1:9" ht="15" x14ac:dyDescent="0.15">
      <c r="A5" s="19" t="s">
        <v>3</v>
      </c>
      <c r="B5" s="35">
        <v>3</v>
      </c>
      <c r="C5" s="35">
        <v>3</v>
      </c>
      <c r="D5" s="35">
        <v>3</v>
      </c>
      <c r="E5" s="35">
        <v>3</v>
      </c>
      <c r="F5" s="35">
        <v>3</v>
      </c>
      <c r="G5" s="35">
        <v>3</v>
      </c>
      <c r="H5" s="35">
        <v>3</v>
      </c>
      <c r="I5" s="35">
        <v>3</v>
      </c>
    </row>
    <row r="6" spans="1:9" ht="15" x14ac:dyDescent="0.15">
      <c r="A6" s="19" t="s">
        <v>4</v>
      </c>
      <c r="B6" s="34">
        <v>1.5</v>
      </c>
      <c r="C6" s="34">
        <v>1.5</v>
      </c>
      <c r="D6" s="34">
        <v>1.5</v>
      </c>
      <c r="E6" s="34">
        <v>1.5</v>
      </c>
      <c r="F6" s="34">
        <v>1.5</v>
      </c>
      <c r="G6" s="34">
        <v>1.5</v>
      </c>
      <c r="H6" s="34">
        <v>1.5</v>
      </c>
      <c r="I6" s="34">
        <v>1.5</v>
      </c>
    </row>
    <row r="7" spans="1:9" ht="31.5" x14ac:dyDescent="0.15">
      <c r="A7" s="19" t="s">
        <v>103</v>
      </c>
      <c r="B7" s="20" t="s">
        <v>157</v>
      </c>
      <c r="C7" s="21">
        <v>0.95</v>
      </c>
      <c r="D7" s="21" t="s">
        <v>157</v>
      </c>
      <c r="E7" s="21">
        <v>0.95</v>
      </c>
      <c r="F7" s="20" t="s">
        <v>217</v>
      </c>
      <c r="G7" s="21">
        <v>0.95</v>
      </c>
      <c r="H7" s="21" t="s">
        <v>217</v>
      </c>
      <c r="I7" s="21">
        <v>0.95</v>
      </c>
    </row>
    <row r="8" spans="1:9" ht="31.5" x14ac:dyDescent="0.15">
      <c r="A8" s="19" t="s">
        <v>104</v>
      </c>
      <c r="B8" s="20">
        <v>0.9</v>
      </c>
      <c r="C8" s="21" t="s">
        <v>157</v>
      </c>
      <c r="D8" s="21">
        <v>0.9</v>
      </c>
      <c r="E8" s="21" t="s">
        <v>157</v>
      </c>
      <c r="F8" s="20">
        <v>0.9</v>
      </c>
      <c r="G8" s="21" t="s">
        <v>213</v>
      </c>
      <c r="H8" s="21">
        <v>0.9</v>
      </c>
      <c r="I8" s="21" t="s">
        <v>217</v>
      </c>
    </row>
    <row r="9" spans="1:9" ht="15" x14ac:dyDescent="0.15">
      <c r="A9" s="19" t="s">
        <v>5</v>
      </c>
      <c r="B9" s="34" t="s">
        <v>157</v>
      </c>
      <c r="C9" s="35">
        <f>64/(0.001)</f>
        <v>64000</v>
      </c>
      <c r="D9" s="35" t="s">
        <v>157</v>
      </c>
      <c r="E9" s="35">
        <f>2/(0.5*0.001)</f>
        <v>4000</v>
      </c>
      <c r="F9" s="34" t="s">
        <v>217</v>
      </c>
      <c r="G9" s="35">
        <f>64/(0.001)</f>
        <v>64000</v>
      </c>
      <c r="H9" s="35" t="s">
        <v>213</v>
      </c>
      <c r="I9" s="35">
        <f>2/(0.5*0.001)</f>
        <v>4000</v>
      </c>
    </row>
    <row r="10" spans="1:9" ht="15" x14ac:dyDescent="0.15">
      <c r="A10" s="19" t="s">
        <v>6</v>
      </c>
      <c r="B10" s="34">
        <f>4650676*3</f>
        <v>13952028</v>
      </c>
      <c r="C10" s="35" t="s">
        <v>157</v>
      </c>
      <c r="D10" s="36">
        <f>371520*3</f>
        <v>1114560</v>
      </c>
      <c r="E10" s="35" t="s">
        <v>157</v>
      </c>
      <c r="F10" s="34">
        <f>4650676*3</f>
        <v>13952028</v>
      </c>
      <c r="G10" s="35" t="s">
        <v>57</v>
      </c>
      <c r="H10" s="36">
        <f>371520*3</f>
        <v>1114560</v>
      </c>
      <c r="I10" s="35" t="s">
        <v>213</v>
      </c>
    </row>
    <row r="11" spans="1:9" ht="15" x14ac:dyDescent="0.15">
      <c r="A11" s="19" t="s">
        <v>7</v>
      </c>
      <c r="B11" s="20" t="s">
        <v>157</v>
      </c>
      <c r="C11" s="21">
        <v>0.01</v>
      </c>
      <c r="D11" s="21" t="s">
        <v>157</v>
      </c>
      <c r="E11" s="21">
        <v>0.01</v>
      </c>
      <c r="F11" s="20" t="s">
        <v>213</v>
      </c>
      <c r="G11" s="21">
        <v>0.01</v>
      </c>
      <c r="H11" s="21" t="s">
        <v>213</v>
      </c>
      <c r="I11" s="21">
        <v>0.01</v>
      </c>
    </row>
    <row r="12" spans="1:9" ht="15" x14ac:dyDescent="0.15">
      <c r="A12" s="19" t="s">
        <v>8</v>
      </c>
      <c r="B12" s="20">
        <v>0.1</v>
      </c>
      <c r="C12" s="21" t="s">
        <v>157</v>
      </c>
      <c r="D12" s="21">
        <v>0.1</v>
      </c>
      <c r="E12" s="21" t="s">
        <v>157</v>
      </c>
      <c r="F12" s="20">
        <v>0.1</v>
      </c>
      <c r="G12" s="21" t="s">
        <v>213</v>
      </c>
      <c r="H12" s="21">
        <v>0.1</v>
      </c>
      <c r="I12" s="21" t="s">
        <v>213</v>
      </c>
    </row>
    <row r="13" spans="1:9" ht="16.5" x14ac:dyDescent="0.15">
      <c r="A13" s="19" t="s">
        <v>105</v>
      </c>
      <c r="B13" s="34">
        <f>B10/(B42*(4+2*11/14+1*1/14)/10)</f>
        <v>1.3466837097708284</v>
      </c>
      <c r="C13" s="35" t="s">
        <v>157</v>
      </c>
      <c r="D13" s="34">
        <f>D10/(D42*(4+2*2/14+1*1/14)/10)</f>
        <v>1.7763934426229511</v>
      </c>
      <c r="E13" s="35" t="s">
        <v>157</v>
      </c>
      <c r="F13" s="34">
        <f>F10/(F42*(4+2*11/14+1*1/14)/10)</f>
        <v>1.3466837097708284</v>
      </c>
      <c r="G13" s="35" t="s">
        <v>213</v>
      </c>
      <c r="H13" s="34">
        <f>H10/(H42*(4+2*2/14+1*1/14)/10)</f>
        <v>1.7763934426229511</v>
      </c>
      <c r="I13" s="35" t="s">
        <v>213</v>
      </c>
    </row>
    <row r="14" spans="1:9" ht="16.5" x14ac:dyDescent="0.15">
      <c r="A14" s="19" t="s">
        <v>106</v>
      </c>
      <c r="B14" s="35" t="s">
        <v>158</v>
      </c>
      <c r="C14" s="35" t="s">
        <v>158</v>
      </c>
      <c r="D14" s="35" t="s">
        <v>158</v>
      </c>
      <c r="E14" s="35" t="s">
        <v>158</v>
      </c>
      <c r="F14" s="35" t="s">
        <v>214</v>
      </c>
      <c r="G14" s="35" t="s">
        <v>214</v>
      </c>
      <c r="H14" s="35" t="s">
        <v>214</v>
      </c>
      <c r="I14" s="35" t="s">
        <v>214</v>
      </c>
    </row>
    <row r="15" spans="1:9" ht="15" x14ac:dyDescent="0.15">
      <c r="A15" s="19" t="s">
        <v>159</v>
      </c>
      <c r="B15" s="34">
        <v>3</v>
      </c>
      <c r="C15" s="35">
        <v>3</v>
      </c>
      <c r="D15" s="35">
        <v>3</v>
      </c>
      <c r="E15" s="35">
        <v>3</v>
      </c>
      <c r="F15" s="34">
        <v>3</v>
      </c>
      <c r="G15" s="35">
        <v>3</v>
      </c>
      <c r="H15" s="35">
        <v>3</v>
      </c>
      <c r="I15" s="35">
        <v>3</v>
      </c>
    </row>
    <row r="16" spans="1:9" ht="15" x14ac:dyDescent="0.15">
      <c r="A16" s="19" t="s">
        <v>9</v>
      </c>
      <c r="B16" s="34">
        <v>3</v>
      </c>
      <c r="C16" s="35">
        <v>3</v>
      </c>
      <c r="D16" s="35">
        <v>3</v>
      </c>
      <c r="E16" s="35">
        <v>3</v>
      </c>
      <c r="F16" s="34">
        <v>3</v>
      </c>
      <c r="G16" s="35">
        <v>3</v>
      </c>
      <c r="H16" s="35">
        <v>3</v>
      </c>
      <c r="I16" s="35">
        <v>3</v>
      </c>
    </row>
    <row r="17" spans="1:9" x14ac:dyDescent="0.15">
      <c r="A17" s="18" t="s">
        <v>10</v>
      </c>
      <c r="B17" s="37"/>
      <c r="C17" s="37"/>
      <c r="D17" s="37"/>
      <c r="E17" s="37"/>
      <c r="F17" s="37"/>
      <c r="G17" s="37"/>
      <c r="H17" s="37"/>
      <c r="I17" s="37"/>
    </row>
    <row r="18" spans="1:9" ht="30" x14ac:dyDescent="0.15">
      <c r="A18" s="19" t="s">
        <v>160</v>
      </c>
      <c r="B18" s="34">
        <v>32</v>
      </c>
      <c r="C18" s="35">
        <v>32</v>
      </c>
      <c r="D18" s="35">
        <v>2</v>
      </c>
      <c r="E18" s="35">
        <v>2</v>
      </c>
      <c r="F18" s="34">
        <v>32</v>
      </c>
      <c r="G18" s="35">
        <v>32</v>
      </c>
      <c r="H18" s="35">
        <v>2</v>
      </c>
      <c r="I18" s="35">
        <v>2</v>
      </c>
    </row>
    <row r="19" spans="1:9" ht="15" x14ac:dyDescent="0.15">
      <c r="A19" s="19" t="s">
        <v>197</v>
      </c>
      <c r="B19" s="34">
        <v>2</v>
      </c>
      <c r="C19" s="35">
        <v>2</v>
      </c>
      <c r="D19" s="35">
        <v>2</v>
      </c>
      <c r="E19" s="35">
        <v>2</v>
      </c>
      <c r="F19" s="34">
        <v>2</v>
      </c>
      <c r="G19" s="35">
        <v>2</v>
      </c>
      <c r="H19" s="35">
        <v>2</v>
      </c>
      <c r="I19" s="35">
        <v>2</v>
      </c>
    </row>
    <row r="20" spans="1:9" ht="15" x14ac:dyDescent="0.15">
      <c r="A20" s="19" t="s">
        <v>11</v>
      </c>
      <c r="B20" s="34">
        <v>9</v>
      </c>
      <c r="C20" s="35">
        <v>9</v>
      </c>
      <c r="D20" s="35">
        <v>20</v>
      </c>
      <c r="E20" s="35">
        <v>20</v>
      </c>
      <c r="F20" s="34">
        <v>9</v>
      </c>
      <c r="G20" s="35">
        <v>9</v>
      </c>
      <c r="H20" s="35">
        <v>20</v>
      </c>
      <c r="I20" s="35">
        <v>20</v>
      </c>
    </row>
    <row r="21" spans="1:9" ht="30" x14ac:dyDescent="0.15">
      <c r="A21" s="22" t="s">
        <v>161</v>
      </c>
      <c r="B21" s="38">
        <f t="shared" ref="B21:I21" si="0">B20+10*LOG10(B18)</f>
        <v>24.051499783199063</v>
      </c>
      <c r="C21" s="38">
        <f t="shared" si="0"/>
        <v>24.051499783199063</v>
      </c>
      <c r="D21" s="38">
        <f t="shared" si="0"/>
        <v>23.010299956639813</v>
      </c>
      <c r="E21" s="38">
        <f t="shared" si="0"/>
        <v>23.010299956639813</v>
      </c>
      <c r="F21" s="38">
        <f t="shared" si="0"/>
        <v>24.051499783199063</v>
      </c>
      <c r="G21" s="38">
        <f t="shared" si="0"/>
        <v>24.051499783199063</v>
      </c>
      <c r="H21" s="38">
        <f t="shared" si="0"/>
        <v>23.010299956639813</v>
      </c>
      <c r="I21" s="38">
        <f t="shared" si="0"/>
        <v>23.010299956639813</v>
      </c>
    </row>
    <row r="22" spans="1:9" ht="15" x14ac:dyDescent="0.15">
      <c r="A22" s="19" t="s">
        <v>12</v>
      </c>
      <c r="B22" s="34">
        <v>5</v>
      </c>
      <c r="C22" s="35">
        <v>5</v>
      </c>
      <c r="D22" s="35">
        <v>0</v>
      </c>
      <c r="E22" s="35">
        <v>0</v>
      </c>
      <c r="F22" s="34">
        <v>5</v>
      </c>
      <c r="G22" s="35">
        <v>5</v>
      </c>
      <c r="H22" s="35">
        <v>0</v>
      </c>
      <c r="I22" s="35">
        <v>0</v>
      </c>
    </row>
    <row r="23" spans="1:9" ht="45" x14ac:dyDescent="0.15">
      <c r="A23" s="23" t="s">
        <v>13</v>
      </c>
      <c r="B23" s="38">
        <f>IF(B18&gt;=2, 10*LOG10(B18/2), 0)</f>
        <v>12.041199826559248</v>
      </c>
      <c r="C23" s="38">
        <f t="shared" ref="C23:E23" si="1">IF(C18&gt;=2, 10*LOG10(C18/2), 0)</f>
        <v>12.041199826559248</v>
      </c>
      <c r="D23" s="38">
        <f t="shared" si="1"/>
        <v>0</v>
      </c>
      <c r="E23" s="38">
        <f t="shared" si="1"/>
        <v>0</v>
      </c>
      <c r="F23" s="38">
        <f>IF(F18&gt;=2, 10*LOG10(F18/2), 0)</f>
        <v>12.041199826559248</v>
      </c>
      <c r="G23" s="38">
        <f t="shared" ref="G23:I23" si="2">IF(G18&gt;=2, 10*LOG10(G18/2), 0)</f>
        <v>12.041199826559248</v>
      </c>
      <c r="H23" s="38">
        <f t="shared" si="2"/>
        <v>0</v>
      </c>
      <c r="I23" s="38">
        <f t="shared" si="2"/>
        <v>0</v>
      </c>
    </row>
    <row r="24" spans="1:9" ht="15" x14ac:dyDescent="0.15">
      <c r="A24" s="19" t="s">
        <v>14</v>
      </c>
      <c r="B24" s="34">
        <v>0</v>
      </c>
      <c r="C24" s="34">
        <v>0</v>
      </c>
      <c r="D24" s="35">
        <v>0</v>
      </c>
      <c r="E24" s="35">
        <v>0</v>
      </c>
      <c r="F24" s="34">
        <v>0</v>
      </c>
      <c r="G24" s="34">
        <v>0</v>
      </c>
      <c r="H24" s="35">
        <v>0</v>
      </c>
      <c r="I24" s="35">
        <v>0</v>
      </c>
    </row>
    <row r="25" spans="1:9" ht="15" x14ac:dyDescent="0.15">
      <c r="A25" s="19" t="s">
        <v>15</v>
      </c>
      <c r="B25" s="34">
        <v>0</v>
      </c>
      <c r="C25" s="34">
        <v>0</v>
      </c>
      <c r="D25" s="35">
        <v>0</v>
      </c>
      <c r="E25" s="35">
        <v>0</v>
      </c>
      <c r="F25" s="34">
        <v>0</v>
      </c>
      <c r="G25" s="34">
        <v>0</v>
      </c>
      <c r="H25" s="35">
        <v>0</v>
      </c>
      <c r="I25" s="35">
        <v>0</v>
      </c>
    </row>
    <row r="26" spans="1:9" ht="30" x14ac:dyDescent="0.15">
      <c r="A26" s="19" t="s">
        <v>16</v>
      </c>
      <c r="B26" s="34">
        <v>3</v>
      </c>
      <c r="C26" s="34">
        <v>3</v>
      </c>
      <c r="D26" s="34">
        <v>1</v>
      </c>
      <c r="E26" s="34">
        <v>1</v>
      </c>
      <c r="F26" s="34">
        <v>3</v>
      </c>
      <c r="G26" s="34">
        <v>3</v>
      </c>
      <c r="H26" s="34">
        <v>1</v>
      </c>
      <c r="I26" s="34">
        <v>1</v>
      </c>
    </row>
    <row r="27" spans="1:9" ht="15" x14ac:dyDescent="0.15">
      <c r="A27" s="24" t="s">
        <v>17</v>
      </c>
      <c r="B27" s="39">
        <f t="shared" ref="B27:I27" si="3">B21+B22+B23+B24-B26</f>
        <v>38.092699609758313</v>
      </c>
      <c r="C27" s="39">
        <f t="shared" si="3"/>
        <v>38.092699609758313</v>
      </c>
      <c r="D27" s="39">
        <f>D21+D22+D23+D24-D26</f>
        <v>22.010299956639813</v>
      </c>
      <c r="E27" s="39">
        <f t="shared" si="3"/>
        <v>22.010299956639813</v>
      </c>
      <c r="F27" s="39">
        <f t="shared" si="3"/>
        <v>38.092699609758313</v>
      </c>
      <c r="G27" s="39">
        <f t="shared" si="3"/>
        <v>38.092699609758313</v>
      </c>
      <c r="H27" s="39">
        <f>H21+H22+H23+H24-H26</f>
        <v>22.010299956639813</v>
      </c>
      <c r="I27" s="39">
        <f t="shared" si="3"/>
        <v>22.010299956639813</v>
      </c>
    </row>
    <row r="28" spans="1:9" ht="15" x14ac:dyDescent="0.15">
      <c r="A28" s="24" t="s">
        <v>18</v>
      </c>
      <c r="B28" s="39">
        <f t="shared" ref="B28:I28" si="4">B21+B22+B23-B25-B26</f>
        <v>38.092699609758313</v>
      </c>
      <c r="C28" s="39">
        <f t="shared" si="4"/>
        <v>38.092699609758313</v>
      </c>
      <c r="D28" s="39">
        <f t="shared" si="4"/>
        <v>22.010299956639813</v>
      </c>
      <c r="E28" s="39">
        <f t="shared" si="4"/>
        <v>22.010299956639813</v>
      </c>
      <c r="F28" s="39">
        <f t="shared" si="4"/>
        <v>38.092699609758313</v>
      </c>
      <c r="G28" s="39">
        <f t="shared" si="4"/>
        <v>38.092699609758313</v>
      </c>
      <c r="H28" s="39">
        <f t="shared" si="4"/>
        <v>22.010299956639813</v>
      </c>
      <c r="I28" s="39">
        <f t="shared" si="4"/>
        <v>22.010299956639813</v>
      </c>
    </row>
    <row r="29" spans="1:9" x14ac:dyDescent="0.15">
      <c r="A29" s="18" t="s">
        <v>19</v>
      </c>
      <c r="B29" s="37"/>
      <c r="C29" s="37"/>
      <c r="D29" s="37"/>
      <c r="E29" s="37"/>
      <c r="F29" s="37"/>
      <c r="G29" s="37"/>
      <c r="H29" s="37"/>
      <c r="I29" s="37"/>
    </row>
    <row r="30" spans="1:9" ht="30" x14ac:dyDescent="0.15">
      <c r="A30" s="19" t="s">
        <v>132</v>
      </c>
      <c r="B30" s="34">
        <v>4</v>
      </c>
      <c r="C30" s="34">
        <v>4</v>
      </c>
      <c r="D30" s="35">
        <v>32</v>
      </c>
      <c r="E30" s="35">
        <v>32</v>
      </c>
      <c r="F30" s="34">
        <v>4</v>
      </c>
      <c r="G30" s="34">
        <v>4</v>
      </c>
      <c r="H30" s="35">
        <v>32</v>
      </c>
      <c r="I30" s="35">
        <v>32</v>
      </c>
    </row>
    <row r="31" spans="1:9" ht="15" x14ac:dyDescent="0.15">
      <c r="A31" s="19" t="s">
        <v>198</v>
      </c>
      <c r="B31" s="34">
        <v>2</v>
      </c>
      <c r="C31" s="34">
        <v>2</v>
      </c>
      <c r="D31" s="35">
        <v>2</v>
      </c>
      <c r="E31" s="35">
        <v>2</v>
      </c>
      <c r="F31" s="34">
        <v>2</v>
      </c>
      <c r="G31" s="34">
        <v>2</v>
      </c>
      <c r="H31" s="35">
        <v>2</v>
      </c>
      <c r="I31" s="35">
        <v>2</v>
      </c>
    </row>
    <row r="32" spans="1:9" ht="15" x14ac:dyDescent="0.15">
      <c r="A32" s="19" t="s">
        <v>20</v>
      </c>
      <c r="B32" s="34">
        <v>0</v>
      </c>
      <c r="C32" s="34">
        <v>0</v>
      </c>
      <c r="D32" s="35">
        <v>5</v>
      </c>
      <c r="E32" s="35">
        <v>5</v>
      </c>
      <c r="F32" s="34">
        <v>0</v>
      </c>
      <c r="G32" s="34">
        <v>0</v>
      </c>
      <c r="H32" s="35">
        <v>5</v>
      </c>
      <c r="I32" s="35">
        <v>5</v>
      </c>
    </row>
    <row r="33" spans="1:9" ht="28.5" x14ac:dyDescent="0.15">
      <c r="A33" s="25" t="s">
        <v>202</v>
      </c>
      <c r="B33" s="40">
        <f t="shared" ref="B33:I33" si="5">IF(B30&gt;=2, 10*LOG10(B30/2), 0)</f>
        <v>3.0102999566398121</v>
      </c>
      <c r="C33" s="40">
        <f t="shared" si="5"/>
        <v>3.0102999566398121</v>
      </c>
      <c r="D33" s="40">
        <f t="shared" si="5"/>
        <v>12.041199826559248</v>
      </c>
      <c r="E33" s="40">
        <f t="shared" si="5"/>
        <v>12.041199826559248</v>
      </c>
      <c r="F33" s="40">
        <f t="shared" si="5"/>
        <v>3.0102999566398121</v>
      </c>
      <c r="G33" s="40">
        <f t="shared" si="5"/>
        <v>3.0102999566398121</v>
      </c>
      <c r="H33" s="40">
        <f t="shared" si="5"/>
        <v>12.041199826559248</v>
      </c>
      <c r="I33" s="40">
        <f t="shared" si="5"/>
        <v>12.041199826559248</v>
      </c>
    </row>
    <row r="34" spans="1:9" ht="30" x14ac:dyDescent="0.15">
      <c r="A34" s="19" t="s">
        <v>207</v>
      </c>
      <c r="B34" s="34">
        <v>1</v>
      </c>
      <c r="C34" s="34">
        <v>1</v>
      </c>
      <c r="D34" s="34">
        <v>3</v>
      </c>
      <c r="E34" s="34">
        <v>3</v>
      </c>
      <c r="F34" s="34">
        <v>1</v>
      </c>
      <c r="G34" s="34">
        <v>1</v>
      </c>
      <c r="H34" s="34">
        <v>3</v>
      </c>
      <c r="I34" s="34">
        <v>3</v>
      </c>
    </row>
    <row r="35" spans="1:9" ht="15" x14ac:dyDescent="0.15">
      <c r="A35" s="19" t="s">
        <v>22</v>
      </c>
      <c r="B35" s="35">
        <v>7</v>
      </c>
      <c r="C35" s="35">
        <v>7</v>
      </c>
      <c r="D35" s="35">
        <v>5</v>
      </c>
      <c r="E35" s="35">
        <v>5</v>
      </c>
      <c r="F35" s="35">
        <v>7</v>
      </c>
      <c r="G35" s="35">
        <v>7</v>
      </c>
      <c r="H35" s="35">
        <v>5</v>
      </c>
      <c r="I35" s="35">
        <v>5</v>
      </c>
    </row>
    <row r="36" spans="1:9" ht="15" x14ac:dyDescent="0.15">
      <c r="A36" s="19" t="s">
        <v>23</v>
      </c>
      <c r="B36" s="35">
        <v>-174</v>
      </c>
      <c r="C36" s="35">
        <v>-174</v>
      </c>
      <c r="D36" s="35">
        <v>-174</v>
      </c>
      <c r="E36" s="35">
        <v>-174</v>
      </c>
      <c r="F36" s="35">
        <v>-174</v>
      </c>
      <c r="G36" s="35">
        <v>-174</v>
      </c>
      <c r="H36" s="35">
        <v>-174</v>
      </c>
      <c r="I36" s="35">
        <v>-174</v>
      </c>
    </row>
    <row r="37" spans="1:9" ht="30" x14ac:dyDescent="0.15">
      <c r="A37" s="19" t="s">
        <v>24</v>
      </c>
      <c r="B37" s="34" t="s">
        <v>157</v>
      </c>
      <c r="C37" s="35">
        <v>-174</v>
      </c>
      <c r="D37" s="35" t="s">
        <v>157</v>
      </c>
      <c r="E37" s="35">
        <v>-174.9</v>
      </c>
      <c r="F37" s="34" t="s">
        <v>57</v>
      </c>
      <c r="G37" s="35">
        <v>-174</v>
      </c>
      <c r="H37" s="35" t="s">
        <v>213</v>
      </c>
      <c r="I37" s="35">
        <v>-174.9</v>
      </c>
    </row>
    <row r="38" spans="1:9" ht="15" x14ac:dyDescent="0.15">
      <c r="A38" s="19" t="s">
        <v>25</v>
      </c>
      <c r="B38" s="34">
        <v>-174</v>
      </c>
      <c r="C38" s="35" t="s">
        <v>157</v>
      </c>
      <c r="D38" s="35">
        <v>-174.9</v>
      </c>
      <c r="E38" s="35" t="s">
        <v>157</v>
      </c>
      <c r="F38" s="34">
        <v>-174</v>
      </c>
      <c r="G38" s="35" t="s">
        <v>213</v>
      </c>
      <c r="H38" s="35">
        <v>-174.9</v>
      </c>
      <c r="I38" s="35" t="s">
        <v>213</v>
      </c>
    </row>
    <row r="39" spans="1:9" ht="45" x14ac:dyDescent="0.15">
      <c r="A39" s="26" t="s">
        <v>45</v>
      </c>
      <c r="B39" s="39" t="s">
        <v>208</v>
      </c>
      <c r="C39" s="39">
        <f t="shared" ref="C39:E39" si="6">10*LOG10(10^((C35+C36)/10)+10^(C37/10))</f>
        <v>-166.20990250347435</v>
      </c>
      <c r="D39" s="39" t="s">
        <v>208</v>
      </c>
      <c r="E39" s="39">
        <f t="shared" si="6"/>
        <v>-168.00651048203736</v>
      </c>
      <c r="F39" s="39" t="s">
        <v>213</v>
      </c>
      <c r="G39" s="39">
        <f t="shared" ref="G39:I39" si="7">10*LOG10(10^((G35+G36)/10)+10^(G37/10))</f>
        <v>-166.20990250347435</v>
      </c>
      <c r="H39" s="39" t="s">
        <v>213</v>
      </c>
      <c r="I39" s="39">
        <f t="shared" si="7"/>
        <v>-168.00651048203736</v>
      </c>
    </row>
    <row r="40" spans="1:9" ht="30" x14ac:dyDescent="0.15">
      <c r="A40" s="26" t="s">
        <v>46</v>
      </c>
      <c r="B40" s="39">
        <f t="shared" ref="B40:D40" si="8">10*LOG10(10^((B35+B36)/10)+10^(B38/10))</f>
        <v>-166.20990250347435</v>
      </c>
      <c r="C40" s="39" t="s">
        <v>208</v>
      </c>
      <c r="D40" s="39">
        <f t="shared" si="8"/>
        <v>-168.00651048203736</v>
      </c>
      <c r="E40" s="39" t="s">
        <v>208</v>
      </c>
      <c r="F40" s="39">
        <f t="shared" ref="F40:H40" si="9">10*LOG10(10^((F35+F36)/10)+10^(F38/10))</f>
        <v>-166.20990250347435</v>
      </c>
      <c r="G40" s="39" t="s">
        <v>213</v>
      </c>
      <c r="H40" s="39">
        <f t="shared" si="9"/>
        <v>-168.00651048203736</v>
      </c>
      <c r="I40" s="39" t="s">
        <v>213</v>
      </c>
    </row>
    <row r="41" spans="1:9" ht="30" x14ac:dyDescent="0.15">
      <c r="A41" s="19" t="s">
        <v>26</v>
      </c>
      <c r="B41" s="34" t="s">
        <v>157</v>
      </c>
      <c r="C41" s="34">
        <f>'[1]NR MaxN_RB'!F6*12*15*1000</f>
        <v>19080000</v>
      </c>
      <c r="D41" s="35" t="s">
        <v>157</v>
      </c>
      <c r="E41" s="35">
        <f>1*12*30*1000</f>
        <v>360000</v>
      </c>
      <c r="F41" s="34" t="s">
        <v>213</v>
      </c>
      <c r="G41" s="34">
        <f>MaxN_RB!F7*12*30*1000</f>
        <v>18360000</v>
      </c>
      <c r="H41" s="35" t="s">
        <v>213</v>
      </c>
      <c r="I41" s="35">
        <f>1*12*30*1000</f>
        <v>360000</v>
      </c>
    </row>
    <row r="42" spans="1:9" ht="30" x14ac:dyDescent="0.15">
      <c r="A42" s="19" t="s">
        <v>27</v>
      </c>
      <c r="B42" s="34">
        <f>'[1]NR MaxN_RB'!$F$7*12*30*1000</f>
        <v>18360000</v>
      </c>
      <c r="C42" s="35" t="s">
        <v>157</v>
      </c>
      <c r="D42" s="34">
        <f>4*12*30*1000</f>
        <v>1440000</v>
      </c>
      <c r="E42" s="35" t="s">
        <v>157</v>
      </c>
      <c r="F42" s="34">
        <f>MaxN_RB!F7*12*30*1000</f>
        <v>18360000</v>
      </c>
      <c r="G42" s="35" t="s">
        <v>213</v>
      </c>
      <c r="H42" s="34">
        <f>4*12*30*1000</f>
        <v>1440000</v>
      </c>
      <c r="I42" s="35" t="s">
        <v>217</v>
      </c>
    </row>
    <row r="43" spans="1:9" ht="15" x14ac:dyDescent="0.15">
      <c r="A43" s="24" t="s">
        <v>28</v>
      </c>
      <c r="B43" s="39" t="s">
        <v>208</v>
      </c>
      <c r="C43" s="39">
        <f t="shared" ref="C43:E43" si="10">C39+10*LOG10(C41)</f>
        <v>-93.404118799793594</v>
      </c>
      <c r="D43" s="39" t="s">
        <v>208</v>
      </c>
      <c r="E43" s="39">
        <f t="shared" si="10"/>
        <v>-112.44348547436448</v>
      </c>
      <c r="F43" s="39" t="s">
        <v>217</v>
      </c>
      <c r="G43" s="39">
        <f t="shared" ref="G43:I43" si="11">G39+10*LOG10(G41)</f>
        <v>-93.57117573482212</v>
      </c>
      <c r="H43" s="39" t="s">
        <v>217</v>
      </c>
      <c r="I43" s="39">
        <f t="shared" si="11"/>
        <v>-112.44348547436448</v>
      </c>
    </row>
    <row r="44" spans="1:9" ht="15" x14ac:dyDescent="0.15">
      <c r="A44" s="24" t="s">
        <v>29</v>
      </c>
      <c r="B44" s="39">
        <f>B40+10*LOG10(B42)</f>
        <v>-93.57117573482212</v>
      </c>
      <c r="C44" s="39" t="s">
        <v>208</v>
      </c>
      <c r="D44" s="39">
        <f>D40+10*LOG10(D42)</f>
        <v>-106.42288556108485</v>
      </c>
      <c r="E44" s="39" t="s">
        <v>208</v>
      </c>
      <c r="F44" s="39">
        <f>F40+10*LOG10(F42)</f>
        <v>-93.57117573482212</v>
      </c>
      <c r="G44" s="39" t="s">
        <v>217</v>
      </c>
      <c r="H44" s="39">
        <f>H40+10*LOG10(H42)</f>
        <v>-106.42288556108485</v>
      </c>
      <c r="I44" s="39" t="s">
        <v>217</v>
      </c>
    </row>
    <row r="45" spans="1:9" ht="15" x14ac:dyDescent="0.15">
      <c r="A45" s="19" t="s">
        <v>30</v>
      </c>
      <c r="B45" s="34" t="s">
        <v>157</v>
      </c>
      <c r="C45" s="74">
        <v>-4.8</v>
      </c>
      <c r="D45" s="34" t="s">
        <v>157</v>
      </c>
      <c r="E45" s="74">
        <v>-8</v>
      </c>
      <c r="F45" s="74" t="s">
        <v>217</v>
      </c>
      <c r="G45" s="74">
        <v>-9.4</v>
      </c>
      <c r="H45" s="74" t="s">
        <v>213</v>
      </c>
      <c r="I45" s="74">
        <v>-10.199999999999999</v>
      </c>
    </row>
    <row r="46" spans="1:9" ht="15" x14ac:dyDescent="0.15">
      <c r="A46" s="19" t="s">
        <v>31</v>
      </c>
      <c r="B46" s="74">
        <v>6.3</v>
      </c>
      <c r="C46" s="34" t="s">
        <v>157</v>
      </c>
      <c r="D46" s="74">
        <v>14.24</v>
      </c>
      <c r="E46" s="34" t="s">
        <v>157</v>
      </c>
      <c r="F46" s="74">
        <v>3.5</v>
      </c>
      <c r="G46" s="74" t="s">
        <v>217</v>
      </c>
      <c r="H46" s="74">
        <v>8.9499999999999993</v>
      </c>
      <c r="I46" s="74" t="s">
        <v>217</v>
      </c>
    </row>
    <row r="47" spans="1:9" ht="15" x14ac:dyDescent="0.15">
      <c r="A47" s="19" t="s">
        <v>32</v>
      </c>
      <c r="B47" s="34">
        <v>2</v>
      </c>
      <c r="C47" s="35">
        <v>2</v>
      </c>
      <c r="D47" s="35">
        <v>2</v>
      </c>
      <c r="E47" s="35">
        <v>2</v>
      </c>
      <c r="F47" s="34">
        <v>2</v>
      </c>
      <c r="G47" s="35">
        <v>2</v>
      </c>
      <c r="H47" s="35">
        <v>2</v>
      </c>
      <c r="I47" s="35">
        <v>2</v>
      </c>
    </row>
    <row r="48" spans="1:9" ht="15" x14ac:dyDescent="0.15">
      <c r="A48" s="19" t="s">
        <v>33</v>
      </c>
      <c r="B48" s="34" t="s">
        <v>157</v>
      </c>
      <c r="C48" s="35">
        <v>0</v>
      </c>
      <c r="D48" s="35" t="s">
        <v>157</v>
      </c>
      <c r="E48" s="35">
        <v>0</v>
      </c>
      <c r="F48" s="34" t="s">
        <v>217</v>
      </c>
      <c r="G48" s="35">
        <v>0</v>
      </c>
      <c r="H48" s="35" t="s">
        <v>217</v>
      </c>
      <c r="I48" s="35">
        <v>0</v>
      </c>
    </row>
    <row r="49" spans="1:9" ht="15" x14ac:dyDescent="0.15">
      <c r="A49" s="19" t="s">
        <v>34</v>
      </c>
      <c r="B49" s="34">
        <v>0.5</v>
      </c>
      <c r="C49" s="35" t="s">
        <v>157</v>
      </c>
      <c r="D49" s="35">
        <v>0.5</v>
      </c>
      <c r="E49" s="35" t="s">
        <v>157</v>
      </c>
      <c r="F49" s="34">
        <v>0.5</v>
      </c>
      <c r="G49" s="35" t="s">
        <v>217</v>
      </c>
      <c r="H49" s="35">
        <v>0.5</v>
      </c>
      <c r="I49" s="35" t="s">
        <v>217</v>
      </c>
    </row>
    <row r="50" spans="1:9" ht="30" x14ac:dyDescent="0.15">
      <c r="A50" s="26" t="s">
        <v>47</v>
      </c>
      <c r="B50" s="39" t="s">
        <v>208</v>
      </c>
      <c r="C50" s="39">
        <f t="shared" ref="C50:E50" si="12">C43+C45+C47-C48</f>
        <v>-96.204118799793591</v>
      </c>
      <c r="D50" s="39" t="s">
        <v>208</v>
      </c>
      <c r="E50" s="39">
        <f t="shared" si="12"/>
        <v>-118.44348547436448</v>
      </c>
      <c r="F50" s="39" t="s">
        <v>218</v>
      </c>
      <c r="G50" s="39">
        <f t="shared" ref="G50:I50" si="13">G43+G45+G47-G48</f>
        <v>-100.97117573482213</v>
      </c>
      <c r="H50" s="39" t="s">
        <v>57</v>
      </c>
      <c r="I50" s="39">
        <f t="shared" si="13"/>
        <v>-120.64348547436448</v>
      </c>
    </row>
    <row r="51" spans="1:9" ht="30" x14ac:dyDescent="0.15">
      <c r="A51" s="26" t="s">
        <v>48</v>
      </c>
      <c r="B51" s="39">
        <f t="shared" ref="B51:D51" si="14">B44+B46+B47-B49</f>
        <v>-85.771175734822123</v>
      </c>
      <c r="C51" s="39" t="s">
        <v>208</v>
      </c>
      <c r="D51" s="39">
        <f t="shared" si="14"/>
        <v>-90.682885561084859</v>
      </c>
      <c r="E51" s="39" t="s">
        <v>208</v>
      </c>
      <c r="F51" s="39">
        <f t="shared" ref="F51:H51" si="15">F44+F46+F47-F49</f>
        <v>-88.57117573482212</v>
      </c>
      <c r="G51" s="39" t="s">
        <v>217</v>
      </c>
      <c r="H51" s="39">
        <f t="shared" si="15"/>
        <v>-95.972885561084851</v>
      </c>
      <c r="I51" s="39" t="s">
        <v>217</v>
      </c>
    </row>
    <row r="52" spans="1:9" ht="30" x14ac:dyDescent="0.15">
      <c r="A52" s="26" t="s">
        <v>101</v>
      </c>
      <c r="B52" s="39" t="s">
        <v>208</v>
      </c>
      <c r="C52" s="39">
        <f t="shared" ref="C52:E52" si="16">C27+C32+C33-C50</f>
        <v>137.30711836619173</v>
      </c>
      <c r="D52" s="39" t="s">
        <v>208</v>
      </c>
      <c r="E52" s="39">
        <f t="shared" si="16"/>
        <v>157.49498525756354</v>
      </c>
      <c r="F52" s="39" t="s">
        <v>57</v>
      </c>
      <c r="G52" s="39">
        <f t="shared" ref="G52:I52" si="17">G27+G32+G33-G50</f>
        <v>142.07417530122024</v>
      </c>
      <c r="H52" s="39" t="s">
        <v>217</v>
      </c>
      <c r="I52" s="39">
        <f t="shared" si="17"/>
        <v>159.69498525756353</v>
      </c>
    </row>
    <row r="53" spans="1:9" ht="30" x14ac:dyDescent="0.15">
      <c r="A53" s="26" t="s">
        <v>102</v>
      </c>
      <c r="B53" s="39">
        <f t="shared" ref="B53:D53" si="18">B28+B32+B33-B51</f>
        <v>126.87417530122025</v>
      </c>
      <c r="C53" s="39" t="s">
        <v>208</v>
      </c>
      <c r="D53" s="39">
        <f t="shared" si="18"/>
        <v>129.73438534428391</v>
      </c>
      <c r="E53" s="39" t="s">
        <v>208</v>
      </c>
      <c r="F53" s="39">
        <f t="shared" ref="F53:H53" si="19">F28+F32+F33-F51</f>
        <v>129.67417530122026</v>
      </c>
      <c r="G53" s="39" t="s">
        <v>217</v>
      </c>
      <c r="H53" s="39">
        <f t="shared" si="19"/>
        <v>135.02438534428393</v>
      </c>
      <c r="I53" s="39" t="s">
        <v>213</v>
      </c>
    </row>
    <row r="54" spans="1:9" x14ac:dyDescent="0.15">
      <c r="A54" s="18" t="s">
        <v>35</v>
      </c>
      <c r="B54" s="37"/>
      <c r="C54" s="37"/>
      <c r="D54" s="37"/>
      <c r="E54" s="37"/>
      <c r="F54" s="37"/>
      <c r="G54" s="37"/>
      <c r="H54" s="37"/>
      <c r="I54" s="37"/>
    </row>
    <row r="55" spans="1:9" ht="15" x14ac:dyDescent="0.15">
      <c r="A55" s="19" t="s">
        <v>36</v>
      </c>
      <c r="B55" s="35">
        <v>4</v>
      </c>
      <c r="C55" s="35">
        <v>4</v>
      </c>
      <c r="D55" s="35">
        <v>4</v>
      </c>
      <c r="E55" s="35">
        <v>4</v>
      </c>
      <c r="F55" s="73">
        <v>3</v>
      </c>
      <c r="G55" s="73">
        <v>3</v>
      </c>
      <c r="H55" s="73">
        <v>3</v>
      </c>
      <c r="I55" s="73">
        <v>3</v>
      </c>
    </row>
    <row r="56" spans="1:9" ht="30" x14ac:dyDescent="0.15">
      <c r="A56" s="79" t="s">
        <v>37</v>
      </c>
      <c r="B56" s="80" t="s">
        <v>157</v>
      </c>
      <c r="C56" s="34">
        <v>2.8</v>
      </c>
      <c r="D56" s="80" t="s">
        <v>157</v>
      </c>
      <c r="E56" s="34">
        <v>2.8</v>
      </c>
      <c r="F56" s="85" t="s">
        <v>217</v>
      </c>
      <c r="G56" s="74">
        <v>2.98</v>
      </c>
      <c r="H56" s="85" t="s">
        <v>213</v>
      </c>
      <c r="I56" s="74">
        <v>2.98</v>
      </c>
    </row>
    <row r="57" spans="1:9" ht="30" x14ac:dyDescent="0.15">
      <c r="A57" s="79" t="s">
        <v>38</v>
      </c>
      <c r="B57" s="34">
        <v>0.91</v>
      </c>
      <c r="C57" s="80" t="s">
        <v>157</v>
      </c>
      <c r="D57" s="34">
        <v>0.91</v>
      </c>
      <c r="E57" s="81" t="s">
        <v>157</v>
      </c>
      <c r="F57" s="74">
        <v>1.72</v>
      </c>
      <c r="G57" s="85" t="s">
        <v>213</v>
      </c>
      <c r="H57" s="74">
        <v>1.72</v>
      </c>
      <c r="I57" s="86" t="s">
        <v>213</v>
      </c>
    </row>
    <row r="58" spans="1:9" ht="15" x14ac:dyDescent="0.15">
      <c r="A58" s="19" t="s">
        <v>39</v>
      </c>
      <c r="B58" s="35">
        <v>0</v>
      </c>
      <c r="C58" s="35">
        <v>0</v>
      </c>
      <c r="D58" s="35">
        <v>0</v>
      </c>
      <c r="E58" s="35">
        <v>0</v>
      </c>
      <c r="F58" s="35">
        <v>0</v>
      </c>
      <c r="G58" s="35">
        <v>0</v>
      </c>
      <c r="H58" s="35">
        <v>0</v>
      </c>
      <c r="I58" s="35">
        <v>0</v>
      </c>
    </row>
    <row r="59" spans="1:9" ht="15" x14ac:dyDescent="0.15">
      <c r="A59" s="79" t="s">
        <v>40</v>
      </c>
      <c r="B59" s="34">
        <v>0</v>
      </c>
      <c r="C59" s="34">
        <v>0</v>
      </c>
      <c r="D59" s="34">
        <v>0</v>
      </c>
      <c r="E59" s="34">
        <v>0</v>
      </c>
      <c r="F59" s="34">
        <v>0</v>
      </c>
      <c r="G59" s="34">
        <v>0</v>
      </c>
      <c r="H59" s="34">
        <v>0</v>
      </c>
      <c r="I59" s="34">
        <v>0</v>
      </c>
    </row>
    <row r="60" spans="1:9" ht="15" x14ac:dyDescent="0.15">
      <c r="A60" s="19" t="s">
        <v>41</v>
      </c>
      <c r="B60" s="35">
        <v>0</v>
      </c>
      <c r="C60" s="35">
        <v>0</v>
      </c>
      <c r="D60" s="35">
        <v>0</v>
      </c>
      <c r="E60" s="35">
        <v>0</v>
      </c>
      <c r="F60" s="35">
        <v>0</v>
      </c>
      <c r="G60" s="35">
        <v>0</v>
      </c>
      <c r="H60" s="35">
        <v>0</v>
      </c>
      <c r="I60" s="35">
        <v>0</v>
      </c>
    </row>
    <row r="61" spans="1:9" ht="30" x14ac:dyDescent="0.15">
      <c r="A61" s="26" t="s">
        <v>162</v>
      </c>
      <c r="B61" s="39" t="s">
        <v>208</v>
      </c>
      <c r="C61" s="39">
        <f>C52-C56+C58-C59+C60-C34</f>
        <v>133.50711836619172</v>
      </c>
      <c r="D61" s="39" t="s">
        <v>208</v>
      </c>
      <c r="E61" s="39">
        <f>E52-E56+E58-E59+E60-E34</f>
        <v>151.69498525756353</v>
      </c>
      <c r="F61" s="39" t="s">
        <v>217</v>
      </c>
      <c r="G61" s="39">
        <f>G52-G56+G58-G59+G60-G34</f>
        <v>138.09417530122025</v>
      </c>
      <c r="H61" s="39" t="s">
        <v>217</v>
      </c>
      <c r="I61" s="39">
        <f>I52-I56+I58-I59+I60-I34</f>
        <v>153.71498525756354</v>
      </c>
    </row>
    <row r="62" spans="1:9" ht="30" x14ac:dyDescent="0.15">
      <c r="A62" s="26" t="s">
        <v>49</v>
      </c>
      <c r="B62" s="39">
        <f>B53-B57+B58-B59+B60-B34</f>
        <v>124.96417530122025</v>
      </c>
      <c r="C62" s="39" t="s">
        <v>208</v>
      </c>
      <c r="D62" s="39">
        <f>D53-D57+D58-D59+D60-D34</f>
        <v>125.82438534428391</v>
      </c>
      <c r="E62" s="39" t="s">
        <v>208</v>
      </c>
      <c r="F62" s="39">
        <f>F53-F57+F58-F59+F60-F34</f>
        <v>126.95417530122026</v>
      </c>
      <c r="G62" s="39" t="s">
        <v>213</v>
      </c>
      <c r="H62" s="39">
        <f>H53-H57+H58-H59+H60-H34</f>
        <v>130.30438534428393</v>
      </c>
      <c r="I62" s="39" t="s">
        <v>213</v>
      </c>
    </row>
    <row r="63" spans="1:9" x14ac:dyDescent="0.15">
      <c r="A63" s="18" t="s">
        <v>42</v>
      </c>
      <c r="B63" s="37"/>
      <c r="C63" s="37"/>
      <c r="D63" s="37"/>
      <c r="E63" s="37"/>
      <c r="F63" s="37"/>
      <c r="G63" s="37"/>
      <c r="H63" s="37"/>
      <c r="I63" s="37"/>
    </row>
    <row r="64" spans="1:9" ht="30" x14ac:dyDescent="0.15">
      <c r="A64" s="28" t="s">
        <v>43</v>
      </c>
      <c r="B64" s="35" t="s">
        <v>157</v>
      </c>
      <c r="C64" s="35">
        <f>10^((C61-11.5-20*LOG10(C$4))/43.3)</f>
        <v>346.44045769166104</v>
      </c>
      <c r="D64" s="35" t="s">
        <v>157</v>
      </c>
      <c r="E64" s="35">
        <f>10^((E61-11.5-20*LOG10(E$4))/43.3)</f>
        <v>911.32171538329658</v>
      </c>
      <c r="F64" s="35" t="s">
        <v>218</v>
      </c>
      <c r="G64" s="35">
        <f>10^((G61-11.5-20*LOG10(G$4))/43.3)</f>
        <v>442.14554497648703</v>
      </c>
      <c r="H64" s="35" t="s">
        <v>57</v>
      </c>
      <c r="I64" s="35">
        <f>10^((I61-11.5-20*LOG10(I$4))/43.3)</f>
        <v>1014.6657222880842</v>
      </c>
    </row>
    <row r="65" spans="1:9" ht="30" x14ac:dyDescent="0.15">
      <c r="A65" s="28" t="s">
        <v>44</v>
      </c>
      <c r="B65" s="35">
        <f>10^((B62-11.5-20*LOG10(B$4))/43.3)</f>
        <v>219.95406726128317</v>
      </c>
      <c r="C65" s="35" t="s">
        <v>157</v>
      </c>
      <c r="D65" s="35">
        <f>10^((D62-11.5-20*LOG10(D$4))/43.3)</f>
        <v>230.24927949247808</v>
      </c>
      <c r="E65" s="35" t="s">
        <v>157</v>
      </c>
      <c r="F65" s="35">
        <f>10^((F62-11.5-20*LOG10(F$4))/43.3)</f>
        <v>244.50650996464879</v>
      </c>
      <c r="G65" s="35" t="s">
        <v>213</v>
      </c>
      <c r="H65" s="35">
        <f>10^((H62-11.5-20*LOG10(H$4))/43.3)</f>
        <v>292.18807222957889</v>
      </c>
      <c r="I65" s="35" t="s">
        <v>213</v>
      </c>
    </row>
    <row r="66" spans="1:9" ht="18" x14ac:dyDescent="0.15">
      <c r="A66" s="28" t="s">
        <v>108</v>
      </c>
      <c r="B66" s="35" t="s">
        <v>157</v>
      </c>
      <c r="C66" s="35">
        <f>PI()*(C64)^2</f>
        <v>377057.06274013745</v>
      </c>
      <c r="D66" s="35" t="s">
        <v>157</v>
      </c>
      <c r="E66" s="35">
        <f>PI()*(E64)^2</f>
        <v>2609115.5348207536</v>
      </c>
      <c r="F66" s="35" t="s">
        <v>217</v>
      </c>
      <c r="G66" s="35">
        <f>PI()*(G64)^2</f>
        <v>614158.3765628885</v>
      </c>
      <c r="H66" s="35" t="s">
        <v>57</v>
      </c>
      <c r="I66" s="35">
        <f>PI()*(I64)^2</f>
        <v>3234415.8088509515</v>
      </c>
    </row>
    <row r="67" spans="1:9" ht="18" x14ac:dyDescent="0.15">
      <c r="A67" s="28" t="s">
        <v>109</v>
      </c>
      <c r="B67" s="35">
        <f>PI()*(B65)^2</f>
        <v>151989.59820194467</v>
      </c>
      <c r="C67" s="35" t="s">
        <v>157</v>
      </c>
      <c r="D67" s="35">
        <f>PI()*(D65)^2</f>
        <v>166550.68852054072</v>
      </c>
      <c r="E67" s="35" t="s">
        <v>157</v>
      </c>
      <c r="F67" s="35">
        <f>PI()*(F65)^2</f>
        <v>187815.1952232304</v>
      </c>
      <c r="G67" s="35" t="s">
        <v>219</v>
      </c>
      <c r="H67" s="35">
        <f>PI()*(H65)^2</f>
        <v>268209.9213969846</v>
      </c>
      <c r="I67" s="35" t="s">
        <v>217</v>
      </c>
    </row>
    <row r="69" spans="1:9" x14ac:dyDescent="0.15">
      <c r="F69" s="116"/>
      <c r="G69" s="116"/>
      <c r="H69" s="116"/>
      <c r="I69" s="116"/>
    </row>
  </sheetData>
  <mergeCells count="4">
    <mergeCell ref="B1:C1"/>
    <mergeCell ref="D1:E1"/>
    <mergeCell ref="F1:G1"/>
    <mergeCell ref="H1:I1"/>
  </mergeCells>
  <phoneticPr fontId="1" type="noConversion"/>
  <dataValidations count="1">
    <dataValidation type="list" allowBlank="1" showInputMessage="1" showErrorMessage="1" sqref="D34:E34 B26:C26 H34:I34 F26:G26">
      <formula1>"0,3"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zoomScale="85" zoomScaleNormal="85" workbookViewId="0">
      <pane xSplit="1" ySplit="2" topLeftCell="B60" activePane="bottomRight" state="frozen"/>
      <selection pane="topRight"/>
      <selection pane="bottomLeft"/>
      <selection pane="bottomRight" activeCell="D65" sqref="D65"/>
    </sheetView>
  </sheetViews>
  <sheetFormatPr defaultColWidth="9" defaultRowHeight="14.25" x14ac:dyDescent="0.15"/>
  <cols>
    <col min="1" max="1" width="46.875" style="105" customWidth="1"/>
    <col min="2" max="2" width="16" style="127" customWidth="1"/>
    <col min="3" max="3" width="17.875" style="127" customWidth="1"/>
    <col min="4" max="4" width="15.25" style="128" customWidth="1"/>
    <col min="5" max="5" width="14.75" style="128" customWidth="1"/>
    <col min="6" max="16384" width="9" style="1"/>
  </cols>
  <sheetData>
    <row r="1" spans="1:5" x14ac:dyDescent="0.15">
      <c r="A1" s="90" t="s">
        <v>0</v>
      </c>
      <c r="B1" s="224" t="s">
        <v>339</v>
      </c>
      <c r="C1" s="224"/>
      <c r="D1" s="224" t="s">
        <v>340</v>
      </c>
      <c r="E1" s="224"/>
    </row>
    <row r="2" spans="1:5" ht="42.75" x14ac:dyDescent="0.15">
      <c r="A2" s="90"/>
      <c r="B2" s="129" t="s">
        <v>240</v>
      </c>
      <c r="C2" s="129" t="s">
        <v>241</v>
      </c>
      <c r="D2" s="129" t="s">
        <v>242</v>
      </c>
      <c r="E2" s="129" t="s">
        <v>243</v>
      </c>
    </row>
    <row r="3" spans="1:5" ht="15" customHeight="1" x14ac:dyDescent="0.15">
      <c r="A3" s="91" t="s">
        <v>1</v>
      </c>
      <c r="B3" s="117"/>
      <c r="C3" s="117"/>
      <c r="D3" s="117"/>
      <c r="E3" s="117"/>
    </row>
    <row r="4" spans="1:5" ht="15" x14ac:dyDescent="0.15">
      <c r="A4" s="118" t="s">
        <v>2</v>
      </c>
      <c r="B4" s="93">
        <v>4</v>
      </c>
      <c r="C4" s="93">
        <v>4</v>
      </c>
      <c r="D4" s="93">
        <v>4</v>
      </c>
      <c r="E4" s="93">
        <v>4</v>
      </c>
    </row>
    <row r="5" spans="1:5" ht="15" x14ac:dyDescent="0.15">
      <c r="A5" s="118" t="s">
        <v>3</v>
      </c>
      <c r="B5" s="93">
        <v>3</v>
      </c>
      <c r="C5" s="93">
        <v>3</v>
      </c>
      <c r="D5" s="93">
        <v>3</v>
      </c>
      <c r="E5" s="93">
        <v>3</v>
      </c>
    </row>
    <row r="6" spans="1:5" ht="15" x14ac:dyDescent="0.15">
      <c r="A6" s="118" t="s">
        <v>4</v>
      </c>
      <c r="B6" s="84">
        <v>1.5</v>
      </c>
      <c r="C6" s="84">
        <v>1.5</v>
      </c>
      <c r="D6" s="84">
        <v>1.5</v>
      </c>
      <c r="E6" s="84">
        <v>1.5</v>
      </c>
    </row>
    <row r="7" spans="1:5" ht="46.5" x14ac:dyDescent="0.15">
      <c r="A7" s="118" t="s">
        <v>244</v>
      </c>
      <c r="B7" s="94" t="s">
        <v>245</v>
      </c>
      <c r="C7" s="119">
        <v>0.95</v>
      </c>
      <c r="D7" s="119" t="s">
        <v>245</v>
      </c>
      <c r="E7" s="119">
        <v>0.95</v>
      </c>
    </row>
    <row r="8" spans="1:5" ht="31.5" x14ac:dyDescent="0.15">
      <c r="A8" s="118" t="s">
        <v>246</v>
      </c>
      <c r="B8" s="94">
        <v>0.9</v>
      </c>
      <c r="C8" s="119" t="s">
        <v>245</v>
      </c>
      <c r="D8" s="119">
        <v>0.9</v>
      </c>
      <c r="E8" s="119" t="s">
        <v>245</v>
      </c>
    </row>
    <row r="9" spans="1:5" ht="15" x14ac:dyDescent="0.15">
      <c r="A9" s="118" t="s">
        <v>5</v>
      </c>
      <c r="B9" s="84" t="s">
        <v>245</v>
      </c>
      <c r="C9" s="93">
        <f>64/(0.5*0.001)</f>
        <v>128000</v>
      </c>
      <c r="D9" s="93" t="s">
        <v>245</v>
      </c>
      <c r="E9" s="93">
        <f>2/(0.5*0.001)</f>
        <v>4000</v>
      </c>
    </row>
    <row r="10" spans="1:5" ht="15" x14ac:dyDescent="0.15">
      <c r="A10" s="118" t="s">
        <v>6</v>
      </c>
      <c r="B10" s="84">
        <f>4650676*3</f>
        <v>13952028</v>
      </c>
      <c r="C10" s="93" t="s">
        <v>245</v>
      </c>
      <c r="D10" s="108">
        <f>371520*3</f>
        <v>1114560</v>
      </c>
      <c r="E10" s="93" t="s">
        <v>245</v>
      </c>
    </row>
    <row r="11" spans="1:5" ht="30" x14ac:dyDescent="0.15">
      <c r="A11" s="118" t="s">
        <v>7</v>
      </c>
      <c r="B11" s="94" t="s">
        <v>245</v>
      </c>
      <c r="C11" s="119">
        <v>0.01</v>
      </c>
      <c r="D11" s="119" t="s">
        <v>245</v>
      </c>
      <c r="E11" s="119">
        <v>0.01</v>
      </c>
    </row>
    <row r="12" spans="1:5" ht="30" x14ac:dyDescent="0.15">
      <c r="A12" s="118" t="s">
        <v>8</v>
      </c>
      <c r="B12" s="94">
        <v>0.1</v>
      </c>
      <c r="C12" s="119" t="s">
        <v>245</v>
      </c>
      <c r="D12" s="119">
        <v>0.1</v>
      </c>
      <c r="E12" s="119" t="s">
        <v>245</v>
      </c>
    </row>
    <row r="13" spans="1:5" s="100" customFormat="1" ht="16.5" x14ac:dyDescent="0.15">
      <c r="A13" s="118" t="s">
        <v>247</v>
      </c>
      <c r="B13" s="120">
        <f>B10/(B42*(5+2*11/14)/10)</f>
        <v>1.156391446433646</v>
      </c>
      <c r="C13" s="120" t="s">
        <v>245</v>
      </c>
      <c r="D13" s="120">
        <f>D10/(D42*(3+2*3/14)/10)</f>
        <v>2.2574999999999998</v>
      </c>
      <c r="E13" s="120" t="s">
        <v>245</v>
      </c>
    </row>
    <row r="14" spans="1:5" ht="16.5" x14ac:dyDescent="0.15">
      <c r="A14" s="118" t="s">
        <v>248</v>
      </c>
      <c r="B14" s="93" t="s">
        <v>249</v>
      </c>
      <c r="C14" s="93" t="s">
        <v>249</v>
      </c>
      <c r="D14" s="93" t="s">
        <v>249</v>
      </c>
      <c r="E14" s="93" t="s">
        <v>249</v>
      </c>
    </row>
    <row r="15" spans="1:5" ht="15" x14ac:dyDescent="0.15">
      <c r="A15" s="118" t="s">
        <v>250</v>
      </c>
      <c r="B15" s="84">
        <v>3</v>
      </c>
      <c r="C15" s="93">
        <v>3</v>
      </c>
      <c r="D15" s="93">
        <v>3</v>
      </c>
      <c r="E15" s="93">
        <v>3</v>
      </c>
    </row>
    <row r="16" spans="1:5" ht="15" x14ac:dyDescent="0.15">
      <c r="A16" s="118" t="s">
        <v>9</v>
      </c>
      <c r="B16" s="84">
        <v>3</v>
      </c>
      <c r="C16" s="93">
        <v>3</v>
      </c>
      <c r="D16" s="93">
        <v>3</v>
      </c>
      <c r="E16" s="93">
        <v>3</v>
      </c>
    </row>
    <row r="17" spans="1:5" ht="15" customHeight="1" x14ac:dyDescent="0.15">
      <c r="A17" s="118" t="s">
        <v>10</v>
      </c>
      <c r="B17" s="92"/>
      <c r="C17" s="92"/>
      <c r="D17" s="92"/>
      <c r="E17" s="92"/>
    </row>
    <row r="18" spans="1:5" ht="30" x14ac:dyDescent="0.15">
      <c r="A18" s="118" t="s">
        <v>251</v>
      </c>
      <c r="B18" s="84">
        <v>32</v>
      </c>
      <c r="C18" s="93">
        <v>32</v>
      </c>
      <c r="D18" s="93">
        <v>2</v>
      </c>
      <c r="E18" s="93">
        <v>2</v>
      </c>
    </row>
    <row r="19" spans="1:5" ht="15" x14ac:dyDescent="0.15">
      <c r="A19" s="118" t="s">
        <v>252</v>
      </c>
      <c r="B19" s="84">
        <v>2</v>
      </c>
      <c r="C19" s="93">
        <v>2</v>
      </c>
      <c r="D19" s="93">
        <v>2</v>
      </c>
      <c r="E19" s="93">
        <v>2</v>
      </c>
    </row>
    <row r="20" spans="1:5" ht="15" x14ac:dyDescent="0.15">
      <c r="A20" s="118" t="s">
        <v>11</v>
      </c>
      <c r="B20" s="84">
        <v>9</v>
      </c>
      <c r="C20" s="93">
        <v>9</v>
      </c>
      <c r="D20" s="93">
        <v>20</v>
      </c>
      <c r="E20" s="93">
        <v>20</v>
      </c>
    </row>
    <row r="21" spans="1:5" ht="45" x14ac:dyDescent="0.15">
      <c r="A21" s="121" t="s">
        <v>253</v>
      </c>
      <c r="B21" s="122">
        <f>B20+10*LOG10(B18)</f>
        <v>24.051499783199063</v>
      </c>
      <c r="C21" s="122">
        <f>C20+10*LOG10(C18)</f>
        <v>24.051499783199063</v>
      </c>
      <c r="D21" s="122">
        <f>D20+10*LOG10(D18)</f>
        <v>23.010299956639813</v>
      </c>
      <c r="E21" s="122">
        <f>E20+10*LOG10(E18)</f>
        <v>23.010299956639813</v>
      </c>
    </row>
    <row r="22" spans="1:5" ht="15" x14ac:dyDescent="0.15">
      <c r="A22" s="118" t="s">
        <v>12</v>
      </c>
      <c r="B22" s="84">
        <v>5</v>
      </c>
      <c r="C22" s="93">
        <v>5</v>
      </c>
      <c r="D22" s="93">
        <v>0</v>
      </c>
      <c r="E22" s="93">
        <v>0</v>
      </c>
    </row>
    <row r="23" spans="1:5" ht="45" x14ac:dyDescent="0.15">
      <c r="A23" s="123" t="s">
        <v>13</v>
      </c>
      <c r="B23" s="122">
        <f>IF(B18&gt;=2,10*LOG10(B18/2),0)</f>
        <v>12.041199826559248</v>
      </c>
      <c r="C23" s="122">
        <f>IF(C18&gt;=2,10*LOG10(C18/2),0)</f>
        <v>12.041199826559248</v>
      </c>
      <c r="D23" s="122">
        <f>IF(D18&gt;=2,10*LOG10(D18/2),0)</f>
        <v>0</v>
      </c>
      <c r="E23" s="122">
        <f>IF(E18&gt;=2,10*LOG10(E18/2),0)</f>
        <v>0</v>
      </c>
    </row>
    <row r="24" spans="1:5" ht="15" x14ac:dyDescent="0.15">
      <c r="A24" s="118" t="s">
        <v>14</v>
      </c>
      <c r="B24" s="84">
        <v>0</v>
      </c>
      <c r="C24" s="84">
        <v>0</v>
      </c>
      <c r="D24" s="93">
        <v>0</v>
      </c>
      <c r="E24" s="93">
        <v>0</v>
      </c>
    </row>
    <row r="25" spans="1:5" ht="15" x14ac:dyDescent="0.15">
      <c r="A25" s="118" t="s">
        <v>15</v>
      </c>
      <c r="B25" s="84">
        <v>0</v>
      </c>
      <c r="C25" s="84">
        <v>0</v>
      </c>
      <c r="D25" s="93">
        <v>0</v>
      </c>
      <c r="E25" s="93">
        <v>0</v>
      </c>
    </row>
    <row r="26" spans="1:5" ht="45" x14ac:dyDescent="0.15">
      <c r="A26" s="118" t="s">
        <v>16</v>
      </c>
      <c r="B26" s="84">
        <v>3</v>
      </c>
      <c r="C26" s="84">
        <v>3</v>
      </c>
      <c r="D26" s="93">
        <v>1</v>
      </c>
      <c r="E26" s="93">
        <v>1</v>
      </c>
    </row>
    <row r="27" spans="1:5" ht="15" x14ac:dyDescent="0.15">
      <c r="A27" s="95" t="s">
        <v>17</v>
      </c>
      <c r="B27" s="96">
        <f>B21+B22+B23+B24-B26</f>
        <v>38.092699609758313</v>
      </c>
      <c r="C27" s="96">
        <f>C21+C22+C23+C24-C26</f>
        <v>38.092699609758313</v>
      </c>
      <c r="D27" s="96">
        <f>D21+D22+D23+D24-D26</f>
        <v>22.010299956639813</v>
      </c>
      <c r="E27" s="96">
        <f>E21+E22+E23+E24-E26</f>
        <v>22.010299956639813</v>
      </c>
    </row>
    <row r="28" spans="1:5" ht="15" x14ac:dyDescent="0.15">
      <c r="A28" s="95" t="s">
        <v>18</v>
      </c>
      <c r="B28" s="96">
        <f>B21+B22+B23-B25-B26</f>
        <v>38.092699609758313</v>
      </c>
      <c r="C28" s="96">
        <f>C21+C22+C23-C25-C26</f>
        <v>38.092699609758313</v>
      </c>
      <c r="D28" s="96">
        <f>D21+D22+D23-D25-D26</f>
        <v>22.010299956639813</v>
      </c>
      <c r="E28" s="96">
        <f>E21+E22+E23-E25-E26</f>
        <v>22.010299956639813</v>
      </c>
    </row>
    <row r="29" spans="1:5" x14ac:dyDescent="0.15">
      <c r="A29" s="91" t="s">
        <v>19</v>
      </c>
      <c r="B29" s="92"/>
      <c r="C29" s="92"/>
      <c r="D29" s="92"/>
      <c r="E29" s="92"/>
    </row>
    <row r="30" spans="1:5" ht="30" x14ac:dyDescent="0.15">
      <c r="A30" s="118" t="s">
        <v>254</v>
      </c>
      <c r="B30" s="84">
        <v>4</v>
      </c>
      <c r="C30" s="84">
        <v>4</v>
      </c>
      <c r="D30" s="93">
        <v>32</v>
      </c>
      <c r="E30" s="93">
        <v>32</v>
      </c>
    </row>
    <row r="31" spans="1:5" ht="15" x14ac:dyDescent="0.15">
      <c r="A31" s="118" t="s">
        <v>255</v>
      </c>
      <c r="B31" s="84">
        <v>2</v>
      </c>
      <c r="C31" s="84">
        <v>2</v>
      </c>
      <c r="D31" s="93">
        <v>2</v>
      </c>
      <c r="E31" s="93">
        <v>2</v>
      </c>
    </row>
    <row r="32" spans="1:5" ht="15" x14ac:dyDescent="0.15">
      <c r="A32" s="118" t="s">
        <v>20</v>
      </c>
      <c r="B32" s="84">
        <v>0</v>
      </c>
      <c r="C32" s="84">
        <v>0</v>
      </c>
      <c r="D32" s="93">
        <v>5</v>
      </c>
      <c r="E32" s="93">
        <v>5</v>
      </c>
    </row>
    <row r="33" spans="1:5" ht="42.75" x14ac:dyDescent="0.15">
      <c r="A33" s="124" t="s">
        <v>256</v>
      </c>
      <c r="B33" s="125">
        <f>IF(B30&gt;=2,10*LOG10(B30/2),0)</f>
        <v>3.0102999566398121</v>
      </c>
      <c r="C33" s="125">
        <f>IF(C30&gt;=2,10*LOG10(C30/2),0)</f>
        <v>3.0102999566398121</v>
      </c>
      <c r="D33" s="125">
        <f>IF(D30&gt;=2,10*LOG10(D30/2),0)</f>
        <v>12.041199826559248</v>
      </c>
      <c r="E33" s="125">
        <f>IF(E30&gt;=2,10*LOG10(E30/2),0)</f>
        <v>12.041199826559248</v>
      </c>
    </row>
    <row r="34" spans="1:5" ht="45" x14ac:dyDescent="0.15">
      <c r="A34" s="118" t="s">
        <v>21</v>
      </c>
      <c r="B34" s="84">
        <v>1</v>
      </c>
      <c r="C34" s="84">
        <v>1</v>
      </c>
      <c r="D34" s="93">
        <v>3</v>
      </c>
      <c r="E34" s="93">
        <v>3</v>
      </c>
    </row>
    <row r="35" spans="1:5" ht="15" x14ac:dyDescent="0.15">
      <c r="A35" s="118" t="s">
        <v>22</v>
      </c>
      <c r="B35" s="93">
        <v>7</v>
      </c>
      <c r="C35" s="93">
        <v>7</v>
      </c>
      <c r="D35" s="93">
        <v>5</v>
      </c>
      <c r="E35" s="93">
        <v>5</v>
      </c>
    </row>
    <row r="36" spans="1:5" ht="15" x14ac:dyDescent="0.15">
      <c r="A36" s="118" t="s">
        <v>23</v>
      </c>
      <c r="B36" s="93">
        <v>-174</v>
      </c>
      <c r="C36" s="93">
        <v>-174</v>
      </c>
      <c r="D36" s="93">
        <v>-174</v>
      </c>
      <c r="E36" s="93">
        <v>-174</v>
      </c>
    </row>
    <row r="37" spans="1:5" ht="30" x14ac:dyDescent="0.15">
      <c r="A37" s="118" t="s">
        <v>24</v>
      </c>
      <c r="B37" s="84" t="s">
        <v>245</v>
      </c>
      <c r="C37" s="93">
        <v>-174</v>
      </c>
      <c r="D37" s="93" t="s">
        <v>245</v>
      </c>
      <c r="E37" s="93">
        <v>-174.9</v>
      </c>
    </row>
    <row r="38" spans="1:5" ht="15" x14ac:dyDescent="0.15">
      <c r="A38" s="118" t="s">
        <v>25</v>
      </c>
      <c r="B38" s="84">
        <v>-174</v>
      </c>
      <c r="C38" s="93" t="s">
        <v>245</v>
      </c>
      <c r="D38" s="93">
        <v>-174.9</v>
      </c>
      <c r="E38" s="93" t="s">
        <v>245</v>
      </c>
    </row>
    <row r="39" spans="1:5" ht="45" x14ac:dyDescent="0.15">
      <c r="A39" s="97" t="s">
        <v>45</v>
      </c>
      <c r="B39" s="96" t="s">
        <v>245</v>
      </c>
      <c r="C39" s="96">
        <f>10*LOG10(10^((C35+C36)/10)+10^(C37/10))</f>
        <v>-166.20990250347435</v>
      </c>
      <c r="D39" s="96" t="s">
        <v>245</v>
      </c>
      <c r="E39" s="96">
        <f>10*LOG10(10^((E35+E36)/10)+10^(E37/10))</f>
        <v>-168.00651048203736</v>
      </c>
    </row>
    <row r="40" spans="1:5" ht="45" x14ac:dyDescent="0.15">
      <c r="A40" s="97" t="s">
        <v>46</v>
      </c>
      <c r="B40" s="96">
        <f>10*LOG10(10^((B35+B36)/10)+10^(B38/10))</f>
        <v>-166.20990250347435</v>
      </c>
      <c r="C40" s="96" t="s">
        <v>245</v>
      </c>
      <c r="D40" s="96">
        <f>10*LOG10(10^((D35+D36)/10)+10^(D38/10))</f>
        <v>-168.00651048203736</v>
      </c>
      <c r="E40" s="96" t="s">
        <v>245</v>
      </c>
    </row>
    <row r="41" spans="1:5" ht="30" x14ac:dyDescent="0.15">
      <c r="A41" s="118" t="s">
        <v>26</v>
      </c>
      <c r="B41" s="84" t="s">
        <v>245</v>
      </c>
      <c r="C41" s="84">
        <f>MaxN_RB!$F$7*12*30*1000</f>
        <v>18360000</v>
      </c>
      <c r="D41" s="93" t="s">
        <v>245</v>
      </c>
      <c r="E41" s="93">
        <f>1*12*30*1000</f>
        <v>360000</v>
      </c>
    </row>
    <row r="42" spans="1:5" ht="30" x14ac:dyDescent="0.15">
      <c r="A42" s="118" t="s">
        <v>27</v>
      </c>
      <c r="B42" s="84">
        <f>MaxN_RB!$F$7*12*30*1000</f>
        <v>18360000</v>
      </c>
      <c r="C42" s="93" t="s">
        <v>245</v>
      </c>
      <c r="D42" s="93">
        <f>4*12*30*1000</f>
        <v>1440000</v>
      </c>
      <c r="E42" s="93" t="s">
        <v>245</v>
      </c>
    </row>
    <row r="43" spans="1:5" ht="30" x14ac:dyDescent="0.15">
      <c r="A43" s="95" t="s">
        <v>28</v>
      </c>
      <c r="B43" s="96" t="s">
        <v>245</v>
      </c>
      <c r="C43" s="96">
        <f>C39+10*LOG10(C41)</f>
        <v>-93.57117573482212</v>
      </c>
      <c r="D43" s="96" t="s">
        <v>245</v>
      </c>
      <c r="E43" s="96">
        <f>E39+10*LOG10(E41)</f>
        <v>-112.44348547436448</v>
      </c>
    </row>
    <row r="44" spans="1:5" ht="30" x14ac:dyDescent="0.15">
      <c r="A44" s="95" t="s">
        <v>29</v>
      </c>
      <c r="B44" s="96">
        <f>B40+10*LOG10(B42)</f>
        <v>-93.57117573482212</v>
      </c>
      <c r="C44" s="96" t="s">
        <v>245</v>
      </c>
      <c r="D44" s="96">
        <f>D40+10*LOG10(D42)</f>
        <v>-106.42288556108485</v>
      </c>
      <c r="E44" s="96" t="s">
        <v>245</v>
      </c>
    </row>
    <row r="45" spans="1:5" ht="15" x14ac:dyDescent="0.15">
      <c r="A45" s="118" t="s">
        <v>30</v>
      </c>
      <c r="B45" s="84" t="s">
        <v>245</v>
      </c>
      <c r="C45" s="99">
        <f>(-7.3-6.19)/2</f>
        <v>-6.7450000000000001</v>
      </c>
      <c r="D45" s="84" t="s">
        <v>245</v>
      </c>
      <c r="E45" s="99">
        <f>(-8.2-7.6)/2</f>
        <v>-7.8999999999999995</v>
      </c>
    </row>
    <row r="46" spans="1:5" ht="15" x14ac:dyDescent="0.15">
      <c r="A46" s="118" t="s">
        <v>31</v>
      </c>
      <c r="B46" s="99">
        <f>(6+6.92)/2</f>
        <v>6.46</v>
      </c>
      <c r="C46" s="84" t="s">
        <v>245</v>
      </c>
      <c r="D46" s="99">
        <f>(10.4+10.28)/2</f>
        <v>10.34</v>
      </c>
      <c r="E46" s="84" t="s">
        <v>245</v>
      </c>
    </row>
    <row r="47" spans="1:5" ht="15" x14ac:dyDescent="0.15">
      <c r="A47" s="118" t="s">
        <v>32</v>
      </c>
      <c r="B47" s="84">
        <v>2</v>
      </c>
      <c r="C47" s="93">
        <v>2</v>
      </c>
      <c r="D47" s="93">
        <v>2</v>
      </c>
      <c r="E47" s="93">
        <v>2</v>
      </c>
    </row>
    <row r="48" spans="1:5" ht="15" x14ac:dyDescent="0.15">
      <c r="A48" s="118" t="s">
        <v>33</v>
      </c>
      <c r="B48" s="84" t="s">
        <v>245</v>
      </c>
      <c r="C48" s="93">
        <v>0</v>
      </c>
      <c r="D48" s="93" t="s">
        <v>245</v>
      </c>
      <c r="E48" s="93">
        <v>0</v>
      </c>
    </row>
    <row r="49" spans="1:5" ht="15" x14ac:dyDescent="0.15">
      <c r="A49" s="118" t="s">
        <v>34</v>
      </c>
      <c r="B49" s="84">
        <v>0.5</v>
      </c>
      <c r="C49" s="93" t="s">
        <v>245</v>
      </c>
      <c r="D49" s="93">
        <v>0.5</v>
      </c>
      <c r="E49" s="93" t="s">
        <v>245</v>
      </c>
    </row>
    <row r="50" spans="1:5" ht="30" x14ac:dyDescent="0.15">
      <c r="A50" s="97" t="s">
        <v>47</v>
      </c>
      <c r="B50" s="96" t="s">
        <v>245</v>
      </c>
      <c r="C50" s="96">
        <f>C43+C45+C47-C48</f>
        <v>-98.316175734822124</v>
      </c>
      <c r="D50" s="96" t="s">
        <v>245</v>
      </c>
      <c r="E50" s="96">
        <f>E43+E45+E47-E48</f>
        <v>-118.34348547436448</v>
      </c>
    </row>
    <row r="51" spans="1:5" ht="30" x14ac:dyDescent="0.15">
      <c r="A51" s="97" t="s">
        <v>48</v>
      </c>
      <c r="B51" s="96">
        <f>B44+B46+B47-B49</f>
        <v>-85.611175734822126</v>
      </c>
      <c r="C51" s="96" t="s">
        <v>245</v>
      </c>
      <c r="D51" s="96">
        <f>D44+D46+D47-D49</f>
        <v>-94.582885561084851</v>
      </c>
      <c r="E51" s="96" t="s">
        <v>245</v>
      </c>
    </row>
    <row r="52" spans="1:5" ht="30" x14ac:dyDescent="0.15">
      <c r="A52" s="97" t="s">
        <v>101</v>
      </c>
      <c r="B52" s="96" t="s">
        <v>245</v>
      </c>
      <c r="C52" s="96">
        <f>C27+C32+C33-C50</f>
        <v>139.41917530122026</v>
      </c>
      <c r="D52" s="96" t="s">
        <v>245</v>
      </c>
      <c r="E52" s="96">
        <f>E27+E32+E33-E50</f>
        <v>157.39498525756355</v>
      </c>
    </row>
    <row r="53" spans="1:5" ht="30" x14ac:dyDescent="0.15">
      <c r="A53" s="97" t="s">
        <v>102</v>
      </c>
      <c r="B53" s="96">
        <f>B28+B32+B33-B51</f>
        <v>126.71417530122025</v>
      </c>
      <c r="C53" s="96" t="s">
        <v>245</v>
      </c>
      <c r="D53" s="96">
        <f>D28+D32+D33-D51</f>
        <v>133.63438534428391</v>
      </c>
      <c r="E53" s="96" t="s">
        <v>245</v>
      </c>
    </row>
    <row r="54" spans="1:5" x14ac:dyDescent="0.15">
      <c r="A54" s="91" t="s">
        <v>35</v>
      </c>
      <c r="B54" s="92"/>
      <c r="C54" s="92"/>
      <c r="D54" s="92"/>
      <c r="E54" s="92"/>
    </row>
    <row r="55" spans="1:5" ht="15" x14ac:dyDescent="0.15">
      <c r="A55" s="118" t="s">
        <v>36</v>
      </c>
      <c r="B55" s="93">
        <v>4</v>
      </c>
      <c r="C55" s="93">
        <v>4</v>
      </c>
      <c r="D55" s="93">
        <v>4</v>
      </c>
      <c r="E55" s="93">
        <v>4</v>
      </c>
    </row>
    <row r="56" spans="1:5" ht="30" x14ac:dyDescent="0.15">
      <c r="A56" s="98" t="s">
        <v>37</v>
      </c>
      <c r="B56" s="102" t="s">
        <v>245</v>
      </c>
      <c r="C56" s="93">
        <v>2.8</v>
      </c>
      <c r="D56" s="102" t="s">
        <v>245</v>
      </c>
      <c r="E56" s="93">
        <v>2.8</v>
      </c>
    </row>
    <row r="57" spans="1:5" ht="30" x14ac:dyDescent="0.15">
      <c r="A57" s="98" t="s">
        <v>38</v>
      </c>
      <c r="B57" s="93">
        <v>0.91</v>
      </c>
      <c r="C57" s="102" t="s">
        <v>245</v>
      </c>
      <c r="D57" s="93">
        <v>0.91</v>
      </c>
      <c r="E57" s="126" t="s">
        <v>245</v>
      </c>
    </row>
    <row r="58" spans="1:5" ht="15" x14ac:dyDescent="0.15">
      <c r="A58" s="118" t="s">
        <v>39</v>
      </c>
      <c r="B58" s="93">
        <v>0</v>
      </c>
      <c r="C58" s="93">
        <v>0</v>
      </c>
      <c r="D58" s="93">
        <v>0</v>
      </c>
      <c r="E58" s="93">
        <v>0</v>
      </c>
    </row>
    <row r="59" spans="1:5" ht="28.5" customHeight="1" x14ac:dyDescent="0.15">
      <c r="A59" s="98" t="s">
        <v>40</v>
      </c>
      <c r="B59" s="93">
        <v>0</v>
      </c>
      <c r="C59" s="93">
        <v>0</v>
      </c>
      <c r="D59" s="93">
        <v>0</v>
      </c>
      <c r="E59" s="93">
        <v>0</v>
      </c>
    </row>
    <row r="60" spans="1:5" ht="15" x14ac:dyDescent="0.15">
      <c r="A60" s="118" t="s">
        <v>41</v>
      </c>
      <c r="B60" s="93">
        <v>0</v>
      </c>
      <c r="C60" s="93">
        <v>0</v>
      </c>
      <c r="D60" s="93">
        <v>0</v>
      </c>
      <c r="E60" s="93">
        <v>0</v>
      </c>
    </row>
    <row r="61" spans="1:5" ht="30" x14ac:dyDescent="0.15">
      <c r="A61" s="97" t="s">
        <v>257</v>
      </c>
      <c r="B61" s="96" t="s">
        <v>245</v>
      </c>
      <c r="C61" s="96">
        <f>C52-C56+C58-C59+C60-C34</f>
        <v>135.61917530122025</v>
      </c>
      <c r="D61" s="96" t="s">
        <v>245</v>
      </c>
      <c r="E61" s="96">
        <f>E52-E56+E58-E59+E60-E34</f>
        <v>151.59498525756354</v>
      </c>
    </row>
    <row r="62" spans="1:5" ht="30" x14ac:dyDescent="0.15">
      <c r="A62" s="97" t="s">
        <v>49</v>
      </c>
      <c r="B62" s="96">
        <f>B53-B57+B58-B59+B60-B34</f>
        <v>124.80417530122025</v>
      </c>
      <c r="C62" s="96" t="s">
        <v>245</v>
      </c>
      <c r="D62" s="96">
        <f>D53-D57+D58-D59+D60-D34</f>
        <v>129.72438534428392</v>
      </c>
      <c r="E62" s="96" t="s">
        <v>245</v>
      </c>
    </row>
    <row r="63" spans="1:5" x14ac:dyDescent="0.15">
      <c r="A63" s="91" t="s">
        <v>42</v>
      </c>
      <c r="B63" s="92"/>
      <c r="C63" s="92"/>
      <c r="D63" s="92"/>
      <c r="E63" s="92"/>
    </row>
    <row r="64" spans="1:5" ht="45" x14ac:dyDescent="0.15">
      <c r="A64" s="103" t="s">
        <v>43</v>
      </c>
      <c r="B64" s="93" t="s">
        <v>245</v>
      </c>
      <c r="C64" s="93">
        <f>10^((C61-11.5-20*LOG10(C$4))/43.3)</f>
        <v>387.61975267258595</v>
      </c>
      <c r="D64" s="93" t="s">
        <v>245</v>
      </c>
      <c r="E64" s="93">
        <f>10^((E61-11.5-20*LOG10(E$4))/43.3)</f>
        <v>906.48839828631401</v>
      </c>
    </row>
    <row r="65" spans="1:5" ht="45" x14ac:dyDescent="0.15">
      <c r="A65" s="103" t="s">
        <v>44</v>
      </c>
      <c r="B65" s="93">
        <f>10^((B62-11.5-20*LOG10(B$4))/43.3)</f>
        <v>218.09054962594581</v>
      </c>
      <c r="C65" s="93" t="s">
        <v>245</v>
      </c>
      <c r="D65" s="93">
        <f>10^((D62-11.5-20*LOG10(D$4))/43.3)</f>
        <v>283.3136921852892</v>
      </c>
      <c r="E65" s="93" t="s">
        <v>245</v>
      </c>
    </row>
    <row r="66" spans="1:5" ht="18" x14ac:dyDescent="0.15">
      <c r="A66" s="103" t="s">
        <v>258</v>
      </c>
      <c r="B66" s="93" t="s">
        <v>245</v>
      </c>
      <c r="C66" s="93">
        <f>PI()*(C64)^2</f>
        <v>472021.38288348221</v>
      </c>
      <c r="D66" s="93" t="s">
        <v>245</v>
      </c>
      <c r="E66" s="93">
        <f>PI()*(E64)^2</f>
        <v>2581513.3361997716</v>
      </c>
    </row>
    <row r="67" spans="1:5" ht="18" x14ac:dyDescent="0.15">
      <c r="A67" s="103" t="s">
        <v>259</v>
      </c>
      <c r="B67" s="93">
        <f>PI()*(B65)^2</f>
        <v>149425.10396514731</v>
      </c>
      <c r="C67" s="93" t="s">
        <v>245</v>
      </c>
      <c r="D67" s="93">
        <f>PI()*(D65)^2</f>
        <v>252165.1122494989</v>
      </c>
      <c r="E67" s="93" t="s">
        <v>245</v>
      </c>
    </row>
    <row r="69" spans="1:5" x14ac:dyDescent="0.15">
      <c r="D69" s="127"/>
      <c r="E69" s="127"/>
    </row>
    <row r="70" spans="1:5" x14ac:dyDescent="0.15">
      <c r="D70" s="127"/>
    </row>
    <row r="71" spans="1:5" x14ac:dyDescent="0.15">
      <c r="D71" s="127"/>
    </row>
  </sheetData>
  <mergeCells count="2">
    <mergeCell ref="B1:C1"/>
    <mergeCell ref="D1:E1"/>
  </mergeCells>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zoomScale="85" zoomScaleNormal="85" workbookViewId="0">
      <pane xSplit="1" ySplit="2" topLeftCell="B54" activePane="bottomRight" state="frozen"/>
      <selection pane="topRight"/>
      <selection pane="bottomLeft"/>
      <selection pane="bottomRight" activeCell="F66" sqref="F66"/>
    </sheetView>
  </sheetViews>
  <sheetFormatPr defaultColWidth="9" defaultRowHeight="14.25" x14ac:dyDescent="0.15"/>
  <cols>
    <col min="1" max="1" width="62.125" style="105" customWidth="1"/>
    <col min="2" max="2" width="16" style="127" customWidth="1"/>
    <col min="3" max="3" width="15.625" style="127" customWidth="1"/>
    <col min="4" max="4" width="15.25" style="128" customWidth="1"/>
    <col min="5" max="5" width="14.75" style="128" customWidth="1"/>
    <col min="6" max="16384" width="9" style="1"/>
  </cols>
  <sheetData>
    <row r="1" spans="1:5" x14ac:dyDescent="0.15">
      <c r="A1" s="90" t="s">
        <v>0</v>
      </c>
      <c r="B1" s="224" t="s">
        <v>50</v>
      </c>
      <c r="C1" s="224"/>
      <c r="D1" s="224" t="s">
        <v>51</v>
      </c>
      <c r="E1" s="224"/>
    </row>
    <row r="2" spans="1:5" ht="42.75" x14ac:dyDescent="0.15">
      <c r="A2" s="90"/>
      <c r="B2" s="129" t="s">
        <v>240</v>
      </c>
      <c r="C2" s="129" t="s">
        <v>241</v>
      </c>
      <c r="D2" s="129" t="s">
        <v>242</v>
      </c>
      <c r="E2" s="129" t="s">
        <v>243</v>
      </c>
    </row>
    <row r="3" spans="1:5" ht="15" customHeight="1" x14ac:dyDescent="0.15">
      <c r="A3" s="91" t="s">
        <v>1</v>
      </c>
      <c r="B3" s="117"/>
      <c r="C3" s="117"/>
      <c r="D3" s="117"/>
      <c r="E3" s="117"/>
    </row>
    <row r="4" spans="1:5" ht="15" x14ac:dyDescent="0.15">
      <c r="A4" s="118" t="s">
        <v>2</v>
      </c>
      <c r="B4" s="93">
        <v>4</v>
      </c>
      <c r="C4" s="93">
        <v>4</v>
      </c>
      <c r="D4" s="93">
        <v>4</v>
      </c>
      <c r="E4" s="93">
        <v>4</v>
      </c>
    </row>
    <row r="5" spans="1:5" ht="15" x14ac:dyDescent="0.15">
      <c r="A5" s="118" t="s">
        <v>3</v>
      </c>
      <c r="B5" s="93">
        <v>3</v>
      </c>
      <c r="C5" s="93">
        <v>3</v>
      </c>
      <c r="D5" s="93">
        <v>3</v>
      </c>
      <c r="E5" s="93">
        <v>3</v>
      </c>
    </row>
    <row r="6" spans="1:5" ht="15" x14ac:dyDescent="0.15">
      <c r="A6" s="118" t="s">
        <v>4</v>
      </c>
      <c r="B6" s="84">
        <v>1.5</v>
      </c>
      <c r="C6" s="84">
        <v>1.5</v>
      </c>
      <c r="D6" s="84">
        <v>1.5</v>
      </c>
      <c r="E6" s="84">
        <v>1.5</v>
      </c>
    </row>
    <row r="7" spans="1:5" ht="31.5" x14ac:dyDescent="0.15">
      <c r="A7" s="118" t="s">
        <v>244</v>
      </c>
      <c r="B7" s="94" t="s">
        <v>245</v>
      </c>
      <c r="C7" s="119">
        <v>0.95</v>
      </c>
      <c r="D7" s="119" t="s">
        <v>245</v>
      </c>
      <c r="E7" s="119">
        <v>0.95</v>
      </c>
    </row>
    <row r="8" spans="1:5" ht="31.5" x14ac:dyDescent="0.15">
      <c r="A8" s="118" t="s">
        <v>246</v>
      </c>
      <c r="B8" s="94">
        <v>0.9</v>
      </c>
      <c r="C8" s="119" t="s">
        <v>245</v>
      </c>
      <c r="D8" s="119">
        <v>0.9</v>
      </c>
      <c r="E8" s="119" t="s">
        <v>245</v>
      </c>
    </row>
    <row r="9" spans="1:5" ht="15" x14ac:dyDescent="0.15">
      <c r="A9" s="118" t="s">
        <v>5</v>
      </c>
      <c r="B9" s="84" t="s">
        <v>245</v>
      </c>
      <c r="C9" s="93">
        <f>64/(0.5*0.001)</f>
        <v>128000</v>
      </c>
      <c r="D9" s="93" t="s">
        <v>245</v>
      </c>
      <c r="E9" s="93">
        <f>2/(0.5*0.001)</f>
        <v>4000</v>
      </c>
    </row>
    <row r="10" spans="1:5" ht="15" x14ac:dyDescent="0.15">
      <c r="A10" s="118" t="s">
        <v>6</v>
      </c>
      <c r="B10" s="84">
        <f>4650676*3</f>
        <v>13952028</v>
      </c>
      <c r="C10" s="93" t="s">
        <v>245</v>
      </c>
      <c r="D10" s="108">
        <f>371520*3</f>
        <v>1114560</v>
      </c>
      <c r="E10" s="93" t="s">
        <v>245</v>
      </c>
    </row>
    <row r="11" spans="1:5" ht="15" x14ac:dyDescent="0.15">
      <c r="A11" s="118" t="s">
        <v>7</v>
      </c>
      <c r="B11" s="94" t="s">
        <v>245</v>
      </c>
      <c r="C11" s="119">
        <v>0.01</v>
      </c>
      <c r="D11" s="119" t="s">
        <v>245</v>
      </c>
      <c r="E11" s="119">
        <v>0.01</v>
      </c>
    </row>
    <row r="12" spans="1:5" ht="15" x14ac:dyDescent="0.15">
      <c r="A12" s="118" t="s">
        <v>8</v>
      </c>
      <c r="B12" s="94">
        <v>0.1</v>
      </c>
      <c r="C12" s="119" t="s">
        <v>245</v>
      </c>
      <c r="D12" s="119">
        <v>0.1</v>
      </c>
      <c r="E12" s="119" t="s">
        <v>245</v>
      </c>
    </row>
    <row r="13" spans="1:5" ht="16.5" x14ac:dyDescent="0.15">
      <c r="A13" s="118" t="s">
        <v>247</v>
      </c>
      <c r="B13" s="84">
        <f>B10/(B42*(7+(6+4*0.5)/14)/10)</f>
        <v>1.0036605006782588</v>
      </c>
      <c r="C13" s="93" t="s">
        <v>245</v>
      </c>
      <c r="D13" s="84">
        <f>D10/(D42*(2+(4+4*0.5)/14)/10)</f>
        <v>3.1870588235294122</v>
      </c>
      <c r="E13" s="93" t="s">
        <v>245</v>
      </c>
    </row>
    <row r="14" spans="1:5" ht="16.5" x14ac:dyDescent="0.15">
      <c r="A14" s="118" t="s">
        <v>248</v>
      </c>
      <c r="B14" s="93" t="s">
        <v>249</v>
      </c>
      <c r="C14" s="93" t="s">
        <v>249</v>
      </c>
      <c r="D14" s="93" t="s">
        <v>249</v>
      </c>
      <c r="E14" s="93" t="s">
        <v>249</v>
      </c>
    </row>
    <row r="15" spans="1:5" ht="15" x14ac:dyDescent="0.15">
      <c r="A15" s="118" t="s">
        <v>250</v>
      </c>
      <c r="B15" s="84">
        <v>3</v>
      </c>
      <c r="C15" s="93">
        <v>3</v>
      </c>
      <c r="D15" s="93">
        <v>3</v>
      </c>
      <c r="E15" s="93">
        <v>3</v>
      </c>
    </row>
    <row r="16" spans="1:5" ht="15" x14ac:dyDescent="0.15">
      <c r="A16" s="118" t="s">
        <v>9</v>
      </c>
      <c r="B16" s="84">
        <v>3</v>
      </c>
      <c r="C16" s="93">
        <v>3</v>
      </c>
      <c r="D16" s="93">
        <v>3</v>
      </c>
      <c r="E16" s="93">
        <v>3</v>
      </c>
    </row>
    <row r="17" spans="1:5" ht="15" customHeight="1" x14ac:dyDescent="0.15">
      <c r="A17" s="91" t="s">
        <v>10</v>
      </c>
      <c r="B17" s="92"/>
      <c r="C17" s="92"/>
      <c r="D17" s="92"/>
      <c r="E17" s="92"/>
    </row>
    <row r="18" spans="1:5" ht="30" x14ac:dyDescent="0.15">
      <c r="A18" s="118" t="s">
        <v>251</v>
      </c>
      <c r="B18" s="84">
        <v>32</v>
      </c>
      <c r="C18" s="93">
        <v>32</v>
      </c>
      <c r="D18" s="93">
        <v>2</v>
      </c>
      <c r="E18" s="93">
        <v>2</v>
      </c>
    </row>
    <row r="19" spans="1:5" ht="15" x14ac:dyDescent="0.15">
      <c r="A19" s="118" t="s">
        <v>268</v>
      </c>
      <c r="B19" s="84">
        <v>2</v>
      </c>
      <c r="C19" s="93">
        <v>2</v>
      </c>
      <c r="D19" s="93">
        <v>2</v>
      </c>
      <c r="E19" s="93">
        <v>2</v>
      </c>
    </row>
    <row r="20" spans="1:5" ht="15" x14ac:dyDescent="0.15">
      <c r="A20" s="118" t="s">
        <v>11</v>
      </c>
      <c r="B20" s="84">
        <v>9</v>
      </c>
      <c r="C20" s="93">
        <v>9</v>
      </c>
      <c r="D20" s="93">
        <v>20</v>
      </c>
      <c r="E20" s="93">
        <v>20</v>
      </c>
    </row>
    <row r="21" spans="1:5" ht="30" x14ac:dyDescent="0.15">
      <c r="A21" s="121" t="s">
        <v>253</v>
      </c>
      <c r="B21" s="122">
        <f>B20+10*LOG10(B18)</f>
        <v>24.051499783199063</v>
      </c>
      <c r="C21" s="122">
        <f>C20+10*LOG10(C18)</f>
        <v>24.051499783199063</v>
      </c>
      <c r="D21" s="122">
        <f>D20+10*LOG10(D18)</f>
        <v>23.010299956639813</v>
      </c>
      <c r="E21" s="122">
        <f>E20+10*LOG10(E18)</f>
        <v>23.010299956639813</v>
      </c>
    </row>
    <row r="22" spans="1:5" ht="15" x14ac:dyDescent="0.15">
      <c r="A22" s="118" t="s">
        <v>12</v>
      </c>
      <c r="B22" s="84">
        <v>5</v>
      </c>
      <c r="C22" s="93">
        <v>5</v>
      </c>
      <c r="D22" s="93">
        <v>0</v>
      </c>
      <c r="E22" s="93">
        <v>0</v>
      </c>
    </row>
    <row r="23" spans="1:5" ht="45" x14ac:dyDescent="0.15">
      <c r="A23" s="123" t="s">
        <v>13</v>
      </c>
      <c r="B23" s="122">
        <f>IF(B18&gt;=2,10*LOG10(B18/2),0)</f>
        <v>12.041199826559248</v>
      </c>
      <c r="C23" s="122">
        <f>IF(C18&gt;=2,10*LOG10(C18/2),0)</f>
        <v>12.041199826559248</v>
      </c>
      <c r="D23" s="122">
        <f>IF(D18&gt;=2,10*LOG10(D18/2),0)</f>
        <v>0</v>
      </c>
      <c r="E23" s="122">
        <f>IF(E18&gt;=2,10*LOG10(E18/2),0)</f>
        <v>0</v>
      </c>
    </row>
    <row r="24" spans="1:5" ht="15" x14ac:dyDescent="0.15">
      <c r="A24" s="118" t="s">
        <v>14</v>
      </c>
      <c r="B24" s="84">
        <v>0</v>
      </c>
      <c r="C24" s="84">
        <v>0</v>
      </c>
      <c r="D24" s="93">
        <v>0</v>
      </c>
      <c r="E24" s="93">
        <v>0</v>
      </c>
    </row>
    <row r="25" spans="1:5" ht="15.75" customHeight="1" x14ac:dyDescent="0.15">
      <c r="A25" s="118" t="s">
        <v>15</v>
      </c>
      <c r="B25" s="84">
        <v>0</v>
      </c>
      <c r="C25" s="84">
        <v>0</v>
      </c>
      <c r="D25" s="93">
        <v>0</v>
      </c>
      <c r="E25" s="93">
        <v>0</v>
      </c>
    </row>
    <row r="26" spans="1:5" ht="30" x14ac:dyDescent="0.15">
      <c r="A26" s="118" t="s">
        <v>16</v>
      </c>
      <c r="B26" s="84">
        <v>3</v>
      </c>
      <c r="C26" s="84">
        <v>3</v>
      </c>
      <c r="D26" s="93">
        <v>1</v>
      </c>
      <c r="E26" s="93">
        <v>1</v>
      </c>
    </row>
    <row r="27" spans="1:5" ht="15" x14ac:dyDescent="0.15">
      <c r="A27" s="95" t="s">
        <v>17</v>
      </c>
      <c r="B27" s="96">
        <f>B21+B22+B23+B24-B26</f>
        <v>38.092699609758313</v>
      </c>
      <c r="C27" s="96">
        <f>C21+C22+C23+C24-C26</f>
        <v>38.092699609758313</v>
      </c>
      <c r="D27" s="96">
        <f>D21+D22+D23+D24-D26</f>
        <v>22.010299956639813</v>
      </c>
      <c r="E27" s="96">
        <f>E21+E22+E23+E24-E26</f>
        <v>22.010299956639813</v>
      </c>
    </row>
    <row r="28" spans="1:5" ht="15" x14ac:dyDescent="0.15">
      <c r="A28" s="95" t="s">
        <v>18</v>
      </c>
      <c r="B28" s="96">
        <f>B21+B22+B23-B25-B26</f>
        <v>38.092699609758313</v>
      </c>
      <c r="C28" s="96">
        <f>C21+C22+C23-C25-C26</f>
        <v>38.092699609758313</v>
      </c>
      <c r="D28" s="96">
        <f>D21+D22+D23-D25-D26</f>
        <v>22.010299956639813</v>
      </c>
      <c r="E28" s="96">
        <f>E21+E22+E23-E25-E26</f>
        <v>22.010299956639813</v>
      </c>
    </row>
    <row r="29" spans="1:5" x14ac:dyDescent="0.15">
      <c r="A29" s="91" t="s">
        <v>19</v>
      </c>
      <c r="B29" s="92"/>
      <c r="C29" s="92"/>
      <c r="D29" s="92"/>
      <c r="E29" s="92"/>
    </row>
    <row r="30" spans="1:5" ht="30" x14ac:dyDescent="0.15">
      <c r="A30" s="118" t="s">
        <v>254</v>
      </c>
      <c r="B30" s="84">
        <v>4</v>
      </c>
      <c r="C30" s="84">
        <v>4</v>
      </c>
      <c r="D30" s="93">
        <v>32</v>
      </c>
      <c r="E30" s="93">
        <v>32</v>
      </c>
    </row>
    <row r="31" spans="1:5" ht="15" x14ac:dyDescent="0.15">
      <c r="A31" s="118" t="s">
        <v>255</v>
      </c>
      <c r="B31" s="84">
        <v>2</v>
      </c>
      <c r="C31" s="84">
        <v>2</v>
      </c>
      <c r="D31" s="93">
        <v>2</v>
      </c>
      <c r="E31" s="93">
        <v>2</v>
      </c>
    </row>
    <row r="32" spans="1:5" ht="15" x14ac:dyDescent="0.15">
      <c r="A32" s="118" t="s">
        <v>20</v>
      </c>
      <c r="B32" s="84">
        <v>0</v>
      </c>
      <c r="C32" s="84">
        <v>0</v>
      </c>
      <c r="D32" s="93">
        <v>5</v>
      </c>
      <c r="E32" s="93">
        <v>5</v>
      </c>
    </row>
    <row r="33" spans="1:5" ht="28.5" x14ac:dyDescent="0.15">
      <c r="A33" s="124" t="s">
        <v>256</v>
      </c>
      <c r="B33" s="125">
        <f>IF(B30&gt;=2,10*LOG10(B30/2),0)</f>
        <v>3.0102999566398121</v>
      </c>
      <c r="C33" s="125">
        <f>IF(C30&gt;=2,10*LOG10(C30/2),0)</f>
        <v>3.0102999566398121</v>
      </c>
      <c r="D33" s="125">
        <f>IF(D30&gt;=2,10*LOG10(D30/2),0)</f>
        <v>12.041199826559248</v>
      </c>
      <c r="E33" s="125">
        <f>IF(E30&gt;=2,10*LOG10(E30/2),0)</f>
        <v>12.041199826559248</v>
      </c>
    </row>
    <row r="34" spans="1:5" ht="30" x14ac:dyDescent="0.15">
      <c r="A34" s="118" t="s">
        <v>21</v>
      </c>
      <c r="B34" s="84">
        <v>1</v>
      </c>
      <c r="C34" s="84">
        <v>1</v>
      </c>
      <c r="D34" s="93">
        <v>3</v>
      </c>
      <c r="E34" s="93">
        <v>3</v>
      </c>
    </row>
    <row r="35" spans="1:5" ht="15" x14ac:dyDescent="0.15">
      <c r="A35" s="118" t="s">
        <v>22</v>
      </c>
      <c r="B35" s="93">
        <v>7</v>
      </c>
      <c r="C35" s="93">
        <v>7</v>
      </c>
      <c r="D35" s="93">
        <v>5</v>
      </c>
      <c r="E35" s="93">
        <v>5</v>
      </c>
    </row>
    <row r="36" spans="1:5" ht="15" x14ac:dyDescent="0.15">
      <c r="A36" s="118" t="s">
        <v>23</v>
      </c>
      <c r="B36" s="93">
        <v>-174</v>
      </c>
      <c r="C36" s="93">
        <v>-174</v>
      </c>
      <c r="D36" s="93">
        <v>-174</v>
      </c>
      <c r="E36" s="93">
        <v>-174</v>
      </c>
    </row>
    <row r="37" spans="1:5" ht="30" x14ac:dyDescent="0.15">
      <c r="A37" s="118" t="s">
        <v>24</v>
      </c>
      <c r="B37" s="84" t="s">
        <v>245</v>
      </c>
      <c r="C37" s="93">
        <v>-174</v>
      </c>
      <c r="D37" s="93" t="s">
        <v>245</v>
      </c>
      <c r="E37" s="93">
        <v>-174.9</v>
      </c>
    </row>
    <row r="38" spans="1:5" ht="15" x14ac:dyDescent="0.15">
      <c r="A38" s="118" t="s">
        <v>25</v>
      </c>
      <c r="B38" s="84">
        <v>-174</v>
      </c>
      <c r="C38" s="93" t="s">
        <v>245</v>
      </c>
      <c r="D38" s="93">
        <v>-174.9</v>
      </c>
      <c r="E38" s="93" t="s">
        <v>245</v>
      </c>
    </row>
    <row r="39" spans="1:5" ht="45" x14ac:dyDescent="0.15">
      <c r="A39" s="97" t="s">
        <v>45</v>
      </c>
      <c r="B39" s="96" t="s">
        <v>245</v>
      </c>
      <c r="C39" s="96">
        <f>10*LOG10(10^((C35+C36)/10)+10^(C37/10))</f>
        <v>-166.20990250347435</v>
      </c>
      <c r="D39" s="96" t="s">
        <v>245</v>
      </c>
      <c r="E39" s="96">
        <f>10*LOG10(10^((E35+E36)/10)+10^(E37/10))</f>
        <v>-168.00651048203736</v>
      </c>
    </row>
    <row r="40" spans="1:5" ht="30" x14ac:dyDescent="0.15">
      <c r="A40" s="97" t="s">
        <v>46</v>
      </c>
      <c r="B40" s="96">
        <f>10*LOG10(10^((B35+B36)/10)+10^(B38/10))</f>
        <v>-166.20990250347435</v>
      </c>
      <c r="C40" s="96" t="s">
        <v>245</v>
      </c>
      <c r="D40" s="96">
        <f>10*LOG10(10^((D35+D36)/10)+10^(D38/10))</f>
        <v>-168.00651048203736</v>
      </c>
      <c r="E40" s="96" t="s">
        <v>245</v>
      </c>
    </row>
    <row r="41" spans="1:5" ht="30" x14ac:dyDescent="0.15">
      <c r="A41" s="118" t="s">
        <v>26</v>
      </c>
      <c r="B41" s="84" t="s">
        <v>245</v>
      </c>
      <c r="C41" s="84">
        <f>[2]MaxN_RB!$F$7*12*30*1000</f>
        <v>18360000</v>
      </c>
      <c r="D41" s="93" t="s">
        <v>245</v>
      </c>
      <c r="E41" s="93">
        <f>1*12*30*1000</f>
        <v>360000</v>
      </c>
    </row>
    <row r="42" spans="1:5" ht="30" x14ac:dyDescent="0.15">
      <c r="A42" s="118" t="s">
        <v>27</v>
      </c>
      <c r="B42" s="84">
        <f>[2]MaxN_RB!$F$7*12*30*1000</f>
        <v>18360000</v>
      </c>
      <c r="C42" s="93" t="s">
        <v>245</v>
      </c>
      <c r="D42" s="93">
        <f>4*12*30*1000</f>
        <v>1440000</v>
      </c>
      <c r="E42" s="93" t="s">
        <v>245</v>
      </c>
    </row>
    <row r="43" spans="1:5" ht="15" x14ac:dyDescent="0.15">
      <c r="A43" s="95" t="s">
        <v>28</v>
      </c>
      <c r="B43" s="96" t="s">
        <v>245</v>
      </c>
      <c r="C43" s="96">
        <f>C39+10*LOG10(C41)</f>
        <v>-93.57117573482212</v>
      </c>
      <c r="D43" s="96" t="s">
        <v>245</v>
      </c>
      <c r="E43" s="96">
        <f>E39+10*LOG10(E41)</f>
        <v>-112.44348547436448</v>
      </c>
    </row>
    <row r="44" spans="1:5" ht="15" x14ac:dyDescent="0.15">
      <c r="A44" s="95" t="s">
        <v>29</v>
      </c>
      <c r="B44" s="96">
        <f>B40+10*LOG10(B42)</f>
        <v>-93.57117573482212</v>
      </c>
      <c r="C44" s="96" t="s">
        <v>245</v>
      </c>
      <c r="D44" s="96">
        <f>D40+10*LOG10(D42)</f>
        <v>-106.42288556108485</v>
      </c>
      <c r="E44" s="96" t="s">
        <v>245</v>
      </c>
    </row>
    <row r="45" spans="1:5" ht="15" x14ac:dyDescent="0.15">
      <c r="A45" s="118" t="s">
        <v>30</v>
      </c>
      <c r="B45" s="84" t="s">
        <v>245</v>
      </c>
      <c r="C45" s="152">
        <v>-7.26</v>
      </c>
      <c r="D45" s="84" t="s">
        <v>245</v>
      </c>
      <c r="E45" s="152">
        <v>-7.8</v>
      </c>
    </row>
    <row r="46" spans="1:5" ht="15" x14ac:dyDescent="0.15">
      <c r="A46" s="118" t="s">
        <v>31</v>
      </c>
      <c r="B46" s="99">
        <v>5.25</v>
      </c>
      <c r="C46" s="93" t="s">
        <v>245</v>
      </c>
      <c r="D46" s="99">
        <v>10.65</v>
      </c>
      <c r="E46" s="93" t="s">
        <v>245</v>
      </c>
    </row>
    <row r="47" spans="1:5" ht="15" x14ac:dyDescent="0.15">
      <c r="A47" s="118" t="s">
        <v>32</v>
      </c>
      <c r="B47" s="84">
        <v>2</v>
      </c>
      <c r="C47" s="93">
        <v>2</v>
      </c>
      <c r="D47" s="93">
        <v>2</v>
      </c>
      <c r="E47" s="93">
        <v>2</v>
      </c>
    </row>
    <row r="48" spans="1:5" ht="15" x14ac:dyDescent="0.15">
      <c r="A48" s="118" t="s">
        <v>33</v>
      </c>
      <c r="B48" s="84" t="s">
        <v>245</v>
      </c>
      <c r="C48" s="93">
        <v>0</v>
      </c>
      <c r="D48" s="93" t="s">
        <v>245</v>
      </c>
      <c r="E48" s="93">
        <v>0</v>
      </c>
    </row>
    <row r="49" spans="1:5" ht="15" x14ac:dyDescent="0.15">
      <c r="A49" s="118" t="s">
        <v>34</v>
      </c>
      <c r="B49" s="84">
        <v>0.5</v>
      </c>
      <c r="C49" s="93" t="s">
        <v>245</v>
      </c>
      <c r="D49" s="93">
        <v>0.5</v>
      </c>
      <c r="E49" s="93" t="s">
        <v>245</v>
      </c>
    </row>
    <row r="50" spans="1:5" ht="30" x14ac:dyDescent="0.15">
      <c r="A50" s="97" t="s">
        <v>47</v>
      </c>
      <c r="B50" s="96" t="s">
        <v>245</v>
      </c>
      <c r="C50" s="96">
        <f>C43+C45+C47-C48</f>
        <v>-98.831175734822125</v>
      </c>
      <c r="D50" s="96" t="s">
        <v>245</v>
      </c>
      <c r="E50" s="96">
        <f>E43+E45+E47-E48</f>
        <v>-118.24348547436448</v>
      </c>
    </row>
    <row r="51" spans="1:5" ht="30" x14ac:dyDescent="0.15">
      <c r="A51" s="97" t="s">
        <v>48</v>
      </c>
      <c r="B51" s="96">
        <f>B44+B46+B47-B49</f>
        <v>-86.82117573482212</v>
      </c>
      <c r="C51" s="96" t="s">
        <v>245</v>
      </c>
      <c r="D51" s="96">
        <f>D44+D46+D47-D49</f>
        <v>-94.272885561084848</v>
      </c>
      <c r="E51" s="96" t="s">
        <v>245</v>
      </c>
    </row>
    <row r="52" spans="1:5" ht="30" x14ac:dyDescent="0.15">
      <c r="A52" s="97" t="s">
        <v>101</v>
      </c>
      <c r="B52" s="96" t="s">
        <v>245</v>
      </c>
      <c r="C52" s="96">
        <f>C27+C32+C33-C50</f>
        <v>139.93417530122025</v>
      </c>
      <c r="D52" s="96" t="s">
        <v>245</v>
      </c>
      <c r="E52" s="96">
        <f>E27+E32+E33-E50</f>
        <v>157.29498525756355</v>
      </c>
    </row>
    <row r="53" spans="1:5" ht="30" x14ac:dyDescent="0.15">
      <c r="A53" s="97" t="s">
        <v>102</v>
      </c>
      <c r="B53" s="96">
        <f>B28+B32+B33-B51</f>
        <v>127.92417530122025</v>
      </c>
      <c r="C53" s="96" t="s">
        <v>245</v>
      </c>
      <c r="D53" s="96">
        <f>D28+D32+D33-D51</f>
        <v>133.32438534428391</v>
      </c>
      <c r="E53" s="96" t="s">
        <v>245</v>
      </c>
    </row>
    <row r="54" spans="1:5" x14ac:dyDescent="0.15">
      <c r="A54" s="91" t="s">
        <v>35</v>
      </c>
      <c r="B54" s="92"/>
      <c r="C54" s="92"/>
      <c r="D54" s="92"/>
      <c r="E54" s="92"/>
    </row>
    <row r="55" spans="1:5" ht="15" x14ac:dyDescent="0.15">
      <c r="A55" s="118" t="s">
        <v>36</v>
      </c>
      <c r="B55" s="93">
        <v>4</v>
      </c>
      <c r="C55" s="93">
        <v>4</v>
      </c>
      <c r="D55" s="93">
        <v>4</v>
      </c>
      <c r="E55" s="93">
        <v>4</v>
      </c>
    </row>
    <row r="56" spans="1:5" ht="18" x14ac:dyDescent="0.15">
      <c r="A56" s="153" t="s">
        <v>283</v>
      </c>
      <c r="B56" s="93"/>
      <c r="C56" s="93"/>
      <c r="D56" s="93"/>
      <c r="E56" s="93"/>
    </row>
    <row r="57" spans="1:5" ht="30" x14ac:dyDescent="0.15">
      <c r="A57" s="118" t="s">
        <v>37</v>
      </c>
      <c r="B57" s="102" t="s">
        <v>245</v>
      </c>
      <c r="C57" s="93">
        <v>2.8</v>
      </c>
      <c r="D57" s="102" t="s">
        <v>245</v>
      </c>
      <c r="E57" s="93">
        <v>2.8</v>
      </c>
    </row>
    <row r="58" spans="1:5" ht="30" x14ac:dyDescent="0.15">
      <c r="A58" s="118" t="s">
        <v>38</v>
      </c>
      <c r="B58" s="93">
        <v>0.91</v>
      </c>
      <c r="C58" s="102" t="s">
        <v>245</v>
      </c>
      <c r="D58" s="93">
        <v>0.91</v>
      </c>
      <c r="E58" s="126" t="s">
        <v>245</v>
      </c>
    </row>
    <row r="59" spans="1:5" ht="28.5" customHeight="1" x14ac:dyDescent="0.15">
      <c r="A59" s="118" t="s">
        <v>39</v>
      </c>
      <c r="B59" s="93">
        <v>0</v>
      </c>
      <c r="C59" s="93">
        <v>0</v>
      </c>
      <c r="D59" s="93">
        <v>0</v>
      </c>
      <c r="E59" s="93">
        <v>0</v>
      </c>
    </row>
    <row r="60" spans="1:5" ht="15" x14ac:dyDescent="0.15">
      <c r="A60" s="118" t="s">
        <v>40</v>
      </c>
      <c r="B60" s="93">
        <v>0</v>
      </c>
      <c r="C60" s="93">
        <v>0</v>
      </c>
      <c r="D60" s="93">
        <v>0</v>
      </c>
      <c r="E60" s="93">
        <v>0</v>
      </c>
    </row>
    <row r="61" spans="1:5" ht="15" x14ac:dyDescent="0.15">
      <c r="A61" s="118" t="s">
        <v>41</v>
      </c>
      <c r="B61" s="93">
        <v>0</v>
      </c>
      <c r="C61" s="93">
        <v>0</v>
      </c>
      <c r="D61" s="93">
        <v>0</v>
      </c>
      <c r="E61" s="93">
        <v>0</v>
      </c>
    </row>
    <row r="62" spans="1:5" ht="30" x14ac:dyDescent="0.15">
      <c r="A62" s="97" t="s">
        <v>257</v>
      </c>
      <c r="B62" s="96" t="s">
        <v>245</v>
      </c>
      <c r="C62" s="96">
        <f>C52-C57+C59-C60+C61-C34</f>
        <v>136.13417530122024</v>
      </c>
      <c r="D62" s="96" t="s">
        <v>245</v>
      </c>
      <c r="E62" s="96">
        <f>E52-E57+E59-E60+E61-E34</f>
        <v>151.49498525756354</v>
      </c>
    </row>
    <row r="63" spans="1:5" ht="30" x14ac:dyDescent="0.15">
      <c r="A63" s="97" t="s">
        <v>49</v>
      </c>
      <c r="B63" s="96">
        <f>B53-B58+B59-B60+B61-B34</f>
        <v>126.01417530122025</v>
      </c>
      <c r="C63" s="96" t="s">
        <v>245</v>
      </c>
      <c r="D63" s="96">
        <f>D53-D58+D59-D60+D61-D34</f>
        <v>129.41438534428391</v>
      </c>
      <c r="E63" s="96" t="s">
        <v>245</v>
      </c>
    </row>
    <row r="64" spans="1:5" x14ac:dyDescent="0.15">
      <c r="A64" s="91" t="s">
        <v>42</v>
      </c>
      <c r="B64" s="92"/>
      <c r="C64" s="92"/>
      <c r="D64" s="92"/>
      <c r="E64" s="92"/>
    </row>
    <row r="65" spans="1:5" ht="30" x14ac:dyDescent="0.15">
      <c r="A65" s="103" t="s">
        <v>43</v>
      </c>
      <c r="B65" s="93" t="s">
        <v>245</v>
      </c>
      <c r="C65" s="93">
        <f>10^((C62-11.5-20*LOG10(C$4))/43.3)</f>
        <v>398.38196053012661</v>
      </c>
      <c r="D65" s="93" t="s">
        <v>245</v>
      </c>
      <c r="E65" s="93">
        <f>10^((E62-11.5-20*LOG10(E$4))/43.3)</f>
        <v>901.68071533561101</v>
      </c>
    </row>
    <row r="66" spans="1:5" ht="30" x14ac:dyDescent="0.15">
      <c r="A66" s="103" t="s">
        <v>44</v>
      </c>
      <c r="B66" s="93">
        <f>10^((B63-11.5-20*LOG10(B$4))/43.3)</f>
        <v>232.5848485483013</v>
      </c>
      <c r="C66" s="93" t="s">
        <v>245</v>
      </c>
      <c r="D66" s="93">
        <f>10^((D63-11.5-20*LOG10(D$4))/43.3)</f>
        <v>278.68154563497302</v>
      </c>
      <c r="E66" s="93" t="s">
        <v>245</v>
      </c>
    </row>
    <row r="67" spans="1:5" ht="18" x14ac:dyDescent="0.15">
      <c r="A67" s="103" t="s">
        <v>258</v>
      </c>
      <c r="B67" s="93" t="s">
        <v>245</v>
      </c>
      <c r="C67" s="93">
        <f>PI()*(C65)^2</f>
        <v>498596.47269701818</v>
      </c>
      <c r="D67" s="93" t="s">
        <v>245</v>
      </c>
      <c r="E67" s="93">
        <f>PI()*(E65)^2</f>
        <v>2554203.1451033866</v>
      </c>
    </row>
    <row r="68" spans="1:5" ht="18" x14ac:dyDescent="0.15">
      <c r="A68" s="103" t="s">
        <v>259</v>
      </c>
      <c r="B68" s="93">
        <f>PI()*(B66)^2</f>
        <v>169946.6907006515</v>
      </c>
      <c r="C68" s="93" t="s">
        <v>245</v>
      </c>
      <c r="D68" s="93">
        <f>PI()*(D66)^2</f>
        <v>243986.77907432336</v>
      </c>
      <c r="E68" s="93" t="s">
        <v>245</v>
      </c>
    </row>
    <row r="70" spans="1:5" x14ac:dyDescent="0.15">
      <c r="D70" s="127"/>
      <c r="E70" s="127"/>
    </row>
    <row r="72" spans="1:5" x14ac:dyDescent="0.15">
      <c r="D72" s="127"/>
    </row>
    <row r="73" spans="1:5" x14ac:dyDescent="0.15">
      <c r="D73" s="127"/>
    </row>
  </sheetData>
  <mergeCells count="2">
    <mergeCell ref="B1:C1"/>
    <mergeCell ref="D1:E1"/>
  </mergeCells>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zoomScaleNormal="100" workbookViewId="0">
      <pane xSplit="1" ySplit="2" topLeftCell="B57" activePane="bottomRight" state="frozen"/>
      <selection pane="topRight" activeCell="B1" sqref="B1"/>
      <selection pane="bottomLeft" activeCell="A3" sqref="A3"/>
      <selection pane="bottomRight" activeCell="H57" sqref="H57"/>
    </sheetView>
  </sheetViews>
  <sheetFormatPr defaultRowHeight="14.25" x14ac:dyDescent="0.15"/>
  <cols>
    <col min="1" max="1" width="62.125" style="29" bestFit="1" customWidth="1"/>
    <col min="2" max="2" width="15.375" style="42" bestFit="1" customWidth="1"/>
    <col min="3" max="3" width="11.875" style="42" bestFit="1" customWidth="1"/>
    <col min="4" max="5" width="11.875" style="42" customWidth="1"/>
    <col min="6" max="6" width="11" style="48" bestFit="1" customWidth="1"/>
    <col min="7" max="7" width="15.25" style="48" customWidth="1"/>
    <col min="8" max="8" width="15.125" style="48" customWidth="1"/>
    <col min="9" max="9" width="15.75" style="48" customWidth="1"/>
    <col min="11" max="11" width="20.25" bestFit="1" customWidth="1"/>
  </cols>
  <sheetData>
    <row r="1" spans="1:9" x14ac:dyDescent="0.15">
      <c r="A1" s="16" t="s">
        <v>0</v>
      </c>
      <c r="B1" s="210" t="s">
        <v>124</v>
      </c>
      <c r="C1" s="210"/>
      <c r="D1" s="210"/>
      <c r="E1" s="211"/>
      <c r="F1" s="212" t="s">
        <v>125</v>
      </c>
      <c r="G1" s="212"/>
      <c r="H1" s="212"/>
      <c r="I1" s="212"/>
    </row>
    <row r="2" spans="1:9" ht="42.75" x14ac:dyDescent="0.15">
      <c r="A2" s="16"/>
      <c r="B2" s="45" t="s">
        <v>136</v>
      </c>
      <c r="C2" s="45" t="s">
        <v>139</v>
      </c>
      <c r="D2" s="45" t="s">
        <v>140</v>
      </c>
      <c r="E2" s="45" t="s">
        <v>141</v>
      </c>
      <c r="F2" s="45" t="s">
        <v>142</v>
      </c>
      <c r="G2" s="45" t="s">
        <v>143</v>
      </c>
      <c r="H2" s="45" t="s">
        <v>144</v>
      </c>
      <c r="I2" s="45" t="s">
        <v>145</v>
      </c>
    </row>
    <row r="3" spans="1:9" ht="15" customHeight="1" x14ac:dyDescent="0.15">
      <c r="A3" s="18" t="s">
        <v>1</v>
      </c>
      <c r="B3" s="37"/>
      <c r="C3" s="37"/>
      <c r="D3" s="37"/>
      <c r="E3" s="37"/>
      <c r="F3" s="37"/>
      <c r="G3" s="37"/>
      <c r="H3" s="37"/>
      <c r="I3" s="37"/>
    </row>
    <row r="4" spans="1:9" ht="15" x14ac:dyDescent="0.15">
      <c r="A4" s="19" t="s">
        <v>2</v>
      </c>
      <c r="B4" s="35">
        <v>4</v>
      </c>
      <c r="C4" s="35">
        <v>4</v>
      </c>
      <c r="D4" s="35">
        <v>4</v>
      </c>
      <c r="E4" s="35">
        <v>4</v>
      </c>
      <c r="F4" s="35">
        <v>4</v>
      </c>
      <c r="G4" s="35">
        <v>4</v>
      </c>
      <c r="H4" s="35">
        <v>4</v>
      </c>
      <c r="I4" s="35">
        <v>4</v>
      </c>
    </row>
    <row r="5" spans="1:9" ht="15" x14ac:dyDescent="0.15">
      <c r="A5" s="19" t="s">
        <v>3</v>
      </c>
      <c r="B5" s="35">
        <v>25</v>
      </c>
      <c r="C5" s="35">
        <v>25</v>
      </c>
      <c r="D5" s="35">
        <v>25</v>
      </c>
      <c r="E5" s="35">
        <v>25</v>
      </c>
      <c r="F5" s="35">
        <v>25</v>
      </c>
      <c r="G5" s="35">
        <v>25</v>
      </c>
      <c r="H5" s="35">
        <v>25</v>
      </c>
      <c r="I5" s="35">
        <v>25</v>
      </c>
    </row>
    <row r="6" spans="1:9" ht="15" x14ac:dyDescent="0.15">
      <c r="A6" s="19" t="s">
        <v>4</v>
      </c>
      <c r="B6" s="35">
        <v>1.5</v>
      </c>
      <c r="C6" s="35">
        <v>1.5</v>
      </c>
      <c r="D6" s="35">
        <v>1.5</v>
      </c>
      <c r="E6" s="35">
        <v>1.5</v>
      </c>
      <c r="F6" s="35">
        <v>1.5</v>
      </c>
      <c r="G6" s="35">
        <v>1.5</v>
      </c>
      <c r="H6" s="35">
        <v>1.5</v>
      </c>
      <c r="I6" s="35">
        <v>1.5</v>
      </c>
    </row>
    <row r="7" spans="1:9" ht="31.5" x14ac:dyDescent="0.15">
      <c r="A7" s="19" t="s">
        <v>103</v>
      </c>
      <c r="B7" s="20" t="s">
        <v>58</v>
      </c>
      <c r="C7" s="21">
        <v>0.95</v>
      </c>
      <c r="D7" s="20" t="s">
        <v>58</v>
      </c>
      <c r="E7" s="21">
        <v>0.95</v>
      </c>
      <c r="F7" s="21" t="s">
        <v>58</v>
      </c>
      <c r="G7" s="21">
        <v>0.95</v>
      </c>
      <c r="H7" s="21" t="s">
        <v>58</v>
      </c>
      <c r="I7" s="21">
        <v>0.95</v>
      </c>
    </row>
    <row r="8" spans="1:9" ht="31.5" x14ac:dyDescent="0.15">
      <c r="A8" s="19" t="s">
        <v>104</v>
      </c>
      <c r="B8" s="20">
        <v>0.9</v>
      </c>
      <c r="C8" s="21" t="s">
        <v>59</v>
      </c>
      <c r="D8" s="20">
        <v>0.9</v>
      </c>
      <c r="E8" s="21" t="s">
        <v>59</v>
      </c>
      <c r="F8" s="21">
        <v>0.9</v>
      </c>
      <c r="G8" s="21" t="s">
        <v>58</v>
      </c>
      <c r="H8" s="21">
        <v>0.9</v>
      </c>
      <c r="I8" s="21" t="s">
        <v>58</v>
      </c>
    </row>
    <row r="9" spans="1:9" ht="15" x14ac:dyDescent="0.15">
      <c r="A9" s="19" t="s">
        <v>5</v>
      </c>
      <c r="B9" s="34" t="s">
        <v>59</v>
      </c>
      <c r="C9" s="35">
        <f>64/(0.5*0.001)</f>
        <v>128000</v>
      </c>
      <c r="D9" s="34" t="s">
        <v>59</v>
      </c>
      <c r="E9" s="35">
        <f>64/(0.5*0.001)</f>
        <v>128000</v>
      </c>
      <c r="F9" s="35" t="s">
        <v>58</v>
      </c>
      <c r="G9" s="35">
        <f>2/(0.5*0.001)</f>
        <v>4000</v>
      </c>
      <c r="H9" s="35"/>
      <c r="I9" s="35">
        <f>2/(0.5*0.001)</f>
        <v>4000</v>
      </c>
    </row>
    <row r="10" spans="1:9" ht="15" x14ac:dyDescent="0.15">
      <c r="A10" s="19" t="s">
        <v>6</v>
      </c>
      <c r="B10" s="34">
        <f>2248233*3</f>
        <v>6744699</v>
      </c>
      <c r="C10" s="35" t="s">
        <v>90</v>
      </c>
      <c r="D10" s="34">
        <f>2248233*3</f>
        <v>6744699</v>
      </c>
      <c r="E10" s="35" t="s">
        <v>90</v>
      </c>
      <c r="F10" s="35">
        <f>74880*3</f>
        <v>224640</v>
      </c>
      <c r="G10" s="35" t="s">
        <v>58</v>
      </c>
      <c r="H10" s="35">
        <f>74880*3</f>
        <v>224640</v>
      </c>
      <c r="I10" s="35" t="s">
        <v>58</v>
      </c>
    </row>
    <row r="11" spans="1:9" ht="15" x14ac:dyDescent="0.15">
      <c r="A11" s="19" t="s">
        <v>7</v>
      </c>
      <c r="B11" s="20" t="s">
        <v>58</v>
      </c>
      <c r="C11" s="21">
        <v>0.01</v>
      </c>
      <c r="D11" s="20" t="s">
        <v>58</v>
      </c>
      <c r="E11" s="21">
        <v>0.01</v>
      </c>
      <c r="F11" s="21" t="s">
        <v>58</v>
      </c>
      <c r="G11" s="21">
        <v>0.01</v>
      </c>
      <c r="H11" s="21" t="s">
        <v>58</v>
      </c>
      <c r="I11" s="21">
        <v>0.01</v>
      </c>
    </row>
    <row r="12" spans="1:9" ht="15" x14ac:dyDescent="0.15">
      <c r="A12" s="19" t="s">
        <v>8</v>
      </c>
      <c r="B12" s="20">
        <v>0.1</v>
      </c>
      <c r="C12" s="21" t="s">
        <v>58</v>
      </c>
      <c r="D12" s="20">
        <v>0.1</v>
      </c>
      <c r="E12" s="21" t="s">
        <v>58</v>
      </c>
      <c r="F12" s="21">
        <v>0.1</v>
      </c>
      <c r="G12" s="21" t="s">
        <v>58</v>
      </c>
      <c r="H12" s="21">
        <v>0.1</v>
      </c>
      <c r="I12" s="21" t="s">
        <v>58</v>
      </c>
    </row>
    <row r="13" spans="1:9" ht="16.5" x14ac:dyDescent="0.15">
      <c r="A13" s="19" t="s">
        <v>105</v>
      </c>
      <c r="B13" s="34">
        <f>B10/(B42*(3+11/14)/5)</f>
        <v>0.48519025157232709</v>
      </c>
      <c r="C13" s="34" t="s">
        <v>91</v>
      </c>
      <c r="D13" s="34">
        <f>D10/(D42*(3+11/14)/5)</f>
        <v>0.48519025157232709</v>
      </c>
      <c r="E13" s="34" t="s">
        <v>91</v>
      </c>
      <c r="F13" s="34">
        <f>F10/(F42*(1+3/14)/5)</f>
        <v>0.64235294117647068</v>
      </c>
      <c r="G13" s="35" t="s">
        <v>59</v>
      </c>
      <c r="H13" s="34">
        <f>H10/(H42*(1+3/14)/5)</f>
        <v>0.64235294117647068</v>
      </c>
      <c r="I13" s="35" t="s">
        <v>59</v>
      </c>
    </row>
    <row r="14" spans="1:9" ht="16.5" x14ac:dyDescent="0.15">
      <c r="A14" s="19" t="s">
        <v>106</v>
      </c>
      <c r="B14" s="34" t="s">
        <v>88</v>
      </c>
      <c r="C14" s="34" t="s">
        <v>88</v>
      </c>
      <c r="D14" s="34" t="s">
        <v>89</v>
      </c>
      <c r="E14" s="34" t="s">
        <v>89</v>
      </c>
      <c r="F14" s="34" t="s">
        <v>88</v>
      </c>
      <c r="G14" s="34" t="s">
        <v>88</v>
      </c>
      <c r="H14" s="34" t="s">
        <v>89</v>
      </c>
      <c r="I14" s="34" t="s">
        <v>89</v>
      </c>
    </row>
    <row r="15" spans="1:9" ht="15" x14ac:dyDescent="0.15">
      <c r="A15" s="19" t="s">
        <v>87</v>
      </c>
      <c r="B15" s="34">
        <v>30</v>
      </c>
      <c r="C15" s="35">
        <v>30</v>
      </c>
      <c r="D15" s="34">
        <v>3</v>
      </c>
      <c r="E15" s="35">
        <v>3</v>
      </c>
      <c r="F15" s="35">
        <v>30</v>
      </c>
      <c r="G15" s="35">
        <v>30</v>
      </c>
      <c r="H15" s="35">
        <v>3</v>
      </c>
      <c r="I15" s="35">
        <v>3</v>
      </c>
    </row>
    <row r="16" spans="1:9" ht="15" x14ac:dyDescent="0.15">
      <c r="A16" s="19" t="s">
        <v>9</v>
      </c>
      <c r="B16" s="34">
        <v>3</v>
      </c>
      <c r="C16" s="35">
        <v>3</v>
      </c>
      <c r="D16" s="34">
        <v>3</v>
      </c>
      <c r="E16" s="35">
        <v>3</v>
      </c>
      <c r="F16" s="35">
        <v>3</v>
      </c>
      <c r="G16" s="35">
        <v>3</v>
      </c>
      <c r="H16" s="35">
        <v>3</v>
      </c>
      <c r="I16" s="35">
        <v>3</v>
      </c>
    </row>
    <row r="17" spans="1:9" ht="15" customHeight="1" x14ac:dyDescent="0.15">
      <c r="A17" s="18" t="s">
        <v>10</v>
      </c>
      <c r="B17" s="37"/>
      <c r="C17" s="37"/>
      <c r="D17" s="37"/>
      <c r="E17" s="37"/>
      <c r="F17" s="37"/>
      <c r="G17" s="37"/>
      <c r="H17" s="37"/>
      <c r="I17" s="37"/>
    </row>
    <row r="18" spans="1:9" ht="30" x14ac:dyDescent="0.15">
      <c r="A18" s="19" t="s">
        <v>85</v>
      </c>
      <c r="B18" s="34">
        <v>128</v>
      </c>
      <c r="C18" s="35">
        <v>128</v>
      </c>
      <c r="D18" s="34">
        <v>128</v>
      </c>
      <c r="E18" s="35">
        <v>128</v>
      </c>
      <c r="F18" s="35">
        <v>2</v>
      </c>
      <c r="G18" s="35">
        <v>2</v>
      </c>
      <c r="H18" s="35">
        <v>2</v>
      </c>
      <c r="I18" s="35">
        <v>2</v>
      </c>
    </row>
    <row r="19" spans="1:9" ht="15" x14ac:dyDescent="0.15">
      <c r="A19" s="19" t="s">
        <v>199</v>
      </c>
      <c r="B19" s="34">
        <v>2</v>
      </c>
      <c r="C19" s="35">
        <v>2</v>
      </c>
      <c r="D19" s="34">
        <v>2</v>
      </c>
      <c r="E19" s="35">
        <v>2</v>
      </c>
      <c r="F19" s="34">
        <v>2</v>
      </c>
      <c r="G19" s="35">
        <v>2</v>
      </c>
      <c r="H19" s="34">
        <v>2</v>
      </c>
      <c r="I19" s="35">
        <v>2</v>
      </c>
    </row>
    <row r="20" spans="1:9" ht="15" x14ac:dyDescent="0.15">
      <c r="A20" s="19" t="s">
        <v>11</v>
      </c>
      <c r="B20" s="34">
        <v>23</v>
      </c>
      <c r="C20" s="35">
        <v>23</v>
      </c>
      <c r="D20" s="34">
        <v>23</v>
      </c>
      <c r="E20" s="35">
        <v>23</v>
      </c>
      <c r="F20" s="35">
        <v>20</v>
      </c>
      <c r="G20" s="35">
        <v>20</v>
      </c>
      <c r="H20" s="35">
        <v>20</v>
      </c>
      <c r="I20" s="35">
        <v>20</v>
      </c>
    </row>
    <row r="21" spans="1:9" ht="30" x14ac:dyDescent="0.15">
      <c r="A21" s="46" t="s">
        <v>86</v>
      </c>
      <c r="B21" s="40">
        <f t="shared" ref="B21:I21" si="0">B20+10*LOG10(B18)</f>
        <v>44.072099696478688</v>
      </c>
      <c r="C21" s="40">
        <f t="shared" si="0"/>
        <v>44.072099696478688</v>
      </c>
      <c r="D21" s="40">
        <f t="shared" si="0"/>
        <v>44.072099696478688</v>
      </c>
      <c r="E21" s="40">
        <f t="shared" si="0"/>
        <v>44.072099696478688</v>
      </c>
      <c r="F21" s="40">
        <f t="shared" si="0"/>
        <v>23.010299956639813</v>
      </c>
      <c r="G21" s="40">
        <f t="shared" si="0"/>
        <v>23.010299956639813</v>
      </c>
      <c r="H21" s="40">
        <f t="shared" si="0"/>
        <v>23.010299956639813</v>
      </c>
      <c r="I21" s="40">
        <f t="shared" si="0"/>
        <v>23.010299956639813</v>
      </c>
    </row>
    <row r="22" spans="1:9" ht="15" x14ac:dyDescent="0.15">
      <c r="A22" s="19" t="s">
        <v>12</v>
      </c>
      <c r="B22" s="34">
        <v>8</v>
      </c>
      <c r="C22" s="35">
        <v>8</v>
      </c>
      <c r="D22" s="34">
        <v>8</v>
      </c>
      <c r="E22" s="35">
        <v>8</v>
      </c>
      <c r="F22" s="35">
        <v>0</v>
      </c>
      <c r="G22" s="35">
        <v>0</v>
      </c>
      <c r="H22" s="35">
        <v>0</v>
      </c>
      <c r="I22" s="35">
        <v>0</v>
      </c>
    </row>
    <row r="23" spans="1:9" ht="45" x14ac:dyDescent="0.15">
      <c r="A23" s="47" t="s">
        <v>13</v>
      </c>
      <c r="B23" s="40">
        <f t="shared" ref="B23:I23" si="1">IF(B18&gt;=2, 10*LOG10(B18/2), 0)</f>
        <v>18.061799739838872</v>
      </c>
      <c r="C23" s="40">
        <f t="shared" si="1"/>
        <v>18.061799739838872</v>
      </c>
      <c r="D23" s="40">
        <f t="shared" si="1"/>
        <v>18.061799739838872</v>
      </c>
      <c r="E23" s="40">
        <f t="shared" si="1"/>
        <v>18.061799739838872</v>
      </c>
      <c r="F23" s="40">
        <f t="shared" si="1"/>
        <v>0</v>
      </c>
      <c r="G23" s="40">
        <f t="shared" si="1"/>
        <v>0</v>
      </c>
      <c r="H23" s="40">
        <f t="shared" si="1"/>
        <v>0</v>
      </c>
      <c r="I23" s="40">
        <f t="shared" si="1"/>
        <v>0</v>
      </c>
    </row>
    <row r="24" spans="1:9" ht="15" x14ac:dyDescent="0.15">
      <c r="A24" s="19" t="s">
        <v>14</v>
      </c>
      <c r="B24" s="34">
        <v>0</v>
      </c>
      <c r="C24" s="35">
        <v>0</v>
      </c>
      <c r="D24" s="34">
        <v>0</v>
      </c>
      <c r="E24" s="35">
        <v>0</v>
      </c>
      <c r="F24" s="35">
        <v>0</v>
      </c>
      <c r="G24" s="35">
        <v>0</v>
      </c>
      <c r="H24" s="35">
        <v>0</v>
      </c>
      <c r="I24" s="35">
        <v>0</v>
      </c>
    </row>
    <row r="25" spans="1:9" ht="15.75" customHeight="1" x14ac:dyDescent="0.15">
      <c r="A25" s="19" t="s">
        <v>15</v>
      </c>
      <c r="B25" s="34">
        <v>0</v>
      </c>
      <c r="C25" s="35">
        <v>0</v>
      </c>
      <c r="D25" s="34">
        <v>0</v>
      </c>
      <c r="E25" s="35">
        <v>0</v>
      </c>
      <c r="F25" s="35">
        <v>0</v>
      </c>
      <c r="G25" s="35">
        <v>0</v>
      </c>
      <c r="H25" s="35">
        <v>0</v>
      </c>
      <c r="I25" s="35">
        <v>0</v>
      </c>
    </row>
    <row r="26" spans="1:9" ht="30" x14ac:dyDescent="0.15">
      <c r="A26" s="19" t="s">
        <v>16</v>
      </c>
      <c r="B26" s="34">
        <v>3</v>
      </c>
      <c r="C26" s="35">
        <v>3</v>
      </c>
      <c r="D26" s="34">
        <v>3</v>
      </c>
      <c r="E26" s="35">
        <v>3</v>
      </c>
      <c r="F26" s="35">
        <v>1</v>
      </c>
      <c r="G26" s="35">
        <v>1</v>
      </c>
      <c r="H26" s="35">
        <v>1</v>
      </c>
      <c r="I26" s="35">
        <v>1</v>
      </c>
    </row>
    <row r="27" spans="1:9" ht="15" x14ac:dyDescent="0.15">
      <c r="A27" s="24" t="s">
        <v>17</v>
      </c>
      <c r="B27" s="39">
        <f t="shared" ref="B27:I27" si="2">B21+B22+B23+B24-B26</f>
        <v>67.133899436317563</v>
      </c>
      <c r="C27" s="39">
        <f t="shared" si="2"/>
        <v>67.133899436317563</v>
      </c>
      <c r="D27" s="39">
        <f t="shared" si="2"/>
        <v>67.133899436317563</v>
      </c>
      <c r="E27" s="39">
        <f t="shared" si="2"/>
        <v>67.133899436317563</v>
      </c>
      <c r="F27" s="39">
        <f t="shared" si="2"/>
        <v>22.010299956639813</v>
      </c>
      <c r="G27" s="39">
        <f t="shared" si="2"/>
        <v>22.010299956639813</v>
      </c>
      <c r="H27" s="39">
        <f t="shared" si="2"/>
        <v>22.010299956639813</v>
      </c>
      <c r="I27" s="39">
        <f t="shared" si="2"/>
        <v>22.010299956639813</v>
      </c>
    </row>
    <row r="28" spans="1:9" ht="15" x14ac:dyDescent="0.15">
      <c r="A28" s="24" t="s">
        <v>18</v>
      </c>
      <c r="B28" s="39">
        <f t="shared" ref="B28:I28" si="3">B21+B22+B23-B25-B26</f>
        <v>67.133899436317563</v>
      </c>
      <c r="C28" s="39">
        <f t="shared" si="3"/>
        <v>67.133899436317563</v>
      </c>
      <c r="D28" s="39">
        <f t="shared" si="3"/>
        <v>67.133899436317563</v>
      </c>
      <c r="E28" s="39">
        <f t="shared" si="3"/>
        <v>67.133899436317563</v>
      </c>
      <c r="F28" s="39">
        <f t="shared" si="3"/>
        <v>22.010299956639813</v>
      </c>
      <c r="G28" s="39">
        <f t="shared" si="3"/>
        <v>22.010299956639813</v>
      </c>
      <c r="H28" s="39">
        <f t="shared" si="3"/>
        <v>22.010299956639813</v>
      </c>
      <c r="I28" s="39">
        <f t="shared" si="3"/>
        <v>22.010299956639813</v>
      </c>
    </row>
    <row r="29" spans="1:9" x14ac:dyDescent="0.15">
      <c r="A29" s="18" t="s">
        <v>19</v>
      </c>
      <c r="B29" s="37"/>
      <c r="C29" s="37"/>
      <c r="D29" s="37"/>
      <c r="E29" s="37"/>
      <c r="F29" s="37"/>
      <c r="G29" s="37"/>
      <c r="H29" s="37"/>
      <c r="I29" s="37"/>
    </row>
    <row r="30" spans="1:9" ht="30" x14ac:dyDescent="0.15">
      <c r="A30" s="19" t="s">
        <v>84</v>
      </c>
      <c r="B30" s="34">
        <v>4</v>
      </c>
      <c r="C30" s="35">
        <v>4</v>
      </c>
      <c r="D30" s="34">
        <v>4</v>
      </c>
      <c r="E30" s="35">
        <v>4</v>
      </c>
      <c r="F30" s="35">
        <v>128</v>
      </c>
      <c r="G30" s="35">
        <v>128</v>
      </c>
      <c r="H30" s="35">
        <v>128</v>
      </c>
      <c r="I30" s="35">
        <v>128</v>
      </c>
    </row>
    <row r="31" spans="1:9" ht="15" x14ac:dyDescent="0.15">
      <c r="A31" s="19" t="s">
        <v>200</v>
      </c>
      <c r="B31" s="34">
        <v>2</v>
      </c>
      <c r="C31" s="35">
        <v>2</v>
      </c>
      <c r="D31" s="34">
        <v>2</v>
      </c>
      <c r="E31" s="35">
        <v>2</v>
      </c>
      <c r="F31" s="35">
        <v>2</v>
      </c>
      <c r="G31" s="35">
        <v>2</v>
      </c>
      <c r="H31" s="35">
        <v>2</v>
      </c>
      <c r="I31" s="35">
        <v>2</v>
      </c>
    </row>
    <row r="32" spans="1:9" ht="15" x14ac:dyDescent="0.15">
      <c r="A32" s="19" t="s">
        <v>20</v>
      </c>
      <c r="B32" s="34">
        <v>0</v>
      </c>
      <c r="C32" s="35">
        <v>0</v>
      </c>
      <c r="D32" s="34">
        <v>0</v>
      </c>
      <c r="E32" s="35">
        <v>0</v>
      </c>
      <c r="F32" s="35">
        <v>8</v>
      </c>
      <c r="G32" s="35">
        <v>8</v>
      </c>
      <c r="H32" s="35">
        <v>8</v>
      </c>
      <c r="I32" s="35">
        <v>8</v>
      </c>
    </row>
    <row r="33" spans="1:9" ht="28.5" x14ac:dyDescent="0.15">
      <c r="A33" s="25" t="s">
        <v>201</v>
      </c>
      <c r="B33" s="40">
        <f t="shared" ref="B33:I33" si="4">IF(B30&gt;=2, 10*LOG10(B30/2), 0)</f>
        <v>3.0102999566398121</v>
      </c>
      <c r="C33" s="40">
        <f t="shared" si="4"/>
        <v>3.0102999566398121</v>
      </c>
      <c r="D33" s="40">
        <f t="shared" si="4"/>
        <v>3.0102999566398121</v>
      </c>
      <c r="E33" s="40">
        <f t="shared" si="4"/>
        <v>3.0102999566398121</v>
      </c>
      <c r="F33" s="40">
        <f t="shared" si="4"/>
        <v>18.061799739838872</v>
      </c>
      <c r="G33" s="40">
        <f t="shared" si="4"/>
        <v>18.061799739838872</v>
      </c>
      <c r="H33" s="40">
        <f t="shared" si="4"/>
        <v>18.061799739838872</v>
      </c>
      <c r="I33" s="40">
        <f t="shared" si="4"/>
        <v>18.061799739838872</v>
      </c>
    </row>
    <row r="34" spans="1:9" ht="30" x14ac:dyDescent="0.15">
      <c r="A34" s="19" t="s">
        <v>21</v>
      </c>
      <c r="B34" s="34">
        <v>1</v>
      </c>
      <c r="C34" s="35">
        <v>1</v>
      </c>
      <c r="D34" s="34">
        <v>1</v>
      </c>
      <c r="E34" s="35">
        <v>1</v>
      </c>
      <c r="F34" s="35">
        <v>3</v>
      </c>
      <c r="G34" s="35">
        <v>3</v>
      </c>
      <c r="H34" s="35">
        <v>3</v>
      </c>
      <c r="I34" s="35">
        <v>3</v>
      </c>
    </row>
    <row r="35" spans="1:9" ht="15" x14ac:dyDescent="0.15">
      <c r="A35" s="19" t="s">
        <v>22</v>
      </c>
      <c r="B35" s="35">
        <v>7</v>
      </c>
      <c r="C35" s="35">
        <v>7</v>
      </c>
      <c r="D35" s="35">
        <v>7</v>
      </c>
      <c r="E35" s="35">
        <v>7</v>
      </c>
      <c r="F35" s="35">
        <v>5</v>
      </c>
      <c r="G35" s="35">
        <v>5</v>
      </c>
      <c r="H35" s="35">
        <v>5</v>
      </c>
      <c r="I35" s="35">
        <v>5</v>
      </c>
    </row>
    <row r="36" spans="1:9" ht="15" x14ac:dyDescent="0.15">
      <c r="A36" s="19" t="s">
        <v>23</v>
      </c>
      <c r="B36" s="35">
        <v>-174</v>
      </c>
      <c r="C36" s="35">
        <v>-174</v>
      </c>
      <c r="D36" s="35">
        <v>-174</v>
      </c>
      <c r="E36" s="35">
        <v>-174</v>
      </c>
      <c r="F36" s="34">
        <v>-174</v>
      </c>
      <c r="G36" s="35">
        <v>-174</v>
      </c>
      <c r="H36" s="34">
        <v>-174</v>
      </c>
      <c r="I36" s="35">
        <v>-174</v>
      </c>
    </row>
    <row r="37" spans="1:9" ht="30" x14ac:dyDescent="0.15">
      <c r="A37" s="19" t="s">
        <v>24</v>
      </c>
      <c r="B37" s="34" t="s">
        <v>58</v>
      </c>
      <c r="C37" s="35">
        <v>-169.3</v>
      </c>
      <c r="D37" s="34" t="s">
        <v>58</v>
      </c>
      <c r="E37" s="35">
        <v>-169.3</v>
      </c>
      <c r="F37" s="35" t="s">
        <v>59</v>
      </c>
      <c r="G37" s="35">
        <v>-161.69999999999999</v>
      </c>
      <c r="H37" s="35" t="s">
        <v>59</v>
      </c>
      <c r="I37" s="35">
        <v>-161.69999999999999</v>
      </c>
    </row>
    <row r="38" spans="1:9" ht="15" x14ac:dyDescent="0.15">
      <c r="A38" s="19" t="s">
        <v>25</v>
      </c>
      <c r="B38" s="34">
        <v>-169.3</v>
      </c>
      <c r="C38" s="35" t="s">
        <v>58</v>
      </c>
      <c r="D38" s="34">
        <v>-169.3</v>
      </c>
      <c r="E38" s="35" t="s">
        <v>58</v>
      </c>
      <c r="F38" s="35">
        <v>-165.7</v>
      </c>
      <c r="G38" s="35" t="s">
        <v>59</v>
      </c>
      <c r="H38" s="35">
        <v>-165.7</v>
      </c>
      <c r="I38" s="35" t="s">
        <v>59</v>
      </c>
    </row>
    <row r="39" spans="1:9" ht="45" x14ac:dyDescent="0.15">
      <c r="A39" s="26" t="s">
        <v>45</v>
      </c>
      <c r="B39" s="39" t="s">
        <v>206</v>
      </c>
      <c r="C39" s="39">
        <f t="shared" ref="C39:I39" si="5">10*LOG10(10^((C35+C36)/10)+10^(C37/10))</f>
        <v>-164.98918835931039</v>
      </c>
      <c r="D39" s="39" t="s">
        <v>206</v>
      </c>
      <c r="E39" s="39">
        <f t="shared" si="5"/>
        <v>-164.98918835931039</v>
      </c>
      <c r="F39" s="39" t="s">
        <v>206</v>
      </c>
      <c r="G39" s="39">
        <f t="shared" si="5"/>
        <v>-160.9583889004532</v>
      </c>
      <c r="H39" s="39" t="s">
        <v>206</v>
      </c>
      <c r="I39" s="39">
        <f t="shared" si="5"/>
        <v>-160.9583889004532</v>
      </c>
    </row>
    <row r="40" spans="1:9" ht="30" x14ac:dyDescent="0.15">
      <c r="A40" s="26" t="s">
        <v>46</v>
      </c>
      <c r="B40" s="39">
        <f t="shared" ref="B40:H40" si="6">10*LOG10(10^((B35+B36)/10)+10^(B38/10))</f>
        <v>-164.98918835931039</v>
      </c>
      <c r="C40" s="39" t="s">
        <v>206</v>
      </c>
      <c r="D40" s="39">
        <f t="shared" si="6"/>
        <v>-164.98918835931039</v>
      </c>
      <c r="E40" s="39" t="s">
        <v>206</v>
      </c>
      <c r="F40" s="39">
        <f t="shared" si="6"/>
        <v>-164.03352307536667</v>
      </c>
      <c r="G40" s="39" t="s">
        <v>206</v>
      </c>
      <c r="H40" s="39">
        <f t="shared" si="6"/>
        <v>-164.03352307536667</v>
      </c>
      <c r="I40" s="39" t="s">
        <v>206</v>
      </c>
    </row>
    <row r="41" spans="1:9" ht="30" x14ac:dyDescent="0.15">
      <c r="A41" s="19" t="s">
        <v>26</v>
      </c>
      <c r="B41" s="34" t="s">
        <v>58</v>
      </c>
      <c r="C41" s="34">
        <f>MaxN_RB!$F$7*12*30*1000</f>
        <v>18360000</v>
      </c>
      <c r="D41" s="34" t="s">
        <v>58</v>
      </c>
      <c r="E41" s="34">
        <f>MaxN_RB!$F$7*12*30*1000</f>
        <v>18360000</v>
      </c>
      <c r="F41" s="35" t="s">
        <v>59</v>
      </c>
      <c r="G41" s="35">
        <f>1*12*30*1000</f>
        <v>360000</v>
      </c>
      <c r="H41" s="35" t="s">
        <v>59</v>
      </c>
      <c r="I41" s="35">
        <f>1*12*30*1000</f>
        <v>360000</v>
      </c>
    </row>
    <row r="42" spans="1:9" ht="30" x14ac:dyDescent="0.15">
      <c r="A42" s="19" t="s">
        <v>27</v>
      </c>
      <c r="B42" s="34">
        <f>MaxN_RB!$F$7*12*30*1000</f>
        <v>18360000</v>
      </c>
      <c r="C42" s="35" t="s">
        <v>58</v>
      </c>
      <c r="D42" s="34">
        <f>MaxN_RB!$F$7*12*30*1000</f>
        <v>18360000</v>
      </c>
      <c r="E42" s="35" t="s">
        <v>58</v>
      </c>
      <c r="F42" s="35">
        <f>4*12*30*1000</f>
        <v>1440000</v>
      </c>
      <c r="G42" s="35" t="s">
        <v>59</v>
      </c>
      <c r="H42" s="35">
        <f>4*12*30*1000</f>
        <v>1440000</v>
      </c>
      <c r="I42" s="35" t="s">
        <v>59</v>
      </c>
    </row>
    <row r="43" spans="1:9" ht="15" x14ac:dyDescent="0.15">
      <c r="A43" s="24" t="s">
        <v>28</v>
      </c>
      <c r="B43" s="39" t="s">
        <v>206</v>
      </c>
      <c r="C43" s="39">
        <f t="shared" ref="C43:I43" si="7">C39+10*LOG10(C41)</f>
        <v>-92.350461590658156</v>
      </c>
      <c r="D43" s="39" t="s">
        <v>206</v>
      </c>
      <c r="E43" s="39">
        <f t="shared" si="7"/>
        <v>-92.350461590658156</v>
      </c>
      <c r="F43" s="39" t="s">
        <v>206</v>
      </c>
      <c r="G43" s="39">
        <f t="shared" si="7"/>
        <v>-105.39536389278032</v>
      </c>
      <c r="H43" s="39" t="s">
        <v>206</v>
      </c>
      <c r="I43" s="39">
        <f t="shared" si="7"/>
        <v>-105.39536389278032</v>
      </c>
    </row>
    <row r="44" spans="1:9" ht="15" x14ac:dyDescent="0.15">
      <c r="A44" s="24" t="s">
        <v>29</v>
      </c>
      <c r="B44" s="39">
        <f t="shared" ref="B44:H44" si="8">B40+10*LOG10(B42)</f>
        <v>-92.350461590658156</v>
      </c>
      <c r="C44" s="39" t="s">
        <v>206</v>
      </c>
      <c r="D44" s="39">
        <f t="shared" si="8"/>
        <v>-92.350461590658156</v>
      </c>
      <c r="E44" s="39" t="s">
        <v>206</v>
      </c>
      <c r="F44" s="39">
        <f t="shared" si="8"/>
        <v>-102.44989815441417</v>
      </c>
      <c r="G44" s="39" t="s">
        <v>206</v>
      </c>
      <c r="H44" s="39">
        <f t="shared" si="8"/>
        <v>-102.44989815441417</v>
      </c>
      <c r="I44" s="39" t="s">
        <v>206</v>
      </c>
    </row>
    <row r="45" spans="1:9" ht="15" x14ac:dyDescent="0.15">
      <c r="A45" s="19" t="s">
        <v>30</v>
      </c>
      <c r="B45" s="34" t="s">
        <v>57</v>
      </c>
      <c r="C45" s="35">
        <v>-8.3000000000000007</v>
      </c>
      <c r="D45" s="34" t="s">
        <v>57</v>
      </c>
      <c r="E45" s="35">
        <v>-8.5</v>
      </c>
      <c r="F45" s="34" t="s">
        <v>57</v>
      </c>
      <c r="G45" s="35">
        <v>-6.8</v>
      </c>
      <c r="H45" s="34" t="s">
        <v>57</v>
      </c>
      <c r="I45" s="35">
        <v>-6.8</v>
      </c>
    </row>
    <row r="46" spans="1:9" ht="15" x14ac:dyDescent="0.15">
      <c r="A46" s="19" t="s">
        <v>31</v>
      </c>
      <c r="B46" s="34">
        <v>-0.1</v>
      </c>
      <c r="C46" s="35" t="s">
        <v>57</v>
      </c>
      <c r="D46" s="34">
        <v>-1</v>
      </c>
      <c r="E46" s="35" t="s">
        <v>57</v>
      </c>
      <c r="F46" s="34">
        <v>6</v>
      </c>
      <c r="G46" s="35" t="s">
        <v>57</v>
      </c>
      <c r="H46" s="34">
        <v>3.7</v>
      </c>
      <c r="I46" s="35" t="s">
        <v>57</v>
      </c>
    </row>
    <row r="47" spans="1:9" ht="15" x14ac:dyDescent="0.15">
      <c r="A47" s="19" t="s">
        <v>32</v>
      </c>
      <c r="B47" s="34">
        <v>2</v>
      </c>
      <c r="C47" s="35">
        <v>2</v>
      </c>
      <c r="D47" s="34">
        <v>2</v>
      </c>
      <c r="E47" s="35">
        <v>2</v>
      </c>
      <c r="F47" s="35">
        <v>2</v>
      </c>
      <c r="G47" s="35">
        <v>2</v>
      </c>
      <c r="H47" s="35">
        <v>2</v>
      </c>
      <c r="I47" s="35">
        <v>2</v>
      </c>
    </row>
    <row r="48" spans="1:9" ht="15" x14ac:dyDescent="0.15">
      <c r="A48" s="19" t="s">
        <v>33</v>
      </c>
      <c r="B48" s="34" t="s">
        <v>58</v>
      </c>
      <c r="C48" s="35">
        <v>0</v>
      </c>
      <c r="D48" s="34" t="s">
        <v>58</v>
      </c>
      <c r="E48" s="35">
        <v>0</v>
      </c>
      <c r="F48" s="35" t="s">
        <v>59</v>
      </c>
      <c r="G48" s="35">
        <v>0</v>
      </c>
      <c r="H48" s="35" t="s">
        <v>59</v>
      </c>
      <c r="I48" s="35">
        <v>0</v>
      </c>
    </row>
    <row r="49" spans="1:11" ht="15" x14ac:dyDescent="0.15">
      <c r="A49" s="19" t="s">
        <v>34</v>
      </c>
      <c r="B49" s="34">
        <v>0.5</v>
      </c>
      <c r="C49" s="35" t="s">
        <v>58</v>
      </c>
      <c r="D49" s="34">
        <v>0.5</v>
      </c>
      <c r="E49" s="35" t="s">
        <v>58</v>
      </c>
      <c r="F49" s="35">
        <v>0.5</v>
      </c>
      <c r="G49" s="35" t="s">
        <v>59</v>
      </c>
      <c r="H49" s="35">
        <v>0.5</v>
      </c>
      <c r="I49" s="35" t="s">
        <v>59</v>
      </c>
    </row>
    <row r="50" spans="1:11" ht="30" x14ac:dyDescent="0.15">
      <c r="A50" s="26" t="s">
        <v>47</v>
      </c>
      <c r="B50" s="39" t="s">
        <v>206</v>
      </c>
      <c r="C50" s="39">
        <f t="shared" ref="C50:I50" si="9">C43+C45+C47-C48</f>
        <v>-98.650461590658153</v>
      </c>
      <c r="D50" s="39" t="s">
        <v>206</v>
      </c>
      <c r="E50" s="39">
        <f t="shared" si="9"/>
        <v>-98.850461590658156</v>
      </c>
      <c r="F50" s="39" t="s">
        <v>206</v>
      </c>
      <c r="G50" s="39">
        <f t="shared" si="9"/>
        <v>-110.19536389278032</v>
      </c>
      <c r="H50" s="39" t="s">
        <v>206</v>
      </c>
      <c r="I50" s="39">
        <f t="shared" si="9"/>
        <v>-110.19536389278032</v>
      </c>
    </row>
    <row r="51" spans="1:11" ht="30" x14ac:dyDescent="0.15">
      <c r="A51" s="26" t="s">
        <v>114</v>
      </c>
      <c r="B51" s="39">
        <f t="shared" ref="B51:H51" si="10">B44+B46+B47-B49</f>
        <v>-90.950461590658151</v>
      </c>
      <c r="C51" s="39" t="s">
        <v>206</v>
      </c>
      <c r="D51" s="39">
        <f t="shared" si="10"/>
        <v>-91.850461590658156</v>
      </c>
      <c r="E51" s="39" t="s">
        <v>206</v>
      </c>
      <c r="F51" s="39">
        <f t="shared" si="10"/>
        <v>-94.949898154414171</v>
      </c>
      <c r="G51" s="39" t="s">
        <v>206</v>
      </c>
      <c r="H51" s="39">
        <f t="shared" si="10"/>
        <v>-97.249898154414169</v>
      </c>
      <c r="I51" s="39" t="s">
        <v>206</v>
      </c>
    </row>
    <row r="52" spans="1:11" ht="30" x14ac:dyDescent="0.15">
      <c r="A52" s="26" t="s">
        <v>115</v>
      </c>
      <c r="B52" s="39" t="s">
        <v>206</v>
      </c>
      <c r="C52" s="39">
        <f t="shared" ref="C52:I52" si="11">C27+C32+C33-C50</f>
        <v>168.79466098361553</v>
      </c>
      <c r="D52" s="39" t="s">
        <v>206</v>
      </c>
      <c r="E52" s="39">
        <f t="shared" si="11"/>
        <v>168.99466098361552</v>
      </c>
      <c r="F52" s="39" t="s">
        <v>206</v>
      </c>
      <c r="G52" s="39">
        <f t="shared" si="11"/>
        <v>158.26746358925902</v>
      </c>
      <c r="H52" s="39" t="s">
        <v>206</v>
      </c>
      <c r="I52" s="39">
        <f t="shared" si="11"/>
        <v>158.26746358925902</v>
      </c>
    </row>
    <row r="53" spans="1:11" ht="33.75" customHeight="1" x14ac:dyDescent="0.15">
      <c r="A53" s="26" t="s">
        <v>116</v>
      </c>
      <c r="B53" s="39">
        <f t="shared" ref="B53:H53" si="12">B28+B32+B33-B51</f>
        <v>161.09466098361554</v>
      </c>
      <c r="C53" s="39" t="s">
        <v>206</v>
      </c>
      <c r="D53" s="39">
        <f t="shared" si="12"/>
        <v>161.99466098361552</v>
      </c>
      <c r="E53" s="39" t="s">
        <v>206</v>
      </c>
      <c r="F53" s="39">
        <f t="shared" si="12"/>
        <v>143.02199785089286</v>
      </c>
      <c r="G53" s="39" t="s">
        <v>206</v>
      </c>
      <c r="H53" s="39">
        <f t="shared" si="12"/>
        <v>145.32199785089284</v>
      </c>
      <c r="I53" s="39" t="s">
        <v>206</v>
      </c>
      <c r="K53" s="13"/>
    </row>
    <row r="54" spans="1:11" x14ac:dyDescent="0.15">
      <c r="A54" s="18" t="s">
        <v>35</v>
      </c>
      <c r="B54" s="37"/>
      <c r="C54" s="37"/>
      <c r="D54" s="37"/>
      <c r="E54" s="37"/>
      <c r="F54" s="37"/>
      <c r="G54" s="37"/>
      <c r="H54" s="37"/>
      <c r="I54" s="37"/>
    </row>
    <row r="55" spans="1:11" ht="15" x14ac:dyDescent="0.15">
      <c r="A55" s="19" t="s">
        <v>36</v>
      </c>
      <c r="B55" s="35">
        <v>6</v>
      </c>
      <c r="C55" s="35">
        <v>6</v>
      </c>
      <c r="D55" s="162">
        <v>7</v>
      </c>
      <c r="E55" s="162">
        <v>7</v>
      </c>
      <c r="F55" s="35">
        <v>6</v>
      </c>
      <c r="G55" s="35">
        <v>6</v>
      </c>
      <c r="H55" s="162">
        <v>7</v>
      </c>
      <c r="I55" s="162">
        <v>7</v>
      </c>
    </row>
    <row r="56" spans="1:11" ht="30" x14ac:dyDescent="0.15">
      <c r="A56" s="19" t="s">
        <v>37</v>
      </c>
      <c r="B56" s="42" t="s">
        <v>100</v>
      </c>
      <c r="C56" s="35">
        <v>8.07</v>
      </c>
      <c r="D56" s="166" t="s">
        <v>157</v>
      </c>
      <c r="E56" s="162">
        <f>(8.22+6.9)/2</f>
        <v>7.5600000000000005</v>
      </c>
      <c r="F56" s="42" t="s">
        <v>100</v>
      </c>
      <c r="G56" s="35">
        <v>8.07</v>
      </c>
      <c r="H56" s="166" t="s">
        <v>57</v>
      </c>
      <c r="I56" s="162">
        <f>(8.22+6.9)/2</f>
        <v>7.5600000000000005</v>
      </c>
    </row>
    <row r="57" spans="1:11" ht="30" x14ac:dyDescent="0.15">
      <c r="A57" s="19" t="s">
        <v>38</v>
      </c>
      <c r="B57" s="35">
        <v>4.8499999999999996</v>
      </c>
      <c r="C57" s="42" t="s">
        <v>100</v>
      </c>
      <c r="D57" s="162">
        <f>(4.98+3.98)/2</f>
        <v>4.4800000000000004</v>
      </c>
      <c r="E57" s="166" t="s">
        <v>157</v>
      </c>
      <c r="F57" s="35">
        <v>4.8499999999999996</v>
      </c>
      <c r="G57" s="42" t="s">
        <v>100</v>
      </c>
      <c r="H57" s="162">
        <f>(4.98+3.98)/2</f>
        <v>4.4800000000000004</v>
      </c>
      <c r="I57" s="166" t="s">
        <v>57</v>
      </c>
    </row>
    <row r="58" spans="1:11" ht="15" x14ac:dyDescent="0.15">
      <c r="A58" s="19" t="s">
        <v>39</v>
      </c>
      <c r="B58" s="35">
        <v>0</v>
      </c>
      <c r="C58" s="35">
        <v>0</v>
      </c>
      <c r="D58" s="35">
        <v>0</v>
      </c>
      <c r="E58" s="35">
        <v>0</v>
      </c>
      <c r="F58" s="35">
        <v>0</v>
      </c>
      <c r="G58" s="35">
        <v>0</v>
      </c>
      <c r="H58" s="35">
        <v>0</v>
      </c>
      <c r="I58" s="35">
        <v>0</v>
      </c>
    </row>
    <row r="59" spans="1:11" ht="16.5" customHeight="1" x14ac:dyDescent="0.15">
      <c r="A59" s="19" t="s">
        <v>40</v>
      </c>
      <c r="B59" s="34">
        <v>9</v>
      </c>
      <c r="C59" s="34">
        <v>9</v>
      </c>
      <c r="D59" s="34">
        <f>20+0.5*12.5</f>
        <v>26.25</v>
      </c>
      <c r="E59" s="34">
        <f>20+0.5*12.5</f>
        <v>26.25</v>
      </c>
      <c r="F59" s="34">
        <v>9</v>
      </c>
      <c r="G59" s="34">
        <v>9</v>
      </c>
      <c r="H59" s="34">
        <f>20+0.5*12.5</f>
        <v>26.25</v>
      </c>
      <c r="I59" s="34">
        <f>20+0.5*12.5</f>
        <v>26.25</v>
      </c>
    </row>
    <row r="60" spans="1:11" ht="15" x14ac:dyDescent="0.15">
      <c r="A60" s="19" t="s">
        <v>41</v>
      </c>
      <c r="B60" s="35">
        <v>0</v>
      </c>
      <c r="C60" s="35">
        <v>0</v>
      </c>
      <c r="D60" s="35">
        <v>0</v>
      </c>
      <c r="E60" s="35">
        <v>0</v>
      </c>
      <c r="F60" s="35">
        <v>0</v>
      </c>
      <c r="G60" s="35">
        <v>0</v>
      </c>
      <c r="H60" s="35">
        <v>0</v>
      </c>
      <c r="I60" s="35">
        <v>0</v>
      </c>
    </row>
    <row r="61" spans="1:11" ht="30" x14ac:dyDescent="0.15">
      <c r="A61" s="26" t="s">
        <v>52</v>
      </c>
      <c r="B61" s="39" t="s">
        <v>206</v>
      </c>
      <c r="C61" s="39">
        <f t="shared" ref="C61:I61" si="13">C52-C56+C58-C59+C60-C34</f>
        <v>150.72466098361554</v>
      </c>
      <c r="D61" s="39" t="s">
        <v>206</v>
      </c>
      <c r="E61" s="39">
        <f t="shared" si="13"/>
        <v>134.18466098361552</v>
      </c>
      <c r="F61" s="39" t="s">
        <v>206</v>
      </c>
      <c r="G61" s="39">
        <f t="shared" si="13"/>
        <v>138.19746358925903</v>
      </c>
      <c r="H61" s="39" t="s">
        <v>206</v>
      </c>
      <c r="I61" s="39">
        <f t="shared" si="13"/>
        <v>121.45746358925902</v>
      </c>
    </row>
    <row r="62" spans="1:11" ht="30" x14ac:dyDescent="0.15">
      <c r="A62" s="26" t="s">
        <v>49</v>
      </c>
      <c r="B62" s="39">
        <f t="shared" ref="B62:H62" si="14">B53-B57+B58-B59+B60-B34</f>
        <v>146.24466098361555</v>
      </c>
      <c r="C62" s="39" t="s">
        <v>206</v>
      </c>
      <c r="D62" s="39">
        <f t="shared" si="14"/>
        <v>130.26466098361553</v>
      </c>
      <c r="E62" s="39" t="s">
        <v>206</v>
      </c>
      <c r="F62" s="39">
        <f t="shared" si="14"/>
        <v>126.17199785089286</v>
      </c>
      <c r="G62" s="39" t="s">
        <v>206</v>
      </c>
      <c r="H62" s="39">
        <f t="shared" si="14"/>
        <v>111.59199785089285</v>
      </c>
      <c r="I62" s="39" t="s">
        <v>206</v>
      </c>
    </row>
    <row r="63" spans="1:11" x14ac:dyDescent="0.15">
      <c r="A63" s="18" t="s">
        <v>42</v>
      </c>
      <c r="B63" s="37"/>
      <c r="C63" s="37"/>
      <c r="D63" s="37"/>
      <c r="E63" s="37"/>
      <c r="F63" s="37"/>
      <c r="G63" s="37"/>
      <c r="H63" s="37"/>
      <c r="I63" s="37"/>
    </row>
    <row r="64" spans="1:11" ht="30" x14ac:dyDescent="0.15">
      <c r="A64" s="28" t="s">
        <v>43</v>
      </c>
      <c r="B64" s="35" t="s">
        <v>59</v>
      </c>
      <c r="C64" s="35">
        <f>10^((C61-161.04+7.1*LOG10(20)-7.5*LOG10(20)+(24.37-3.7*(20/C5)^2)*LOG10(C5)-20*LOG10(C4)+(3.2*(LOG10(17.625))^2-4.97)+0.6*(C6-1.5))/(43.42-3.1*LOG10(C5))+3)</f>
        <v>1590.7233167795055</v>
      </c>
      <c r="D64" s="35" t="s">
        <v>59</v>
      </c>
      <c r="E64" s="35">
        <f>10^((E61-161.04+7.1*LOG10(20)-7.5*LOG10(20)+(24.37-3.7*(20/E5)^2)*LOG10(E5)-20*LOG10(E4)+(3.2*(LOG10(17.625))^2-4.97)+0.6*(E6-1.5))/(43.42-3.1*LOG10(E5))+3)</f>
        <v>600.38440715336708</v>
      </c>
      <c r="F64" s="35" t="s">
        <v>59</v>
      </c>
      <c r="G64" s="35">
        <f>10^((G61-161.04+7.1*LOG10(20)-7.5*LOG10(20)+(24.37-3.7*(20/G5)^2)*LOG10(G5)-20*LOG10(G4)+(3.2*(LOG10(17.625))^2-4.97)+0.6*(G6-1.5))/(43.42-3.1*LOG10(G5))+3)</f>
        <v>760.49151608644365</v>
      </c>
      <c r="H64" s="35" t="s">
        <v>59</v>
      </c>
      <c r="I64" s="35">
        <f>10^((I61-161.04+7.1*LOG10(20)-7.5*LOG10(20)+(24.37-3.7*(20/I5)^2)*LOG10(I5)-20*LOG10(I4)+(3.2*(LOG10(17.625))^2-4.97)+0.6*(I6-1.5))/(43.42-3.1*LOG10(I5))+3)</f>
        <v>283.66924960849809</v>
      </c>
    </row>
    <row r="65" spans="1:11" ht="30" x14ac:dyDescent="0.15">
      <c r="A65" s="28" t="s">
        <v>44</v>
      </c>
      <c r="B65" s="35">
        <f>10^((B62-161.04+7.1*LOG10(20)-7.5*LOG10(20)+(24.37-3.7*(20/B5)^2)*LOG10(B5)-20*LOG10(B4)+(3.2*(LOG10(17.625))^2-4.97)+0.6*(B6-1.5))/(43.42-3.1*LOG10(B5))+3)</f>
        <v>1221.734206786535</v>
      </c>
      <c r="C65" s="35" t="s">
        <v>59</v>
      </c>
      <c r="D65" s="35">
        <f>10^((D62-161.04+7.1*LOG10(20)-7.5*LOG10(20)+(24.37-3.7*(20/D5)^2)*LOG10(D5)-20*LOG10(D4)+(3.2*(LOG10(17.625))^2-4.97)+0.6*(D6-1.5))/(43.42-3.1*LOG10(D5))+3)</f>
        <v>476.5832014281151</v>
      </c>
      <c r="E65" s="35" t="s">
        <v>59</v>
      </c>
      <c r="F65" s="35">
        <f>10^((F62-161.04+7.1*LOG10(20)-7.5*LOG10(20)+(24.37-3.7*(20/F5)^2)*LOG10(F5)-20*LOG10(F4)+(3.2*(LOG10(17.625))^2-4.97)+0.6*(F6-1.5))/(43.42-3.1*LOG10(F5))+3)</f>
        <v>374.48168403462097</v>
      </c>
      <c r="G65" s="35" t="s">
        <v>59</v>
      </c>
      <c r="H65" s="35">
        <f>10^((H62-161.04+7.1*LOG10(20)-7.5*LOG10(20)+(24.37-3.7*(20/H5)^2)*LOG10(H5)-20*LOG10(H4)+(3.2*(LOG10(17.625))^2-4.97)+0.6*(H6-1.5))/(43.42-3.1*LOG10(H5))+3)</f>
        <v>158.63926011906469</v>
      </c>
      <c r="I65" s="35" t="s">
        <v>59</v>
      </c>
      <c r="K65" s="14"/>
    </row>
    <row r="66" spans="1:11" ht="18" x14ac:dyDescent="0.15">
      <c r="A66" s="28" t="s">
        <v>108</v>
      </c>
      <c r="B66" s="35" t="s">
        <v>58</v>
      </c>
      <c r="C66" s="35">
        <f>PI()*(C64)^2</f>
        <v>7949488.157225972</v>
      </c>
      <c r="D66" s="35" t="s">
        <v>58</v>
      </c>
      <c r="E66" s="35">
        <f>PI()*(E64)^2</f>
        <v>1132423.0003486956</v>
      </c>
      <c r="F66" s="35" t="s">
        <v>58</v>
      </c>
      <c r="G66" s="35">
        <f>PI()*(G64)^2</f>
        <v>1816931.7735407138</v>
      </c>
      <c r="H66" s="35" t="s">
        <v>58</v>
      </c>
      <c r="I66" s="35">
        <f>PI()*(I64)^2</f>
        <v>252798.44160098251</v>
      </c>
    </row>
    <row r="67" spans="1:11" ht="18" x14ac:dyDescent="0.15">
      <c r="A67" s="28" t="s">
        <v>109</v>
      </c>
      <c r="B67" s="35">
        <f>PI()*(B65)^2</f>
        <v>4689249.4918316277</v>
      </c>
      <c r="C67" s="35" t="s">
        <v>58</v>
      </c>
      <c r="D67" s="35">
        <f>PI()*(D65)^2</f>
        <v>713554.80222919188</v>
      </c>
      <c r="E67" s="35" t="s">
        <v>58</v>
      </c>
      <c r="F67" s="35">
        <f>PI()*(F65)^2</f>
        <v>440566.05768265005</v>
      </c>
      <c r="G67" s="35" t="s">
        <v>58</v>
      </c>
      <c r="H67" s="35">
        <f>PI()*(H65)^2</f>
        <v>79062.624013485067</v>
      </c>
      <c r="I67" s="35" t="s">
        <v>58</v>
      </c>
    </row>
    <row r="72" spans="1:11" s="15" customFormat="1" ht="15" x14ac:dyDescent="0.15">
      <c r="B72" s="43"/>
      <c r="C72" s="43"/>
      <c r="D72" s="43"/>
      <c r="E72" s="43"/>
      <c r="F72" s="44"/>
      <c r="G72" s="44"/>
      <c r="H72" s="44"/>
      <c r="I72" s="44"/>
    </row>
  </sheetData>
  <mergeCells count="2">
    <mergeCell ref="B1:E1"/>
    <mergeCell ref="F1:I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85" zoomScaleNormal="85" workbookViewId="0">
      <pane xSplit="1" ySplit="2" topLeftCell="C51" activePane="bottomRight" state="frozen"/>
      <selection pane="topRight" activeCell="B1" sqref="B1"/>
      <selection pane="bottomLeft" activeCell="A3" sqref="A3"/>
      <selection pane="bottomRight" activeCell="H67" sqref="H67"/>
    </sheetView>
  </sheetViews>
  <sheetFormatPr defaultRowHeight="14.25" x14ac:dyDescent="0.15"/>
  <cols>
    <col min="1" max="1" width="62.125" style="29" bestFit="1" customWidth="1"/>
    <col min="2" max="2" width="15.375" style="42" bestFit="1" customWidth="1"/>
    <col min="3" max="3" width="11.875" style="42" bestFit="1" customWidth="1"/>
    <col min="4" max="4" width="13.375" style="42" customWidth="1"/>
    <col min="5" max="5" width="13.875" style="42" bestFit="1" customWidth="1"/>
    <col min="6" max="6" width="11" style="48" bestFit="1" customWidth="1"/>
    <col min="7" max="7" width="11.625" style="48" bestFit="1" customWidth="1"/>
    <col min="8" max="8" width="15.125" style="48" customWidth="1"/>
    <col min="9" max="9" width="15.75" style="48" customWidth="1"/>
    <col min="10" max="10" width="12.625" customWidth="1"/>
    <col min="11" max="12" width="11.625" bestFit="1" customWidth="1"/>
    <col min="13" max="15" width="11.625" customWidth="1"/>
    <col min="16" max="16" width="13.125" customWidth="1"/>
    <col min="17" max="17" width="11.625" customWidth="1"/>
  </cols>
  <sheetData>
    <row r="1" spans="1:17" x14ac:dyDescent="0.15">
      <c r="A1" s="16" t="s">
        <v>0</v>
      </c>
      <c r="B1" s="213" t="s">
        <v>165</v>
      </c>
      <c r="C1" s="213"/>
      <c r="D1" s="213"/>
      <c r="E1" s="213"/>
      <c r="F1" s="213" t="s">
        <v>166</v>
      </c>
      <c r="G1" s="213"/>
      <c r="H1" s="213"/>
      <c r="I1" s="213"/>
      <c r="J1" s="213" t="s">
        <v>50</v>
      </c>
      <c r="K1" s="213"/>
      <c r="L1" s="213"/>
      <c r="M1" s="213"/>
      <c r="N1" s="213" t="s">
        <v>51</v>
      </c>
      <c r="O1" s="213"/>
      <c r="P1" s="213"/>
      <c r="Q1" s="213"/>
    </row>
    <row r="2" spans="1:17" ht="33" customHeight="1" x14ac:dyDescent="0.15">
      <c r="A2" s="16"/>
      <c r="B2" s="45" t="s">
        <v>153</v>
      </c>
      <c r="C2" s="45" t="s">
        <v>167</v>
      </c>
      <c r="D2" s="45" t="s">
        <v>168</v>
      </c>
      <c r="E2" s="45" t="s">
        <v>169</v>
      </c>
      <c r="F2" s="45" t="s">
        <v>155</v>
      </c>
      <c r="G2" s="45" t="s">
        <v>156</v>
      </c>
      <c r="H2" s="45" t="s">
        <v>170</v>
      </c>
      <c r="I2" s="45" t="s">
        <v>171</v>
      </c>
      <c r="J2" s="88" t="s">
        <v>210</v>
      </c>
      <c r="K2" s="88" t="s">
        <v>220</v>
      </c>
      <c r="L2" s="88" t="s">
        <v>221</v>
      </c>
      <c r="M2" s="88" t="s">
        <v>222</v>
      </c>
      <c r="N2" s="88" t="s">
        <v>211</v>
      </c>
      <c r="O2" s="88" t="s">
        <v>223</v>
      </c>
      <c r="P2" s="88" t="s">
        <v>224</v>
      </c>
      <c r="Q2" s="88" t="s">
        <v>225</v>
      </c>
    </row>
    <row r="3" spans="1:17" x14ac:dyDescent="0.15">
      <c r="A3" s="18" t="s">
        <v>1</v>
      </c>
      <c r="B3" s="37"/>
      <c r="C3" s="37"/>
      <c r="D3" s="37"/>
      <c r="E3" s="37"/>
      <c r="F3" s="37"/>
      <c r="G3" s="37"/>
      <c r="H3" s="37"/>
      <c r="I3" s="37"/>
      <c r="J3" s="37"/>
      <c r="K3" s="37"/>
      <c r="L3" s="37"/>
      <c r="M3" s="37"/>
      <c r="N3" s="37"/>
      <c r="O3" s="37"/>
      <c r="P3" s="37"/>
      <c r="Q3" s="37"/>
    </row>
    <row r="4" spans="1:17" ht="15" x14ac:dyDescent="0.15">
      <c r="A4" s="19" t="s">
        <v>2</v>
      </c>
      <c r="B4" s="35">
        <v>4</v>
      </c>
      <c r="C4" s="35">
        <v>4</v>
      </c>
      <c r="D4" s="35">
        <v>4</v>
      </c>
      <c r="E4" s="35">
        <v>4</v>
      </c>
      <c r="F4" s="35">
        <v>4</v>
      </c>
      <c r="G4" s="35">
        <v>4</v>
      </c>
      <c r="H4" s="35">
        <v>4</v>
      </c>
      <c r="I4" s="35">
        <v>4</v>
      </c>
      <c r="J4" s="35">
        <v>4</v>
      </c>
      <c r="K4" s="35">
        <v>4</v>
      </c>
      <c r="L4" s="35">
        <v>4</v>
      </c>
      <c r="M4" s="35">
        <v>4</v>
      </c>
      <c r="N4" s="35">
        <v>4</v>
      </c>
      <c r="O4" s="35">
        <v>4</v>
      </c>
      <c r="P4" s="35">
        <v>4</v>
      </c>
      <c r="Q4" s="35">
        <v>4</v>
      </c>
    </row>
    <row r="5" spans="1:17" ht="15" x14ac:dyDescent="0.15">
      <c r="A5" s="19" t="s">
        <v>3</v>
      </c>
      <c r="B5" s="35">
        <v>25</v>
      </c>
      <c r="C5" s="35">
        <v>25</v>
      </c>
      <c r="D5" s="35">
        <v>25</v>
      </c>
      <c r="E5" s="35">
        <v>25</v>
      </c>
      <c r="F5" s="35">
        <v>25</v>
      </c>
      <c r="G5" s="35">
        <v>25</v>
      </c>
      <c r="H5" s="35">
        <v>25</v>
      </c>
      <c r="I5" s="35">
        <v>25</v>
      </c>
      <c r="J5" s="35">
        <v>25</v>
      </c>
      <c r="K5" s="35">
        <v>25</v>
      </c>
      <c r="L5" s="35">
        <v>25</v>
      </c>
      <c r="M5" s="35">
        <v>25</v>
      </c>
      <c r="N5" s="35">
        <v>25</v>
      </c>
      <c r="O5" s="35">
        <v>25</v>
      </c>
      <c r="P5" s="35">
        <v>25</v>
      </c>
      <c r="Q5" s="35">
        <v>25</v>
      </c>
    </row>
    <row r="6" spans="1:17" ht="15" x14ac:dyDescent="0.15">
      <c r="A6" s="19" t="s">
        <v>4</v>
      </c>
      <c r="B6" s="35">
        <v>1.5</v>
      </c>
      <c r="C6" s="35">
        <v>1.5</v>
      </c>
      <c r="D6" s="35">
        <v>1.5</v>
      </c>
      <c r="E6" s="35">
        <v>1.5</v>
      </c>
      <c r="F6" s="35">
        <v>1.5</v>
      </c>
      <c r="G6" s="35">
        <v>1.5</v>
      </c>
      <c r="H6" s="35">
        <v>1.5</v>
      </c>
      <c r="I6" s="35">
        <v>1.5</v>
      </c>
      <c r="J6" s="35">
        <v>1.5</v>
      </c>
      <c r="K6" s="35">
        <v>1.5</v>
      </c>
      <c r="L6" s="35">
        <v>1.5</v>
      </c>
      <c r="M6" s="35">
        <v>1.5</v>
      </c>
      <c r="N6" s="35">
        <v>1.5</v>
      </c>
      <c r="O6" s="35">
        <v>1.5</v>
      </c>
      <c r="P6" s="35">
        <v>1.5</v>
      </c>
      <c r="Q6" s="35">
        <v>1.5</v>
      </c>
    </row>
    <row r="7" spans="1:17" ht="31.5" x14ac:dyDescent="0.15">
      <c r="A7" s="19" t="s">
        <v>103</v>
      </c>
      <c r="B7" s="20" t="s">
        <v>157</v>
      </c>
      <c r="C7" s="21">
        <v>0.95</v>
      </c>
      <c r="D7" s="20" t="s">
        <v>157</v>
      </c>
      <c r="E7" s="21">
        <v>0.95</v>
      </c>
      <c r="F7" s="21" t="s">
        <v>157</v>
      </c>
      <c r="G7" s="21">
        <v>0.95</v>
      </c>
      <c r="H7" s="21" t="s">
        <v>157</v>
      </c>
      <c r="I7" s="21">
        <v>0.95</v>
      </c>
      <c r="J7" s="20" t="s">
        <v>57</v>
      </c>
      <c r="K7" s="21">
        <v>0.95</v>
      </c>
      <c r="L7" s="20" t="s">
        <v>226</v>
      </c>
      <c r="M7" s="21">
        <v>0.95</v>
      </c>
      <c r="N7" s="21" t="s">
        <v>227</v>
      </c>
      <c r="O7" s="21">
        <v>0.95</v>
      </c>
      <c r="P7" s="21" t="s">
        <v>219</v>
      </c>
      <c r="Q7" s="21">
        <v>0.95</v>
      </c>
    </row>
    <row r="8" spans="1:17" ht="31.5" x14ac:dyDescent="0.15">
      <c r="A8" s="19" t="s">
        <v>104</v>
      </c>
      <c r="B8" s="20">
        <v>0.9</v>
      </c>
      <c r="C8" s="21" t="s">
        <v>157</v>
      </c>
      <c r="D8" s="20">
        <v>0.9</v>
      </c>
      <c r="E8" s="21" t="s">
        <v>157</v>
      </c>
      <c r="F8" s="21">
        <v>0.9</v>
      </c>
      <c r="G8" s="21" t="s">
        <v>157</v>
      </c>
      <c r="H8" s="21">
        <v>0.9</v>
      </c>
      <c r="I8" s="21" t="s">
        <v>157</v>
      </c>
      <c r="J8" s="20">
        <v>0.9</v>
      </c>
      <c r="K8" s="21" t="s">
        <v>226</v>
      </c>
      <c r="L8" s="20">
        <v>0.9</v>
      </c>
      <c r="M8" s="21" t="s">
        <v>219</v>
      </c>
      <c r="N8" s="21">
        <v>0.9</v>
      </c>
      <c r="O8" s="21" t="s">
        <v>57</v>
      </c>
      <c r="P8" s="21">
        <v>0.9</v>
      </c>
      <c r="Q8" s="21" t="s">
        <v>226</v>
      </c>
    </row>
    <row r="9" spans="1:17" ht="15" x14ac:dyDescent="0.15">
      <c r="A9" s="19" t="s">
        <v>5</v>
      </c>
      <c r="B9" s="34" t="s">
        <v>157</v>
      </c>
      <c r="C9" s="35">
        <f>64/(0.001)</f>
        <v>64000</v>
      </c>
      <c r="D9" s="34" t="s">
        <v>157</v>
      </c>
      <c r="E9" s="35">
        <f>64/(0.001)</f>
        <v>64000</v>
      </c>
      <c r="F9" s="35" t="s">
        <v>157</v>
      </c>
      <c r="G9" s="35">
        <f>2/(0.5*0.001)</f>
        <v>4000</v>
      </c>
      <c r="H9" s="35"/>
      <c r="I9" s="35">
        <f>2/(0.5*0.001)</f>
        <v>4000</v>
      </c>
      <c r="J9" s="34" t="s">
        <v>57</v>
      </c>
      <c r="K9" s="35">
        <f>64/(0.001)</f>
        <v>64000</v>
      </c>
      <c r="L9" s="34" t="s">
        <v>226</v>
      </c>
      <c r="M9" s="35">
        <f>64/(0.001)</f>
        <v>64000</v>
      </c>
      <c r="N9" s="35" t="s">
        <v>57</v>
      </c>
      <c r="O9" s="35">
        <f>2/(0.5*0.001)</f>
        <v>4000</v>
      </c>
      <c r="P9" s="35"/>
      <c r="Q9" s="35">
        <f>2/(0.5*0.001)</f>
        <v>4000</v>
      </c>
    </row>
    <row r="10" spans="1:17" ht="15" x14ac:dyDescent="0.15">
      <c r="A10" s="19" t="s">
        <v>6</v>
      </c>
      <c r="B10" s="34">
        <f>2248233*3</f>
        <v>6744699</v>
      </c>
      <c r="C10" s="35" t="s">
        <v>157</v>
      </c>
      <c r="D10" s="34">
        <f>2248233*3</f>
        <v>6744699</v>
      </c>
      <c r="E10" s="35" t="s">
        <v>157</v>
      </c>
      <c r="F10" s="35">
        <f>74880*3</f>
        <v>224640</v>
      </c>
      <c r="G10" s="35" t="s">
        <v>157</v>
      </c>
      <c r="H10" s="35">
        <f>74880*3</f>
        <v>224640</v>
      </c>
      <c r="I10" s="35" t="s">
        <v>157</v>
      </c>
      <c r="J10" s="34">
        <f>2248233*3</f>
        <v>6744699</v>
      </c>
      <c r="K10" s="35" t="s">
        <v>219</v>
      </c>
      <c r="L10" s="34">
        <f>2248233*3</f>
        <v>6744699</v>
      </c>
      <c r="M10" s="35" t="s">
        <v>226</v>
      </c>
      <c r="N10" s="35">
        <f>74880*3</f>
        <v>224640</v>
      </c>
      <c r="O10" s="35" t="s">
        <v>226</v>
      </c>
      <c r="P10" s="35">
        <f>74880*3</f>
        <v>224640</v>
      </c>
      <c r="Q10" s="35" t="s">
        <v>226</v>
      </c>
    </row>
    <row r="11" spans="1:17" ht="15" x14ac:dyDescent="0.15">
      <c r="A11" s="19" t="s">
        <v>7</v>
      </c>
      <c r="B11" s="20" t="s">
        <v>157</v>
      </c>
      <c r="C11" s="21">
        <v>0.01</v>
      </c>
      <c r="D11" s="20" t="s">
        <v>157</v>
      </c>
      <c r="E11" s="21">
        <v>0.01</v>
      </c>
      <c r="F11" s="21" t="s">
        <v>157</v>
      </c>
      <c r="G11" s="21">
        <v>0.01</v>
      </c>
      <c r="H11" s="21" t="s">
        <v>157</v>
      </c>
      <c r="I11" s="21">
        <v>0.01</v>
      </c>
      <c r="J11" s="20" t="s">
        <v>213</v>
      </c>
      <c r="K11" s="21">
        <v>0.01</v>
      </c>
      <c r="L11" s="20" t="s">
        <v>226</v>
      </c>
      <c r="M11" s="21">
        <v>0.01</v>
      </c>
      <c r="N11" s="21" t="s">
        <v>213</v>
      </c>
      <c r="O11" s="21">
        <v>0.01</v>
      </c>
      <c r="P11" s="21" t="s">
        <v>213</v>
      </c>
      <c r="Q11" s="21">
        <v>0.01</v>
      </c>
    </row>
    <row r="12" spans="1:17" ht="15" x14ac:dyDescent="0.15">
      <c r="A12" s="19" t="s">
        <v>8</v>
      </c>
      <c r="B12" s="20">
        <v>0.1</v>
      </c>
      <c r="C12" s="21" t="s">
        <v>157</v>
      </c>
      <c r="D12" s="20">
        <v>0.1</v>
      </c>
      <c r="E12" s="21" t="s">
        <v>157</v>
      </c>
      <c r="F12" s="21">
        <v>0.1</v>
      </c>
      <c r="G12" s="21" t="s">
        <v>157</v>
      </c>
      <c r="H12" s="21">
        <v>0.1</v>
      </c>
      <c r="I12" s="21" t="s">
        <v>157</v>
      </c>
      <c r="J12" s="20">
        <v>0.1</v>
      </c>
      <c r="K12" s="21" t="s">
        <v>57</v>
      </c>
      <c r="L12" s="20">
        <v>0.1</v>
      </c>
      <c r="M12" s="21" t="s">
        <v>57</v>
      </c>
      <c r="N12" s="21">
        <v>0.1</v>
      </c>
      <c r="O12" s="21" t="s">
        <v>57</v>
      </c>
      <c r="P12" s="21">
        <v>0.1</v>
      </c>
      <c r="Q12" s="21" t="s">
        <v>213</v>
      </c>
    </row>
    <row r="13" spans="1:17" ht="16.5" x14ac:dyDescent="0.15">
      <c r="A13" s="19" t="s">
        <v>105</v>
      </c>
      <c r="B13" s="34">
        <f>B10/(B42*(4+2*11/14+1/14)/10)</f>
        <v>0.65101476793248958</v>
      </c>
      <c r="C13" s="34" t="s">
        <v>157</v>
      </c>
      <c r="D13" s="34">
        <f>D10/(D42*(4+2*11/14+1/14)/10)</f>
        <v>0.65101476793248958</v>
      </c>
      <c r="E13" s="34" t="s">
        <v>157</v>
      </c>
      <c r="F13" s="34">
        <f>F10/(F42*(4+2*2/14+1/14)/10)</f>
        <v>0.35803278688524592</v>
      </c>
      <c r="G13" s="34" t="s">
        <v>157</v>
      </c>
      <c r="H13" s="34">
        <f>H10/(H42*(4+2*2/14+1/14)/10)</f>
        <v>0.35803278688524592</v>
      </c>
      <c r="I13" s="35" t="s">
        <v>157</v>
      </c>
      <c r="J13" s="34">
        <f>J10/(J42*(4+2*11/14+1/14)/10)</f>
        <v>0.65101476793248958</v>
      </c>
      <c r="K13" s="34" t="s">
        <v>213</v>
      </c>
      <c r="L13" s="34">
        <f>L10/(L42*(4+2*11/14+1/14)/10)</f>
        <v>0.65101476793248958</v>
      </c>
      <c r="M13" s="34" t="s">
        <v>213</v>
      </c>
      <c r="N13" s="34">
        <f>N10/(N42*(4+2*2/14+1/14)/10)</f>
        <v>0.35803278688524592</v>
      </c>
      <c r="O13" s="34" t="s">
        <v>213</v>
      </c>
      <c r="P13" s="34">
        <f>P10/(P42*(4+2*2/14+1/14)/10)</f>
        <v>0.35803278688524592</v>
      </c>
      <c r="Q13" s="35" t="s">
        <v>213</v>
      </c>
    </row>
    <row r="14" spans="1:17" ht="16.5" x14ac:dyDescent="0.15">
      <c r="A14" s="19" t="s">
        <v>106</v>
      </c>
      <c r="B14" s="34" t="s">
        <v>158</v>
      </c>
      <c r="C14" s="34" t="s">
        <v>158</v>
      </c>
      <c r="D14" s="34" t="s">
        <v>172</v>
      </c>
      <c r="E14" s="34" t="s">
        <v>172</v>
      </c>
      <c r="F14" s="34" t="s">
        <v>158</v>
      </c>
      <c r="G14" s="34" t="s">
        <v>158</v>
      </c>
      <c r="H14" s="34" t="s">
        <v>172</v>
      </c>
      <c r="I14" s="34" t="s">
        <v>172</v>
      </c>
      <c r="J14" s="34" t="s">
        <v>228</v>
      </c>
      <c r="K14" s="34" t="s">
        <v>228</v>
      </c>
      <c r="L14" s="34" t="s">
        <v>229</v>
      </c>
      <c r="M14" s="34" t="s">
        <v>229</v>
      </c>
      <c r="N14" s="34" t="s">
        <v>228</v>
      </c>
      <c r="O14" s="34" t="s">
        <v>228</v>
      </c>
      <c r="P14" s="34" t="s">
        <v>229</v>
      </c>
      <c r="Q14" s="34" t="s">
        <v>229</v>
      </c>
    </row>
    <row r="15" spans="1:17" ht="15" x14ac:dyDescent="0.15">
      <c r="A15" s="19" t="s">
        <v>159</v>
      </c>
      <c r="B15" s="34">
        <v>30</v>
      </c>
      <c r="C15" s="35">
        <v>30</v>
      </c>
      <c r="D15" s="34">
        <v>3</v>
      </c>
      <c r="E15" s="35">
        <v>3</v>
      </c>
      <c r="F15" s="35">
        <v>30</v>
      </c>
      <c r="G15" s="35">
        <v>30</v>
      </c>
      <c r="H15" s="35">
        <v>3</v>
      </c>
      <c r="I15" s="35">
        <v>3</v>
      </c>
      <c r="J15" s="34">
        <v>30</v>
      </c>
      <c r="K15" s="35">
        <v>30</v>
      </c>
      <c r="L15" s="34">
        <v>3</v>
      </c>
      <c r="M15" s="35">
        <v>3</v>
      </c>
      <c r="N15" s="35">
        <v>30</v>
      </c>
      <c r="O15" s="35">
        <v>30</v>
      </c>
      <c r="P15" s="35">
        <v>3</v>
      </c>
      <c r="Q15" s="35">
        <v>3</v>
      </c>
    </row>
    <row r="16" spans="1:17" ht="15" x14ac:dyDescent="0.15">
      <c r="A16" s="19" t="s">
        <v>9</v>
      </c>
      <c r="B16" s="34">
        <v>3</v>
      </c>
      <c r="C16" s="35">
        <v>3</v>
      </c>
      <c r="D16" s="34">
        <v>3</v>
      </c>
      <c r="E16" s="35">
        <v>3</v>
      </c>
      <c r="F16" s="35">
        <v>3</v>
      </c>
      <c r="G16" s="35">
        <v>3</v>
      </c>
      <c r="H16" s="35">
        <v>3</v>
      </c>
      <c r="I16" s="35">
        <v>3</v>
      </c>
      <c r="J16" s="34">
        <v>3</v>
      </c>
      <c r="K16" s="35">
        <v>3</v>
      </c>
      <c r="L16" s="34">
        <v>3</v>
      </c>
      <c r="M16" s="35">
        <v>3</v>
      </c>
      <c r="N16" s="35">
        <v>3</v>
      </c>
      <c r="O16" s="35">
        <v>3</v>
      </c>
      <c r="P16" s="35">
        <v>3</v>
      </c>
      <c r="Q16" s="35">
        <v>3</v>
      </c>
    </row>
    <row r="17" spans="1:17" x14ac:dyDescent="0.15">
      <c r="A17" s="18" t="s">
        <v>10</v>
      </c>
      <c r="B17" s="37"/>
      <c r="C17" s="37"/>
      <c r="D17" s="37"/>
      <c r="E17" s="37"/>
      <c r="F17" s="37"/>
      <c r="G17" s="37"/>
      <c r="H17" s="37"/>
      <c r="I17" s="37"/>
      <c r="J17" s="37"/>
      <c r="K17" s="37"/>
      <c r="L17" s="37"/>
      <c r="M17" s="37"/>
      <c r="N17" s="37"/>
      <c r="O17" s="37"/>
      <c r="P17" s="37"/>
      <c r="Q17" s="37"/>
    </row>
    <row r="18" spans="1:17" ht="30" x14ac:dyDescent="0.15">
      <c r="A18" s="19" t="s">
        <v>160</v>
      </c>
      <c r="B18" s="34">
        <v>256</v>
      </c>
      <c r="C18" s="34">
        <v>256</v>
      </c>
      <c r="D18" s="34">
        <v>256</v>
      </c>
      <c r="E18" s="34">
        <v>256</v>
      </c>
      <c r="F18" s="35">
        <v>2</v>
      </c>
      <c r="G18" s="35">
        <v>2</v>
      </c>
      <c r="H18" s="35">
        <v>2</v>
      </c>
      <c r="I18" s="35">
        <v>2</v>
      </c>
      <c r="J18" s="34">
        <v>256</v>
      </c>
      <c r="K18" s="34">
        <v>256</v>
      </c>
      <c r="L18" s="34">
        <v>256</v>
      </c>
      <c r="M18" s="34">
        <v>256</v>
      </c>
      <c r="N18" s="35">
        <v>2</v>
      </c>
      <c r="O18" s="35">
        <v>2</v>
      </c>
      <c r="P18" s="35">
        <v>2</v>
      </c>
      <c r="Q18" s="35">
        <v>2</v>
      </c>
    </row>
    <row r="19" spans="1:17" ht="15" x14ac:dyDescent="0.15">
      <c r="A19" s="19" t="s">
        <v>203</v>
      </c>
      <c r="B19" s="34">
        <v>2</v>
      </c>
      <c r="C19" s="34">
        <v>2</v>
      </c>
      <c r="D19" s="34">
        <v>2</v>
      </c>
      <c r="E19" s="34">
        <v>2</v>
      </c>
      <c r="F19" s="35">
        <v>2</v>
      </c>
      <c r="G19" s="35">
        <v>2</v>
      </c>
      <c r="H19" s="35">
        <v>2</v>
      </c>
      <c r="I19" s="35">
        <v>2</v>
      </c>
      <c r="J19" s="34">
        <v>2</v>
      </c>
      <c r="K19" s="34">
        <v>2</v>
      </c>
      <c r="L19" s="34">
        <v>2</v>
      </c>
      <c r="M19" s="34">
        <v>2</v>
      </c>
      <c r="N19" s="35">
        <v>2</v>
      </c>
      <c r="O19" s="35">
        <v>2</v>
      </c>
      <c r="P19" s="35">
        <v>2</v>
      </c>
      <c r="Q19" s="35">
        <v>2</v>
      </c>
    </row>
    <row r="20" spans="1:17" ht="15" x14ac:dyDescent="0.15">
      <c r="A20" s="19" t="s">
        <v>11</v>
      </c>
      <c r="B20" s="34">
        <v>20</v>
      </c>
      <c r="C20" s="34">
        <v>20</v>
      </c>
      <c r="D20" s="34">
        <v>20</v>
      </c>
      <c r="E20" s="34">
        <v>20</v>
      </c>
      <c r="F20" s="35">
        <v>20</v>
      </c>
      <c r="G20" s="35">
        <v>20</v>
      </c>
      <c r="H20" s="35">
        <v>20</v>
      </c>
      <c r="I20" s="35">
        <v>20</v>
      </c>
      <c r="J20" s="34">
        <v>20</v>
      </c>
      <c r="K20" s="34">
        <v>20</v>
      </c>
      <c r="L20" s="34">
        <v>20</v>
      </c>
      <c r="M20" s="34">
        <v>20</v>
      </c>
      <c r="N20" s="35">
        <v>20</v>
      </c>
      <c r="O20" s="35">
        <v>20</v>
      </c>
      <c r="P20" s="35">
        <v>20</v>
      </c>
      <c r="Q20" s="35">
        <v>20</v>
      </c>
    </row>
    <row r="21" spans="1:17" ht="30" x14ac:dyDescent="0.15">
      <c r="A21" s="46" t="s">
        <v>161</v>
      </c>
      <c r="B21" s="40">
        <f t="shared" ref="B21:Q21" si="0">B20+10*LOG10(B18)</f>
        <v>44.0823996531185</v>
      </c>
      <c r="C21" s="40">
        <f t="shared" si="0"/>
        <v>44.0823996531185</v>
      </c>
      <c r="D21" s="40">
        <f t="shared" si="0"/>
        <v>44.0823996531185</v>
      </c>
      <c r="E21" s="40">
        <f t="shared" si="0"/>
        <v>44.0823996531185</v>
      </c>
      <c r="F21" s="40">
        <f t="shared" si="0"/>
        <v>23.010299956639813</v>
      </c>
      <c r="G21" s="40">
        <f t="shared" si="0"/>
        <v>23.010299956639813</v>
      </c>
      <c r="H21" s="40">
        <f t="shared" si="0"/>
        <v>23.010299956639813</v>
      </c>
      <c r="I21" s="40">
        <f t="shared" si="0"/>
        <v>23.010299956639813</v>
      </c>
      <c r="J21" s="40">
        <f t="shared" si="0"/>
        <v>44.0823996531185</v>
      </c>
      <c r="K21" s="40">
        <f t="shared" si="0"/>
        <v>44.0823996531185</v>
      </c>
      <c r="L21" s="40">
        <f t="shared" si="0"/>
        <v>44.0823996531185</v>
      </c>
      <c r="M21" s="40">
        <f t="shared" si="0"/>
        <v>44.0823996531185</v>
      </c>
      <c r="N21" s="40">
        <f t="shared" si="0"/>
        <v>23.010299956639813</v>
      </c>
      <c r="O21" s="40">
        <f t="shared" si="0"/>
        <v>23.010299956639813</v>
      </c>
      <c r="P21" s="40">
        <f t="shared" si="0"/>
        <v>23.010299956639813</v>
      </c>
      <c r="Q21" s="40">
        <f t="shared" si="0"/>
        <v>23.010299956639813</v>
      </c>
    </row>
    <row r="22" spans="1:17" ht="15" x14ac:dyDescent="0.15">
      <c r="A22" s="19" t="s">
        <v>12</v>
      </c>
      <c r="B22" s="34">
        <v>8</v>
      </c>
      <c r="C22" s="35">
        <v>8</v>
      </c>
      <c r="D22" s="34">
        <v>8</v>
      </c>
      <c r="E22" s="35">
        <v>8</v>
      </c>
      <c r="F22" s="35">
        <v>0</v>
      </c>
      <c r="G22" s="35">
        <v>0</v>
      </c>
      <c r="H22" s="35">
        <v>0</v>
      </c>
      <c r="I22" s="35">
        <v>0</v>
      </c>
      <c r="J22" s="34">
        <v>8</v>
      </c>
      <c r="K22" s="35">
        <v>8</v>
      </c>
      <c r="L22" s="34">
        <v>8</v>
      </c>
      <c r="M22" s="35">
        <v>8</v>
      </c>
      <c r="N22" s="35">
        <v>0</v>
      </c>
      <c r="O22" s="35">
        <v>0</v>
      </c>
      <c r="P22" s="35">
        <v>0</v>
      </c>
      <c r="Q22" s="35">
        <v>0</v>
      </c>
    </row>
    <row r="23" spans="1:17" ht="45" x14ac:dyDescent="0.15">
      <c r="A23" s="47" t="s">
        <v>13</v>
      </c>
      <c r="B23" s="40">
        <f t="shared" ref="B23:Q23" si="1">IF(B18&gt;=2, 10*LOG10(B18/2), 0)</f>
        <v>21.072099696478684</v>
      </c>
      <c r="C23" s="40">
        <f t="shared" si="1"/>
        <v>21.072099696478684</v>
      </c>
      <c r="D23" s="40">
        <f t="shared" si="1"/>
        <v>21.072099696478684</v>
      </c>
      <c r="E23" s="40">
        <f t="shared" si="1"/>
        <v>21.072099696478684</v>
      </c>
      <c r="F23" s="40">
        <f t="shared" si="1"/>
        <v>0</v>
      </c>
      <c r="G23" s="40">
        <f t="shared" si="1"/>
        <v>0</v>
      </c>
      <c r="H23" s="40">
        <f t="shared" si="1"/>
        <v>0</v>
      </c>
      <c r="I23" s="40">
        <f t="shared" si="1"/>
        <v>0</v>
      </c>
      <c r="J23" s="40">
        <f t="shared" si="1"/>
        <v>21.072099696478684</v>
      </c>
      <c r="K23" s="40">
        <f t="shared" si="1"/>
        <v>21.072099696478684</v>
      </c>
      <c r="L23" s="40">
        <f t="shared" si="1"/>
        <v>21.072099696478684</v>
      </c>
      <c r="M23" s="40">
        <f t="shared" si="1"/>
        <v>21.072099696478684</v>
      </c>
      <c r="N23" s="40">
        <f t="shared" si="1"/>
        <v>0</v>
      </c>
      <c r="O23" s="40">
        <f t="shared" si="1"/>
        <v>0</v>
      </c>
      <c r="P23" s="40">
        <f t="shared" si="1"/>
        <v>0</v>
      </c>
      <c r="Q23" s="40">
        <f t="shared" si="1"/>
        <v>0</v>
      </c>
    </row>
    <row r="24" spans="1:17" ht="15" x14ac:dyDescent="0.15">
      <c r="A24" s="19" t="s">
        <v>14</v>
      </c>
      <c r="B24" s="34">
        <v>0</v>
      </c>
      <c r="C24" s="35">
        <v>0</v>
      </c>
      <c r="D24" s="34">
        <v>0</v>
      </c>
      <c r="E24" s="35">
        <v>0</v>
      </c>
      <c r="F24" s="35">
        <v>0</v>
      </c>
      <c r="G24" s="35">
        <v>0</v>
      </c>
      <c r="H24" s="35">
        <v>0</v>
      </c>
      <c r="I24" s="35">
        <v>0</v>
      </c>
      <c r="J24" s="34">
        <v>0</v>
      </c>
      <c r="K24" s="35">
        <v>0</v>
      </c>
      <c r="L24" s="34">
        <v>0</v>
      </c>
      <c r="M24" s="35">
        <v>0</v>
      </c>
      <c r="N24" s="35">
        <v>0</v>
      </c>
      <c r="O24" s="35">
        <v>0</v>
      </c>
      <c r="P24" s="35">
        <v>0</v>
      </c>
      <c r="Q24" s="35">
        <v>0</v>
      </c>
    </row>
    <row r="25" spans="1:17" ht="15" x14ac:dyDescent="0.15">
      <c r="A25" s="19" t="s">
        <v>15</v>
      </c>
      <c r="B25" s="34">
        <v>0</v>
      </c>
      <c r="C25" s="35">
        <v>0</v>
      </c>
      <c r="D25" s="34">
        <v>0</v>
      </c>
      <c r="E25" s="35">
        <v>0</v>
      </c>
      <c r="F25" s="35">
        <v>0</v>
      </c>
      <c r="G25" s="35">
        <v>0</v>
      </c>
      <c r="H25" s="35">
        <v>0</v>
      </c>
      <c r="I25" s="35">
        <v>0</v>
      </c>
      <c r="J25" s="34">
        <v>0</v>
      </c>
      <c r="K25" s="35">
        <v>0</v>
      </c>
      <c r="L25" s="34">
        <v>0</v>
      </c>
      <c r="M25" s="35">
        <v>0</v>
      </c>
      <c r="N25" s="35">
        <v>0</v>
      </c>
      <c r="O25" s="35">
        <v>0</v>
      </c>
      <c r="P25" s="35">
        <v>0</v>
      </c>
      <c r="Q25" s="35">
        <v>0</v>
      </c>
    </row>
    <row r="26" spans="1:17" ht="30" x14ac:dyDescent="0.15">
      <c r="A26" s="19" t="s">
        <v>16</v>
      </c>
      <c r="B26" s="34">
        <v>3</v>
      </c>
      <c r="C26" s="34">
        <v>3</v>
      </c>
      <c r="D26" s="34">
        <v>3</v>
      </c>
      <c r="E26" s="34">
        <v>3</v>
      </c>
      <c r="F26" s="34">
        <v>1</v>
      </c>
      <c r="G26" s="34">
        <v>1</v>
      </c>
      <c r="H26" s="34">
        <v>1</v>
      </c>
      <c r="I26" s="35">
        <v>1</v>
      </c>
      <c r="J26" s="34">
        <v>3</v>
      </c>
      <c r="K26" s="34">
        <v>3</v>
      </c>
      <c r="L26" s="34">
        <v>3</v>
      </c>
      <c r="M26" s="34">
        <v>3</v>
      </c>
      <c r="N26" s="34">
        <v>1</v>
      </c>
      <c r="O26" s="34">
        <v>1</v>
      </c>
      <c r="P26" s="34">
        <v>1</v>
      </c>
      <c r="Q26" s="35">
        <v>1</v>
      </c>
    </row>
    <row r="27" spans="1:17" ht="15" x14ac:dyDescent="0.15">
      <c r="A27" s="24" t="s">
        <v>17</v>
      </c>
      <c r="B27" s="39">
        <f t="shared" ref="B27:Q27" si="2">B21+B22+B23+B24-B26</f>
        <v>70.154499349597188</v>
      </c>
      <c r="C27" s="39">
        <f t="shared" si="2"/>
        <v>70.154499349597188</v>
      </c>
      <c r="D27" s="39">
        <f t="shared" si="2"/>
        <v>70.154499349597188</v>
      </c>
      <c r="E27" s="39">
        <f t="shared" si="2"/>
        <v>70.154499349597188</v>
      </c>
      <c r="F27" s="39">
        <f t="shared" si="2"/>
        <v>22.010299956639813</v>
      </c>
      <c r="G27" s="39">
        <f t="shared" si="2"/>
        <v>22.010299956639813</v>
      </c>
      <c r="H27" s="39">
        <f t="shared" si="2"/>
        <v>22.010299956639813</v>
      </c>
      <c r="I27" s="39">
        <f t="shared" si="2"/>
        <v>22.010299956639813</v>
      </c>
      <c r="J27" s="39">
        <f t="shared" si="2"/>
        <v>70.154499349597188</v>
      </c>
      <c r="K27" s="39">
        <f t="shared" si="2"/>
        <v>70.154499349597188</v>
      </c>
      <c r="L27" s="39">
        <f t="shared" si="2"/>
        <v>70.154499349597188</v>
      </c>
      <c r="M27" s="39">
        <f t="shared" si="2"/>
        <v>70.154499349597188</v>
      </c>
      <c r="N27" s="39">
        <f t="shared" si="2"/>
        <v>22.010299956639813</v>
      </c>
      <c r="O27" s="39">
        <f t="shared" si="2"/>
        <v>22.010299956639813</v>
      </c>
      <c r="P27" s="39">
        <f t="shared" si="2"/>
        <v>22.010299956639813</v>
      </c>
      <c r="Q27" s="39">
        <f t="shared" si="2"/>
        <v>22.010299956639813</v>
      </c>
    </row>
    <row r="28" spans="1:17" ht="15" x14ac:dyDescent="0.15">
      <c r="A28" s="24" t="s">
        <v>18</v>
      </c>
      <c r="B28" s="39">
        <f t="shared" ref="B28:Q28" si="3">B21+B22+B23-B25-B26</f>
        <v>70.154499349597188</v>
      </c>
      <c r="C28" s="39">
        <f t="shared" si="3"/>
        <v>70.154499349597188</v>
      </c>
      <c r="D28" s="39">
        <f t="shared" si="3"/>
        <v>70.154499349597188</v>
      </c>
      <c r="E28" s="39">
        <f t="shared" si="3"/>
        <v>70.154499349597188</v>
      </c>
      <c r="F28" s="39">
        <f t="shared" si="3"/>
        <v>22.010299956639813</v>
      </c>
      <c r="G28" s="39">
        <f t="shared" si="3"/>
        <v>22.010299956639813</v>
      </c>
      <c r="H28" s="39">
        <f t="shared" si="3"/>
        <v>22.010299956639813</v>
      </c>
      <c r="I28" s="39">
        <f t="shared" si="3"/>
        <v>22.010299956639813</v>
      </c>
      <c r="J28" s="39">
        <f t="shared" si="3"/>
        <v>70.154499349597188</v>
      </c>
      <c r="K28" s="39">
        <f t="shared" si="3"/>
        <v>70.154499349597188</v>
      </c>
      <c r="L28" s="39">
        <f t="shared" si="3"/>
        <v>70.154499349597188</v>
      </c>
      <c r="M28" s="39">
        <f t="shared" si="3"/>
        <v>70.154499349597188</v>
      </c>
      <c r="N28" s="39">
        <f t="shared" si="3"/>
        <v>22.010299956639813</v>
      </c>
      <c r="O28" s="39">
        <f t="shared" si="3"/>
        <v>22.010299956639813</v>
      </c>
      <c r="P28" s="39">
        <f t="shared" si="3"/>
        <v>22.010299956639813</v>
      </c>
      <c r="Q28" s="39">
        <f t="shared" si="3"/>
        <v>22.010299956639813</v>
      </c>
    </row>
    <row r="29" spans="1:17" x14ac:dyDescent="0.15">
      <c r="A29" s="18" t="s">
        <v>19</v>
      </c>
      <c r="B29" s="37"/>
      <c r="C29" s="37"/>
      <c r="D29" s="37"/>
      <c r="E29" s="37"/>
      <c r="F29" s="37"/>
      <c r="G29" s="37"/>
      <c r="H29" s="37"/>
      <c r="I29" s="37"/>
      <c r="J29" s="37"/>
      <c r="K29" s="37"/>
      <c r="L29" s="37"/>
      <c r="M29" s="37"/>
      <c r="N29" s="37"/>
      <c r="O29" s="37"/>
      <c r="P29" s="37"/>
      <c r="Q29" s="37"/>
    </row>
    <row r="30" spans="1:17" ht="30" x14ac:dyDescent="0.15">
      <c r="A30" s="19" t="s">
        <v>132</v>
      </c>
      <c r="B30" s="34">
        <v>4</v>
      </c>
      <c r="C30" s="35">
        <v>4</v>
      </c>
      <c r="D30" s="34">
        <v>4</v>
      </c>
      <c r="E30" s="35">
        <v>4</v>
      </c>
      <c r="F30" s="35">
        <v>256</v>
      </c>
      <c r="G30" s="35">
        <v>256</v>
      </c>
      <c r="H30" s="35">
        <v>256</v>
      </c>
      <c r="I30" s="35">
        <v>256</v>
      </c>
      <c r="J30" s="34">
        <v>4</v>
      </c>
      <c r="K30" s="35">
        <v>4</v>
      </c>
      <c r="L30" s="34">
        <v>4</v>
      </c>
      <c r="M30" s="35">
        <v>4</v>
      </c>
      <c r="N30" s="35">
        <v>256</v>
      </c>
      <c r="O30" s="35">
        <v>256</v>
      </c>
      <c r="P30" s="35">
        <v>256</v>
      </c>
      <c r="Q30" s="35">
        <v>256</v>
      </c>
    </row>
    <row r="31" spans="1:17" ht="15" x14ac:dyDescent="0.15">
      <c r="A31" s="19" t="s">
        <v>198</v>
      </c>
      <c r="B31" s="34">
        <v>2</v>
      </c>
      <c r="C31" s="35">
        <v>2</v>
      </c>
      <c r="D31" s="34">
        <v>2</v>
      </c>
      <c r="E31" s="35">
        <v>2</v>
      </c>
      <c r="F31" s="35">
        <v>2</v>
      </c>
      <c r="G31" s="35">
        <v>2</v>
      </c>
      <c r="H31" s="35">
        <v>2</v>
      </c>
      <c r="I31" s="35">
        <v>2</v>
      </c>
      <c r="J31" s="34">
        <v>2</v>
      </c>
      <c r="K31" s="35">
        <v>2</v>
      </c>
      <c r="L31" s="34">
        <v>2</v>
      </c>
      <c r="M31" s="35">
        <v>2</v>
      </c>
      <c r="N31" s="35">
        <v>2</v>
      </c>
      <c r="O31" s="35">
        <v>2</v>
      </c>
      <c r="P31" s="35">
        <v>2</v>
      </c>
      <c r="Q31" s="35">
        <v>2</v>
      </c>
    </row>
    <row r="32" spans="1:17" ht="15" x14ac:dyDescent="0.15">
      <c r="A32" s="19" t="s">
        <v>20</v>
      </c>
      <c r="B32" s="34">
        <v>0</v>
      </c>
      <c r="C32" s="35">
        <v>0</v>
      </c>
      <c r="D32" s="34">
        <v>0</v>
      </c>
      <c r="E32" s="35">
        <v>0</v>
      </c>
      <c r="F32" s="35">
        <v>8</v>
      </c>
      <c r="G32" s="35">
        <v>8</v>
      </c>
      <c r="H32" s="35">
        <v>8</v>
      </c>
      <c r="I32" s="35">
        <v>8</v>
      </c>
      <c r="J32" s="34">
        <v>0</v>
      </c>
      <c r="K32" s="35">
        <v>0</v>
      </c>
      <c r="L32" s="34">
        <v>0</v>
      </c>
      <c r="M32" s="35">
        <v>0</v>
      </c>
      <c r="N32" s="35">
        <v>8</v>
      </c>
      <c r="O32" s="35">
        <v>8</v>
      </c>
      <c r="P32" s="35">
        <v>8</v>
      </c>
      <c r="Q32" s="35">
        <v>8</v>
      </c>
    </row>
    <row r="33" spans="1:17" ht="28.5" x14ac:dyDescent="0.15">
      <c r="A33" s="25" t="s">
        <v>202</v>
      </c>
      <c r="B33" s="40">
        <f t="shared" ref="B33:Q33" si="4">IF(B30&gt;=2, 10*LOG10(B30/2), 0)</f>
        <v>3.0102999566398121</v>
      </c>
      <c r="C33" s="40">
        <f t="shared" si="4"/>
        <v>3.0102999566398121</v>
      </c>
      <c r="D33" s="40">
        <f t="shared" si="4"/>
        <v>3.0102999566398121</v>
      </c>
      <c r="E33" s="40">
        <f t="shared" si="4"/>
        <v>3.0102999566398121</v>
      </c>
      <c r="F33" s="40">
        <f>IF(F30&gt;=2, 10*LOG10(F30/2), 0)</f>
        <v>21.072099696478684</v>
      </c>
      <c r="G33" s="40">
        <f t="shared" si="4"/>
        <v>21.072099696478684</v>
      </c>
      <c r="H33" s="40">
        <f t="shared" si="4"/>
        <v>21.072099696478684</v>
      </c>
      <c r="I33" s="40">
        <f t="shared" si="4"/>
        <v>21.072099696478684</v>
      </c>
      <c r="J33" s="40">
        <f t="shared" si="4"/>
        <v>3.0102999566398121</v>
      </c>
      <c r="K33" s="40">
        <f t="shared" si="4"/>
        <v>3.0102999566398121</v>
      </c>
      <c r="L33" s="40">
        <f t="shared" si="4"/>
        <v>3.0102999566398121</v>
      </c>
      <c r="M33" s="40">
        <f t="shared" si="4"/>
        <v>3.0102999566398121</v>
      </c>
      <c r="N33" s="40">
        <f>IF(N30&gt;=2, 10*LOG10(N30/2), 0)</f>
        <v>21.072099696478684</v>
      </c>
      <c r="O33" s="40">
        <f t="shared" si="4"/>
        <v>21.072099696478684</v>
      </c>
      <c r="P33" s="40">
        <f t="shared" si="4"/>
        <v>21.072099696478684</v>
      </c>
      <c r="Q33" s="40">
        <f t="shared" si="4"/>
        <v>21.072099696478684</v>
      </c>
    </row>
    <row r="34" spans="1:17" ht="30" x14ac:dyDescent="0.15">
      <c r="A34" s="19" t="s">
        <v>21</v>
      </c>
      <c r="B34" s="34">
        <v>1</v>
      </c>
      <c r="C34" s="34">
        <v>1</v>
      </c>
      <c r="D34" s="34">
        <v>1</v>
      </c>
      <c r="E34" s="34">
        <v>1</v>
      </c>
      <c r="F34" s="34">
        <v>3</v>
      </c>
      <c r="G34" s="34">
        <v>3</v>
      </c>
      <c r="H34" s="34">
        <v>3</v>
      </c>
      <c r="I34" s="84">
        <v>3</v>
      </c>
      <c r="J34" s="34">
        <v>1</v>
      </c>
      <c r="K34" s="34">
        <v>1</v>
      </c>
      <c r="L34" s="34">
        <v>1</v>
      </c>
      <c r="M34" s="34">
        <v>1</v>
      </c>
      <c r="N34" s="34">
        <v>3</v>
      </c>
      <c r="O34" s="34">
        <v>3</v>
      </c>
      <c r="P34" s="34">
        <v>3</v>
      </c>
      <c r="Q34" s="84">
        <v>3</v>
      </c>
    </row>
    <row r="35" spans="1:17" ht="15" x14ac:dyDescent="0.15">
      <c r="A35" s="19" t="s">
        <v>22</v>
      </c>
      <c r="B35" s="35">
        <v>7</v>
      </c>
      <c r="C35" s="35">
        <v>7</v>
      </c>
      <c r="D35" s="35">
        <v>7</v>
      </c>
      <c r="E35" s="35">
        <v>7</v>
      </c>
      <c r="F35" s="35">
        <v>5</v>
      </c>
      <c r="G35" s="35">
        <v>5</v>
      </c>
      <c r="H35" s="35">
        <v>5</v>
      </c>
      <c r="I35" s="35">
        <v>5</v>
      </c>
      <c r="J35" s="35">
        <v>7</v>
      </c>
      <c r="K35" s="35">
        <v>7</v>
      </c>
      <c r="L35" s="35">
        <v>7</v>
      </c>
      <c r="M35" s="35">
        <v>7</v>
      </c>
      <c r="N35" s="35">
        <v>5</v>
      </c>
      <c r="O35" s="35">
        <v>5</v>
      </c>
      <c r="P35" s="35">
        <v>5</v>
      </c>
      <c r="Q35" s="35">
        <v>5</v>
      </c>
    </row>
    <row r="36" spans="1:17" ht="15" x14ac:dyDescent="0.15">
      <c r="A36" s="19" t="s">
        <v>23</v>
      </c>
      <c r="B36" s="35">
        <v>-174</v>
      </c>
      <c r="C36" s="35">
        <v>-174</v>
      </c>
      <c r="D36" s="35">
        <v>-174</v>
      </c>
      <c r="E36" s="35">
        <v>-174</v>
      </c>
      <c r="F36" s="34">
        <v>-174</v>
      </c>
      <c r="G36" s="35">
        <v>-174</v>
      </c>
      <c r="H36" s="34">
        <v>-174</v>
      </c>
      <c r="I36" s="35">
        <v>-174</v>
      </c>
      <c r="J36" s="35">
        <v>-174</v>
      </c>
      <c r="K36" s="35">
        <v>-174</v>
      </c>
      <c r="L36" s="35">
        <v>-174</v>
      </c>
      <c r="M36" s="35">
        <v>-174</v>
      </c>
      <c r="N36" s="34">
        <v>-174</v>
      </c>
      <c r="O36" s="35">
        <v>-174</v>
      </c>
      <c r="P36" s="34">
        <v>-174</v>
      </c>
      <c r="Q36" s="35">
        <v>-174</v>
      </c>
    </row>
    <row r="37" spans="1:17" ht="30" x14ac:dyDescent="0.15">
      <c r="A37" s="19" t="s">
        <v>24</v>
      </c>
      <c r="B37" s="34" t="s">
        <v>157</v>
      </c>
      <c r="C37" s="35">
        <v>-169.3</v>
      </c>
      <c r="D37" s="34" t="s">
        <v>157</v>
      </c>
      <c r="E37" s="35">
        <v>-169.3</v>
      </c>
      <c r="F37" s="35" t="s">
        <v>157</v>
      </c>
      <c r="G37" s="35">
        <v>-161.69999999999999</v>
      </c>
      <c r="H37" s="35" t="s">
        <v>157</v>
      </c>
      <c r="I37" s="35">
        <v>-161.69999999999999</v>
      </c>
      <c r="J37" s="34" t="s">
        <v>213</v>
      </c>
      <c r="K37" s="35">
        <v>-169.3</v>
      </c>
      <c r="L37" s="34" t="s">
        <v>213</v>
      </c>
      <c r="M37" s="35">
        <v>-169.3</v>
      </c>
      <c r="N37" s="35" t="s">
        <v>213</v>
      </c>
      <c r="O37" s="35">
        <v>-161.69999999999999</v>
      </c>
      <c r="P37" s="35" t="s">
        <v>213</v>
      </c>
      <c r="Q37" s="35">
        <v>-161.69999999999999</v>
      </c>
    </row>
    <row r="38" spans="1:17" ht="15" x14ac:dyDescent="0.15">
      <c r="A38" s="19" t="s">
        <v>25</v>
      </c>
      <c r="B38" s="34">
        <v>-169.3</v>
      </c>
      <c r="C38" s="35" t="s">
        <v>157</v>
      </c>
      <c r="D38" s="34">
        <v>-169.3</v>
      </c>
      <c r="E38" s="35" t="s">
        <v>157</v>
      </c>
      <c r="F38" s="35">
        <v>-165.7</v>
      </c>
      <c r="G38" s="35" t="s">
        <v>157</v>
      </c>
      <c r="H38" s="35">
        <v>-165.7</v>
      </c>
      <c r="I38" s="35" t="s">
        <v>157</v>
      </c>
      <c r="J38" s="34">
        <v>-169.3</v>
      </c>
      <c r="K38" s="35" t="s">
        <v>213</v>
      </c>
      <c r="L38" s="34">
        <v>-169.3</v>
      </c>
      <c r="M38" s="35" t="s">
        <v>213</v>
      </c>
      <c r="N38" s="35">
        <v>-165.7</v>
      </c>
      <c r="O38" s="35" t="s">
        <v>213</v>
      </c>
      <c r="P38" s="35">
        <v>-165.7</v>
      </c>
      <c r="Q38" s="35" t="s">
        <v>213</v>
      </c>
    </row>
    <row r="39" spans="1:17" ht="45" x14ac:dyDescent="0.15">
      <c r="A39" s="26" t="s">
        <v>45</v>
      </c>
      <c r="B39" s="39" t="s">
        <v>208</v>
      </c>
      <c r="C39" s="39">
        <f t="shared" ref="C39:I39" si="5">10*LOG10(10^((C35+C36)/10)+10^(C37/10))</f>
        <v>-164.98918835931039</v>
      </c>
      <c r="D39" s="39" t="s">
        <v>208</v>
      </c>
      <c r="E39" s="39">
        <f t="shared" si="5"/>
        <v>-164.98918835931039</v>
      </c>
      <c r="F39" s="39" t="s">
        <v>208</v>
      </c>
      <c r="G39" s="39">
        <f t="shared" si="5"/>
        <v>-160.9583889004532</v>
      </c>
      <c r="H39" s="39" t="s">
        <v>208</v>
      </c>
      <c r="I39" s="39">
        <f t="shared" si="5"/>
        <v>-160.9583889004532</v>
      </c>
      <c r="J39" s="39" t="s">
        <v>213</v>
      </c>
      <c r="K39" s="39">
        <f t="shared" ref="K39:Q39" si="6">10*LOG10(10^((K35+K36)/10)+10^(K37/10))</f>
        <v>-164.98918835931039</v>
      </c>
      <c r="L39" s="39" t="s">
        <v>213</v>
      </c>
      <c r="M39" s="39">
        <f t="shared" si="6"/>
        <v>-164.98918835931039</v>
      </c>
      <c r="N39" s="39" t="s">
        <v>213</v>
      </c>
      <c r="O39" s="39">
        <f t="shared" si="6"/>
        <v>-160.9583889004532</v>
      </c>
      <c r="P39" s="39" t="s">
        <v>213</v>
      </c>
      <c r="Q39" s="39">
        <f t="shared" si="6"/>
        <v>-160.9583889004532</v>
      </c>
    </row>
    <row r="40" spans="1:17" ht="30" x14ac:dyDescent="0.15">
      <c r="A40" s="26" t="s">
        <v>46</v>
      </c>
      <c r="B40" s="39">
        <f t="shared" ref="B40:H40" si="7">10*LOG10(10^((B35+B36)/10)+10^(B38/10))</f>
        <v>-164.98918835931039</v>
      </c>
      <c r="C40" s="39" t="s">
        <v>208</v>
      </c>
      <c r="D40" s="39">
        <f t="shared" si="7"/>
        <v>-164.98918835931039</v>
      </c>
      <c r="E40" s="39" t="s">
        <v>208</v>
      </c>
      <c r="F40" s="39">
        <f t="shared" si="7"/>
        <v>-164.03352307536667</v>
      </c>
      <c r="G40" s="39" t="s">
        <v>208</v>
      </c>
      <c r="H40" s="39">
        <f t="shared" si="7"/>
        <v>-164.03352307536667</v>
      </c>
      <c r="I40" s="39" t="s">
        <v>208</v>
      </c>
      <c r="J40" s="39">
        <f t="shared" ref="J40:P40" si="8">10*LOG10(10^((J35+J36)/10)+10^(J38/10))</f>
        <v>-164.98918835931039</v>
      </c>
      <c r="K40" s="39" t="s">
        <v>213</v>
      </c>
      <c r="L40" s="39">
        <f t="shared" si="8"/>
        <v>-164.98918835931039</v>
      </c>
      <c r="M40" s="39" t="s">
        <v>213</v>
      </c>
      <c r="N40" s="39">
        <f t="shared" si="8"/>
        <v>-164.03352307536667</v>
      </c>
      <c r="O40" s="39" t="s">
        <v>213</v>
      </c>
      <c r="P40" s="39">
        <f t="shared" si="8"/>
        <v>-164.03352307536667</v>
      </c>
      <c r="Q40" s="39" t="s">
        <v>213</v>
      </c>
    </row>
    <row r="41" spans="1:17" ht="30" x14ac:dyDescent="0.15">
      <c r="A41" s="19" t="s">
        <v>26</v>
      </c>
      <c r="B41" s="34" t="s">
        <v>157</v>
      </c>
      <c r="C41" s="34">
        <f>'[1]NR MaxN_RB'!$F$6*12*15*1000</f>
        <v>19080000</v>
      </c>
      <c r="D41" s="34" t="s">
        <v>157</v>
      </c>
      <c r="E41" s="34">
        <f>'[1]NR MaxN_RB'!$F$6*12*15*1000</f>
        <v>19080000</v>
      </c>
      <c r="F41" s="35" t="s">
        <v>157</v>
      </c>
      <c r="G41" s="35">
        <f>1*12*30*1000</f>
        <v>360000</v>
      </c>
      <c r="H41" s="35" t="s">
        <v>157</v>
      </c>
      <c r="I41" s="35">
        <f>1*12*30*1000</f>
        <v>360000</v>
      </c>
      <c r="J41" s="34" t="s">
        <v>213</v>
      </c>
      <c r="K41" s="34">
        <f>MaxN_RB!F7*12*30*1000</f>
        <v>18360000</v>
      </c>
      <c r="L41" s="34" t="s">
        <v>57</v>
      </c>
      <c r="M41" s="34">
        <f>MaxN_RB!F7*12*30*1000</f>
        <v>18360000</v>
      </c>
      <c r="N41" s="35" t="s">
        <v>57</v>
      </c>
      <c r="O41" s="35">
        <f>1*12*30*1000</f>
        <v>360000</v>
      </c>
      <c r="P41" s="35" t="s">
        <v>230</v>
      </c>
      <c r="Q41" s="35">
        <f>1*12*30*1000</f>
        <v>360000</v>
      </c>
    </row>
    <row r="42" spans="1:17" ht="30" x14ac:dyDescent="0.15">
      <c r="A42" s="19" t="s">
        <v>27</v>
      </c>
      <c r="B42" s="34">
        <f>'[1]NR MaxN_RB'!$F$7*12*30*1000</f>
        <v>18360000</v>
      </c>
      <c r="C42" s="35" t="s">
        <v>157</v>
      </c>
      <c r="D42" s="34">
        <f>'[1]NR MaxN_RB'!$F$7*12*30*1000</f>
        <v>18360000</v>
      </c>
      <c r="E42" s="35" t="s">
        <v>157</v>
      </c>
      <c r="F42" s="35">
        <f>4*12*30*1000</f>
        <v>1440000</v>
      </c>
      <c r="G42" s="35" t="s">
        <v>157</v>
      </c>
      <c r="H42" s="35">
        <f>4*12*30*1000</f>
        <v>1440000</v>
      </c>
      <c r="I42" s="35" t="s">
        <v>157</v>
      </c>
      <c r="J42" s="34">
        <f>MaxN_RB!F7*12*30*1000</f>
        <v>18360000</v>
      </c>
      <c r="K42" s="35" t="s">
        <v>57</v>
      </c>
      <c r="L42" s="34">
        <f>MaxN_RB!F7*12*30*1000</f>
        <v>18360000</v>
      </c>
      <c r="M42" s="35" t="s">
        <v>57</v>
      </c>
      <c r="N42" s="35">
        <f>4*12*30*1000</f>
        <v>1440000</v>
      </c>
      <c r="O42" s="35" t="s">
        <v>226</v>
      </c>
      <c r="P42" s="35">
        <f>4*12*30*1000</f>
        <v>1440000</v>
      </c>
      <c r="Q42" s="35" t="s">
        <v>57</v>
      </c>
    </row>
    <row r="43" spans="1:17" ht="15" x14ac:dyDescent="0.15">
      <c r="A43" s="24" t="s">
        <v>28</v>
      </c>
      <c r="B43" s="39" t="s">
        <v>208</v>
      </c>
      <c r="C43" s="39">
        <f t="shared" ref="B43:I44" si="9">C39+10*LOG10(C41)</f>
        <v>-92.18340465562963</v>
      </c>
      <c r="D43" s="39" t="s">
        <v>208</v>
      </c>
      <c r="E43" s="39">
        <f t="shared" si="9"/>
        <v>-92.18340465562963</v>
      </c>
      <c r="F43" s="39" t="s">
        <v>208</v>
      </c>
      <c r="G43" s="39">
        <f t="shared" si="9"/>
        <v>-105.39536389278032</v>
      </c>
      <c r="H43" s="39" t="s">
        <v>208</v>
      </c>
      <c r="I43" s="39">
        <f t="shared" si="9"/>
        <v>-105.39536389278032</v>
      </c>
      <c r="J43" s="39" t="s">
        <v>57</v>
      </c>
      <c r="K43" s="39">
        <f t="shared" ref="J43:Q44" si="10">K39+10*LOG10(K41)</f>
        <v>-92.350461590658156</v>
      </c>
      <c r="L43" s="39" t="s">
        <v>57</v>
      </c>
      <c r="M43" s="39">
        <f t="shared" si="10"/>
        <v>-92.350461590658156</v>
      </c>
      <c r="N43" s="39" t="s">
        <v>57</v>
      </c>
      <c r="O43" s="39">
        <f t="shared" si="10"/>
        <v>-105.39536389278032</v>
      </c>
      <c r="P43" s="39" t="s">
        <v>57</v>
      </c>
      <c r="Q43" s="39">
        <f t="shared" si="10"/>
        <v>-105.39536389278032</v>
      </c>
    </row>
    <row r="44" spans="1:17" ht="15" x14ac:dyDescent="0.15">
      <c r="A44" s="24" t="s">
        <v>29</v>
      </c>
      <c r="B44" s="39">
        <f t="shared" si="9"/>
        <v>-92.350461590658156</v>
      </c>
      <c r="C44" s="39" t="s">
        <v>208</v>
      </c>
      <c r="D44" s="39">
        <f t="shared" si="9"/>
        <v>-92.350461590658156</v>
      </c>
      <c r="E44" s="39" t="s">
        <v>208</v>
      </c>
      <c r="F44" s="39">
        <f t="shared" si="9"/>
        <v>-102.44989815441417</v>
      </c>
      <c r="G44" s="39" t="s">
        <v>208</v>
      </c>
      <c r="H44" s="39">
        <f t="shared" si="9"/>
        <v>-102.44989815441417</v>
      </c>
      <c r="I44" s="39" t="s">
        <v>208</v>
      </c>
      <c r="J44" s="39">
        <f t="shared" si="10"/>
        <v>-92.350461590658156</v>
      </c>
      <c r="K44" s="39" t="s">
        <v>213</v>
      </c>
      <c r="L44" s="39">
        <f t="shared" si="10"/>
        <v>-92.350461590658156</v>
      </c>
      <c r="M44" s="39" t="s">
        <v>57</v>
      </c>
      <c r="N44" s="39">
        <f t="shared" si="10"/>
        <v>-102.44989815441417</v>
      </c>
      <c r="O44" s="39" t="s">
        <v>57</v>
      </c>
      <c r="P44" s="39">
        <f t="shared" si="10"/>
        <v>-102.44989815441417</v>
      </c>
      <c r="Q44" s="39" t="s">
        <v>57</v>
      </c>
    </row>
    <row r="45" spans="1:17" ht="15" x14ac:dyDescent="0.15">
      <c r="A45" s="19" t="s">
        <v>30</v>
      </c>
      <c r="B45" s="34" t="s">
        <v>157</v>
      </c>
      <c r="C45" s="74">
        <v>-5.7</v>
      </c>
      <c r="D45" s="74" t="s">
        <v>157</v>
      </c>
      <c r="E45" s="74">
        <v>-5.9</v>
      </c>
      <c r="F45" s="34" t="s">
        <v>157</v>
      </c>
      <c r="G45" s="74">
        <v>-6</v>
      </c>
      <c r="H45" s="74" t="s">
        <v>157</v>
      </c>
      <c r="I45" s="74">
        <v>-6.7</v>
      </c>
      <c r="J45" s="74" t="s">
        <v>213</v>
      </c>
      <c r="K45" s="74">
        <v>-9.6999999999999993</v>
      </c>
      <c r="L45" s="74" t="s">
        <v>213</v>
      </c>
      <c r="M45" s="74">
        <v>-9.6999999999999993</v>
      </c>
      <c r="N45" s="74" t="s">
        <v>213</v>
      </c>
      <c r="O45" s="74">
        <v>-10</v>
      </c>
      <c r="P45" s="74" t="s">
        <v>213</v>
      </c>
      <c r="Q45" s="74">
        <v>-10</v>
      </c>
    </row>
    <row r="46" spans="1:17" s="82" customFormat="1" ht="15" x14ac:dyDescent="0.15">
      <c r="A46" s="19" t="s">
        <v>31</v>
      </c>
      <c r="B46" s="34">
        <v>3</v>
      </c>
      <c r="C46" s="34" t="s">
        <v>157</v>
      </c>
      <c r="D46" s="34">
        <v>-0.1</v>
      </c>
      <c r="E46" s="34" t="s">
        <v>157</v>
      </c>
      <c r="F46" s="74">
        <v>2.29</v>
      </c>
      <c r="G46" s="34" t="s">
        <v>157</v>
      </c>
      <c r="H46" s="74">
        <v>1.27</v>
      </c>
      <c r="I46" s="34" t="s">
        <v>157</v>
      </c>
      <c r="J46" s="74">
        <v>-0.9</v>
      </c>
      <c r="K46" s="74" t="s">
        <v>213</v>
      </c>
      <c r="L46" s="74">
        <v>-2.5</v>
      </c>
      <c r="M46" s="74" t="s">
        <v>213</v>
      </c>
      <c r="N46" s="74">
        <v>-1.2</v>
      </c>
      <c r="O46" s="74" t="s">
        <v>213</v>
      </c>
      <c r="P46" s="74">
        <v>-1.3</v>
      </c>
      <c r="Q46" s="74" t="s">
        <v>213</v>
      </c>
    </row>
    <row r="47" spans="1:17" ht="15" x14ac:dyDescent="0.15">
      <c r="A47" s="19" t="s">
        <v>32</v>
      </c>
      <c r="B47" s="34">
        <v>2</v>
      </c>
      <c r="C47" s="35">
        <v>2</v>
      </c>
      <c r="D47" s="34">
        <v>2</v>
      </c>
      <c r="E47" s="35">
        <v>2</v>
      </c>
      <c r="F47" s="35">
        <v>2</v>
      </c>
      <c r="G47" s="35">
        <v>2</v>
      </c>
      <c r="H47" s="35">
        <v>2</v>
      </c>
      <c r="I47" s="35">
        <v>2</v>
      </c>
      <c r="J47" s="34">
        <v>2</v>
      </c>
      <c r="K47" s="35">
        <v>2</v>
      </c>
      <c r="L47" s="34">
        <v>2</v>
      </c>
      <c r="M47" s="35">
        <v>2</v>
      </c>
      <c r="N47" s="35">
        <v>2</v>
      </c>
      <c r="O47" s="35">
        <v>2</v>
      </c>
      <c r="P47" s="35">
        <v>2</v>
      </c>
      <c r="Q47" s="35">
        <v>2</v>
      </c>
    </row>
    <row r="48" spans="1:17" ht="15" x14ac:dyDescent="0.15">
      <c r="A48" s="19" t="s">
        <v>33</v>
      </c>
      <c r="B48" s="34" t="s">
        <v>157</v>
      </c>
      <c r="C48" s="35">
        <v>0</v>
      </c>
      <c r="D48" s="34" t="s">
        <v>157</v>
      </c>
      <c r="E48" s="35">
        <v>0</v>
      </c>
      <c r="F48" s="35" t="s">
        <v>157</v>
      </c>
      <c r="G48" s="35">
        <v>0</v>
      </c>
      <c r="H48" s="35" t="s">
        <v>157</v>
      </c>
      <c r="I48" s="35">
        <v>0</v>
      </c>
      <c r="J48" s="34" t="s">
        <v>57</v>
      </c>
      <c r="K48" s="35">
        <v>0</v>
      </c>
      <c r="L48" s="34" t="s">
        <v>213</v>
      </c>
      <c r="M48" s="35">
        <v>0</v>
      </c>
      <c r="N48" s="35" t="s">
        <v>213</v>
      </c>
      <c r="O48" s="35">
        <v>0</v>
      </c>
      <c r="P48" s="35" t="s">
        <v>213</v>
      </c>
      <c r="Q48" s="35">
        <v>0</v>
      </c>
    </row>
    <row r="49" spans="1:17" ht="15" x14ac:dyDescent="0.15">
      <c r="A49" s="19" t="s">
        <v>34</v>
      </c>
      <c r="B49" s="34">
        <v>0.5</v>
      </c>
      <c r="C49" s="35" t="s">
        <v>157</v>
      </c>
      <c r="D49" s="34">
        <v>0.5</v>
      </c>
      <c r="E49" s="35" t="s">
        <v>157</v>
      </c>
      <c r="F49" s="35">
        <v>0.5</v>
      </c>
      <c r="G49" s="35" t="s">
        <v>157</v>
      </c>
      <c r="H49" s="35">
        <v>0.5</v>
      </c>
      <c r="I49" s="35" t="s">
        <v>157</v>
      </c>
      <c r="J49" s="34">
        <v>0.5</v>
      </c>
      <c r="K49" s="35" t="s">
        <v>213</v>
      </c>
      <c r="L49" s="34">
        <v>0.5</v>
      </c>
      <c r="M49" s="35" t="s">
        <v>213</v>
      </c>
      <c r="N49" s="35">
        <v>0.5</v>
      </c>
      <c r="O49" s="35" t="s">
        <v>213</v>
      </c>
      <c r="P49" s="35">
        <v>0.5</v>
      </c>
      <c r="Q49" s="35" t="s">
        <v>213</v>
      </c>
    </row>
    <row r="50" spans="1:17" ht="30" x14ac:dyDescent="0.15">
      <c r="A50" s="26" t="s">
        <v>47</v>
      </c>
      <c r="B50" s="39" t="s">
        <v>208</v>
      </c>
      <c r="C50" s="39">
        <f t="shared" ref="C50:I50" si="11">C43+C45+C47-C48</f>
        <v>-95.883404655629633</v>
      </c>
      <c r="D50" s="39" t="s">
        <v>208</v>
      </c>
      <c r="E50" s="39">
        <f t="shared" si="11"/>
        <v>-96.083404655629636</v>
      </c>
      <c r="F50" s="39" t="s">
        <v>208</v>
      </c>
      <c r="G50" s="39">
        <f t="shared" si="11"/>
        <v>-109.39536389278032</v>
      </c>
      <c r="H50" s="39" t="s">
        <v>208</v>
      </c>
      <c r="I50" s="39">
        <f t="shared" si="11"/>
        <v>-110.09536389278033</v>
      </c>
      <c r="J50" s="39" t="s">
        <v>57</v>
      </c>
      <c r="K50" s="39">
        <f t="shared" ref="K50:Q50" si="12">K43+K45+K47-K48</f>
        <v>-100.05046159065816</v>
      </c>
      <c r="L50" s="39" t="s">
        <v>57</v>
      </c>
      <c r="M50" s="39">
        <f t="shared" si="12"/>
        <v>-100.05046159065816</v>
      </c>
      <c r="N50" s="39" t="s">
        <v>57</v>
      </c>
      <c r="O50" s="39">
        <f t="shared" si="12"/>
        <v>-113.39536389278032</v>
      </c>
      <c r="P50" s="39" t="s">
        <v>226</v>
      </c>
      <c r="Q50" s="39">
        <f t="shared" si="12"/>
        <v>-113.39536389278032</v>
      </c>
    </row>
    <row r="51" spans="1:17" ht="30" x14ac:dyDescent="0.15">
      <c r="A51" s="26" t="s">
        <v>173</v>
      </c>
      <c r="B51" s="39">
        <f t="shared" ref="B51:H51" si="13">B44+B46+B47-B49</f>
        <v>-87.850461590658156</v>
      </c>
      <c r="C51" s="39" t="s">
        <v>208</v>
      </c>
      <c r="D51" s="39">
        <f t="shared" si="13"/>
        <v>-90.950461590658151</v>
      </c>
      <c r="E51" s="39" t="s">
        <v>208</v>
      </c>
      <c r="F51" s="39">
        <f t="shared" si="13"/>
        <v>-98.659898154414165</v>
      </c>
      <c r="G51" s="39" t="s">
        <v>208</v>
      </c>
      <c r="H51" s="39">
        <f t="shared" si="13"/>
        <v>-99.679898154414175</v>
      </c>
      <c r="I51" s="39" t="s">
        <v>208</v>
      </c>
      <c r="J51" s="39">
        <f t="shared" ref="J51:P51" si="14">J44+J46+J47-J49</f>
        <v>-91.750461590658162</v>
      </c>
      <c r="K51" s="39" t="s">
        <v>226</v>
      </c>
      <c r="L51" s="39">
        <f t="shared" si="14"/>
        <v>-93.350461590658156</v>
      </c>
      <c r="M51" s="39" t="s">
        <v>226</v>
      </c>
      <c r="N51" s="39">
        <f t="shared" si="14"/>
        <v>-102.14989815441417</v>
      </c>
      <c r="O51" s="39" t="s">
        <v>57</v>
      </c>
      <c r="P51" s="39">
        <f t="shared" si="14"/>
        <v>-102.24989815441417</v>
      </c>
      <c r="Q51" s="39" t="s">
        <v>57</v>
      </c>
    </row>
    <row r="52" spans="1:17" ht="30" x14ac:dyDescent="0.15">
      <c r="A52" s="26" t="s">
        <v>174</v>
      </c>
      <c r="B52" s="39" t="s">
        <v>208</v>
      </c>
      <c r="C52" s="39">
        <f t="shared" ref="C52:I52" si="15">C27+C32+C33-C50</f>
        <v>169.04820396186665</v>
      </c>
      <c r="D52" s="39" t="s">
        <v>208</v>
      </c>
      <c r="E52" s="39">
        <f t="shared" si="15"/>
        <v>169.24820396186664</v>
      </c>
      <c r="F52" s="39" t="s">
        <v>208</v>
      </c>
      <c r="G52" s="39">
        <f t="shared" si="15"/>
        <v>160.47776354589882</v>
      </c>
      <c r="H52" s="39" t="s">
        <v>208</v>
      </c>
      <c r="I52" s="39">
        <f t="shared" si="15"/>
        <v>161.17776354589881</v>
      </c>
      <c r="J52" s="39" t="s">
        <v>226</v>
      </c>
      <c r="K52" s="39">
        <f t="shared" ref="K52:Q52" si="16">K27+K32+K33-K50</f>
        <v>173.21526089689516</v>
      </c>
      <c r="L52" s="39" t="s">
        <v>57</v>
      </c>
      <c r="M52" s="39">
        <f t="shared" si="16"/>
        <v>173.21526089689516</v>
      </c>
      <c r="N52" s="39" t="s">
        <v>231</v>
      </c>
      <c r="O52" s="39">
        <f t="shared" si="16"/>
        <v>164.47776354589882</v>
      </c>
      <c r="P52" s="39" t="s">
        <v>213</v>
      </c>
      <c r="Q52" s="39">
        <f t="shared" si="16"/>
        <v>164.47776354589882</v>
      </c>
    </row>
    <row r="53" spans="1:17" ht="33.75" customHeight="1" x14ac:dyDescent="0.15">
      <c r="A53" s="26" t="s">
        <v>175</v>
      </c>
      <c r="B53" s="39">
        <f t="shared" ref="B53:H53" si="17">B28+B32+B33-B51</f>
        <v>161.01526089689514</v>
      </c>
      <c r="C53" s="39" t="s">
        <v>208</v>
      </c>
      <c r="D53" s="39">
        <f t="shared" si="17"/>
        <v>164.11526089689517</v>
      </c>
      <c r="E53" s="39" t="s">
        <v>208</v>
      </c>
      <c r="F53" s="39">
        <f t="shared" si="17"/>
        <v>149.74229780753268</v>
      </c>
      <c r="G53" s="39" t="s">
        <v>208</v>
      </c>
      <c r="H53" s="39">
        <f t="shared" si="17"/>
        <v>150.76229780753266</v>
      </c>
      <c r="I53" s="39" t="s">
        <v>208</v>
      </c>
      <c r="J53" s="39">
        <f t="shared" ref="J53:P53" si="18">J28+J32+J33-J51</f>
        <v>164.91526089689518</v>
      </c>
      <c r="K53" s="39" t="s">
        <v>57</v>
      </c>
      <c r="L53" s="39">
        <f t="shared" si="18"/>
        <v>166.51526089689514</v>
      </c>
      <c r="M53" s="39" t="s">
        <v>57</v>
      </c>
      <c r="N53" s="39">
        <f t="shared" si="18"/>
        <v>153.23229780753269</v>
      </c>
      <c r="O53" s="39" t="s">
        <v>57</v>
      </c>
      <c r="P53" s="39">
        <f t="shared" si="18"/>
        <v>153.33229780753265</v>
      </c>
      <c r="Q53" s="39" t="s">
        <v>57</v>
      </c>
    </row>
    <row r="54" spans="1:17" x14ac:dyDescent="0.15">
      <c r="A54" s="18" t="s">
        <v>35</v>
      </c>
      <c r="B54" s="37"/>
      <c r="C54" s="37"/>
      <c r="D54" s="37"/>
      <c r="E54" s="37"/>
      <c r="F54" s="37"/>
      <c r="G54" s="37"/>
      <c r="H54" s="37"/>
      <c r="I54" s="37"/>
      <c r="J54" s="37"/>
      <c r="K54" s="37"/>
      <c r="L54" s="37"/>
      <c r="M54" s="37"/>
      <c r="N54" s="37"/>
      <c r="O54" s="37"/>
      <c r="P54" s="37"/>
      <c r="Q54" s="37"/>
    </row>
    <row r="55" spans="1:17" ht="15" x14ac:dyDescent="0.15">
      <c r="A55" s="19" t="s">
        <v>36</v>
      </c>
      <c r="B55" s="35">
        <v>6</v>
      </c>
      <c r="C55" s="35">
        <v>6</v>
      </c>
      <c r="D55" s="162">
        <v>7</v>
      </c>
      <c r="E55" s="162">
        <v>7</v>
      </c>
      <c r="F55" s="35">
        <v>6</v>
      </c>
      <c r="G55" s="35">
        <v>6</v>
      </c>
      <c r="H55" s="162">
        <v>7</v>
      </c>
      <c r="I55" s="162">
        <v>7</v>
      </c>
      <c r="J55" s="73">
        <v>4</v>
      </c>
      <c r="K55" s="73">
        <v>4</v>
      </c>
      <c r="L55" s="73">
        <v>7</v>
      </c>
      <c r="M55" s="73">
        <v>7</v>
      </c>
      <c r="N55" s="73">
        <v>4</v>
      </c>
      <c r="O55" s="73">
        <v>4</v>
      </c>
      <c r="P55" s="73">
        <v>7</v>
      </c>
      <c r="Q55" s="73">
        <v>7</v>
      </c>
    </row>
    <row r="56" spans="1:17" ht="30" x14ac:dyDescent="0.15">
      <c r="A56" s="19" t="s">
        <v>37</v>
      </c>
      <c r="B56" s="80" t="s">
        <v>157</v>
      </c>
      <c r="C56" s="34">
        <v>8.07</v>
      </c>
      <c r="D56" s="166" t="s">
        <v>57</v>
      </c>
      <c r="E56" s="162">
        <f>(8.22+6.9)/2</f>
        <v>7.5600000000000005</v>
      </c>
      <c r="F56" s="80" t="s">
        <v>157</v>
      </c>
      <c r="G56" s="34">
        <v>8.07</v>
      </c>
      <c r="H56" s="166" t="s">
        <v>57</v>
      </c>
      <c r="I56" s="162">
        <f>(8.22+6.9)/2</f>
        <v>7.5600000000000005</v>
      </c>
      <c r="J56" s="85" t="s">
        <v>226</v>
      </c>
      <c r="K56" s="74">
        <v>6.11</v>
      </c>
      <c r="L56" s="89" t="s">
        <v>226</v>
      </c>
      <c r="M56" s="73">
        <v>8.4</v>
      </c>
      <c r="N56" s="85" t="s">
        <v>57</v>
      </c>
      <c r="O56" s="74">
        <v>6.11</v>
      </c>
      <c r="P56" s="89" t="s">
        <v>226</v>
      </c>
      <c r="Q56" s="73">
        <v>8.4</v>
      </c>
    </row>
    <row r="57" spans="1:17" ht="30" x14ac:dyDescent="0.15">
      <c r="A57" s="19" t="s">
        <v>38</v>
      </c>
      <c r="B57" s="34">
        <v>4.8499999999999996</v>
      </c>
      <c r="C57" s="80" t="s">
        <v>157</v>
      </c>
      <c r="D57" s="162">
        <f>(4.98+3.98)/2</f>
        <v>4.4800000000000004</v>
      </c>
      <c r="E57" s="166" t="s">
        <v>57</v>
      </c>
      <c r="F57" s="34">
        <v>4.8499999999999996</v>
      </c>
      <c r="G57" s="80" t="s">
        <v>157</v>
      </c>
      <c r="H57" s="162">
        <f>(4.98+3.98)/2</f>
        <v>4.4800000000000004</v>
      </c>
      <c r="I57" s="166" t="s">
        <v>57</v>
      </c>
      <c r="J57" s="74">
        <v>3.36</v>
      </c>
      <c r="K57" s="85" t="s">
        <v>226</v>
      </c>
      <c r="L57" s="73">
        <v>5.64</v>
      </c>
      <c r="M57" s="89" t="s">
        <v>213</v>
      </c>
      <c r="N57" s="74">
        <v>3.36</v>
      </c>
      <c r="O57" s="85" t="s">
        <v>57</v>
      </c>
      <c r="P57" s="73">
        <v>5.64</v>
      </c>
      <c r="Q57" s="73" t="s">
        <v>226</v>
      </c>
    </row>
    <row r="58" spans="1:17" ht="15" x14ac:dyDescent="0.15">
      <c r="A58" s="19" t="s">
        <v>39</v>
      </c>
      <c r="B58" s="34">
        <v>0</v>
      </c>
      <c r="C58" s="34">
        <v>0</v>
      </c>
      <c r="D58" s="34">
        <v>0</v>
      </c>
      <c r="E58" s="34">
        <v>0</v>
      </c>
      <c r="F58" s="34">
        <v>0</v>
      </c>
      <c r="G58" s="34">
        <v>0</v>
      </c>
      <c r="H58" s="34">
        <v>0</v>
      </c>
      <c r="I58" s="34">
        <v>0</v>
      </c>
      <c r="J58" s="74">
        <v>0</v>
      </c>
      <c r="K58" s="74">
        <v>0</v>
      </c>
      <c r="L58" s="74">
        <v>0</v>
      </c>
      <c r="M58" s="74">
        <v>0</v>
      </c>
      <c r="N58" s="74">
        <v>0</v>
      </c>
      <c r="O58" s="74">
        <v>0</v>
      </c>
      <c r="P58" s="74">
        <v>0</v>
      </c>
      <c r="Q58" s="74">
        <v>0</v>
      </c>
    </row>
    <row r="59" spans="1:17" ht="16.5" customHeight="1" x14ac:dyDescent="0.15">
      <c r="A59" s="19" t="s">
        <v>40</v>
      </c>
      <c r="B59" s="34">
        <v>9</v>
      </c>
      <c r="C59" s="34">
        <v>9</v>
      </c>
      <c r="D59" s="34">
        <v>26.25</v>
      </c>
      <c r="E59" s="34">
        <v>26.25</v>
      </c>
      <c r="F59" s="34">
        <v>9</v>
      </c>
      <c r="G59" s="34">
        <v>9</v>
      </c>
      <c r="H59" s="34">
        <v>26.25</v>
      </c>
      <c r="I59" s="34">
        <v>26.25</v>
      </c>
      <c r="J59" s="74">
        <v>9</v>
      </c>
      <c r="K59" s="74">
        <v>9</v>
      </c>
      <c r="L59" s="74">
        <v>26.25</v>
      </c>
      <c r="M59" s="74">
        <v>26.25</v>
      </c>
      <c r="N59" s="74">
        <v>9</v>
      </c>
      <c r="O59" s="74">
        <v>9</v>
      </c>
      <c r="P59" s="74">
        <v>26.25</v>
      </c>
      <c r="Q59" s="74">
        <v>26.25</v>
      </c>
    </row>
    <row r="60" spans="1:17" ht="15" x14ac:dyDescent="0.15">
      <c r="A60" s="19" t="s">
        <v>41</v>
      </c>
      <c r="B60" s="35">
        <v>0</v>
      </c>
      <c r="C60" s="35">
        <v>0</v>
      </c>
      <c r="D60" s="35">
        <v>0</v>
      </c>
      <c r="E60" s="35">
        <v>0</v>
      </c>
      <c r="F60" s="35">
        <v>0</v>
      </c>
      <c r="G60" s="35">
        <v>0</v>
      </c>
      <c r="H60" s="35">
        <v>0</v>
      </c>
      <c r="I60" s="35">
        <v>0</v>
      </c>
      <c r="J60" s="35">
        <v>0</v>
      </c>
      <c r="K60" s="35">
        <v>0</v>
      </c>
      <c r="L60" s="35">
        <v>0</v>
      </c>
      <c r="M60" s="35">
        <v>0</v>
      </c>
      <c r="N60" s="35">
        <v>0</v>
      </c>
      <c r="O60" s="35">
        <v>0</v>
      </c>
      <c r="P60" s="35">
        <v>0</v>
      </c>
      <c r="Q60" s="35">
        <v>0</v>
      </c>
    </row>
    <row r="61" spans="1:17" ht="30" x14ac:dyDescent="0.15">
      <c r="A61" s="26" t="s">
        <v>162</v>
      </c>
      <c r="B61" s="39" t="s">
        <v>208</v>
      </c>
      <c r="C61" s="39">
        <f t="shared" ref="C61:I61" si="19">C52-C56+C58-C59+C60-C34</f>
        <v>150.97820396186665</v>
      </c>
      <c r="D61" s="39" t="s">
        <v>208</v>
      </c>
      <c r="E61" s="39">
        <f t="shared" si="19"/>
        <v>134.43820396186663</v>
      </c>
      <c r="F61" s="39" t="s">
        <v>208</v>
      </c>
      <c r="G61" s="39">
        <f t="shared" si="19"/>
        <v>140.40776354589883</v>
      </c>
      <c r="H61" s="39" t="s">
        <v>208</v>
      </c>
      <c r="I61" s="39">
        <f t="shared" si="19"/>
        <v>124.36776354589881</v>
      </c>
      <c r="J61" s="39" t="s">
        <v>226</v>
      </c>
      <c r="K61" s="39">
        <f t="shared" ref="K61:Q61" si="20">K52-K56+K58-K59+K60-K34</f>
        <v>157.10526089689515</v>
      </c>
      <c r="L61" s="39" t="s">
        <v>226</v>
      </c>
      <c r="M61" s="39">
        <f t="shared" si="20"/>
        <v>137.56526089689515</v>
      </c>
      <c r="N61" s="39" t="s">
        <v>213</v>
      </c>
      <c r="O61" s="39">
        <f t="shared" si="20"/>
        <v>146.36776354589881</v>
      </c>
      <c r="P61" s="39" t="s">
        <v>226</v>
      </c>
      <c r="Q61" s="39">
        <f t="shared" si="20"/>
        <v>126.82776354589882</v>
      </c>
    </row>
    <row r="62" spans="1:17" ht="30" x14ac:dyDescent="0.15">
      <c r="A62" s="26" t="s">
        <v>49</v>
      </c>
      <c r="B62" s="39">
        <f t="shared" ref="B62:H62" si="21">B53-B57+B58-B59+B60-B34</f>
        <v>146.16526089689515</v>
      </c>
      <c r="C62" s="39" t="s">
        <v>208</v>
      </c>
      <c r="D62" s="39">
        <f t="shared" si="21"/>
        <v>132.38526089689518</v>
      </c>
      <c r="E62" s="39" t="s">
        <v>208</v>
      </c>
      <c r="F62" s="39">
        <f t="shared" si="21"/>
        <v>132.89229780753269</v>
      </c>
      <c r="G62" s="39" t="s">
        <v>208</v>
      </c>
      <c r="H62" s="39">
        <f t="shared" si="21"/>
        <v>117.03229780753267</v>
      </c>
      <c r="I62" s="39" t="s">
        <v>208</v>
      </c>
      <c r="J62" s="39">
        <f t="shared" ref="J62:P62" si="22">J53-J57+J58-J59+J60-J34</f>
        <v>151.55526089689516</v>
      </c>
      <c r="K62" s="39" t="s">
        <v>213</v>
      </c>
      <c r="L62" s="39">
        <f t="shared" si="22"/>
        <v>133.62526089689516</v>
      </c>
      <c r="M62" s="39" t="s">
        <v>213</v>
      </c>
      <c r="N62" s="39">
        <f t="shared" si="22"/>
        <v>137.87229780753268</v>
      </c>
      <c r="O62" s="39" t="s">
        <v>213</v>
      </c>
      <c r="P62" s="39">
        <f t="shared" si="22"/>
        <v>118.44229780753267</v>
      </c>
      <c r="Q62" s="39" t="s">
        <v>57</v>
      </c>
    </row>
    <row r="63" spans="1:17" x14ac:dyDescent="0.15">
      <c r="A63" s="18" t="s">
        <v>42</v>
      </c>
      <c r="B63" s="37"/>
      <c r="C63" s="37"/>
      <c r="D63" s="37"/>
      <c r="E63" s="37"/>
      <c r="F63" s="37"/>
      <c r="G63" s="37"/>
      <c r="H63" s="37"/>
      <c r="I63" s="37"/>
      <c r="J63" s="37"/>
      <c r="K63" s="37"/>
      <c r="L63" s="37"/>
      <c r="M63" s="37"/>
      <c r="N63" s="37"/>
      <c r="O63" s="37"/>
      <c r="P63" s="37"/>
      <c r="Q63" s="37"/>
    </row>
    <row r="64" spans="1:17" ht="30" x14ac:dyDescent="0.15">
      <c r="A64" s="28" t="s">
        <v>43</v>
      </c>
      <c r="B64" s="35" t="s">
        <v>157</v>
      </c>
      <c r="C64" s="35">
        <f>10^((C61-161.04+7.1*LOG10(20)-7.5*LOG10(20)+(24.37-3.7*(20/C5)^2)*LOG10(C5)-20*LOG10(C4)+(3.2*(LOG10(17.625))^2-4.97)+0.6*(C6-1.5))/(43.42-3.1*LOG10(C5))+3)</f>
        <v>1614.6610934401747</v>
      </c>
      <c r="D64" s="35" t="s">
        <v>157</v>
      </c>
      <c r="E64" s="35">
        <f>10^((E61-161.04+7.1*LOG10(20)-7.5*LOG10(20)+(24.37-3.7*(20/E5)^2)*LOG10(E5)-20*LOG10(E4)+(3.2*(LOG10(17.625))^2-4.97)+0.6*(E6-1.5))/(43.42-3.1*LOG10(E5))+3)</f>
        <v>609.41920767297006</v>
      </c>
      <c r="F64" s="35" t="s">
        <v>157</v>
      </c>
      <c r="G64" s="35">
        <f>10^((G61-161.04+7.1*LOG10(20)-7.5*LOG10(20)+(24.37-3.7*(20/G5)^2)*LOG10(G5)-20*LOG10(G4)+(3.2*(LOG10(17.625))^2-4.97)+0.6*(G6-1.5))/(43.42-3.1*LOG10(G5))+3)</f>
        <v>866.25045093393442</v>
      </c>
      <c r="H64" s="35" t="s">
        <v>157</v>
      </c>
      <c r="I64" s="35">
        <f>10^((I61-161.04+7.1*LOG10(20)-7.5*LOG10(20)+(24.37-3.7*(20/I5)^2)*LOG10(I5)-20*LOG10(I4)+(3.2*(LOG10(17.625))^2-4.97)+0.6*(I6-1.5))/(43.42-3.1*LOG10(I5))+3)</f>
        <v>336.72116008526348</v>
      </c>
      <c r="J64" s="35" t="s">
        <v>226</v>
      </c>
      <c r="K64" s="35">
        <f>10^((K61-161.04+7.1*LOG10(20)-7.5*LOG10(20)+(24.37-3.7*(20/K5)^2)*LOG10(K5)-20*LOG10(K4)+(3.2*(LOG10(17.625))^2-4.97)+0.6*(K6-1.5))/(43.42-3.1*LOG10(K5))+3)</f>
        <v>2316.5313633999162</v>
      </c>
      <c r="L64" s="35" t="s">
        <v>213</v>
      </c>
      <c r="M64" s="35">
        <f>10^((M61-161.04+7.1*LOG10(20)-7.5*LOG10(20)+(24.37-3.7*(20/M5)^2)*LOG10(M5)-20*LOG10(M4)+(3.2*(LOG10(17.625))^2-4.97)+0.6*(M6-1.5))/(43.42-3.1*LOG10(M5))+3)</f>
        <v>732.68934337397775</v>
      </c>
      <c r="N64" s="35" t="s">
        <v>213</v>
      </c>
      <c r="O64" s="35">
        <f>10^((O61-161.04+7.1*LOG10(20)-7.5*LOG10(20)+(24.37-3.7*(20/O5)^2)*LOG10(O5)-20*LOG10(O4)+(3.2*(LOG10(17.625))^2-4.97)+0.6*(O6-1.5))/(43.42-3.1*LOG10(O5))+3)</f>
        <v>1230.6264165733896</v>
      </c>
      <c r="P64" s="35" t="s">
        <v>57</v>
      </c>
      <c r="Q64" s="35">
        <f>10^((Q61-161.04+7.1*LOG10(20)-7.5*LOG10(20)+(24.37-3.7*(20/Q5)^2)*LOG10(Q5)-20*LOG10(Q4)+(3.2*(LOG10(17.625))^2-4.97)+0.6*(Q6-1.5))/(43.42-3.1*LOG10(Q5))+3)</f>
        <v>389.23144980626353</v>
      </c>
    </row>
    <row r="65" spans="1:17" ht="30" x14ac:dyDescent="0.15">
      <c r="A65" s="28" t="s">
        <v>44</v>
      </c>
      <c r="B65" s="35">
        <f>10^((B62-161.04+7.1*LOG10(20)-7.5*LOG10(20)+(24.37-3.7*(20/B5)^2)*LOG10(B5)-20*LOG10(B4)+(3.2*(LOG10(17.625))^2-4.97)+0.6*(B6-1.5))/(43.42-3.1*LOG10(B5))+3)</f>
        <v>1216.0329240535029</v>
      </c>
      <c r="C65" s="35" t="s">
        <v>157</v>
      </c>
      <c r="D65" s="35">
        <f>10^((D62-161.04+7.1*LOG10(20)-7.5*LOG10(20)+(24.37-3.7*(20/D5)^2)*LOG10(D5)-20*LOG10(D4)+(3.2*(LOG10(17.625))^2-4.97)+0.6*(D6-1.5))/(43.42-3.1*LOG10(D5))+3)</f>
        <v>539.99894666845307</v>
      </c>
      <c r="E65" s="35" t="s">
        <v>157</v>
      </c>
      <c r="F65" s="35">
        <f>10^((F62-161.04+7.1*LOG10(20)-7.5*LOG10(20)+(24.37-3.7*(20/F5)^2)*LOG10(F5)-20*LOG10(F4)+(3.2*(LOG10(17.625))^2-4.97)+0.6*(F6-1.5))/(43.42-3.1*LOG10(F5))+3)</f>
        <v>556.37182037149205</v>
      </c>
      <c r="G65" s="35" t="s">
        <v>157</v>
      </c>
      <c r="H65" s="35">
        <f>10^((H62-161.04+7.1*LOG10(20)-7.5*LOG10(20)+(24.37-3.7*(20/H5)^2)*LOG10(H5)-20*LOG10(H4)+(3.2*(LOG10(17.625))^2-4.97)+0.6*(H6-1.5))/(43.42-3.1*LOG10(H5))+3)</f>
        <v>218.5733681397289</v>
      </c>
      <c r="I65" s="35" t="s">
        <v>157</v>
      </c>
      <c r="J65" s="35">
        <f>10^((J62-161.04+7.1*LOG10(20)-7.5*LOG10(20)+(24.37-3.7*(20/J5)^2)*LOG10(J5)-20*LOG10(J4)+(3.2*(LOG10(17.625))^2-4.97)+0.6*(J6-1.5))/(43.42-3.1*LOG10(J5))+3)</f>
        <v>1670.4943480515597</v>
      </c>
      <c r="K65" s="35" t="s">
        <v>231</v>
      </c>
      <c r="L65" s="35">
        <f>10^((L62-161.04+7.1*LOG10(20)-7.5*LOG10(20)+(24.37-3.7*(20/L5)^2)*LOG10(L5)-20*LOG10(L4)+(3.2*(LOG10(17.625))^2-4.97)+0.6*(L6-1.5))/(43.42-3.1*LOG10(L5))+3)</f>
        <v>580.92158508557986</v>
      </c>
      <c r="M65" s="35" t="s">
        <v>226</v>
      </c>
      <c r="N65" s="35">
        <f>10^((N62-161.04+7.1*LOG10(20)-7.5*LOG10(20)+(24.37-3.7*(20/N5)^2)*LOG10(N5)-20*LOG10(N4)+(3.2*(LOG10(17.625))^2-4.97)+0.6*(N6-1.5))/(43.42-3.1*LOG10(N5))+3)</f>
        <v>746.06250907777996</v>
      </c>
      <c r="O65" s="35" t="s">
        <v>213</v>
      </c>
      <c r="P65" s="35">
        <f>10^((P62-161.04+7.1*LOG10(20)-7.5*LOG10(20)+(24.37-3.7*(20/P5)^2)*LOG10(P5)-20*LOG10(P4)+(3.2*(LOG10(17.625))^2-4.97)+0.6*(P6-1.5))/(43.42-3.1*LOG10(P5))+3)</f>
        <v>237.50414097711857</v>
      </c>
      <c r="Q65" s="35" t="s">
        <v>213</v>
      </c>
    </row>
    <row r="66" spans="1:17" ht="18" x14ac:dyDescent="0.15">
      <c r="A66" s="28" t="s">
        <v>108</v>
      </c>
      <c r="B66" s="35" t="s">
        <v>157</v>
      </c>
      <c r="C66" s="35">
        <f>PI()*(C64)^2</f>
        <v>8190541.8582069278</v>
      </c>
      <c r="D66" s="35" t="s">
        <v>157</v>
      </c>
      <c r="E66" s="35">
        <f>PI()*(E64)^2</f>
        <v>1166761.6583743512</v>
      </c>
      <c r="F66" s="35" t="s">
        <v>157</v>
      </c>
      <c r="G66" s="35">
        <f>PI()*(G64)^2</f>
        <v>2357419.2204321707</v>
      </c>
      <c r="H66" s="35" t="s">
        <v>157</v>
      </c>
      <c r="I66" s="35">
        <f>PI()*(I64)^2</f>
        <v>356197.35537745716</v>
      </c>
      <c r="J66" s="35" t="s">
        <v>213</v>
      </c>
      <c r="K66" s="35">
        <f>PI()*(K64)^2</f>
        <v>16858783.815834697</v>
      </c>
      <c r="L66" s="35" t="s">
        <v>57</v>
      </c>
      <c r="M66" s="35">
        <f>PI()*(M64)^2</f>
        <v>1686512.7261043515</v>
      </c>
      <c r="N66" s="35" t="s">
        <v>213</v>
      </c>
      <c r="O66" s="35">
        <f>PI()*(O64)^2</f>
        <v>4757757.9048042204</v>
      </c>
      <c r="P66" s="35" t="s">
        <v>213</v>
      </c>
      <c r="Q66" s="35">
        <f>PI()*(Q64)^2</f>
        <v>475954.81037246127</v>
      </c>
    </row>
    <row r="67" spans="1:17" ht="18" x14ac:dyDescent="0.15">
      <c r="A67" s="28" t="s">
        <v>109</v>
      </c>
      <c r="B67" s="35">
        <f>PI()*(B65)^2</f>
        <v>4645586.3815938691</v>
      </c>
      <c r="C67" s="35" t="s">
        <v>157</v>
      </c>
      <c r="D67" s="35">
        <f>PI()*(D65)^2</f>
        <v>916084.84392052772</v>
      </c>
      <c r="E67" s="35" t="s">
        <v>157</v>
      </c>
      <c r="F67" s="35">
        <f>PI()*(F65)^2</f>
        <v>972478.75714659807</v>
      </c>
      <c r="G67" s="35" t="s">
        <v>157</v>
      </c>
      <c r="H67" s="35">
        <f>PI()*(H65)^2</f>
        <v>150087.44413411271</v>
      </c>
      <c r="I67" s="35" t="s">
        <v>157</v>
      </c>
      <c r="J67" s="35">
        <f>PI()*(J65)^2</f>
        <v>8766775.6736306753</v>
      </c>
      <c r="K67" s="35" t="s">
        <v>213</v>
      </c>
      <c r="L67" s="35">
        <f>PI()*(L65)^2</f>
        <v>1060192.9210061952</v>
      </c>
      <c r="M67" s="35" t="s">
        <v>213</v>
      </c>
      <c r="N67" s="35">
        <f>PI()*(N65)^2</f>
        <v>1748639.5855454167</v>
      </c>
      <c r="O67" s="35" t="s">
        <v>213</v>
      </c>
      <c r="P67" s="35">
        <f>PI()*(P65)^2</f>
        <v>177211.64007048515</v>
      </c>
      <c r="Q67" s="35" t="s">
        <v>213</v>
      </c>
    </row>
    <row r="69" spans="1:17" x14ac:dyDescent="0.15">
      <c r="J69" s="78"/>
    </row>
  </sheetData>
  <mergeCells count="4">
    <mergeCell ref="B1:E1"/>
    <mergeCell ref="F1:I1"/>
    <mergeCell ref="J1:M1"/>
    <mergeCell ref="N1:Q1"/>
  </mergeCells>
  <phoneticPr fontId="1" type="noConversion"/>
  <dataValidations count="1">
    <dataValidation type="list" allowBlank="1" showInputMessage="1" showErrorMessage="1" sqref="F34:H34 B26:E26 N34:P34 J26:M26">
      <formula1>"0,3"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zoomScale="85" zoomScaleNormal="85" workbookViewId="0">
      <pane xSplit="1" ySplit="2" topLeftCell="B57" activePane="bottomRight" state="frozen"/>
      <selection pane="topRight"/>
      <selection pane="bottomLeft"/>
      <selection pane="bottomRight" activeCell="H83" sqref="H83"/>
    </sheetView>
  </sheetViews>
  <sheetFormatPr defaultColWidth="9" defaultRowHeight="14.25" x14ac:dyDescent="0.15"/>
  <cols>
    <col min="1" max="1" width="60.125" style="105" customWidth="1"/>
    <col min="2" max="2" width="15.375" style="102" customWidth="1"/>
    <col min="3" max="3" width="11.875" style="102" customWidth="1"/>
    <col min="4" max="4" width="13.875" style="102" customWidth="1"/>
    <col min="5" max="5" width="15.25" style="102" customWidth="1"/>
    <col min="6" max="6" width="13.75" style="114" customWidth="1"/>
    <col min="7" max="7" width="15.25" style="114" customWidth="1"/>
    <col min="8" max="8" width="15.125" style="114" customWidth="1"/>
    <col min="9" max="9" width="15.75" style="114" customWidth="1"/>
    <col min="10" max="10" width="9" style="1"/>
    <col min="11" max="11" width="20.25" style="1" customWidth="1"/>
    <col min="12" max="16384" width="9" style="1"/>
  </cols>
  <sheetData>
    <row r="1" spans="1:9" x14ac:dyDescent="0.15">
      <c r="A1" s="90" t="s">
        <v>0</v>
      </c>
      <c r="B1" s="225" t="s">
        <v>341</v>
      </c>
      <c r="C1" s="225"/>
      <c r="D1" s="225"/>
      <c r="E1" s="225"/>
      <c r="F1" s="216" t="s">
        <v>340</v>
      </c>
      <c r="G1" s="216"/>
      <c r="H1" s="216"/>
      <c r="I1" s="216"/>
    </row>
    <row r="2" spans="1:9" ht="28.5" x14ac:dyDescent="0.15">
      <c r="A2" s="90"/>
      <c r="B2" s="129" t="s">
        <v>240</v>
      </c>
      <c r="C2" s="129" t="s">
        <v>260</v>
      </c>
      <c r="D2" s="129" t="s">
        <v>261</v>
      </c>
      <c r="E2" s="129" t="s">
        <v>262</v>
      </c>
      <c r="F2" s="129" t="s">
        <v>263</v>
      </c>
      <c r="G2" s="129" t="s">
        <v>264</v>
      </c>
      <c r="H2" s="129" t="s">
        <v>265</v>
      </c>
      <c r="I2" s="129" t="s">
        <v>266</v>
      </c>
    </row>
    <row r="3" spans="1:9" ht="15" customHeight="1" x14ac:dyDescent="0.15">
      <c r="A3" s="91" t="s">
        <v>1</v>
      </c>
      <c r="B3" s="92"/>
      <c r="C3" s="92"/>
      <c r="D3" s="92"/>
      <c r="E3" s="92"/>
      <c r="F3" s="92"/>
      <c r="G3" s="92"/>
      <c r="H3" s="92"/>
      <c r="I3" s="92"/>
    </row>
    <row r="4" spans="1:9" ht="15" x14ac:dyDescent="0.15">
      <c r="A4" s="118" t="s">
        <v>2</v>
      </c>
      <c r="B4" s="93">
        <v>4</v>
      </c>
      <c r="C4" s="93">
        <v>4</v>
      </c>
      <c r="D4" s="93">
        <v>4</v>
      </c>
      <c r="E4" s="93">
        <v>4</v>
      </c>
      <c r="F4" s="93">
        <v>4</v>
      </c>
      <c r="G4" s="93">
        <v>4</v>
      </c>
      <c r="H4" s="93">
        <v>4</v>
      </c>
      <c r="I4" s="93">
        <v>4</v>
      </c>
    </row>
    <row r="5" spans="1:9" ht="15" x14ac:dyDescent="0.15">
      <c r="A5" s="118" t="s">
        <v>3</v>
      </c>
      <c r="B5" s="93">
        <v>25</v>
      </c>
      <c r="C5" s="93">
        <v>25</v>
      </c>
      <c r="D5" s="93">
        <v>25</v>
      </c>
      <c r="E5" s="93">
        <v>25</v>
      </c>
      <c r="F5" s="93">
        <v>25</v>
      </c>
      <c r="G5" s="93">
        <v>25</v>
      </c>
      <c r="H5" s="93">
        <v>25</v>
      </c>
      <c r="I5" s="93">
        <v>25</v>
      </c>
    </row>
    <row r="6" spans="1:9" ht="15" x14ac:dyDescent="0.15">
      <c r="A6" s="118" t="s">
        <v>4</v>
      </c>
      <c r="B6" s="93">
        <v>1.5</v>
      </c>
      <c r="C6" s="93">
        <v>1.5</v>
      </c>
      <c r="D6" s="93">
        <v>1.5</v>
      </c>
      <c r="E6" s="93">
        <v>1.5</v>
      </c>
      <c r="F6" s="93">
        <v>1.5</v>
      </c>
      <c r="G6" s="93">
        <v>1.5</v>
      </c>
      <c r="H6" s="93">
        <v>1.5</v>
      </c>
      <c r="I6" s="93">
        <v>1.5</v>
      </c>
    </row>
    <row r="7" spans="1:9" ht="31.5" x14ac:dyDescent="0.15">
      <c r="A7" s="118" t="s">
        <v>244</v>
      </c>
      <c r="B7" s="94" t="s">
        <v>245</v>
      </c>
      <c r="C7" s="119">
        <v>0.95</v>
      </c>
      <c r="D7" s="94" t="s">
        <v>245</v>
      </c>
      <c r="E7" s="119">
        <v>0.95</v>
      </c>
      <c r="F7" s="119" t="s">
        <v>245</v>
      </c>
      <c r="G7" s="119">
        <v>0.95</v>
      </c>
      <c r="H7" s="119" t="s">
        <v>245</v>
      </c>
      <c r="I7" s="119">
        <v>0.95</v>
      </c>
    </row>
    <row r="8" spans="1:9" ht="31.5" x14ac:dyDescent="0.15">
      <c r="A8" s="118" t="s">
        <v>246</v>
      </c>
      <c r="B8" s="94">
        <v>0.9</v>
      </c>
      <c r="C8" s="119" t="s">
        <v>245</v>
      </c>
      <c r="D8" s="94">
        <v>0.9</v>
      </c>
      <c r="E8" s="119" t="s">
        <v>245</v>
      </c>
      <c r="F8" s="119">
        <v>0.9</v>
      </c>
      <c r="G8" s="119" t="s">
        <v>245</v>
      </c>
      <c r="H8" s="119">
        <v>0.9</v>
      </c>
      <c r="I8" s="119" t="s">
        <v>245</v>
      </c>
    </row>
    <row r="9" spans="1:9" ht="15" x14ac:dyDescent="0.15">
      <c r="A9" s="118" t="s">
        <v>5</v>
      </c>
      <c r="B9" s="84" t="s">
        <v>245</v>
      </c>
      <c r="C9" s="93">
        <f>64/(0.5*0.001)</f>
        <v>128000</v>
      </c>
      <c r="D9" s="84" t="s">
        <v>245</v>
      </c>
      <c r="E9" s="93">
        <f>64/(0.5*0.001)</f>
        <v>128000</v>
      </c>
      <c r="F9" s="93" t="s">
        <v>245</v>
      </c>
      <c r="G9" s="93">
        <f>2/(0.5*0.001)</f>
        <v>4000</v>
      </c>
      <c r="H9" s="93"/>
      <c r="I9" s="93">
        <f>2/(0.5*0.001)</f>
        <v>4000</v>
      </c>
    </row>
    <row r="10" spans="1:9" ht="15" x14ac:dyDescent="0.15">
      <c r="A10" s="118" t="s">
        <v>6</v>
      </c>
      <c r="B10" s="84">
        <f>2248233*3</f>
        <v>6744699</v>
      </c>
      <c r="C10" s="93" t="s">
        <v>245</v>
      </c>
      <c r="D10" s="84">
        <f>2248233*3</f>
        <v>6744699</v>
      </c>
      <c r="E10" s="93" t="s">
        <v>245</v>
      </c>
      <c r="F10" s="93">
        <f>74880*3</f>
        <v>224640</v>
      </c>
      <c r="G10" s="93" t="s">
        <v>245</v>
      </c>
      <c r="H10" s="93">
        <f>74880*3</f>
        <v>224640</v>
      </c>
      <c r="I10" s="93" t="s">
        <v>245</v>
      </c>
    </row>
    <row r="11" spans="1:9" ht="15" x14ac:dyDescent="0.15">
      <c r="A11" s="118" t="s">
        <v>7</v>
      </c>
      <c r="B11" s="94" t="s">
        <v>245</v>
      </c>
      <c r="C11" s="119">
        <v>0.01</v>
      </c>
      <c r="D11" s="94" t="s">
        <v>245</v>
      </c>
      <c r="E11" s="119">
        <v>0.01</v>
      </c>
      <c r="F11" s="119" t="s">
        <v>245</v>
      </c>
      <c r="G11" s="119">
        <v>0.01</v>
      </c>
      <c r="H11" s="119" t="s">
        <v>245</v>
      </c>
      <c r="I11" s="119">
        <v>0.01</v>
      </c>
    </row>
    <row r="12" spans="1:9" ht="15" x14ac:dyDescent="0.15">
      <c r="A12" s="118" t="s">
        <v>8</v>
      </c>
      <c r="B12" s="94">
        <v>0.1</v>
      </c>
      <c r="C12" s="119" t="s">
        <v>245</v>
      </c>
      <c r="D12" s="94">
        <v>0.1</v>
      </c>
      <c r="E12" s="119" t="s">
        <v>245</v>
      </c>
      <c r="F12" s="119">
        <v>0.1</v>
      </c>
      <c r="G12" s="119" t="s">
        <v>245</v>
      </c>
      <c r="H12" s="119">
        <v>0.1</v>
      </c>
      <c r="I12" s="119" t="s">
        <v>245</v>
      </c>
    </row>
    <row r="13" spans="1:9" ht="16.5" x14ac:dyDescent="0.15">
      <c r="A13" s="118" t="s">
        <v>247</v>
      </c>
      <c r="B13" s="120">
        <f>B10/(B42*(5+2*11/14)/10)</f>
        <v>0.55902355072463772</v>
      </c>
      <c r="C13" s="120" t="s">
        <v>245</v>
      </c>
      <c r="D13" s="120">
        <f>D10/(D42*(5+2*11/14)/10)</f>
        <v>0.55902355072463772</v>
      </c>
      <c r="E13" s="120" t="s">
        <v>245</v>
      </c>
      <c r="F13" s="120">
        <f>F10/(F42*(3+2*3/14)/10)</f>
        <v>0.45499999999999996</v>
      </c>
      <c r="G13" s="120" t="s">
        <v>245</v>
      </c>
      <c r="H13" s="120">
        <f>H10/(H42*(3+2*3/14)/10)</f>
        <v>0.45499999999999996</v>
      </c>
      <c r="I13" s="120" t="s">
        <v>245</v>
      </c>
    </row>
    <row r="14" spans="1:9" ht="16.5" x14ac:dyDescent="0.15">
      <c r="A14" s="118" t="s">
        <v>248</v>
      </c>
      <c r="B14" s="84" t="s">
        <v>249</v>
      </c>
      <c r="C14" s="84" t="s">
        <v>249</v>
      </c>
      <c r="D14" s="84" t="s">
        <v>267</v>
      </c>
      <c r="E14" s="84" t="s">
        <v>267</v>
      </c>
      <c r="F14" s="84" t="s">
        <v>249</v>
      </c>
      <c r="G14" s="84" t="s">
        <v>249</v>
      </c>
      <c r="H14" s="84" t="s">
        <v>267</v>
      </c>
      <c r="I14" s="84" t="s">
        <v>267</v>
      </c>
    </row>
    <row r="15" spans="1:9" ht="15" x14ac:dyDescent="0.15">
      <c r="A15" s="118" t="s">
        <v>250</v>
      </c>
      <c r="B15" s="84">
        <v>30</v>
      </c>
      <c r="C15" s="93">
        <v>30</v>
      </c>
      <c r="D15" s="84">
        <v>3</v>
      </c>
      <c r="E15" s="93">
        <v>3</v>
      </c>
      <c r="F15" s="93">
        <v>30</v>
      </c>
      <c r="G15" s="93">
        <v>30</v>
      </c>
      <c r="H15" s="93">
        <v>3</v>
      </c>
      <c r="I15" s="93">
        <v>3</v>
      </c>
    </row>
    <row r="16" spans="1:9" ht="15" x14ac:dyDescent="0.15">
      <c r="A16" s="118" t="s">
        <v>9</v>
      </c>
      <c r="B16" s="84">
        <v>3</v>
      </c>
      <c r="C16" s="93">
        <v>3</v>
      </c>
      <c r="D16" s="84">
        <v>3</v>
      </c>
      <c r="E16" s="93">
        <v>3</v>
      </c>
      <c r="F16" s="93">
        <v>3</v>
      </c>
      <c r="G16" s="93">
        <v>3</v>
      </c>
      <c r="H16" s="93">
        <v>3</v>
      </c>
      <c r="I16" s="93">
        <v>3</v>
      </c>
    </row>
    <row r="17" spans="1:9" ht="15" customHeight="1" x14ac:dyDescent="0.15">
      <c r="A17" s="91" t="s">
        <v>10</v>
      </c>
      <c r="B17" s="92"/>
      <c r="C17" s="92"/>
      <c r="D17" s="92"/>
      <c r="E17" s="92"/>
      <c r="F17" s="92"/>
      <c r="G17" s="92"/>
      <c r="H17" s="92"/>
      <c r="I17" s="92"/>
    </row>
    <row r="18" spans="1:9" ht="30" x14ac:dyDescent="0.15">
      <c r="A18" s="118" t="s">
        <v>251</v>
      </c>
      <c r="B18" s="84">
        <v>192</v>
      </c>
      <c r="C18" s="93">
        <v>192</v>
      </c>
      <c r="D18" s="84">
        <v>192</v>
      </c>
      <c r="E18" s="93">
        <v>192</v>
      </c>
      <c r="F18" s="93">
        <v>2</v>
      </c>
      <c r="G18" s="93">
        <v>2</v>
      </c>
      <c r="H18" s="93">
        <v>2</v>
      </c>
      <c r="I18" s="93">
        <v>2</v>
      </c>
    </row>
    <row r="19" spans="1:9" ht="15" x14ac:dyDescent="0.15">
      <c r="A19" s="118" t="s">
        <v>268</v>
      </c>
      <c r="B19" s="84">
        <v>2</v>
      </c>
      <c r="C19" s="93">
        <v>2</v>
      </c>
      <c r="D19" s="84">
        <v>2</v>
      </c>
      <c r="E19" s="93">
        <v>2</v>
      </c>
      <c r="F19" s="84">
        <v>2</v>
      </c>
      <c r="G19" s="93">
        <v>2</v>
      </c>
      <c r="H19" s="84">
        <v>2</v>
      </c>
      <c r="I19" s="93">
        <v>2</v>
      </c>
    </row>
    <row r="20" spans="1:9" ht="15" x14ac:dyDescent="0.15">
      <c r="A20" s="118" t="s">
        <v>11</v>
      </c>
      <c r="B20" s="84">
        <v>21.2</v>
      </c>
      <c r="C20" s="93">
        <v>21.2</v>
      </c>
      <c r="D20" s="84">
        <v>21.2</v>
      </c>
      <c r="E20" s="93">
        <v>21.2</v>
      </c>
      <c r="F20" s="93">
        <v>20</v>
      </c>
      <c r="G20" s="93">
        <v>20</v>
      </c>
      <c r="H20" s="93">
        <v>20</v>
      </c>
      <c r="I20" s="93">
        <v>20</v>
      </c>
    </row>
    <row r="21" spans="1:9" ht="30" x14ac:dyDescent="0.15">
      <c r="A21" s="130" t="s">
        <v>253</v>
      </c>
      <c r="B21" s="125">
        <f t="shared" ref="B21:I21" si="0">B20+10*LOG10(B18)</f>
        <v>44.033012287035497</v>
      </c>
      <c r="C21" s="125">
        <f t="shared" si="0"/>
        <v>44.033012287035497</v>
      </c>
      <c r="D21" s="125">
        <f t="shared" si="0"/>
        <v>44.033012287035497</v>
      </c>
      <c r="E21" s="125">
        <f t="shared" si="0"/>
        <v>44.033012287035497</v>
      </c>
      <c r="F21" s="125">
        <f t="shared" si="0"/>
        <v>23.010299956639813</v>
      </c>
      <c r="G21" s="125">
        <f t="shared" si="0"/>
        <v>23.010299956639813</v>
      </c>
      <c r="H21" s="125">
        <f t="shared" si="0"/>
        <v>23.010299956639813</v>
      </c>
      <c r="I21" s="125">
        <f t="shared" si="0"/>
        <v>23.010299956639813</v>
      </c>
    </row>
    <row r="22" spans="1:9" ht="15" x14ac:dyDescent="0.15">
      <c r="A22" s="118" t="s">
        <v>12</v>
      </c>
      <c r="B22" s="84">
        <v>8</v>
      </c>
      <c r="C22" s="93">
        <v>8</v>
      </c>
      <c r="D22" s="84">
        <v>8</v>
      </c>
      <c r="E22" s="93">
        <v>8</v>
      </c>
      <c r="F22" s="93">
        <v>0</v>
      </c>
      <c r="G22" s="93">
        <v>0</v>
      </c>
      <c r="H22" s="93">
        <v>0</v>
      </c>
      <c r="I22" s="93">
        <v>0</v>
      </c>
    </row>
    <row r="23" spans="1:9" ht="45" x14ac:dyDescent="0.15">
      <c r="A23" s="131" t="s">
        <v>13</v>
      </c>
      <c r="B23" s="125">
        <f t="shared" ref="B23:I23" si="1">IF(B18&gt;=2,10*LOG10(B18/2),0)</f>
        <v>19.822712330395685</v>
      </c>
      <c r="C23" s="125">
        <f t="shared" si="1"/>
        <v>19.822712330395685</v>
      </c>
      <c r="D23" s="125">
        <f t="shared" si="1"/>
        <v>19.822712330395685</v>
      </c>
      <c r="E23" s="125">
        <f t="shared" si="1"/>
        <v>19.822712330395685</v>
      </c>
      <c r="F23" s="125">
        <f t="shared" si="1"/>
        <v>0</v>
      </c>
      <c r="G23" s="125">
        <f t="shared" si="1"/>
        <v>0</v>
      </c>
      <c r="H23" s="125">
        <f t="shared" si="1"/>
        <v>0</v>
      </c>
      <c r="I23" s="125">
        <f t="shared" si="1"/>
        <v>0</v>
      </c>
    </row>
    <row r="24" spans="1:9" ht="15" x14ac:dyDescent="0.15">
      <c r="A24" s="118" t="s">
        <v>14</v>
      </c>
      <c r="B24" s="84">
        <v>0</v>
      </c>
      <c r="C24" s="93">
        <v>0</v>
      </c>
      <c r="D24" s="84">
        <v>0</v>
      </c>
      <c r="E24" s="93">
        <v>0</v>
      </c>
      <c r="F24" s="93">
        <v>0</v>
      </c>
      <c r="G24" s="93">
        <v>0</v>
      </c>
      <c r="H24" s="93">
        <v>0</v>
      </c>
      <c r="I24" s="93">
        <v>0</v>
      </c>
    </row>
    <row r="25" spans="1:9" ht="15.75" customHeight="1" x14ac:dyDescent="0.15">
      <c r="A25" s="118" t="s">
        <v>15</v>
      </c>
      <c r="B25" s="84">
        <v>0</v>
      </c>
      <c r="C25" s="93">
        <v>0</v>
      </c>
      <c r="D25" s="84">
        <v>0</v>
      </c>
      <c r="E25" s="93">
        <v>0</v>
      </c>
      <c r="F25" s="93">
        <v>0</v>
      </c>
      <c r="G25" s="93">
        <v>0</v>
      </c>
      <c r="H25" s="93">
        <v>0</v>
      </c>
      <c r="I25" s="93">
        <v>0</v>
      </c>
    </row>
    <row r="26" spans="1:9" ht="30" x14ac:dyDescent="0.15">
      <c r="A26" s="118" t="s">
        <v>16</v>
      </c>
      <c r="B26" s="84">
        <v>3</v>
      </c>
      <c r="C26" s="93">
        <v>3</v>
      </c>
      <c r="D26" s="84">
        <v>3</v>
      </c>
      <c r="E26" s="93">
        <v>3</v>
      </c>
      <c r="F26" s="93">
        <v>1</v>
      </c>
      <c r="G26" s="93">
        <v>1</v>
      </c>
      <c r="H26" s="93">
        <v>1</v>
      </c>
      <c r="I26" s="93">
        <v>1</v>
      </c>
    </row>
    <row r="27" spans="1:9" ht="15" x14ac:dyDescent="0.15">
      <c r="A27" s="95" t="s">
        <v>17</v>
      </c>
      <c r="B27" s="96">
        <f t="shared" ref="B27:I27" si="2">B21+B22+B23+B24-B26</f>
        <v>68.855724617431179</v>
      </c>
      <c r="C27" s="96">
        <f t="shared" si="2"/>
        <v>68.855724617431179</v>
      </c>
      <c r="D27" s="96">
        <f t="shared" si="2"/>
        <v>68.855724617431179</v>
      </c>
      <c r="E27" s="96">
        <f t="shared" si="2"/>
        <v>68.855724617431179</v>
      </c>
      <c r="F27" s="96">
        <f t="shared" si="2"/>
        <v>22.010299956639813</v>
      </c>
      <c r="G27" s="96">
        <f t="shared" si="2"/>
        <v>22.010299956639813</v>
      </c>
      <c r="H27" s="96">
        <f t="shared" si="2"/>
        <v>22.010299956639813</v>
      </c>
      <c r="I27" s="96">
        <f t="shared" si="2"/>
        <v>22.010299956639813</v>
      </c>
    </row>
    <row r="28" spans="1:9" ht="15" x14ac:dyDescent="0.15">
      <c r="A28" s="95" t="s">
        <v>18</v>
      </c>
      <c r="B28" s="96">
        <f t="shared" ref="B28:I28" si="3">B21+B22+B23-B25-B26</f>
        <v>68.855724617431179</v>
      </c>
      <c r="C28" s="96">
        <f t="shared" si="3"/>
        <v>68.855724617431179</v>
      </c>
      <c r="D28" s="96">
        <f t="shared" si="3"/>
        <v>68.855724617431179</v>
      </c>
      <c r="E28" s="96">
        <f t="shared" si="3"/>
        <v>68.855724617431179</v>
      </c>
      <c r="F28" s="96">
        <f t="shared" si="3"/>
        <v>22.010299956639813</v>
      </c>
      <c r="G28" s="96">
        <f t="shared" si="3"/>
        <v>22.010299956639813</v>
      </c>
      <c r="H28" s="96">
        <f t="shared" si="3"/>
        <v>22.010299956639813</v>
      </c>
      <c r="I28" s="96">
        <f t="shared" si="3"/>
        <v>22.010299956639813</v>
      </c>
    </row>
    <row r="29" spans="1:9" x14ac:dyDescent="0.15">
      <c r="A29" s="91" t="s">
        <v>19</v>
      </c>
      <c r="B29" s="92"/>
      <c r="C29" s="92"/>
      <c r="D29" s="92"/>
      <c r="E29" s="92"/>
      <c r="F29" s="92"/>
      <c r="G29" s="92"/>
      <c r="H29" s="92"/>
      <c r="I29" s="92"/>
    </row>
    <row r="30" spans="1:9" ht="30" x14ac:dyDescent="0.15">
      <c r="A30" s="118" t="s">
        <v>254</v>
      </c>
      <c r="B30" s="84">
        <v>4</v>
      </c>
      <c r="C30" s="93">
        <v>4</v>
      </c>
      <c r="D30" s="84">
        <v>4</v>
      </c>
      <c r="E30" s="93">
        <v>4</v>
      </c>
      <c r="F30" s="93">
        <v>192</v>
      </c>
      <c r="G30" s="93">
        <v>192</v>
      </c>
      <c r="H30" s="93">
        <v>192</v>
      </c>
      <c r="I30" s="93">
        <v>192</v>
      </c>
    </row>
    <row r="31" spans="1:9" ht="15" x14ac:dyDescent="0.15">
      <c r="A31" s="118" t="s">
        <v>255</v>
      </c>
      <c r="B31" s="84">
        <v>2</v>
      </c>
      <c r="C31" s="93">
        <v>2</v>
      </c>
      <c r="D31" s="84">
        <v>2</v>
      </c>
      <c r="E31" s="93">
        <v>2</v>
      </c>
      <c r="F31" s="93">
        <v>2</v>
      </c>
      <c r="G31" s="93">
        <v>2</v>
      </c>
      <c r="H31" s="93">
        <v>2</v>
      </c>
      <c r="I31" s="93">
        <v>2</v>
      </c>
    </row>
    <row r="32" spans="1:9" ht="15" x14ac:dyDescent="0.15">
      <c r="A32" s="118" t="s">
        <v>20</v>
      </c>
      <c r="B32" s="84">
        <v>0</v>
      </c>
      <c r="C32" s="93">
        <v>0</v>
      </c>
      <c r="D32" s="84">
        <v>0</v>
      </c>
      <c r="E32" s="93">
        <v>0</v>
      </c>
      <c r="F32" s="93">
        <v>8</v>
      </c>
      <c r="G32" s="93">
        <v>8</v>
      </c>
      <c r="H32" s="93">
        <v>8</v>
      </c>
      <c r="I32" s="93">
        <v>8</v>
      </c>
    </row>
    <row r="33" spans="1:9" ht="28.5" x14ac:dyDescent="0.15">
      <c r="A33" s="124" t="s">
        <v>256</v>
      </c>
      <c r="B33" s="125">
        <f t="shared" ref="B33:I33" si="4">IF(B30&gt;=2,10*LOG10(B30/2),0)</f>
        <v>3.0102999566398121</v>
      </c>
      <c r="C33" s="125">
        <f t="shared" si="4"/>
        <v>3.0102999566398121</v>
      </c>
      <c r="D33" s="125">
        <f t="shared" si="4"/>
        <v>3.0102999566398121</v>
      </c>
      <c r="E33" s="125">
        <f t="shared" si="4"/>
        <v>3.0102999566398121</v>
      </c>
      <c r="F33" s="125">
        <f t="shared" si="4"/>
        <v>19.822712330395685</v>
      </c>
      <c r="G33" s="125">
        <f t="shared" si="4"/>
        <v>19.822712330395685</v>
      </c>
      <c r="H33" s="125">
        <f t="shared" si="4"/>
        <v>19.822712330395685</v>
      </c>
      <c r="I33" s="125">
        <f t="shared" si="4"/>
        <v>19.822712330395685</v>
      </c>
    </row>
    <row r="34" spans="1:9" ht="30" x14ac:dyDescent="0.15">
      <c r="A34" s="118" t="s">
        <v>21</v>
      </c>
      <c r="B34" s="84">
        <v>1</v>
      </c>
      <c r="C34" s="93">
        <v>1</v>
      </c>
      <c r="D34" s="84">
        <v>1</v>
      </c>
      <c r="E34" s="93">
        <v>1</v>
      </c>
      <c r="F34" s="93">
        <v>3</v>
      </c>
      <c r="G34" s="93">
        <v>3</v>
      </c>
      <c r="H34" s="93">
        <v>3</v>
      </c>
      <c r="I34" s="93">
        <v>3</v>
      </c>
    </row>
    <row r="35" spans="1:9" ht="15" x14ac:dyDescent="0.15">
      <c r="A35" s="118" t="s">
        <v>22</v>
      </c>
      <c r="B35" s="93">
        <v>7</v>
      </c>
      <c r="C35" s="93">
        <v>7</v>
      </c>
      <c r="D35" s="93">
        <v>7</v>
      </c>
      <c r="E35" s="93">
        <v>7</v>
      </c>
      <c r="F35" s="93">
        <v>5</v>
      </c>
      <c r="G35" s="93">
        <v>5</v>
      </c>
      <c r="H35" s="93">
        <v>5</v>
      </c>
      <c r="I35" s="93">
        <v>5</v>
      </c>
    </row>
    <row r="36" spans="1:9" ht="15" x14ac:dyDescent="0.15">
      <c r="A36" s="118" t="s">
        <v>23</v>
      </c>
      <c r="B36" s="93">
        <v>-174</v>
      </c>
      <c r="C36" s="93">
        <v>-174</v>
      </c>
      <c r="D36" s="93">
        <v>-174</v>
      </c>
      <c r="E36" s="93">
        <v>-174</v>
      </c>
      <c r="F36" s="84">
        <v>-174</v>
      </c>
      <c r="G36" s="93">
        <v>-174</v>
      </c>
      <c r="H36" s="84">
        <v>-174</v>
      </c>
      <c r="I36" s="93">
        <v>-174</v>
      </c>
    </row>
    <row r="37" spans="1:9" ht="30" x14ac:dyDescent="0.15">
      <c r="A37" s="118" t="s">
        <v>24</v>
      </c>
      <c r="B37" s="84" t="s">
        <v>245</v>
      </c>
      <c r="C37" s="93">
        <v>-169.3</v>
      </c>
      <c r="D37" s="84" t="s">
        <v>245</v>
      </c>
      <c r="E37" s="93">
        <v>-169.3</v>
      </c>
      <c r="F37" s="93" t="s">
        <v>245</v>
      </c>
      <c r="G37" s="93">
        <v>-161.69999999999999</v>
      </c>
      <c r="H37" s="93" t="s">
        <v>245</v>
      </c>
      <c r="I37" s="93">
        <v>-161.69999999999999</v>
      </c>
    </row>
    <row r="38" spans="1:9" ht="15" x14ac:dyDescent="0.15">
      <c r="A38" s="118" t="s">
        <v>25</v>
      </c>
      <c r="B38" s="84">
        <v>-169.3</v>
      </c>
      <c r="C38" s="93" t="s">
        <v>245</v>
      </c>
      <c r="D38" s="84">
        <v>-169.3</v>
      </c>
      <c r="E38" s="93" t="s">
        <v>245</v>
      </c>
      <c r="F38" s="93">
        <v>-165.7</v>
      </c>
      <c r="G38" s="93" t="s">
        <v>245</v>
      </c>
      <c r="H38" s="93">
        <v>-165.7</v>
      </c>
      <c r="I38" s="93" t="s">
        <v>245</v>
      </c>
    </row>
    <row r="39" spans="1:9" ht="45" x14ac:dyDescent="0.15">
      <c r="A39" s="97" t="s">
        <v>45</v>
      </c>
      <c r="B39" s="96" t="s">
        <v>245</v>
      </c>
      <c r="C39" s="96">
        <f t="shared" ref="C39:G39" si="5">10*LOG10(10^((C35+C36)/10)+10^(C37/10))</f>
        <v>-164.98918835931039</v>
      </c>
      <c r="D39" s="96" t="s">
        <v>245</v>
      </c>
      <c r="E39" s="96">
        <f t="shared" si="5"/>
        <v>-164.98918835931039</v>
      </c>
      <c r="F39" s="96" t="s">
        <v>245</v>
      </c>
      <c r="G39" s="96">
        <f t="shared" si="5"/>
        <v>-160.9583889004532</v>
      </c>
      <c r="H39" s="96" t="s">
        <v>245</v>
      </c>
      <c r="I39" s="96">
        <f>10*LOG10(10^((I35+I36)/10)+10^(I37/10))</f>
        <v>-160.9583889004532</v>
      </c>
    </row>
    <row r="40" spans="1:9" ht="45" x14ac:dyDescent="0.15">
      <c r="A40" s="97" t="s">
        <v>46</v>
      </c>
      <c r="B40" s="96">
        <f t="shared" ref="B40:F40" si="6">10*LOG10(10^((B35+B36)/10)+10^(B38/10))</f>
        <v>-164.98918835931039</v>
      </c>
      <c r="C40" s="96" t="s">
        <v>245</v>
      </c>
      <c r="D40" s="96">
        <f t="shared" si="6"/>
        <v>-164.98918835931039</v>
      </c>
      <c r="E40" s="96" t="s">
        <v>245</v>
      </c>
      <c r="F40" s="96">
        <f t="shared" si="6"/>
        <v>-164.03352307536667</v>
      </c>
      <c r="G40" s="96" t="s">
        <v>245</v>
      </c>
      <c r="H40" s="96">
        <f>10*LOG10(10^((H35+H36)/10)+10^(H38/10))</f>
        <v>-164.03352307536667</v>
      </c>
      <c r="I40" s="96" t="s">
        <v>245</v>
      </c>
    </row>
    <row r="41" spans="1:9" ht="30" x14ac:dyDescent="0.15">
      <c r="A41" s="118" t="s">
        <v>26</v>
      </c>
      <c r="B41" s="84" t="s">
        <v>245</v>
      </c>
      <c r="C41" s="84">
        <f>[3]MaxN_RB!$F$7*12*30*1000</f>
        <v>18360000</v>
      </c>
      <c r="D41" s="84" t="s">
        <v>245</v>
      </c>
      <c r="E41" s="84">
        <f>[3]MaxN_RB!$F$7*12*30*1000</f>
        <v>18360000</v>
      </c>
      <c r="F41" s="93" t="s">
        <v>245</v>
      </c>
      <c r="G41" s="93">
        <f>1*12*30*1000</f>
        <v>360000</v>
      </c>
      <c r="H41" s="93" t="s">
        <v>245</v>
      </c>
      <c r="I41" s="93">
        <f>1*12*30*1000</f>
        <v>360000</v>
      </c>
    </row>
    <row r="42" spans="1:9" ht="30" x14ac:dyDescent="0.15">
      <c r="A42" s="118" t="s">
        <v>27</v>
      </c>
      <c r="B42" s="84">
        <f>[3]MaxN_RB!$F$7*12*30*1000</f>
        <v>18360000</v>
      </c>
      <c r="C42" s="93" t="s">
        <v>245</v>
      </c>
      <c r="D42" s="84">
        <f>[3]MaxN_RB!$F$7*12*30*1000</f>
        <v>18360000</v>
      </c>
      <c r="E42" s="93" t="s">
        <v>245</v>
      </c>
      <c r="F42" s="93">
        <f>4*12*30*1000</f>
        <v>1440000</v>
      </c>
      <c r="G42" s="93" t="s">
        <v>245</v>
      </c>
      <c r="H42" s="93">
        <f>4*12*30*1000</f>
        <v>1440000</v>
      </c>
      <c r="I42" s="93" t="s">
        <v>245</v>
      </c>
    </row>
    <row r="43" spans="1:9" ht="15" x14ac:dyDescent="0.15">
      <c r="A43" s="95" t="s">
        <v>28</v>
      </c>
      <c r="B43" s="96" t="s">
        <v>245</v>
      </c>
      <c r="C43" s="96">
        <f t="shared" ref="C43:G43" si="7">C39+10*LOG10(C41)</f>
        <v>-92.350461590658156</v>
      </c>
      <c r="D43" s="96" t="s">
        <v>245</v>
      </c>
      <c r="E43" s="96">
        <f t="shared" si="7"/>
        <v>-92.350461590658156</v>
      </c>
      <c r="F43" s="96" t="s">
        <v>245</v>
      </c>
      <c r="G43" s="96">
        <f t="shared" si="7"/>
        <v>-105.39536389278032</v>
      </c>
      <c r="H43" s="96" t="s">
        <v>245</v>
      </c>
      <c r="I43" s="96">
        <f>I39+10*LOG10(I41)</f>
        <v>-105.39536389278032</v>
      </c>
    </row>
    <row r="44" spans="1:9" ht="15" x14ac:dyDescent="0.15">
      <c r="A44" s="95" t="s">
        <v>29</v>
      </c>
      <c r="B44" s="96">
        <f t="shared" ref="B44:F44" si="8">B40+10*LOG10(B42)</f>
        <v>-92.350461590658156</v>
      </c>
      <c r="C44" s="96" t="s">
        <v>245</v>
      </c>
      <c r="D44" s="96">
        <f t="shared" si="8"/>
        <v>-92.350461590658156</v>
      </c>
      <c r="E44" s="96" t="s">
        <v>245</v>
      </c>
      <c r="F44" s="96">
        <f t="shared" si="8"/>
        <v>-102.44989815441417</v>
      </c>
      <c r="G44" s="96" t="s">
        <v>245</v>
      </c>
      <c r="H44" s="96">
        <f>H40+10*LOG10(H42)</f>
        <v>-102.44989815441417</v>
      </c>
      <c r="I44" s="96" t="s">
        <v>245</v>
      </c>
    </row>
    <row r="45" spans="1:9" s="100" customFormat="1" ht="15" x14ac:dyDescent="0.15">
      <c r="A45" s="98" t="s">
        <v>30</v>
      </c>
      <c r="B45" s="84" t="s">
        <v>245</v>
      </c>
      <c r="C45" s="84">
        <f>(-7.2-6.1)/2</f>
        <v>-6.65</v>
      </c>
      <c r="D45" s="84" t="s">
        <v>245</v>
      </c>
      <c r="E45" s="84">
        <f>(-7.4-6.19)/2</f>
        <v>-6.7949999999999999</v>
      </c>
      <c r="F45" s="84" t="s">
        <v>245</v>
      </c>
      <c r="G45" s="84">
        <v>-7.3</v>
      </c>
      <c r="H45" s="84" t="s">
        <v>245</v>
      </c>
      <c r="I45" s="84">
        <v>-7.6</v>
      </c>
    </row>
    <row r="46" spans="1:9" s="100" customFormat="1" ht="15" x14ac:dyDescent="0.15">
      <c r="A46" s="98" t="s">
        <v>31</v>
      </c>
      <c r="B46" s="84">
        <f>(-0.3+0.94)/2</f>
        <v>0.31999999999999995</v>
      </c>
      <c r="C46" s="84" t="s">
        <v>245</v>
      </c>
      <c r="D46" s="99">
        <f>-1.73</f>
        <v>-1.73</v>
      </c>
      <c r="E46" s="84" t="s">
        <v>245</v>
      </c>
      <c r="F46" s="84">
        <f>(2.1-0.25)/2</f>
        <v>0.92500000000000004</v>
      </c>
      <c r="G46" s="84" t="s">
        <v>245</v>
      </c>
      <c r="H46" s="84">
        <f>(0.1+0.06)/2</f>
        <v>0.08</v>
      </c>
      <c r="I46" s="84" t="s">
        <v>245</v>
      </c>
    </row>
    <row r="47" spans="1:9" ht="15" x14ac:dyDescent="0.15">
      <c r="A47" s="118" t="s">
        <v>32</v>
      </c>
      <c r="B47" s="84">
        <v>2</v>
      </c>
      <c r="C47" s="93">
        <v>2</v>
      </c>
      <c r="D47" s="84">
        <v>2</v>
      </c>
      <c r="E47" s="93">
        <v>2</v>
      </c>
      <c r="F47" s="93">
        <v>2</v>
      </c>
      <c r="G47" s="93">
        <v>2</v>
      </c>
      <c r="H47" s="93">
        <v>2</v>
      </c>
      <c r="I47" s="93">
        <v>2</v>
      </c>
    </row>
    <row r="48" spans="1:9" ht="15" x14ac:dyDescent="0.15">
      <c r="A48" s="118" t="s">
        <v>33</v>
      </c>
      <c r="B48" s="84" t="s">
        <v>245</v>
      </c>
      <c r="C48" s="93">
        <v>0</v>
      </c>
      <c r="D48" s="84" t="s">
        <v>245</v>
      </c>
      <c r="E48" s="93">
        <v>0</v>
      </c>
      <c r="F48" s="93" t="s">
        <v>245</v>
      </c>
      <c r="G48" s="93">
        <v>0</v>
      </c>
      <c r="H48" s="93" t="s">
        <v>245</v>
      </c>
      <c r="I48" s="93">
        <v>0</v>
      </c>
    </row>
    <row r="49" spans="1:11" ht="15" x14ac:dyDescent="0.15">
      <c r="A49" s="118" t="s">
        <v>34</v>
      </c>
      <c r="B49" s="84">
        <v>0.5</v>
      </c>
      <c r="C49" s="93" t="s">
        <v>245</v>
      </c>
      <c r="D49" s="84">
        <v>0.5</v>
      </c>
      <c r="E49" s="93" t="s">
        <v>245</v>
      </c>
      <c r="F49" s="93">
        <v>0.5</v>
      </c>
      <c r="G49" s="93" t="s">
        <v>245</v>
      </c>
      <c r="H49" s="93">
        <v>0.5</v>
      </c>
      <c r="I49" s="93" t="s">
        <v>245</v>
      </c>
    </row>
    <row r="50" spans="1:11" ht="30" x14ac:dyDescent="0.15">
      <c r="A50" s="97" t="s">
        <v>47</v>
      </c>
      <c r="B50" s="96" t="s">
        <v>245</v>
      </c>
      <c r="C50" s="96">
        <f t="shared" ref="C50:G50" si="9">C43+C45+C47-C48</f>
        <v>-97.000461590658162</v>
      </c>
      <c r="D50" s="96" t="s">
        <v>245</v>
      </c>
      <c r="E50" s="96">
        <f t="shared" si="9"/>
        <v>-97.145461590658158</v>
      </c>
      <c r="F50" s="96" t="s">
        <v>245</v>
      </c>
      <c r="G50" s="96">
        <f t="shared" si="9"/>
        <v>-110.69536389278032</v>
      </c>
      <c r="H50" s="96" t="s">
        <v>245</v>
      </c>
      <c r="I50" s="96">
        <f>I43+I45+I47-I48</f>
        <v>-110.99536389278032</v>
      </c>
    </row>
    <row r="51" spans="1:11" ht="30" x14ac:dyDescent="0.15">
      <c r="A51" s="97" t="s">
        <v>48</v>
      </c>
      <c r="B51" s="96">
        <f t="shared" ref="B51:F51" si="10">B44+B46+B47-B49</f>
        <v>-90.530461590658163</v>
      </c>
      <c r="C51" s="96" t="s">
        <v>245</v>
      </c>
      <c r="D51" s="96">
        <f t="shared" si="10"/>
        <v>-92.58046159065816</v>
      </c>
      <c r="E51" s="96" t="s">
        <v>245</v>
      </c>
      <c r="F51" s="96">
        <f t="shared" si="10"/>
        <v>-100.02489815441417</v>
      </c>
      <c r="G51" s="96" t="s">
        <v>245</v>
      </c>
      <c r="H51" s="96">
        <f>H44+H46+H47-H49</f>
        <v>-100.86989815441417</v>
      </c>
      <c r="I51" s="96" t="s">
        <v>245</v>
      </c>
    </row>
    <row r="52" spans="1:11" ht="30" x14ac:dyDescent="0.15">
      <c r="A52" s="97" t="s">
        <v>101</v>
      </c>
      <c r="B52" s="96" t="s">
        <v>245</v>
      </c>
      <c r="C52" s="96">
        <f t="shared" ref="C52:G52" si="11">C27+C32+C33-C50</f>
        <v>168.86648616472917</v>
      </c>
      <c r="D52" s="96" t="s">
        <v>245</v>
      </c>
      <c r="E52" s="96">
        <f t="shared" si="11"/>
        <v>169.01148616472915</v>
      </c>
      <c r="F52" s="96" t="s">
        <v>245</v>
      </c>
      <c r="G52" s="96">
        <f t="shared" si="11"/>
        <v>160.52837617981584</v>
      </c>
      <c r="H52" s="96" t="s">
        <v>245</v>
      </c>
      <c r="I52" s="96">
        <f>I27+I32+I33-I50</f>
        <v>160.82837617981582</v>
      </c>
    </row>
    <row r="53" spans="1:11" ht="33.75" customHeight="1" x14ac:dyDescent="0.15">
      <c r="A53" s="97" t="s">
        <v>102</v>
      </c>
      <c r="B53" s="96">
        <f t="shared" ref="B53:F53" si="12">B28+B32+B33-B51</f>
        <v>162.39648616472914</v>
      </c>
      <c r="C53" s="96" t="s">
        <v>245</v>
      </c>
      <c r="D53" s="96">
        <f t="shared" si="12"/>
        <v>164.44648616472915</v>
      </c>
      <c r="E53" s="96" t="s">
        <v>245</v>
      </c>
      <c r="F53" s="96">
        <f t="shared" si="12"/>
        <v>149.85791044144969</v>
      </c>
      <c r="G53" s="96" t="s">
        <v>245</v>
      </c>
      <c r="H53" s="96">
        <f>H28+H32+H33-H51</f>
        <v>150.70291044144966</v>
      </c>
      <c r="I53" s="96" t="s">
        <v>245</v>
      </c>
      <c r="K53" s="101"/>
    </row>
    <row r="54" spans="1:11" x14ac:dyDescent="0.15">
      <c r="A54" s="91" t="s">
        <v>35</v>
      </c>
      <c r="B54" s="92"/>
      <c r="C54" s="92"/>
      <c r="D54" s="92"/>
      <c r="E54" s="92"/>
      <c r="F54" s="92"/>
      <c r="G54" s="92"/>
      <c r="H54" s="92"/>
      <c r="I54" s="92"/>
    </row>
    <row r="55" spans="1:11" ht="15" x14ac:dyDescent="0.15">
      <c r="A55" s="118" t="s">
        <v>36</v>
      </c>
      <c r="B55" s="93">
        <v>6</v>
      </c>
      <c r="C55" s="93">
        <v>6</v>
      </c>
      <c r="D55" s="162">
        <v>7</v>
      </c>
      <c r="E55" s="162">
        <v>7</v>
      </c>
      <c r="F55" s="93">
        <v>6</v>
      </c>
      <c r="G55" s="93">
        <v>6</v>
      </c>
      <c r="H55" s="162">
        <v>7</v>
      </c>
      <c r="I55" s="162">
        <v>7</v>
      </c>
    </row>
    <row r="56" spans="1:11" ht="30" x14ac:dyDescent="0.15">
      <c r="A56" s="118" t="s">
        <v>37</v>
      </c>
      <c r="B56" s="102" t="s">
        <v>245</v>
      </c>
      <c r="C56" s="93">
        <v>8.07</v>
      </c>
      <c r="D56" s="166" t="s">
        <v>57</v>
      </c>
      <c r="E56" s="162">
        <f>(8.22+6.9)/2</f>
        <v>7.5600000000000005</v>
      </c>
      <c r="F56" s="102" t="s">
        <v>245</v>
      </c>
      <c r="G56" s="93">
        <v>8.07</v>
      </c>
      <c r="H56" s="166" t="s">
        <v>57</v>
      </c>
      <c r="I56" s="162">
        <f>(8.22+6.9)/2</f>
        <v>7.5600000000000005</v>
      </c>
    </row>
    <row r="57" spans="1:11" ht="30" x14ac:dyDescent="0.15">
      <c r="A57" s="118" t="s">
        <v>38</v>
      </c>
      <c r="B57" s="93">
        <v>4.8499999999999996</v>
      </c>
      <c r="C57" s="102" t="s">
        <v>245</v>
      </c>
      <c r="D57" s="162">
        <f>(4.98+3.98)/2</f>
        <v>4.4800000000000004</v>
      </c>
      <c r="E57" s="166" t="s">
        <v>57</v>
      </c>
      <c r="F57" s="93">
        <v>4.8499999999999996</v>
      </c>
      <c r="G57" s="102" t="s">
        <v>245</v>
      </c>
      <c r="H57" s="162">
        <f>(4.98+3.98)/2</f>
        <v>4.4800000000000004</v>
      </c>
      <c r="I57" s="166" t="s">
        <v>57</v>
      </c>
    </row>
    <row r="58" spans="1:11" ht="15" x14ac:dyDescent="0.15">
      <c r="A58" s="118" t="s">
        <v>39</v>
      </c>
      <c r="B58" s="93">
        <v>0</v>
      </c>
      <c r="C58" s="93">
        <v>0</v>
      </c>
      <c r="D58" s="93">
        <v>0</v>
      </c>
      <c r="E58" s="93">
        <v>0</v>
      </c>
      <c r="F58" s="93">
        <v>0</v>
      </c>
      <c r="G58" s="93">
        <v>0</v>
      </c>
      <c r="H58" s="93">
        <v>0</v>
      </c>
      <c r="I58" s="93">
        <v>0</v>
      </c>
    </row>
    <row r="59" spans="1:11" ht="16.5" customHeight="1" x14ac:dyDescent="0.15">
      <c r="A59" s="118" t="s">
        <v>40</v>
      </c>
      <c r="B59" s="84">
        <v>9</v>
      </c>
      <c r="C59" s="84">
        <v>9</v>
      </c>
      <c r="D59" s="84">
        <f t="shared" ref="D59:I59" si="13">20+0.5*12.5</f>
        <v>26.25</v>
      </c>
      <c r="E59" s="84">
        <f t="shared" si="13"/>
        <v>26.25</v>
      </c>
      <c r="F59" s="84">
        <v>9</v>
      </c>
      <c r="G59" s="84">
        <v>9</v>
      </c>
      <c r="H59" s="84">
        <f t="shared" si="13"/>
        <v>26.25</v>
      </c>
      <c r="I59" s="84">
        <f t="shared" si="13"/>
        <v>26.25</v>
      </c>
    </row>
    <row r="60" spans="1:11" ht="15" x14ac:dyDescent="0.15">
      <c r="A60" s="118" t="s">
        <v>41</v>
      </c>
      <c r="B60" s="93">
        <v>0</v>
      </c>
      <c r="C60" s="93">
        <v>0</v>
      </c>
      <c r="D60" s="93">
        <v>0</v>
      </c>
      <c r="E60" s="93">
        <v>0</v>
      </c>
      <c r="F60" s="93">
        <v>0</v>
      </c>
      <c r="G60" s="93">
        <v>0</v>
      </c>
      <c r="H60" s="93">
        <v>0</v>
      </c>
      <c r="I60" s="93">
        <v>0</v>
      </c>
    </row>
    <row r="61" spans="1:11" ht="30" x14ac:dyDescent="0.15">
      <c r="A61" s="97" t="s">
        <v>257</v>
      </c>
      <c r="B61" s="96" t="s">
        <v>245</v>
      </c>
      <c r="C61" s="96">
        <f t="shared" ref="C61:G61" si="14">C52-C56+C58-C59+C60-C34</f>
        <v>150.79648616472917</v>
      </c>
      <c r="D61" s="96" t="s">
        <v>245</v>
      </c>
      <c r="E61" s="96">
        <f t="shared" si="14"/>
        <v>134.20148616472915</v>
      </c>
      <c r="F61" s="96" t="s">
        <v>245</v>
      </c>
      <c r="G61" s="96">
        <f t="shared" si="14"/>
        <v>140.45837617981584</v>
      </c>
      <c r="H61" s="96" t="s">
        <v>245</v>
      </c>
      <c r="I61" s="96">
        <f>I52-I56+I58-I59+I60-I34</f>
        <v>124.01837617981582</v>
      </c>
    </row>
    <row r="62" spans="1:11" ht="30" x14ac:dyDescent="0.15">
      <c r="A62" s="97" t="s">
        <v>49</v>
      </c>
      <c r="B62" s="96">
        <f t="shared" ref="B62:F62" si="15">B53-B57+B58-B59+B60-B34</f>
        <v>147.54648616472915</v>
      </c>
      <c r="C62" s="96" t="s">
        <v>245</v>
      </c>
      <c r="D62" s="96">
        <f t="shared" si="15"/>
        <v>132.71648616472916</v>
      </c>
      <c r="E62" s="96" t="s">
        <v>245</v>
      </c>
      <c r="F62" s="96">
        <f t="shared" si="15"/>
        <v>133.0079104414497</v>
      </c>
      <c r="G62" s="96" t="s">
        <v>245</v>
      </c>
      <c r="H62" s="96">
        <f>H53-H57+H58-H59+H60-H34</f>
        <v>116.97291044144967</v>
      </c>
      <c r="I62" s="96" t="s">
        <v>245</v>
      </c>
    </row>
    <row r="63" spans="1:11" x14ac:dyDescent="0.15">
      <c r="A63" s="91" t="s">
        <v>42</v>
      </c>
      <c r="B63" s="92"/>
      <c r="C63" s="92"/>
      <c r="D63" s="92"/>
      <c r="E63" s="92"/>
      <c r="F63" s="92"/>
      <c r="G63" s="92"/>
      <c r="H63" s="92"/>
      <c r="I63" s="92"/>
    </row>
    <row r="64" spans="1:11" ht="30" x14ac:dyDescent="0.15">
      <c r="A64" s="103" t="s">
        <v>43</v>
      </c>
      <c r="B64" s="93" t="s">
        <v>245</v>
      </c>
      <c r="C64" s="93">
        <f t="shared" ref="C64:G64" si="16">10^((C61-161.04+7.1*LOG10(20)-7.5*LOG10(20)+(24.37-3.7*(20/C5)^2)*LOG10(C5)-20*LOG10(C4)+(3.2*(LOG10(17.625))^2-4.97)+0.6*(C6-1.5))/(43.42-3.1*LOG10(C5))+3)</f>
        <v>1597.4682968939346</v>
      </c>
      <c r="D64" s="93" t="s">
        <v>245</v>
      </c>
      <c r="E64" s="93">
        <f t="shared" si="16"/>
        <v>600.97978760776437</v>
      </c>
      <c r="F64" s="93" t="s">
        <v>245</v>
      </c>
      <c r="G64" s="93">
        <f t="shared" si="16"/>
        <v>868.83711596336082</v>
      </c>
      <c r="H64" s="93" t="s">
        <v>245</v>
      </c>
      <c r="I64" s="93">
        <f>10^((I61-161.04+7.1*LOG10(20)-7.5*LOG10(20)+(24.37-3.7*(20/I5)^2)*LOG10(I5)-20*LOG10(I4)+(3.2*(LOG10(17.625))^2-4.97)+0.6*(I6-1.5))/(43.42-3.1*LOG10(I5))+3)</f>
        <v>329.86144593369897</v>
      </c>
    </row>
    <row r="65" spans="1:11" ht="30" x14ac:dyDescent="0.15">
      <c r="A65" s="103" t="s">
        <v>44</v>
      </c>
      <c r="B65" s="93">
        <f t="shared" ref="B65:F65" si="17">10^((B62-161.04+7.1*LOG10(20)-7.5*LOG10(20)+(24.37-3.7*(20/B5)^2)*LOG10(B5)-20*LOG10(B4)+(3.2*(LOG10(17.625))^2-4.97)+0.6*(B6-1.5))/(43.42-3.1*LOG10(B5))+3)</f>
        <v>1319.1163159558864</v>
      </c>
      <c r="C65" s="93" t="s">
        <v>245</v>
      </c>
      <c r="D65" s="93">
        <f t="shared" si="17"/>
        <v>550.63916469808044</v>
      </c>
      <c r="E65" s="93" t="s">
        <v>245</v>
      </c>
      <c r="F65" s="93">
        <f t="shared" si="17"/>
        <v>560.17406775745826</v>
      </c>
      <c r="G65" s="93" t="s">
        <v>245</v>
      </c>
      <c r="H65" s="93">
        <f>10^((H62-161.04+7.1*LOG10(20)-7.5*LOG10(20)+(24.37-3.7*(20/H5)^2)*LOG10(H5)-20*LOG10(H4)+(3.2*(LOG10(17.625))^2-4.97)+0.6*(H6-1.5))/(43.42-3.1*LOG10(H5))+3)</f>
        <v>217.81002112963063</v>
      </c>
      <c r="I65" s="93" t="s">
        <v>245</v>
      </c>
      <c r="K65" s="104"/>
    </row>
    <row r="66" spans="1:11" ht="18" x14ac:dyDescent="0.15">
      <c r="A66" s="103" t="s">
        <v>258</v>
      </c>
      <c r="B66" s="93" t="s">
        <v>245</v>
      </c>
      <c r="C66" s="93">
        <f t="shared" ref="C66:G66" si="18">PI()*(C64)^2</f>
        <v>8017045.8736796807</v>
      </c>
      <c r="D66" s="93" t="s">
        <v>245</v>
      </c>
      <c r="E66" s="93">
        <f t="shared" si="18"/>
        <v>1134670.083430999</v>
      </c>
      <c r="F66" s="93" t="s">
        <v>245</v>
      </c>
      <c r="G66" s="93">
        <f t="shared" si="18"/>
        <v>2371518.9720487269</v>
      </c>
      <c r="H66" s="93" t="s">
        <v>245</v>
      </c>
      <c r="I66" s="93">
        <f>PI()*(I64)^2</f>
        <v>341832.21519750421</v>
      </c>
    </row>
    <row r="67" spans="1:11" ht="18" x14ac:dyDescent="0.15">
      <c r="A67" s="103" t="s">
        <v>259</v>
      </c>
      <c r="B67" s="93">
        <f t="shared" ref="B67:F67" si="19">PI()*(B65)^2</f>
        <v>5466584.3900818173</v>
      </c>
      <c r="C67" s="93" t="s">
        <v>245</v>
      </c>
      <c r="D67" s="93">
        <f t="shared" si="19"/>
        <v>952541.8557824227</v>
      </c>
      <c r="E67" s="93" t="s">
        <v>245</v>
      </c>
      <c r="F67" s="93">
        <f t="shared" si="19"/>
        <v>985816.02334133489</v>
      </c>
      <c r="G67" s="93" t="s">
        <v>245</v>
      </c>
      <c r="H67" s="93">
        <f>PI()*(H65)^2</f>
        <v>149040.94206203136</v>
      </c>
      <c r="I67" s="93" t="s">
        <v>245</v>
      </c>
    </row>
    <row r="69" spans="1:11" x14ac:dyDescent="0.15">
      <c r="F69" s="102"/>
      <c r="G69" s="102"/>
      <c r="H69" s="102"/>
      <c r="I69" s="102"/>
    </row>
    <row r="72" spans="1:11" s="133" customFormat="1" ht="15" x14ac:dyDescent="0.15">
      <c r="B72" s="134"/>
      <c r="C72" s="134"/>
      <c r="D72" s="134"/>
      <c r="E72" s="134"/>
      <c r="F72" s="135"/>
      <c r="G72" s="135"/>
      <c r="H72" s="135"/>
      <c r="I72" s="135"/>
    </row>
  </sheetData>
  <mergeCells count="2">
    <mergeCell ref="B1:E1"/>
    <mergeCell ref="F1:I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zoomScale="85" zoomScaleNormal="85" workbookViewId="0">
      <pane xSplit="1" ySplit="2" topLeftCell="B51" activePane="bottomRight" state="frozen"/>
      <selection pane="topRight"/>
      <selection pane="bottomLeft"/>
      <selection pane="bottomRight" activeCell="G62" sqref="G62"/>
    </sheetView>
  </sheetViews>
  <sheetFormatPr defaultColWidth="9" defaultRowHeight="14.25" x14ac:dyDescent="0.15"/>
  <cols>
    <col min="1" max="1" width="62.125" style="105" customWidth="1"/>
    <col min="2" max="2" width="15.375" style="102" customWidth="1"/>
    <col min="3" max="3" width="11.875" style="102" customWidth="1"/>
    <col min="4" max="5" width="13.375" style="102" bestFit="1" customWidth="1"/>
    <col min="6" max="6" width="11" style="114" customWidth="1"/>
    <col min="7" max="7" width="15.25" style="114" customWidth="1"/>
    <col min="8" max="8" width="15.125" style="114" customWidth="1"/>
    <col min="9" max="9" width="15.75" style="114" customWidth="1"/>
    <col min="10" max="10" width="9" style="1"/>
    <col min="11" max="11" width="20.25" style="1" customWidth="1"/>
    <col min="12" max="16384" width="9" style="1"/>
  </cols>
  <sheetData>
    <row r="1" spans="1:9" x14ac:dyDescent="0.15">
      <c r="A1" s="90" t="s">
        <v>0</v>
      </c>
      <c r="B1" s="214" t="s">
        <v>341</v>
      </c>
      <c r="C1" s="214"/>
      <c r="D1" s="214"/>
      <c r="E1" s="215"/>
      <c r="F1" s="216" t="s">
        <v>342</v>
      </c>
      <c r="G1" s="216"/>
      <c r="H1" s="216"/>
      <c r="I1" s="216"/>
    </row>
    <row r="2" spans="1:9" ht="28.5" x14ac:dyDescent="0.15">
      <c r="A2" s="90"/>
      <c r="B2" s="129" t="s">
        <v>240</v>
      </c>
      <c r="C2" s="129" t="s">
        <v>260</v>
      </c>
      <c r="D2" s="129" t="s">
        <v>261</v>
      </c>
      <c r="E2" s="129" t="s">
        <v>262</v>
      </c>
      <c r="F2" s="129" t="s">
        <v>263</v>
      </c>
      <c r="G2" s="129" t="s">
        <v>264</v>
      </c>
      <c r="H2" s="129" t="s">
        <v>265</v>
      </c>
      <c r="I2" s="129" t="s">
        <v>266</v>
      </c>
    </row>
    <row r="3" spans="1:9" ht="15" customHeight="1" x14ac:dyDescent="0.15">
      <c r="A3" s="91" t="s">
        <v>1</v>
      </c>
      <c r="B3" s="92"/>
      <c r="C3" s="92"/>
      <c r="D3" s="92"/>
      <c r="E3" s="92"/>
      <c r="F3" s="92"/>
      <c r="G3" s="92"/>
      <c r="H3" s="92"/>
      <c r="I3" s="92"/>
    </row>
    <row r="4" spans="1:9" ht="15" x14ac:dyDescent="0.15">
      <c r="A4" s="118" t="s">
        <v>2</v>
      </c>
      <c r="B4" s="93">
        <v>4</v>
      </c>
      <c r="C4" s="93">
        <v>4</v>
      </c>
      <c r="D4" s="93">
        <v>4</v>
      </c>
      <c r="E4" s="93">
        <v>4</v>
      </c>
      <c r="F4" s="93">
        <v>4</v>
      </c>
      <c r="G4" s="93">
        <v>4</v>
      </c>
      <c r="H4" s="93">
        <v>4</v>
      </c>
      <c r="I4" s="93">
        <v>4</v>
      </c>
    </row>
    <row r="5" spans="1:9" ht="15" x14ac:dyDescent="0.15">
      <c r="A5" s="118" t="s">
        <v>3</v>
      </c>
      <c r="B5" s="93">
        <v>25</v>
      </c>
      <c r="C5" s="93">
        <v>25</v>
      </c>
      <c r="D5" s="93">
        <v>25</v>
      </c>
      <c r="E5" s="93">
        <v>25</v>
      </c>
      <c r="F5" s="93">
        <v>25</v>
      </c>
      <c r="G5" s="93">
        <v>25</v>
      </c>
      <c r="H5" s="93">
        <v>25</v>
      </c>
      <c r="I5" s="93">
        <v>25</v>
      </c>
    </row>
    <row r="6" spans="1:9" ht="15" x14ac:dyDescent="0.15">
      <c r="A6" s="118" t="s">
        <v>4</v>
      </c>
      <c r="B6" s="93">
        <v>1.5</v>
      </c>
      <c r="C6" s="93">
        <v>1.5</v>
      </c>
      <c r="D6" s="93">
        <v>1.5</v>
      </c>
      <c r="E6" s="93">
        <v>1.5</v>
      </c>
      <c r="F6" s="93">
        <v>1.5</v>
      </c>
      <c r="G6" s="93">
        <v>1.5</v>
      </c>
      <c r="H6" s="93">
        <v>1.5</v>
      </c>
      <c r="I6" s="93">
        <v>1.5</v>
      </c>
    </row>
    <row r="7" spans="1:9" ht="31.5" x14ac:dyDescent="0.15">
      <c r="A7" s="118" t="s">
        <v>244</v>
      </c>
      <c r="B7" s="94" t="s">
        <v>245</v>
      </c>
      <c r="C7" s="119">
        <v>0.95</v>
      </c>
      <c r="D7" s="94" t="s">
        <v>245</v>
      </c>
      <c r="E7" s="119">
        <v>0.95</v>
      </c>
      <c r="F7" s="119" t="s">
        <v>245</v>
      </c>
      <c r="G7" s="119">
        <v>0.95</v>
      </c>
      <c r="H7" s="119" t="s">
        <v>245</v>
      </c>
      <c r="I7" s="119">
        <v>0.95</v>
      </c>
    </row>
    <row r="8" spans="1:9" ht="31.5" x14ac:dyDescent="0.15">
      <c r="A8" s="118" t="s">
        <v>246</v>
      </c>
      <c r="B8" s="94">
        <v>0.9</v>
      </c>
      <c r="C8" s="119" t="s">
        <v>245</v>
      </c>
      <c r="D8" s="94">
        <v>0.9</v>
      </c>
      <c r="E8" s="119" t="s">
        <v>245</v>
      </c>
      <c r="F8" s="119">
        <v>0.9</v>
      </c>
      <c r="G8" s="119" t="s">
        <v>245</v>
      </c>
      <c r="H8" s="119">
        <v>0.9</v>
      </c>
      <c r="I8" s="119" t="s">
        <v>245</v>
      </c>
    </row>
    <row r="9" spans="1:9" ht="15" x14ac:dyDescent="0.15">
      <c r="A9" s="118" t="s">
        <v>5</v>
      </c>
      <c r="B9" s="84" t="s">
        <v>245</v>
      </c>
      <c r="C9" s="93">
        <f>64/(0.5*0.001)</f>
        <v>128000</v>
      </c>
      <c r="D9" s="84" t="s">
        <v>245</v>
      </c>
      <c r="E9" s="93">
        <f>64/(0.5*0.001)</f>
        <v>128000</v>
      </c>
      <c r="F9" s="93" t="s">
        <v>245</v>
      </c>
      <c r="G9" s="93">
        <f>2/(0.5*0.001)</f>
        <v>4000</v>
      </c>
      <c r="H9" s="93"/>
      <c r="I9" s="93">
        <f>2/(0.5*0.001)</f>
        <v>4000</v>
      </c>
    </row>
    <row r="10" spans="1:9" ht="15" x14ac:dyDescent="0.15">
      <c r="A10" s="118" t="s">
        <v>6</v>
      </c>
      <c r="B10" s="84">
        <f>2248233*3</f>
        <v>6744699</v>
      </c>
      <c r="C10" s="93" t="s">
        <v>245</v>
      </c>
      <c r="D10" s="84">
        <f>2248233*3</f>
        <v>6744699</v>
      </c>
      <c r="E10" s="93" t="s">
        <v>245</v>
      </c>
      <c r="F10" s="93">
        <f>74880*3</f>
        <v>224640</v>
      </c>
      <c r="G10" s="93" t="s">
        <v>245</v>
      </c>
      <c r="H10" s="93">
        <f>74880*3</f>
        <v>224640</v>
      </c>
      <c r="I10" s="93" t="s">
        <v>245</v>
      </c>
    </row>
    <row r="11" spans="1:9" ht="15" x14ac:dyDescent="0.15">
      <c r="A11" s="118" t="s">
        <v>7</v>
      </c>
      <c r="B11" s="94" t="s">
        <v>245</v>
      </c>
      <c r="C11" s="119">
        <v>0.01</v>
      </c>
      <c r="D11" s="94" t="s">
        <v>245</v>
      </c>
      <c r="E11" s="119">
        <v>0.01</v>
      </c>
      <c r="F11" s="119" t="s">
        <v>245</v>
      </c>
      <c r="G11" s="119">
        <v>0.01</v>
      </c>
      <c r="H11" s="119" t="s">
        <v>245</v>
      </c>
      <c r="I11" s="119">
        <v>0.01</v>
      </c>
    </row>
    <row r="12" spans="1:9" ht="15" x14ac:dyDescent="0.15">
      <c r="A12" s="118" t="s">
        <v>8</v>
      </c>
      <c r="B12" s="94">
        <v>0.1</v>
      </c>
      <c r="C12" s="119" t="s">
        <v>245</v>
      </c>
      <c r="D12" s="94">
        <v>0.1</v>
      </c>
      <c r="E12" s="119" t="s">
        <v>245</v>
      </c>
      <c r="F12" s="119">
        <v>0.1</v>
      </c>
      <c r="G12" s="119" t="s">
        <v>245</v>
      </c>
      <c r="H12" s="119">
        <v>0.1</v>
      </c>
      <c r="I12" s="119" t="s">
        <v>245</v>
      </c>
    </row>
    <row r="13" spans="1:9" ht="16.5" x14ac:dyDescent="0.15">
      <c r="A13" s="118" t="s">
        <v>247</v>
      </c>
      <c r="B13" s="84">
        <f>B10/(B42*(7+(6+4*0.5)/14)/10)</f>
        <v>0.48519025157232709</v>
      </c>
      <c r="C13" s="84" t="s">
        <v>245</v>
      </c>
      <c r="D13" s="84">
        <f>D10/(D42*(7+(6+4*0.5)/14)/10)</f>
        <v>0.48519025157232709</v>
      </c>
      <c r="E13" s="84" t="s">
        <v>245</v>
      </c>
      <c r="F13" s="84">
        <f>F10/(F42*(2+(4+4*0.5)/14)/10)</f>
        <v>0.64235294117647068</v>
      </c>
      <c r="G13" s="93" t="s">
        <v>245</v>
      </c>
      <c r="H13" s="84">
        <f>H10/(H42*(2+(4+4*0.5)/14)/10)</f>
        <v>0.64235294117647068</v>
      </c>
      <c r="I13" s="93" t="s">
        <v>245</v>
      </c>
    </row>
    <row r="14" spans="1:9" ht="16.5" x14ac:dyDescent="0.15">
      <c r="A14" s="118" t="s">
        <v>248</v>
      </c>
      <c r="B14" s="84" t="s">
        <v>249</v>
      </c>
      <c r="C14" s="84" t="s">
        <v>249</v>
      </c>
      <c r="D14" s="84" t="s">
        <v>267</v>
      </c>
      <c r="E14" s="84" t="s">
        <v>267</v>
      </c>
      <c r="F14" s="84" t="s">
        <v>249</v>
      </c>
      <c r="G14" s="84" t="s">
        <v>249</v>
      </c>
      <c r="H14" s="84" t="s">
        <v>267</v>
      </c>
      <c r="I14" s="84" t="s">
        <v>267</v>
      </c>
    </row>
    <row r="15" spans="1:9" ht="15" x14ac:dyDescent="0.15">
      <c r="A15" s="118" t="s">
        <v>250</v>
      </c>
      <c r="B15" s="84">
        <v>30</v>
      </c>
      <c r="C15" s="93">
        <v>30</v>
      </c>
      <c r="D15" s="84">
        <v>3</v>
      </c>
      <c r="E15" s="93">
        <v>3</v>
      </c>
      <c r="F15" s="93">
        <v>30</v>
      </c>
      <c r="G15" s="93">
        <v>30</v>
      </c>
      <c r="H15" s="93">
        <v>3</v>
      </c>
      <c r="I15" s="93">
        <v>3</v>
      </c>
    </row>
    <row r="16" spans="1:9" ht="15" x14ac:dyDescent="0.15">
      <c r="A16" s="118" t="s">
        <v>9</v>
      </c>
      <c r="B16" s="84">
        <v>3</v>
      </c>
      <c r="C16" s="93">
        <v>3</v>
      </c>
      <c r="D16" s="84">
        <v>3</v>
      </c>
      <c r="E16" s="93">
        <v>3</v>
      </c>
      <c r="F16" s="93">
        <v>3</v>
      </c>
      <c r="G16" s="93">
        <v>3</v>
      </c>
      <c r="H16" s="93">
        <v>3</v>
      </c>
      <c r="I16" s="93">
        <v>3</v>
      </c>
    </row>
    <row r="17" spans="1:9" ht="15" customHeight="1" x14ac:dyDescent="0.15">
      <c r="A17" s="91" t="s">
        <v>10</v>
      </c>
      <c r="B17" s="92"/>
      <c r="C17" s="92"/>
      <c r="D17" s="92"/>
      <c r="E17" s="92"/>
      <c r="F17" s="92"/>
      <c r="G17" s="92"/>
      <c r="H17" s="92"/>
      <c r="I17" s="92"/>
    </row>
    <row r="18" spans="1:9" ht="30" x14ac:dyDescent="0.15">
      <c r="A18" s="118" t="s">
        <v>251</v>
      </c>
      <c r="B18" s="84">
        <v>192</v>
      </c>
      <c r="C18" s="93">
        <v>192</v>
      </c>
      <c r="D18" s="84">
        <v>192</v>
      </c>
      <c r="E18" s="93">
        <v>192</v>
      </c>
      <c r="F18" s="93">
        <v>2</v>
      </c>
      <c r="G18" s="93">
        <v>2</v>
      </c>
      <c r="H18" s="93">
        <v>2</v>
      </c>
      <c r="I18" s="93">
        <v>2</v>
      </c>
    </row>
    <row r="19" spans="1:9" ht="15" x14ac:dyDescent="0.15">
      <c r="A19" s="118" t="s">
        <v>268</v>
      </c>
      <c r="B19" s="84">
        <v>2</v>
      </c>
      <c r="C19" s="93">
        <v>2</v>
      </c>
      <c r="D19" s="84">
        <v>2</v>
      </c>
      <c r="E19" s="93">
        <v>2</v>
      </c>
      <c r="F19" s="84">
        <v>2</v>
      </c>
      <c r="G19" s="93">
        <v>2</v>
      </c>
      <c r="H19" s="84">
        <v>2</v>
      </c>
      <c r="I19" s="93">
        <v>2</v>
      </c>
    </row>
    <row r="20" spans="1:9" ht="15" x14ac:dyDescent="0.15">
      <c r="A20" s="118" t="s">
        <v>11</v>
      </c>
      <c r="B20" s="84">
        <v>21.2</v>
      </c>
      <c r="C20" s="93">
        <v>21.2</v>
      </c>
      <c r="D20" s="84">
        <v>21.2</v>
      </c>
      <c r="E20" s="93">
        <v>21.2</v>
      </c>
      <c r="F20" s="93">
        <v>20</v>
      </c>
      <c r="G20" s="93">
        <v>20</v>
      </c>
      <c r="H20" s="93">
        <v>20</v>
      </c>
      <c r="I20" s="93">
        <v>20</v>
      </c>
    </row>
    <row r="21" spans="1:9" ht="30" x14ac:dyDescent="0.15">
      <c r="A21" s="130" t="s">
        <v>253</v>
      </c>
      <c r="B21" s="125">
        <f t="shared" ref="B21:I21" si="0">B20+10*LOG10(B18)</f>
        <v>44.033012287035497</v>
      </c>
      <c r="C21" s="125">
        <f t="shared" si="0"/>
        <v>44.033012287035497</v>
      </c>
      <c r="D21" s="125">
        <f t="shared" si="0"/>
        <v>44.033012287035497</v>
      </c>
      <c r="E21" s="125">
        <f t="shared" si="0"/>
        <v>44.033012287035497</v>
      </c>
      <c r="F21" s="125">
        <f t="shared" si="0"/>
        <v>23.010299956639813</v>
      </c>
      <c r="G21" s="125">
        <f t="shared" si="0"/>
        <v>23.010299956639813</v>
      </c>
      <c r="H21" s="125">
        <f t="shared" si="0"/>
        <v>23.010299956639813</v>
      </c>
      <c r="I21" s="125">
        <f t="shared" si="0"/>
        <v>23.010299956639813</v>
      </c>
    </row>
    <row r="22" spans="1:9" ht="15" x14ac:dyDescent="0.15">
      <c r="A22" s="118" t="s">
        <v>12</v>
      </c>
      <c r="B22" s="84">
        <v>8</v>
      </c>
      <c r="C22" s="93">
        <v>8</v>
      </c>
      <c r="D22" s="84">
        <v>8</v>
      </c>
      <c r="E22" s="93">
        <v>8</v>
      </c>
      <c r="F22" s="93">
        <v>0</v>
      </c>
      <c r="G22" s="93">
        <v>0</v>
      </c>
      <c r="H22" s="93">
        <v>0</v>
      </c>
      <c r="I22" s="93">
        <v>0</v>
      </c>
    </row>
    <row r="23" spans="1:9" ht="45" x14ac:dyDescent="0.15">
      <c r="A23" s="131" t="s">
        <v>13</v>
      </c>
      <c r="B23" s="125">
        <f t="shared" ref="B23:I23" si="1">IF(B18&gt;=2,10*LOG10(B18/2),0)</f>
        <v>19.822712330395685</v>
      </c>
      <c r="C23" s="125">
        <f t="shared" si="1"/>
        <v>19.822712330395685</v>
      </c>
      <c r="D23" s="125">
        <f t="shared" si="1"/>
        <v>19.822712330395685</v>
      </c>
      <c r="E23" s="125">
        <f t="shared" si="1"/>
        <v>19.822712330395685</v>
      </c>
      <c r="F23" s="125">
        <f t="shared" si="1"/>
        <v>0</v>
      </c>
      <c r="G23" s="125">
        <f t="shared" si="1"/>
        <v>0</v>
      </c>
      <c r="H23" s="125">
        <f t="shared" si="1"/>
        <v>0</v>
      </c>
      <c r="I23" s="125">
        <f t="shared" si="1"/>
        <v>0</v>
      </c>
    </row>
    <row r="24" spans="1:9" ht="15" x14ac:dyDescent="0.15">
      <c r="A24" s="118" t="s">
        <v>14</v>
      </c>
      <c r="B24" s="84">
        <v>0</v>
      </c>
      <c r="C24" s="93">
        <v>0</v>
      </c>
      <c r="D24" s="84">
        <v>0</v>
      </c>
      <c r="E24" s="93">
        <v>0</v>
      </c>
      <c r="F24" s="93">
        <v>0</v>
      </c>
      <c r="G24" s="93">
        <v>0</v>
      </c>
      <c r="H24" s="93">
        <v>0</v>
      </c>
      <c r="I24" s="93">
        <v>0</v>
      </c>
    </row>
    <row r="25" spans="1:9" ht="15.75" customHeight="1" x14ac:dyDescent="0.15">
      <c r="A25" s="118" t="s">
        <v>15</v>
      </c>
      <c r="B25" s="84">
        <v>0</v>
      </c>
      <c r="C25" s="93">
        <v>0</v>
      </c>
      <c r="D25" s="84">
        <v>0</v>
      </c>
      <c r="E25" s="93">
        <v>0</v>
      </c>
      <c r="F25" s="93">
        <v>0</v>
      </c>
      <c r="G25" s="93">
        <v>0</v>
      </c>
      <c r="H25" s="93">
        <v>0</v>
      </c>
      <c r="I25" s="93">
        <v>0</v>
      </c>
    </row>
    <row r="26" spans="1:9" ht="30" x14ac:dyDescent="0.15">
      <c r="A26" s="118" t="s">
        <v>16</v>
      </c>
      <c r="B26" s="84">
        <v>3</v>
      </c>
      <c r="C26" s="93">
        <v>3</v>
      </c>
      <c r="D26" s="84">
        <v>3</v>
      </c>
      <c r="E26" s="93">
        <v>3</v>
      </c>
      <c r="F26" s="93">
        <v>1</v>
      </c>
      <c r="G26" s="93">
        <v>1</v>
      </c>
      <c r="H26" s="93">
        <v>1</v>
      </c>
      <c r="I26" s="93">
        <v>1</v>
      </c>
    </row>
    <row r="27" spans="1:9" ht="15" x14ac:dyDescent="0.15">
      <c r="A27" s="95" t="s">
        <v>17</v>
      </c>
      <c r="B27" s="96">
        <f t="shared" ref="B27:I27" si="2">B21+B22+B23+B24-B26</f>
        <v>68.855724617431179</v>
      </c>
      <c r="C27" s="96">
        <f t="shared" si="2"/>
        <v>68.855724617431179</v>
      </c>
      <c r="D27" s="96">
        <f t="shared" si="2"/>
        <v>68.855724617431179</v>
      </c>
      <c r="E27" s="96">
        <f t="shared" si="2"/>
        <v>68.855724617431179</v>
      </c>
      <c r="F27" s="96">
        <f t="shared" si="2"/>
        <v>22.010299956639813</v>
      </c>
      <c r="G27" s="96">
        <f t="shared" si="2"/>
        <v>22.010299956639813</v>
      </c>
      <c r="H27" s="96">
        <f t="shared" si="2"/>
        <v>22.010299956639813</v>
      </c>
      <c r="I27" s="96">
        <f t="shared" si="2"/>
        <v>22.010299956639813</v>
      </c>
    </row>
    <row r="28" spans="1:9" ht="15" x14ac:dyDescent="0.15">
      <c r="A28" s="95" t="s">
        <v>18</v>
      </c>
      <c r="B28" s="96">
        <f t="shared" ref="B28:I28" si="3">B21+B22+B23-B25-B26</f>
        <v>68.855724617431179</v>
      </c>
      <c r="C28" s="96">
        <f t="shared" si="3"/>
        <v>68.855724617431179</v>
      </c>
      <c r="D28" s="96">
        <f t="shared" si="3"/>
        <v>68.855724617431179</v>
      </c>
      <c r="E28" s="96">
        <f t="shared" si="3"/>
        <v>68.855724617431179</v>
      </c>
      <c r="F28" s="96">
        <f t="shared" si="3"/>
        <v>22.010299956639813</v>
      </c>
      <c r="G28" s="96">
        <f t="shared" si="3"/>
        <v>22.010299956639813</v>
      </c>
      <c r="H28" s="96">
        <f t="shared" si="3"/>
        <v>22.010299956639813</v>
      </c>
      <c r="I28" s="96">
        <f t="shared" si="3"/>
        <v>22.010299956639813</v>
      </c>
    </row>
    <row r="29" spans="1:9" x14ac:dyDescent="0.15">
      <c r="A29" s="91" t="s">
        <v>19</v>
      </c>
      <c r="B29" s="92"/>
      <c r="C29" s="92"/>
      <c r="D29" s="92"/>
      <c r="E29" s="92"/>
      <c r="F29" s="92"/>
      <c r="G29" s="92"/>
      <c r="H29" s="92"/>
      <c r="I29" s="92"/>
    </row>
    <row r="30" spans="1:9" ht="30" x14ac:dyDescent="0.15">
      <c r="A30" s="118" t="s">
        <v>254</v>
      </c>
      <c r="B30" s="84">
        <v>4</v>
      </c>
      <c r="C30" s="93">
        <v>4</v>
      </c>
      <c r="D30" s="84">
        <v>4</v>
      </c>
      <c r="E30" s="93">
        <v>4</v>
      </c>
      <c r="F30" s="93">
        <v>192</v>
      </c>
      <c r="G30" s="93">
        <v>192</v>
      </c>
      <c r="H30" s="93">
        <v>192</v>
      </c>
      <c r="I30" s="93">
        <v>192</v>
      </c>
    </row>
    <row r="31" spans="1:9" ht="15" x14ac:dyDescent="0.15">
      <c r="A31" s="118" t="s">
        <v>255</v>
      </c>
      <c r="B31" s="84">
        <v>2</v>
      </c>
      <c r="C31" s="93">
        <v>2</v>
      </c>
      <c r="D31" s="84">
        <v>2</v>
      </c>
      <c r="E31" s="93">
        <v>2</v>
      </c>
      <c r="F31" s="93">
        <v>2</v>
      </c>
      <c r="G31" s="93">
        <v>2</v>
      </c>
      <c r="H31" s="93">
        <v>2</v>
      </c>
      <c r="I31" s="93">
        <v>2</v>
      </c>
    </row>
    <row r="32" spans="1:9" ht="15" x14ac:dyDescent="0.15">
      <c r="A32" s="118" t="s">
        <v>20</v>
      </c>
      <c r="B32" s="84">
        <v>0</v>
      </c>
      <c r="C32" s="93">
        <v>0</v>
      </c>
      <c r="D32" s="84">
        <v>0</v>
      </c>
      <c r="E32" s="93">
        <v>0</v>
      </c>
      <c r="F32" s="93">
        <v>8</v>
      </c>
      <c r="G32" s="93">
        <v>8</v>
      </c>
      <c r="H32" s="93">
        <v>8</v>
      </c>
      <c r="I32" s="93">
        <v>8</v>
      </c>
    </row>
    <row r="33" spans="1:9" ht="28.5" x14ac:dyDescent="0.15">
      <c r="A33" s="124" t="s">
        <v>256</v>
      </c>
      <c r="B33" s="125">
        <f t="shared" ref="B33:I33" si="4">IF(B30&gt;=2,10*LOG10(B30/2),0)</f>
        <v>3.0102999566398121</v>
      </c>
      <c r="C33" s="125">
        <f t="shared" si="4"/>
        <v>3.0102999566398121</v>
      </c>
      <c r="D33" s="125">
        <f t="shared" si="4"/>
        <v>3.0102999566398121</v>
      </c>
      <c r="E33" s="125">
        <f t="shared" si="4"/>
        <v>3.0102999566398121</v>
      </c>
      <c r="F33" s="125">
        <f t="shared" si="4"/>
        <v>19.822712330395685</v>
      </c>
      <c r="G33" s="125">
        <f t="shared" si="4"/>
        <v>19.822712330395685</v>
      </c>
      <c r="H33" s="125">
        <f t="shared" si="4"/>
        <v>19.822712330395685</v>
      </c>
      <c r="I33" s="125">
        <f t="shared" si="4"/>
        <v>19.822712330395685</v>
      </c>
    </row>
    <row r="34" spans="1:9" ht="30" x14ac:dyDescent="0.15">
      <c r="A34" s="118" t="s">
        <v>21</v>
      </c>
      <c r="B34" s="84">
        <v>1</v>
      </c>
      <c r="C34" s="93">
        <v>1</v>
      </c>
      <c r="D34" s="84">
        <v>1</v>
      </c>
      <c r="E34" s="93">
        <v>1</v>
      </c>
      <c r="F34" s="93">
        <v>3</v>
      </c>
      <c r="G34" s="93">
        <v>3</v>
      </c>
      <c r="H34" s="93">
        <v>3</v>
      </c>
      <c r="I34" s="93">
        <v>3</v>
      </c>
    </row>
    <row r="35" spans="1:9" ht="15" x14ac:dyDescent="0.15">
      <c r="A35" s="118" t="s">
        <v>22</v>
      </c>
      <c r="B35" s="93">
        <v>7</v>
      </c>
      <c r="C35" s="93">
        <v>7</v>
      </c>
      <c r="D35" s="93">
        <v>7</v>
      </c>
      <c r="E35" s="93">
        <v>7</v>
      </c>
      <c r="F35" s="93">
        <v>5</v>
      </c>
      <c r="G35" s="93">
        <v>5</v>
      </c>
      <c r="H35" s="93">
        <v>5</v>
      </c>
      <c r="I35" s="93">
        <v>5</v>
      </c>
    </row>
    <row r="36" spans="1:9" ht="15" x14ac:dyDescent="0.15">
      <c r="A36" s="118" t="s">
        <v>23</v>
      </c>
      <c r="B36" s="93">
        <v>-174</v>
      </c>
      <c r="C36" s="93">
        <v>-174</v>
      </c>
      <c r="D36" s="93">
        <v>-174</v>
      </c>
      <c r="E36" s="93">
        <v>-174</v>
      </c>
      <c r="F36" s="84">
        <v>-174</v>
      </c>
      <c r="G36" s="93">
        <v>-174</v>
      </c>
      <c r="H36" s="84">
        <v>-174</v>
      </c>
      <c r="I36" s="93">
        <v>-174</v>
      </c>
    </row>
    <row r="37" spans="1:9" ht="30" x14ac:dyDescent="0.15">
      <c r="A37" s="118" t="s">
        <v>24</v>
      </c>
      <c r="B37" s="84" t="s">
        <v>245</v>
      </c>
      <c r="C37" s="93">
        <v>-169.3</v>
      </c>
      <c r="D37" s="84" t="s">
        <v>245</v>
      </c>
      <c r="E37" s="93">
        <v>-169.3</v>
      </c>
      <c r="F37" s="93" t="s">
        <v>245</v>
      </c>
      <c r="G37" s="93">
        <v>-161.69999999999999</v>
      </c>
      <c r="H37" s="93" t="s">
        <v>245</v>
      </c>
      <c r="I37" s="93">
        <v>-161.69999999999999</v>
      </c>
    </row>
    <row r="38" spans="1:9" ht="15" x14ac:dyDescent="0.15">
      <c r="A38" s="118" t="s">
        <v>25</v>
      </c>
      <c r="B38" s="84">
        <v>-169.3</v>
      </c>
      <c r="C38" s="93" t="s">
        <v>245</v>
      </c>
      <c r="D38" s="84">
        <v>-169.3</v>
      </c>
      <c r="E38" s="93" t="s">
        <v>245</v>
      </c>
      <c r="F38" s="93">
        <v>-165.7</v>
      </c>
      <c r="G38" s="93" t="s">
        <v>245</v>
      </c>
      <c r="H38" s="93">
        <v>-165.7</v>
      </c>
      <c r="I38" s="93" t="s">
        <v>245</v>
      </c>
    </row>
    <row r="39" spans="1:9" ht="45" x14ac:dyDescent="0.15">
      <c r="A39" s="97" t="s">
        <v>45</v>
      </c>
      <c r="B39" s="96" t="s">
        <v>245</v>
      </c>
      <c r="C39" s="96">
        <f>10*LOG10(10^((C35+C36)/10)+10^(C37/10))</f>
        <v>-164.98918835931039</v>
      </c>
      <c r="D39" s="96" t="s">
        <v>245</v>
      </c>
      <c r="E39" s="96">
        <f>10*LOG10(10^((E35+E36)/10)+10^(E37/10))</f>
        <v>-164.98918835931039</v>
      </c>
      <c r="F39" s="96" t="s">
        <v>245</v>
      </c>
      <c r="G39" s="96">
        <f>10*LOG10(10^((G35+G36)/10)+10^(G37/10))</f>
        <v>-160.9583889004532</v>
      </c>
      <c r="H39" s="96" t="s">
        <v>245</v>
      </c>
      <c r="I39" s="96">
        <f>10*LOG10(10^((I35+I36)/10)+10^(I37/10))</f>
        <v>-160.9583889004532</v>
      </c>
    </row>
    <row r="40" spans="1:9" ht="30" x14ac:dyDescent="0.15">
      <c r="A40" s="97" t="s">
        <v>46</v>
      </c>
      <c r="B40" s="96">
        <f>10*LOG10(10^((B35+B36)/10)+10^(B38/10))</f>
        <v>-164.98918835931039</v>
      </c>
      <c r="C40" s="96" t="s">
        <v>245</v>
      </c>
      <c r="D40" s="96">
        <f>10*LOG10(10^((D35+D36)/10)+10^(D38/10))</f>
        <v>-164.98918835931039</v>
      </c>
      <c r="E40" s="96" t="s">
        <v>245</v>
      </c>
      <c r="F40" s="96">
        <f>10*LOG10(10^((F35+F36)/10)+10^(F38/10))</f>
        <v>-164.03352307536667</v>
      </c>
      <c r="G40" s="96" t="s">
        <v>245</v>
      </c>
      <c r="H40" s="96">
        <f>10*LOG10(10^((H35+H36)/10)+10^(H38/10))</f>
        <v>-164.03352307536667</v>
      </c>
      <c r="I40" s="96" t="s">
        <v>245</v>
      </c>
    </row>
    <row r="41" spans="1:9" ht="30" x14ac:dyDescent="0.15">
      <c r="A41" s="118" t="s">
        <v>26</v>
      </c>
      <c r="B41" s="84" t="s">
        <v>245</v>
      </c>
      <c r="C41" s="84">
        <f>[3]MaxN_RB!$F$7*12*30*1000</f>
        <v>18360000</v>
      </c>
      <c r="D41" s="84" t="s">
        <v>245</v>
      </c>
      <c r="E41" s="84">
        <f>[3]MaxN_RB!$F$7*12*30*1000</f>
        <v>18360000</v>
      </c>
      <c r="F41" s="93" t="s">
        <v>245</v>
      </c>
      <c r="G41" s="93">
        <f>1*12*30*1000</f>
        <v>360000</v>
      </c>
      <c r="H41" s="93" t="s">
        <v>245</v>
      </c>
      <c r="I41" s="93">
        <f>1*12*30*1000</f>
        <v>360000</v>
      </c>
    </row>
    <row r="42" spans="1:9" ht="30" x14ac:dyDescent="0.15">
      <c r="A42" s="118" t="s">
        <v>27</v>
      </c>
      <c r="B42" s="84">
        <f>[3]MaxN_RB!$F$7*12*30*1000</f>
        <v>18360000</v>
      </c>
      <c r="C42" s="93" t="s">
        <v>245</v>
      </c>
      <c r="D42" s="84">
        <f>[3]MaxN_RB!$F$7*12*30*1000</f>
        <v>18360000</v>
      </c>
      <c r="E42" s="93" t="s">
        <v>245</v>
      </c>
      <c r="F42" s="93">
        <f>4*12*30*1000</f>
        <v>1440000</v>
      </c>
      <c r="G42" s="93" t="s">
        <v>245</v>
      </c>
      <c r="H42" s="93">
        <f>4*12*30*1000</f>
        <v>1440000</v>
      </c>
      <c r="I42" s="93" t="s">
        <v>245</v>
      </c>
    </row>
    <row r="43" spans="1:9" ht="15" x14ac:dyDescent="0.15">
      <c r="A43" s="95" t="s">
        <v>28</v>
      </c>
      <c r="B43" s="96" t="s">
        <v>245</v>
      </c>
      <c r="C43" s="96">
        <f>C39+10*LOG10(C41)</f>
        <v>-92.350461590658156</v>
      </c>
      <c r="D43" s="96" t="s">
        <v>245</v>
      </c>
      <c r="E43" s="96">
        <f>E39+10*LOG10(E41)</f>
        <v>-92.350461590658156</v>
      </c>
      <c r="F43" s="96" t="s">
        <v>245</v>
      </c>
      <c r="G43" s="96">
        <f>G39+10*LOG10(G41)</f>
        <v>-105.39536389278032</v>
      </c>
      <c r="H43" s="96" t="s">
        <v>245</v>
      </c>
      <c r="I43" s="96">
        <f>I39+10*LOG10(I41)</f>
        <v>-105.39536389278032</v>
      </c>
    </row>
    <row r="44" spans="1:9" ht="15" x14ac:dyDescent="0.15">
      <c r="A44" s="95" t="s">
        <v>29</v>
      </c>
      <c r="B44" s="96">
        <f>B40+10*LOG10(B42)</f>
        <v>-92.350461590658156</v>
      </c>
      <c r="C44" s="96" t="s">
        <v>245</v>
      </c>
      <c r="D44" s="96">
        <f>D40+10*LOG10(D42)</f>
        <v>-92.350461590658156</v>
      </c>
      <c r="E44" s="96" t="s">
        <v>245</v>
      </c>
      <c r="F44" s="96">
        <f>F40+10*LOG10(F42)</f>
        <v>-102.44989815441417</v>
      </c>
      <c r="G44" s="96" t="s">
        <v>245</v>
      </c>
      <c r="H44" s="96">
        <f>H40+10*LOG10(H42)</f>
        <v>-102.44989815441417</v>
      </c>
      <c r="I44" s="96" t="s">
        <v>245</v>
      </c>
    </row>
    <row r="45" spans="1:9" ht="15" x14ac:dyDescent="0.15">
      <c r="A45" s="118" t="s">
        <v>30</v>
      </c>
      <c r="B45" s="84" t="s">
        <v>245</v>
      </c>
      <c r="C45" s="84">
        <v>-7.21</v>
      </c>
      <c r="D45" s="84" t="s">
        <v>245</v>
      </c>
      <c r="E45" s="84">
        <v>-7.35</v>
      </c>
      <c r="F45" s="84" t="s">
        <v>245</v>
      </c>
      <c r="G45" s="84">
        <v>-7.25</v>
      </c>
      <c r="H45" s="84" t="s">
        <v>245</v>
      </c>
      <c r="I45" s="84">
        <v>-7.55</v>
      </c>
    </row>
    <row r="46" spans="1:9" ht="15" x14ac:dyDescent="0.15">
      <c r="A46" s="118" t="s">
        <v>31</v>
      </c>
      <c r="B46" s="84">
        <v>-0.94</v>
      </c>
      <c r="C46" s="84" t="s">
        <v>245</v>
      </c>
      <c r="D46" s="84">
        <v>-1.94</v>
      </c>
      <c r="E46" s="84" t="s">
        <v>245</v>
      </c>
      <c r="F46" s="84">
        <v>3.35</v>
      </c>
      <c r="G46" s="84" t="s">
        <v>245</v>
      </c>
      <c r="H46" s="84">
        <v>2.2000000000000002</v>
      </c>
      <c r="I46" s="84" t="s">
        <v>245</v>
      </c>
    </row>
    <row r="47" spans="1:9" ht="15" x14ac:dyDescent="0.15">
      <c r="A47" s="118" t="s">
        <v>32</v>
      </c>
      <c r="B47" s="84">
        <v>2</v>
      </c>
      <c r="C47" s="93">
        <v>2</v>
      </c>
      <c r="D47" s="84">
        <v>2</v>
      </c>
      <c r="E47" s="93">
        <v>2</v>
      </c>
      <c r="F47" s="93">
        <v>2</v>
      </c>
      <c r="G47" s="93">
        <v>2</v>
      </c>
      <c r="H47" s="93">
        <v>2</v>
      </c>
      <c r="I47" s="93">
        <v>2</v>
      </c>
    </row>
    <row r="48" spans="1:9" ht="15" x14ac:dyDescent="0.15">
      <c r="A48" s="118" t="s">
        <v>33</v>
      </c>
      <c r="B48" s="84" t="s">
        <v>245</v>
      </c>
      <c r="C48" s="93">
        <v>0</v>
      </c>
      <c r="D48" s="84" t="s">
        <v>245</v>
      </c>
      <c r="E48" s="93">
        <v>0</v>
      </c>
      <c r="F48" s="93" t="s">
        <v>245</v>
      </c>
      <c r="G48" s="93">
        <v>0</v>
      </c>
      <c r="H48" s="93" t="s">
        <v>245</v>
      </c>
      <c r="I48" s="93">
        <v>0</v>
      </c>
    </row>
    <row r="49" spans="1:11" ht="15" x14ac:dyDescent="0.15">
      <c r="A49" s="118" t="s">
        <v>34</v>
      </c>
      <c r="B49" s="84">
        <v>0.5</v>
      </c>
      <c r="C49" s="93" t="s">
        <v>245</v>
      </c>
      <c r="D49" s="84">
        <v>0.5</v>
      </c>
      <c r="E49" s="93" t="s">
        <v>245</v>
      </c>
      <c r="F49" s="93">
        <v>0.5</v>
      </c>
      <c r="G49" s="93" t="s">
        <v>245</v>
      </c>
      <c r="H49" s="93">
        <v>0.5</v>
      </c>
      <c r="I49" s="93" t="s">
        <v>245</v>
      </c>
    </row>
    <row r="50" spans="1:11" ht="30" x14ac:dyDescent="0.15">
      <c r="A50" s="97" t="s">
        <v>47</v>
      </c>
      <c r="B50" s="96" t="s">
        <v>245</v>
      </c>
      <c r="C50" s="96">
        <f>C43+C45+C47-C48</f>
        <v>-97.56046159065815</v>
      </c>
      <c r="D50" s="96" t="s">
        <v>245</v>
      </c>
      <c r="E50" s="96">
        <f>E43+E45+E47-E48</f>
        <v>-97.700461590658151</v>
      </c>
      <c r="F50" s="96" t="s">
        <v>245</v>
      </c>
      <c r="G50" s="96">
        <f>G43+G45+G47-G48</f>
        <v>-110.64536389278032</v>
      </c>
      <c r="H50" s="96" t="s">
        <v>245</v>
      </c>
      <c r="I50" s="96">
        <f>I43+I45+I47-I48</f>
        <v>-110.94536389278032</v>
      </c>
    </row>
    <row r="51" spans="1:11" ht="30" x14ac:dyDescent="0.15">
      <c r="A51" s="97" t="s">
        <v>48</v>
      </c>
      <c r="B51" s="96">
        <f>B44+B46+B47-B49</f>
        <v>-91.790461590658154</v>
      </c>
      <c r="C51" s="96" t="s">
        <v>245</v>
      </c>
      <c r="D51" s="96">
        <f>D44+D46+D47-D49</f>
        <v>-92.790461590658154</v>
      </c>
      <c r="E51" s="96" t="s">
        <v>245</v>
      </c>
      <c r="F51" s="96">
        <f>F44+F46+F47-F49</f>
        <v>-97.599898154414177</v>
      </c>
      <c r="G51" s="96" t="s">
        <v>245</v>
      </c>
      <c r="H51" s="96">
        <f>H44+H46+H47-H49</f>
        <v>-98.749898154414169</v>
      </c>
      <c r="I51" s="96" t="s">
        <v>245</v>
      </c>
    </row>
    <row r="52" spans="1:11" ht="30" x14ac:dyDescent="0.15">
      <c r="A52" s="97" t="s">
        <v>101</v>
      </c>
      <c r="B52" s="96" t="s">
        <v>245</v>
      </c>
      <c r="C52" s="96">
        <f>C27+C32+C33-C50</f>
        <v>169.42648616472914</v>
      </c>
      <c r="D52" s="96" t="s">
        <v>245</v>
      </c>
      <c r="E52" s="96">
        <f>E27+E32+E33-E50</f>
        <v>169.56648616472916</v>
      </c>
      <c r="F52" s="96" t="s">
        <v>245</v>
      </c>
      <c r="G52" s="96">
        <f>G27+G32+G33-G50</f>
        <v>160.47837617981583</v>
      </c>
      <c r="H52" s="96" t="s">
        <v>245</v>
      </c>
      <c r="I52" s="96">
        <f>I27+I32+I33-I50</f>
        <v>160.77837617981584</v>
      </c>
    </row>
    <row r="53" spans="1:11" ht="33.75" customHeight="1" x14ac:dyDescent="0.15">
      <c r="A53" s="97" t="s">
        <v>102</v>
      </c>
      <c r="B53" s="96">
        <f>B28+B32+B33-B51</f>
        <v>163.65648616472913</v>
      </c>
      <c r="C53" s="96" t="s">
        <v>245</v>
      </c>
      <c r="D53" s="96">
        <f>D28+D32+D33-D51</f>
        <v>164.65648616472913</v>
      </c>
      <c r="E53" s="96" t="s">
        <v>245</v>
      </c>
      <c r="F53" s="96">
        <f>F28+F32+F33-F51</f>
        <v>147.43291044144968</v>
      </c>
      <c r="G53" s="96" t="s">
        <v>245</v>
      </c>
      <c r="H53" s="96">
        <f>H28+H32+H33-H51</f>
        <v>148.58291044144966</v>
      </c>
      <c r="I53" s="96" t="s">
        <v>245</v>
      </c>
      <c r="K53" s="101"/>
    </row>
    <row r="54" spans="1:11" x14ac:dyDescent="0.15">
      <c r="A54" s="91" t="s">
        <v>35</v>
      </c>
      <c r="B54" s="92"/>
      <c r="C54" s="92"/>
      <c r="D54" s="92"/>
      <c r="E54" s="92"/>
      <c r="F54" s="92"/>
      <c r="G54" s="92"/>
      <c r="H54" s="92"/>
      <c r="I54" s="92"/>
    </row>
    <row r="55" spans="1:11" ht="15" x14ac:dyDescent="0.15">
      <c r="A55" s="118" t="s">
        <v>36</v>
      </c>
      <c r="B55" s="93">
        <v>6</v>
      </c>
      <c r="C55" s="93">
        <v>6</v>
      </c>
      <c r="D55" s="154">
        <v>7</v>
      </c>
      <c r="E55" s="154">
        <v>7</v>
      </c>
      <c r="F55" s="93">
        <v>6</v>
      </c>
      <c r="G55" s="93">
        <v>6</v>
      </c>
      <c r="H55" s="154">
        <v>7</v>
      </c>
      <c r="I55" s="154">
        <v>7</v>
      </c>
    </row>
    <row r="56" spans="1:11" ht="30" x14ac:dyDescent="0.15">
      <c r="A56" s="118" t="s">
        <v>37</v>
      </c>
      <c r="B56" s="102" t="s">
        <v>245</v>
      </c>
      <c r="C56" s="93">
        <v>8.07</v>
      </c>
      <c r="D56" s="154" t="s">
        <v>57</v>
      </c>
      <c r="E56" s="154">
        <f>(8.22+6.9)/2</f>
        <v>7.5600000000000005</v>
      </c>
      <c r="F56" s="102" t="s">
        <v>245</v>
      </c>
      <c r="G56" s="93">
        <v>8.07</v>
      </c>
      <c r="H56" s="154" t="s">
        <v>334</v>
      </c>
      <c r="I56" s="154">
        <f>(8.22+6.9)/2</f>
        <v>7.5600000000000005</v>
      </c>
    </row>
    <row r="57" spans="1:11" ht="30" x14ac:dyDescent="0.15">
      <c r="A57" s="118" t="s">
        <v>38</v>
      </c>
      <c r="B57" s="93">
        <v>4.8499999999999996</v>
      </c>
      <c r="C57" s="102" t="s">
        <v>245</v>
      </c>
      <c r="D57" s="154">
        <f>(4.98+3.98)/2</f>
        <v>4.4800000000000004</v>
      </c>
      <c r="E57" s="154" t="s">
        <v>57</v>
      </c>
      <c r="F57" s="93">
        <v>4.8499999999999996</v>
      </c>
      <c r="G57" s="102" t="s">
        <v>245</v>
      </c>
      <c r="H57" s="154">
        <f>(4.98+3.98)/2</f>
        <v>4.4800000000000004</v>
      </c>
      <c r="I57" s="154" t="s">
        <v>57</v>
      </c>
    </row>
    <row r="58" spans="1:11" ht="15" x14ac:dyDescent="0.15">
      <c r="A58" s="118" t="s">
        <v>39</v>
      </c>
      <c r="B58" s="93">
        <v>0</v>
      </c>
      <c r="C58" s="93">
        <v>0</v>
      </c>
      <c r="D58" s="93">
        <v>0</v>
      </c>
      <c r="E58" s="93">
        <v>0</v>
      </c>
      <c r="F58" s="93">
        <v>0</v>
      </c>
      <c r="G58" s="93">
        <v>0</v>
      </c>
      <c r="H58" s="93">
        <v>0</v>
      </c>
      <c r="I58" s="93">
        <v>0</v>
      </c>
    </row>
    <row r="59" spans="1:11" ht="16.5" customHeight="1" x14ac:dyDescent="0.15">
      <c r="A59" s="118" t="s">
        <v>40</v>
      </c>
      <c r="B59" s="84">
        <v>9</v>
      </c>
      <c r="C59" s="84">
        <v>9</v>
      </c>
      <c r="D59" s="84">
        <f t="shared" ref="D59:I59" si="5">20+0.5*12.5</f>
        <v>26.25</v>
      </c>
      <c r="E59" s="84">
        <f t="shared" si="5"/>
        <v>26.25</v>
      </c>
      <c r="F59" s="84">
        <v>9</v>
      </c>
      <c r="G59" s="84">
        <v>9</v>
      </c>
      <c r="H59" s="84">
        <f t="shared" si="5"/>
        <v>26.25</v>
      </c>
      <c r="I59" s="84">
        <f t="shared" si="5"/>
        <v>26.25</v>
      </c>
    </row>
    <row r="60" spans="1:11" ht="15" x14ac:dyDescent="0.15">
      <c r="A60" s="118" t="s">
        <v>41</v>
      </c>
      <c r="B60" s="93">
        <v>0</v>
      </c>
      <c r="C60" s="93">
        <v>0</v>
      </c>
      <c r="D60" s="93">
        <v>0</v>
      </c>
      <c r="E60" s="93">
        <v>0</v>
      </c>
      <c r="F60" s="93">
        <v>0</v>
      </c>
      <c r="G60" s="93">
        <v>0</v>
      </c>
      <c r="H60" s="93">
        <v>0</v>
      </c>
      <c r="I60" s="93">
        <v>0</v>
      </c>
    </row>
    <row r="61" spans="1:11" ht="30" x14ac:dyDescent="0.15">
      <c r="A61" s="97" t="s">
        <v>257</v>
      </c>
      <c r="B61" s="96" t="s">
        <v>245</v>
      </c>
      <c r="C61" s="96">
        <f>C52-C56+C58-C59+C60-C34</f>
        <v>151.35648616472915</v>
      </c>
      <c r="D61" s="96" t="s">
        <v>245</v>
      </c>
      <c r="E61" s="96">
        <f>E52-E56+E58-E59+E60-E34</f>
        <v>134.75648616472915</v>
      </c>
      <c r="F61" s="96" t="s">
        <v>245</v>
      </c>
      <c r="G61" s="96">
        <f>G52-G56+G58-G59+G60-G34</f>
        <v>140.40837617981583</v>
      </c>
      <c r="H61" s="96" t="s">
        <v>245</v>
      </c>
      <c r="I61" s="96">
        <f>I52-I56+I58-I59+I60-I34</f>
        <v>123.96837617981583</v>
      </c>
    </row>
    <row r="62" spans="1:11" ht="30" x14ac:dyDescent="0.15">
      <c r="A62" s="97" t="s">
        <v>49</v>
      </c>
      <c r="B62" s="96">
        <f>B53-B57+B58-B59+B60-B34</f>
        <v>148.80648616472914</v>
      </c>
      <c r="C62" s="96" t="s">
        <v>245</v>
      </c>
      <c r="D62" s="96">
        <f>D53-D57+D58-D59+D60-D34</f>
        <v>132.92648616472914</v>
      </c>
      <c r="E62" s="96" t="s">
        <v>245</v>
      </c>
      <c r="F62" s="96">
        <f>F53-F57+F58-F59+F60-F34</f>
        <v>130.58291044144968</v>
      </c>
      <c r="G62" s="96" t="s">
        <v>245</v>
      </c>
      <c r="H62" s="96">
        <f>H53-H57+H58-H59+H60-H34</f>
        <v>114.85291044144967</v>
      </c>
      <c r="I62" s="96" t="s">
        <v>245</v>
      </c>
    </row>
    <row r="63" spans="1:11" x14ac:dyDescent="0.15">
      <c r="A63" s="91" t="s">
        <v>42</v>
      </c>
      <c r="B63" s="92"/>
      <c r="C63" s="92"/>
      <c r="D63" s="92"/>
      <c r="E63" s="92"/>
      <c r="F63" s="92"/>
      <c r="G63" s="92"/>
      <c r="H63" s="92"/>
      <c r="I63" s="92"/>
    </row>
    <row r="64" spans="1:11" ht="30" x14ac:dyDescent="0.15">
      <c r="A64" s="103" t="s">
        <v>43</v>
      </c>
      <c r="B64" s="93" t="s">
        <v>245</v>
      </c>
      <c r="C64" s="93">
        <f>10^((C61-161.04+7.1*LOG10(20)-7.5*LOG10(20)+(24.37-3.7*(20/C5)^2)*LOG10(C5)-20*LOG10(C4)+(3.2*(LOG10(17.625))^2-4.97)+0.6*(C6-1.5))/(43.42-3.1*LOG10(C5))+3)</f>
        <v>1651.0471928814359</v>
      </c>
      <c r="D64" s="93" t="s">
        <v>245</v>
      </c>
      <c r="E64" s="93">
        <f>10^((E61-161.04+7.1*LOG10(20)-7.5*LOG10(20)+(24.37-3.7*(20/E5)^2)*LOG10(E5)-20*LOG10(E4)+(3.2*(LOG10(17.625))^2-4.97)+0.6*(E6-1.5))/(43.42-3.1*LOG10(E5))+3)</f>
        <v>620.9536486239341</v>
      </c>
      <c r="F64" s="93" t="s">
        <v>245</v>
      </c>
      <c r="G64" s="93">
        <f>10^((G61-161.04+7.1*LOG10(20)-7.5*LOG10(20)+(24.37-3.7*(20/G5)^2)*LOG10(G5)-20*LOG10(G4)+(3.2*(LOG10(17.625))^2-4.97)+0.6*(G6-1.5))/(43.42-3.1*LOG10(G5))+3)</f>
        <v>866.28171478836111</v>
      </c>
      <c r="H64" s="93" t="s">
        <v>245</v>
      </c>
      <c r="I64" s="93">
        <f>10^((I61-161.04+7.1*LOG10(20)-7.5*LOG10(20)+(24.37-3.7*(20/I5)^2)*LOG10(I5)-20*LOG10(I4)+(3.2*(LOG10(17.625))^2-4.97)+0.6*(I6-1.5))/(43.42-3.1*LOG10(I5))+3)</f>
        <v>328.89126601039891</v>
      </c>
    </row>
    <row r="65" spans="1:11" ht="30" x14ac:dyDescent="0.15">
      <c r="A65" s="103" t="s">
        <v>44</v>
      </c>
      <c r="B65" s="93">
        <f>10^((B62-161.04+7.1*LOG10(20)-7.5*LOG10(20)+(24.37-3.7*(20/B5)^2)*LOG10(B5)-20*LOG10(B4)+(3.2*(LOG10(17.625))^2-4.97)+0.6*(B6-1.5))/(43.42-3.1*LOG10(B5))+3)</f>
        <v>1420.755612112278</v>
      </c>
      <c r="C65" s="93" t="s">
        <v>245</v>
      </c>
      <c r="D65" s="93">
        <f>10^((D62-161.04+7.1*LOG10(20)-7.5*LOG10(20)+(24.37-3.7*(20/D5)^2)*LOG10(D5)-20*LOG10(D4)+(3.2*(LOG10(17.625))^2-4.97)+0.6*(D6-1.5))/(43.42-3.1*LOG10(D5))+3)</f>
        <v>557.49350546249593</v>
      </c>
      <c r="E65" s="93" t="s">
        <v>245</v>
      </c>
      <c r="F65" s="93">
        <f>10^((F62-161.04+7.1*LOG10(20)-7.5*LOG10(20)+(24.37-3.7*(20/F5)^2)*LOG10(F5)-20*LOG10(F4)+(3.2*(LOG10(17.625))^2-4.97)+0.6*(F6-1.5))/(43.42-3.1*LOG10(F5))+3)</f>
        <v>485.60252648611601</v>
      </c>
      <c r="G65" s="93" t="s">
        <v>245</v>
      </c>
      <c r="H65" s="93">
        <f>10^((H62-161.04+7.1*LOG10(20)-7.5*LOG10(20)+(24.37-3.7*(20/H5)^2)*LOG10(H5)-20*LOG10(H4)+(3.2*(LOG10(17.625))^2-4.97)+0.6*(H6-1.5))/(43.42-3.1*LOG10(H5))+3)</f>
        <v>192.23790423121596</v>
      </c>
      <c r="I65" s="93" t="s">
        <v>245</v>
      </c>
      <c r="K65" s="104"/>
    </row>
    <row r="66" spans="1:11" ht="18" x14ac:dyDescent="0.15">
      <c r="A66" s="103" t="s">
        <v>258</v>
      </c>
      <c r="B66" s="93" t="s">
        <v>245</v>
      </c>
      <c r="C66" s="93">
        <f>PI()*(C64)^2</f>
        <v>8563845.960937934</v>
      </c>
      <c r="D66" s="93" t="s">
        <v>245</v>
      </c>
      <c r="E66" s="93">
        <f>PI()*(E64)^2</f>
        <v>1211346.0827815509</v>
      </c>
      <c r="F66" s="93" t="s">
        <v>245</v>
      </c>
      <c r="G66" s="93">
        <f>PI()*(G64)^2</f>
        <v>2357589.3867881959</v>
      </c>
      <c r="H66" s="93" t="s">
        <v>245</v>
      </c>
      <c r="I66" s="93">
        <f>PI()*(I64)^2</f>
        <v>339824.39614039013</v>
      </c>
    </row>
    <row r="67" spans="1:11" ht="18" x14ac:dyDescent="0.15">
      <c r="A67" s="103" t="s">
        <v>259</v>
      </c>
      <c r="B67" s="93">
        <f>PI()*(B65)^2</f>
        <v>6341450.8846986741</v>
      </c>
      <c r="C67" s="93" t="s">
        <v>245</v>
      </c>
      <c r="D67" s="93">
        <f>PI()*(D65)^2</f>
        <v>976403.88226399</v>
      </c>
      <c r="E67" s="93" t="s">
        <v>245</v>
      </c>
      <c r="F67" s="93">
        <f>PI()*(F65)^2</f>
        <v>740818.3784575999</v>
      </c>
      <c r="G67" s="93" t="s">
        <v>245</v>
      </c>
      <c r="H67" s="93">
        <f>PI()*(H65)^2</f>
        <v>116098.85029418243</v>
      </c>
      <c r="I67" s="93" t="s">
        <v>245</v>
      </c>
    </row>
    <row r="69" spans="1:11" x14ac:dyDescent="0.15">
      <c r="F69" s="102"/>
      <c r="G69" s="102"/>
      <c r="H69" s="102"/>
      <c r="I69" s="102"/>
    </row>
    <row r="72" spans="1:11" s="133" customFormat="1" ht="15" x14ac:dyDescent="0.15">
      <c r="B72" s="134"/>
      <c r="C72" s="134"/>
      <c r="D72" s="134"/>
      <c r="E72" s="134"/>
      <c r="F72" s="135"/>
      <c r="G72" s="135"/>
      <c r="H72" s="135"/>
      <c r="I72" s="135"/>
    </row>
  </sheetData>
  <mergeCells count="2">
    <mergeCell ref="B1:E1"/>
    <mergeCell ref="F1:I1"/>
  </mergeCells>
  <phoneticPr fontId="1" type="noConversion"/>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3</vt:i4>
      </vt:variant>
    </vt:vector>
  </HeadingPairs>
  <TitlesOfParts>
    <vt:vector size="19" baseType="lpstr">
      <vt:lpstr>General note</vt:lpstr>
      <vt:lpstr>InH-eMBB (4GHz, NR DDDSU)</vt:lpstr>
      <vt:lpstr>InH-eMBB (4GHz, NR DSUUD)</vt:lpstr>
      <vt:lpstr>InH-eMBB (4GHz, NR DDDSU DDSUU)</vt:lpstr>
      <vt:lpstr>InH-eMBB (4GHz, NR DDDDD DDSUU)</vt:lpstr>
      <vt:lpstr>DU-eMBB (4GHz, NR DDDSU)</vt:lpstr>
      <vt:lpstr>DU-eMBB (4GHz, NR DSUUD)</vt:lpstr>
      <vt:lpstr>DU-eMBB (4GHz, NR DDDSU DDSUU)</vt:lpstr>
      <vt:lpstr>DU-eMBB (4GHz, NR DDDDD DDSUU)</vt:lpstr>
      <vt:lpstr>Rural-eMBB (700MHz, NR FDD)</vt:lpstr>
      <vt:lpstr>Rural-eMBB (700 MHz, NR DSUUD)</vt:lpstr>
      <vt:lpstr>Rural(700MHz, NR DDDSU DDSUU)</vt:lpstr>
      <vt:lpstr>Rural(700MHz, NR DDDDD DDSUU)</vt:lpstr>
      <vt:lpstr>UMa-mMTC (NR FDD)</vt:lpstr>
      <vt:lpstr>UMa-URLLC (700MHz NR )</vt:lpstr>
      <vt:lpstr>MaxN_RB</vt:lpstr>
      <vt:lpstr>'InH-eMBB (4GHz, NR DDDDD DDSUU)'!OLE_LINK1</vt:lpstr>
      <vt:lpstr>'InH-eMBB (4GHz, NR DDDSU DDSUU)'!OLE_LINK1</vt:lpstr>
      <vt:lpstr>'InH-eMBB (4GHz, NR DDDSU)'!OLE_LINK1</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dingyang</dc:creator>
  <cp:lastModifiedBy>3GPP</cp:lastModifiedBy>
  <cp:lastPrinted>2006-01-19T03:50:08Z</cp:lastPrinted>
  <dcterms:created xsi:type="dcterms:W3CDTF">2003-11-11T03:59:45Z</dcterms:created>
  <dcterms:modified xsi:type="dcterms:W3CDTF">2019-06-05T12:15:40Z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(3)SrEJJzVwl2H4GVpJP9yF2wfGsTz8FpTwC39soTqQ0mj0b9foWp0qcyxkRyC2MA/dnXxcDF1k
wYCv14PLSlD0aVzqgmY/ER4LkSY4ILKr6z4I8QWMKPcuov9S3r9eL8PG5vqi8IHpP9pOpFS8
2Til91iLpZPosYbjQDH8cbQBjWiPBxQi0iBhFP89J78+bt/5IQmFzqNZ5eosHf62j6rZF4ga
AysEzVnPpQ+cy+5IP1</vt:lpwstr>
  </property>
  <property fmtid="{D5CDD505-2E9C-101B-9397-08002B2CF9AE}" pid="7" name="_2015_ms_pID_7253431">
    <vt:lpwstr>6ebC/WEpQXTqYQFqC5nwMlXU/kiGM7X08bB6w0ig1cADwoubRZqtvu
ufGwgqS0XyU0fj1P7IF7SfFTEbBDv8eTB0NwwrtoMyj1pv2XYvOn/N0HEb/fTDWmHBhs8E85
2/Sx4hHY+M4C8z3I8b1KZLqTfZPrMcWKSTdD3xdNq2P8xiRAr28e1YrDDcxUhykIfZShcmS4
Sv5B7VJkyTRzKHWsKjQ2c6wspeSDwbCRo7k0</vt:lpwstr>
  </property>
  <property fmtid="{D5CDD505-2E9C-101B-9397-08002B2CF9AE}" pid="8" name="_2015_ms_pID_7253432">
    <vt:lpwstr>4AtXH6hS0HGPDgMVTPKYmyc=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1558400932</vt:lpwstr>
  </property>
</Properties>
</file>