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bookViews>
    <workbookView xWindow="0" yWindow="465" windowWidth="32325" windowHeight="18645" tabRatio="729" firstSheet="6" activeTab="9"/>
  </bookViews>
  <sheets>
    <sheet name="General Notes" sheetId="15" r:id="rId1"/>
    <sheet name="InH-eMBB (4GHz, DSUUD)" sheetId="12" r:id="rId2"/>
    <sheet name="DU-eMBB (4GHz, DSUUD)" sheetId="13" r:id="rId3"/>
    <sheet name="Rural-eMBB (700MHz, FDD)" sheetId="6" r:id="rId4"/>
    <sheet name="Rural-LMLC (700 MHZ, DSUUD)" sheetId="30" r:id="rId5"/>
    <sheet name="Rural-eMBB (700MHz, DSUUD)" sheetId="14" r:id="rId6"/>
    <sheet name="Rural-eMBB (4GHz, DSUUD)" sheetId="32" r:id="rId7"/>
    <sheet name="UMa-URLLC (700MHz )" sheetId="3" r:id="rId8"/>
    <sheet name="UMa-URLLC (4GHz ) " sheetId="33" r:id="rId9"/>
    <sheet name="Uma-mMTC (IOT)" sheetId="29" r:id="rId10"/>
    <sheet name="MaxN_RB" sheetId="10" r:id="rId11"/>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9" i="29" l="1"/>
  <c r="L59" i="29"/>
  <c r="G59" i="29"/>
  <c r="F59" i="29"/>
  <c r="L42" i="29"/>
  <c r="J42" i="29"/>
  <c r="F42" i="29"/>
  <c r="D42" i="29"/>
  <c r="M41" i="29"/>
  <c r="K41" i="29"/>
  <c r="G41" i="29"/>
  <c r="E41" i="29"/>
  <c r="L40" i="29"/>
  <c r="L44" i="29" s="1"/>
  <c r="L51" i="29" s="1"/>
  <c r="J40" i="29"/>
  <c r="J44" i="29" s="1"/>
  <c r="J51" i="29" s="1"/>
  <c r="H40" i="29"/>
  <c r="H44" i="29" s="1"/>
  <c r="H51" i="29" s="1"/>
  <c r="F40" i="29"/>
  <c r="F44" i="29" s="1"/>
  <c r="F51" i="29" s="1"/>
  <c r="D40" i="29"/>
  <c r="D44" i="29" s="1"/>
  <c r="D51" i="29" s="1"/>
  <c r="B40" i="29"/>
  <c r="B44" i="29" s="1"/>
  <c r="B51" i="29" s="1"/>
  <c r="M39" i="29"/>
  <c r="M43" i="29" s="1"/>
  <c r="M50" i="29" s="1"/>
  <c r="K39" i="29"/>
  <c r="K43" i="29" s="1"/>
  <c r="K50" i="29" s="1"/>
  <c r="I39" i="29"/>
  <c r="I43" i="29" s="1"/>
  <c r="I50" i="29" s="1"/>
  <c r="G39" i="29"/>
  <c r="G43" i="29" s="1"/>
  <c r="G50" i="29" s="1"/>
  <c r="E39" i="29"/>
  <c r="E43" i="29" s="1"/>
  <c r="E50" i="29" s="1"/>
  <c r="C39" i="29"/>
  <c r="C43" i="29" s="1"/>
  <c r="C50" i="29" s="1"/>
  <c r="M33" i="29"/>
  <c r="L33" i="29"/>
  <c r="K33" i="29"/>
  <c r="J33" i="29"/>
  <c r="I33" i="29"/>
  <c r="H33" i="29"/>
  <c r="G33" i="29"/>
  <c r="F33" i="29"/>
  <c r="E33" i="29"/>
  <c r="D33" i="29"/>
  <c r="C33" i="29"/>
  <c r="B33" i="29"/>
  <c r="K27" i="29"/>
  <c r="K52" i="29" s="1"/>
  <c r="K61" i="29" s="1"/>
  <c r="K65" i="29" s="1"/>
  <c r="K67" i="29" s="1"/>
  <c r="D27" i="29"/>
  <c r="C27" i="29"/>
  <c r="M23" i="29"/>
  <c r="L23" i="29"/>
  <c r="K23" i="29"/>
  <c r="J23" i="29"/>
  <c r="I23" i="29"/>
  <c r="H23" i="29"/>
  <c r="G23" i="29"/>
  <c r="G28" i="29" s="1"/>
  <c r="F23" i="29"/>
  <c r="E23" i="29"/>
  <c r="D23" i="29"/>
  <c r="C23" i="29"/>
  <c r="B23" i="29"/>
  <c r="C22" i="29"/>
  <c r="B22" i="29"/>
  <c r="M21" i="29"/>
  <c r="M27" i="29" s="1"/>
  <c r="M52" i="29" s="1"/>
  <c r="M61" i="29" s="1"/>
  <c r="M65" i="29" s="1"/>
  <c r="M67" i="29" s="1"/>
  <c r="K21" i="29"/>
  <c r="K28" i="29" s="1"/>
  <c r="H21" i="29"/>
  <c r="H28" i="29" s="1"/>
  <c r="H53" i="29" s="1"/>
  <c r="H62" i="29" s="1"/>
  <c r="H66" i="29" s="1"/>
  <c r="H68" i="29" s="1"/>
  <c r="G21" i="29"/>
  <c r="G27" i="29" s="1"/>
  <c r="G52" i="29" s="1"/>
  <c r="G61" i="29" s="1"/>
  <c r="G65" i="29" s="1"/>
  <c r="G67" i="29" s="1"/>
  <c r="F21" i="29"/>
  <c r="F28" i="29" s="1"/>
  <c r="E21" i="29"/>
  <c r="E27" i="29" s="1"/>
  <c r="D21" i="29"/>
  <c r="D28" i="29" s="1"/>
  <c r="C21" i="29"/>
  <c r="C28" i="29" s="1"/>
  <c r="B21" i="29"/>
  <c r="B27" i="29" s="1"/>
  <c r="M20" i="29"/>
  <c r="L20" i="29"/>
  <c r="L21" i="29" s="1"/>
  <c r="K20" i="29"/>
  <c r="J20" i="29"/>
  <c r="J21" i="29" s="1"/>
  <c r="I20" i="29"/>
  <c r="I21" i="29" s="1"/>
  <c r="H20" i="29"/>
  <c r="L13" i="29"/>
  <c r="J13" i="29"/>
  <c r="H13" i="29"/>
  <c r="F13" i="29"/>
  <c r="D13" i="29"/>
  <c r="B13" i="29"/>
  <c r="I59" i="33"/>
  <c r="F59" i="33"/>
  <c r="H57" i="33"/>
  <c r="F57" i="33"/>
  <c r="D57" i="33"/>
  <c r="B57" i="33"/>
  <c r="I56" i="33"/>
  <c r="G56" i="33"/>
  <c r="E56" i="33"/>
  <c r="C56" i="33"/>
  <c r="H46" i="33"/>
  <c r="D46" i="33"/>
  <c r="G45" i="33"/>
  <c r="C45" i="33"/>
  <c r="M42" i="33"/>
  <c r="K42" i="33"/>
  <c r="H42" i="33"/>
  <c r="F42" i="33"/>
  <c r="D42" i="33"/>
  <c r="B42" i="33"/>
  <c r="L41" i="33"/>
  <c r="J41" i="33"/>
  <c r="I41" i="33"/>
  <c r="G41" i="33"/>
  <c r="E41" i="33"/>
  <c r="C41" i="33"/>
  <c r="M40" i="33"/>
  <c r="M44" i="33" s="1"/>
  <c r="M51" i="33" s="1"/>
  <c r="K40" i="33"/>
  <c r="K44" i="33" s="1"/>
  <c r="K51" i="33" s="1"/>
  <c r="H40" i="33"/>
  <c r="H44" i="33" s="1"/>
  <c r="H51" i="33" s="1"/>
  <c r="F40" i="33"/>
  <c r="F44" i="33" s="1"/>
  <c r="F51" i="33" s="1"/>
  <c r="D40" i="33"/>
  <c r="D44" i="33" s="1"/>
  <c r="D51" i="33" s="1"/>
  <c r="B40" i="33"/>
  <c r="B44" i="33" s="1"/>
  <c r="B51" i="33" s="1"/>
  <c r="L39" i="33"/>
  <c r="L43" i="33" s="1"/>
  <c r="L50" i="33" s="1"/>
  <c r="J39" i="33"/>
  <c r="J43" i="33" s="1"/>
  <c r="J50" i="33" s="1"/>
  <c r="I39" i="33"/>
  <c r="G39" i="33"/>
  <c r="G43" i="33" s="1"/>
  <c r="G50" i="33" s="1"/>
  <c r="E39" i="33"/>
  <c r="E43" i="33" s="1"/>
  <c r="E50" i="33" s="1"/>
  <c r="C39" i="33"/>
  <c r="C43" i="33" s="1"/>
  <c r="C50" i="33" s="1"/>
  <c r="M33" i="33"/>
  <c r="L33" i="33"/>
  <c r="K33" i="33"/>
  <c r="J33" i="33"/>
  <c r="I33" i="33"/>
  <c r="H33" i="33"/>
  <c r="G33" i="33"/>
  <c r="F33" i="33"/>
  <c r="E33" i="33"/>
  <c r="D33" i="33"/>
  <c r="C33" i="33"/>
  <c r="B33" i="33"/>
  <c r="I28" i="33"/>
  <c r="M27" i="33"/>
  <c r="M23" i="33"/>
  <c r="L23" i="33"/>
  <c r="K23" i="33"/>
  <c r="J23" i="33"/>
  <c r="I23" i="33"/>
  <c r="H23" i="33"/>
  <c r="H28" i="33" s="1"/>
  <c r="H53" i="33" s="1"/>
  <c r="H62" i="33" s="1"/>
  <c r="H65" i="33" s="1"/>
  <c r="H67" i="33" s="1"/>
  <c r="G23" i="33"/>
  <c r="F23" i="33"/>
  <c r="E23" i="33"/>
  <c r="D23" i="33"/>
  <c r="C23" i="33"/>
  <c r="B23" i="33"/>
  <c r="M21" i="33"/>
  <c r="M28" i="33" s="1"/>
  <c r="L21" i="33"/>
  <c r="L27" i="33" s="1"/>
  <c r="L52" i="33" s="1"/>
  <c r="L61" i="33" s="1"/>
  <c r="L64" i="33" s="1"/>
  <c r="L66" i="33" s="1"/>
  <c r="K21" i="33"/>
  <c r="K27" i="33" s="1"/>
  <c r="J21" i="33"/>
  <c r="J27" i="33" s="1"/>
  <c r="J52" i="33" s="1"/>
  <c r="J61" i="33" s="1"/>
  <c r="J64" i="33" s="1"/>
  <c r="J66" i="33" s="1"/>
  <c r="I21" i="33"/>
  <c r="I27" i="33" s="1"/>
  <c r="H21" i="33"/>
  <c r="H27" i="33" s="1"/>
  <c r="G21" i="33"/>
  <c r="G28" i="33" s="1"/>
  <c r="F21" i="33"/>
  <c r="F28" i="33" s="1"/>
  <c r="E21" i="33"/>
  <c r="E28" i="33" s="1"/>
  <c r="D21" i="33"/>
  <c r="D27" i="33" s="1"/>
  <c r="C21" i="33"/>
  <c r="C27" i="33" s="1"/>
  <c r="B21" i="33"/>
  <c r="B27" i="33" s="1"/>
  <c r="H13" i="33"/>
  <c r="F13" i="33"/>
  <c r="D13" i="33"/>
  <c r="B13" i="33"/>
  <c r="M10" i="33"/>
  <c r="M13" i="33" s="1"/>
  <c r="K10" i="33"/>
  <c r="K13" i="33" s="1"/>
  <c r="H10" i="33"/>
  <c r="F10" i="33"/>
  <c r="D10" i="33"/>
  <c r="B10" i="33"/>
  <c r="I59" i="3"/>
  <c r="F59" i="3"/>
  <c r="H57" i="3"/>
  <c r="F57" i="3"/>
  <c r="D57" i="3"/>
  <c r="B57" i="3"/>
  <c r="I56" i="3"/>
  <c r="G56" i="3"/>
  <c r="E56" i="3"/>
  <c r="C56" i="3"/>
  <c r="H46" i="3"/>
  <c r="D46" i="3"/>
  <c r="G45" i="3"/>
  <c r="C45" i="3"/>
  <c r="L43" i="3"/>
  <c r="L50" i="3" s="1"/>
  <c r="M42" i="3"/>
  <c r="K42" i="3"/>
  <c r="H42" i="3"/>
  <c r="F42" i="3"/>
  <c r="D42" i="3"/>
  <c r="B42" i="3"/>
  <c r="L41" i="3"/>
  <c r="J41" i="3"/>
  <c r="I41" i="3"/>
  <c r="G41" i="3"/>
  <c r="E41" i="3"/>
  <c r="C41" i="3"/>
  <c r="M40" i="3"/>
  <c r="M44" i="3" s="1"/>
  <c r="M51" i="3" s="1"/>
  <c r="K40" i="3"/>
  <c r="K44" i="3" s="1"/>
  <c r="K51" i="3" s="1"/>
  <c r="H40" i="3"/>
  <c r="H44" i="3" s="1"/>
  <c r="H51" i="3" s="1"/>
  <c r="F40" i="3"/>
  <c r="F44" i="3" s="1"/>
  <c r="F51" i="3" s="1"/>
  <c r="D40" i="3"/>
  <c r="D44" i="3" s="1"/>
  <c r="D51" i="3" s="1"/>
  <c r="B40" i="3"/>
  <c r="B44" i="3" s="1"/>
  <c r="B51" i="3" s="1"/>
  <c r="L39" i="3"/>
  <c r="J39" i="3"/>
  <c r="J43" i="3" s="1"/>
  <c r="J50" i="3" s="1"/>
  <c r="I39" i="3"/>
  <c r="I43" i="3" s="1"/>
  <c r="I50" i="3" s="1"/>
  <c r="G39" i="3"/>
  <c r="G43" i="3" s="1"/>
  <c r="G50" i="3" s="1"/>
  <c r="E39" i="3"/>
  <c r="E43" i="3" s="1"/>
  <c r="E50" i="3" s="1"/>
  <c r="C39" i="3"/>
  <c r="C43" i="3" s="1"/>
  <c r="C50" i="3" s="1"/>
  <c r="M33" i="3"/>
  <c r="L33" i="3"/>
  <c r="K33" i="3"/>
  <c r="J33" i="3"/>
  <c r="I33" i="3"/>
  <c r="H33" i="3"/>
  <c r="G33" i="3"/>
  <c r="F33" i="3"/>
  <c r="E33" i="3"/>
  <c r="D33" i="3"/>
  <c r="C33" i="3"/>
  <c r="B33" i="3"/>
  <c r="G28" i="3"/>
  <c r="M23" i="3"/>
  <c r="L23" i="3"/>
  <c r="K23" i="3"/>
  <c r="J23" i="3"/>
  <c r="I23" i="3"/>
  <c r="H23" i="3"/>
  <c r="G23" i="3"/>
  <c r="F23" i="3"/>
  <c r="F28" i="3" s="1"/>
  <c r="E23" i="3"/>
  <c r="D23" i="3"/>
  <c r="C23" i="3"/>
  <c r="B23" i="3"/>
  <c r="M21" i="3"/>
  <c r="M28" i="3" s="1"/>
  <c r="L21" i="3"/>
  <c r="L28" i="3" s="1"/>
  <c r="K21" i="3"/>
  <c r="K28" i="3" s="1"/>
  <c r="K53" i="3" s="1"/>
  <c r="K62" i="3" s="1"/>
  <c r="K65" i="3" s="1"/>
  <c r="K67" i="3" s="1"/>
  <c r="J21" i="3"/>
  <c r="J27" i="3" s="1"/>
  <c r="J52" i="3" s="1"/>
  <c r="J61" i="3" s="1"/>
  <c r="J64" i="3" s="1"/>
  <c r="J66" i="3" s="1"/>
  <c r="I21" i="3"/>
  <c r="I27" i="3" s="1"/>
  <c r="I52" i="3" s="1"/>
  <c r="I61" i="3" s="1"/>
  <c r="I64" i="3" s="1"/>
  <c r="I66" i="3" s="1"/>
  <c r="H21" i="3"/>
  <c r="H27" i="3" s="1"/>
  <c r="G21" i="3"/>
  <c r="G27" i="3" s="1"/>
  <c r="G52" i="3" s="1"/>
  <c r="G61" i="3" s="1"/>
  <c r="G64" i="3" s="1"/>
  <c r="G66" i="3" s="1"/>
  <c r="F21" i="3"/>
  <c r="F27" i="3" s="1"/>
  <c r="E21" i="3"/>
  <c r="E28" i="3" s="1"/>
  <c r="D21" i="3"/>
  <c r="D28" i="3" s="1"/>
  <c r="C21" i="3"/>
  <c r="C28" i="3" s="1"/>
  <c r="B21" i="3"/>
  <c r="B27" i="3" s="1"/>
  <c r="B13" i="3"/>
  <c r="M10" i="3"/>
  <c r="M13" i="3" s="1"/>
  <c r="K10" i="3"/>
  <c r="K13" i="3" s="1"/>
  <c r="H10" i="3"/>
  <c r="H13" i="3" s="1"/>
  <c r="F10" i="3"/>
  <c r="F13" i="3" s="1"/>
  <c r="D10" i="3"/>
  <c r="D13" i="3" s="1"/>
  <c r="B10" i="3"/>
  <c r="M50" i="32"/>
  <c r="L44" i="32"/>
  <c r="L51" i="32" s="1"/>
  <c r="L53" i="32" s="1"/>
  <c r="L63" i="32" s="1"/>
  <c r="L66" i="32" s="1"/>
  <c r="L68" i="32" s="1"/>
  <c r="M43" i="32"/>
  <c r="P42" i="32"/>
  <c r="N42" i="32"/>
  <c r="L42" i="32"/>
  <c r="J42" i="32"/>
  <c r="H42" i="32"/>
  <c r="F42" i="32"/>
  <c r="D42" i="32"/>
  <c r="B42" i="32"/>
  <c r="Q41" i="32"/>
  <c r="O41" i="32"/>
  <c r="M41" i="32"/>
  <c r="K41" i="32"/>
  <c r="I41" i="32"/>
  <c r="G41" i="32"/>
  <c r="E41" i="32"/>
  <c r="C41" i="32"/>
  <c r="P40" i="32"/>
  <c r="P44" i="32" s="1"/>
  <c r="P51" i="32" s="1"/>
  <c r="N40" i="32"/>
  <c r="N44" i="32" s="1"/>
  <c r="N51" i="32" s="1"/>
  <c r="L40" i="32"/>
  <c r="J40" i="32"/>
  <c r="J44" i="32" s="1"/>
  <c r="J51" i="32" s="1"/>
  <c r="H40" i="32"/>
  <c r="H44" i="32" s="1"/>
  <c r="H51" i="32" s="1"/>
  <c r="F40" i="32"/>
  <c r="F44" i="32" s="1"/>
  <c r="F51" i="32" s="1"/>
  <c r="D40" i="32"/>
  <c r="D44" i="32" s="1"/>
  <c r="D51" i="32" s="1"/>
  <c r="B40" i="32"/>
  <c r="B44" i="32" s="1"/>
  <c r="B51" i="32" s="1"/>
  <c r="Q39" i="32"/>
  <c r="Q43" i="32" s="1"/>
  <c r="Q50" i="32" s="1"/>
  <c r="O39" i="32"/>
  <c r="O43" i="32" s="1"/>
  <c r="O50" i="32" s="1"/>
  <c r="M39" i="32"/>
  <c r="K39" i="32"/>
  <c r="K43" i="32" s="1"/>
  <c r="K50" i="32" s="1"/>
  <c r="I39" i="32"/>
  <c r="I43" i="32" s="1"/>
  <c r="I50" i="32" s="1"/>
  <c r="G39" i="32"/>
  <c r="G43" i="32" s="1"/>
  <c r="G50" i="32" s="1"/>
  <c r="E39" i="32"/>
  <c r="E43" i="32" s="1"/>
  <c r="E50" i="32" s="1"/>
  <c r="C39" i="32"/>
  <c r="C43" i="32" s="1"/>
  <c r="C50" i="32" s="1"/>
  <c r="Q33" i="32"/>
  <c r="P33" i="32"/>
  <c r="O33" i="32"/>
  <c r="N33" i="32"/>
  <c r="M33" i="32"/>
  <c r="L33" i="32"/>
  <c r="K33" i="32"/>
  <c r="J33" i="32"/>
  <c r="I33" i="32"/>
  <c r="H33" i="32"/>
  <c r="G33" i="32"/>
  <c r="F33" i="32"/>
  <c r="E33" i="32"/>
  <c r="D33" i="32"/>
  <c r="C33" i="32"/>
  <c r="B33" i="32"/>
  <c r="Q23" i="32"/>
  <c r="P23" i="32"/>
  <c r="O23" i="32"/>
  <c r="N23" i="32"/>
  <c r="M23" i="32"/>
  <c r="L23" i="32"/>
  <c r="K23" i="32"/>
  <c r="J23" i="32"/>
  <c r="I23" i="32"/>
  <c r="H23" i="32"/>
  <c r="G23" i="32"/>
  <c r="F23" i="32"/>
  <c r="E23" i="32"/>
  <c r="D23" i="32"/>
  <c r="C23" i="32"/>
  <c r="B23" i="32"/>
  <c r="Q21" i="32"/>
  <c r="Q28" i="32" s="1"/>
  <c r="P21" i="32"/>
  <c r="P28" i="32" s="1"/>
  <c r="P53" i="32" s="1"/>
  <c r="P63" i="32" s="1"/>
  <c r="P66" i="32" s="1"/>
  <c r="P68" i="32" s="1"/>
  <c r="O21" i="32"/>
  <c r="O28" i="32" s="1"/>
  <c r="N21" i="32"/>
  <c r="N28" i="32" s="1"/>
  <c r="N53" i="32" s="1"/>
  <c r="N63" i="32" s="1"/>
  <c r="N66" i="32" s="1"/>
  <c r="N68" i="32" s="1"/>
  <c r="M21" i="32"/>
  <c r="M28" i="32" s="1"/>
  <c r="L21" i="32"/>
  <c r="L28" i="32" s="1"/>
  <c r="K21" i="32"/>
  <c r="K28" i="32" s="1"/>
  <c r="J21" i="32"/>
  <c r="J28" i="32" s="1"/>
  <c r="J53" i="32" s="1"/>
  <c r="J63" i="32" s="1"/>
  <c r="J66" i="32" s="1"/>
  <c r="J68" i="32" s="1"/>
  <c r="I21" i="32"/>
  <c r="I28" i="32" s="1"/>
  <c r="H21" i="32"/>
  <c r="H28" i="32" s="1"/>
  <c r="H53" i="32" s="1"/>
  <c r="H63" i="32" s="1"/>
  <c r="H66" i="32" s="1"/>
  <c r="H68" i="32" s="1"/>
  <c r="G21" i="32"/>
  <c r="G28" i="32" s="1"/>
  <c r="F21" i="32"/>
  <c r="F28" i="32" s="1"/>
  <c r="E21" i="32"/>
  <c r="E28" i="32" s="1"/>
  <c r="D21" i="32"/>
  <c r="D28" i="32" s="1"/>
  <c r="C21" i="32"/>
  <c r="C28" i="32" s="1"/>
  <c r="B21" i="32"/>
  <c r="B28" i="32" s="1"/>
  <c r="P10" i="32"/>
  <c r="P13" i="32" s="1"/>
  <c r="N10" i="32"/>
  <c r="N13" i="32" s="1"/>
  <c r="L10" i="32"/>
  <c r="L13" i="32" s="1"/>
  <c r="J10" i="32"/>
  <c r="J13" i="32" s="1"/>
  <c r="H10" i="32"/>
  <c r="H13" i="32" s="1"/>
  <c r="F10" i="32"/>
  <c r="F13" i="32" s="1"/>
  <c r="D10" i="32"/>
  <c r="D13" i="32" s="1"/>
  <c r="B10" i="32"/>
  <c r="B13" i="32" s="1"/>
  <c r="Q9" i="32"/>
  <c r="O9" i="32"/>
  <c r="M9" i="32"/>
  <c r="K9" i="32"/>
  <c r="I9" i="32"/>
  <c r="G9" i="32"/>
  <c r="E9" i="32"/>
  <c r="C9" i="32"/>
  <c r="L51" i="14"/>
  <c r="L44" i="14"/>
  <c r="P42" i="14"/>
  <c r="N42" i="14"/>
  <c r="L42" i="14"/>
  <c r="J42" i="14"/>
  <c r="H42" i="14"/>
  <c r="F42" i="14"/>
  <c r="D42" i="14"/>
  <c r="B42" i="14"/>
  <c r="Q41" i="14"/>
  <c r="O41" i="14"/>
  <c r="M41" i="14"/>
  <c r="K41" i="14"/>
  <c r="I41" i="14"/>
  <c r="G41" i="14"/>
  <c r="E41" i="14"/>
  <c r="C41" i="14"/>
  <c r="P40" i="14"/>
  <c r="P44" i="14" s="1"/>
  <c r="P51" i="14" s="1"/>
  <c r="N40" i="14"/>
  <c r="N44" i="14" s="1"/>
  <c r="N51" i="14" s="1"/>
  <c r="L40" i="14"/>
  <c r="J40" i="14"/>
  <c r="J44" i="14" s="1"/>
  <c r="J51" i="14" s="1"/>
  <c r="H40" i="14"/>
  <c r="H44" i="14" s="1"/>
  <c r="H51" i="14" s="1"/>
  <c r="F40" i="14"/>
  <c r="F44" i="14" s="1"/>
  <c r="F51" i="14" s="1"/>
  <c r="D40" i="14"/>
  <c r="D44" i="14" s="1"/>
  <c r="D51" i="14" s="1"/>
  <c r="B40" i="14"/>
  <c r="B44" i="14" s="1"/>
  <c r="B51" i="14" s="1"/>
  <c r="Q39" i="14"/>
  <c r="Q43" i="14" s="1"/>
  <c r="Q50" i="14" s="1"/>
  <c r="O39" i="14"/>
  <c r="O43" i="14" s="1"/>
  <c r="O50" i="14" s="1"/>
  <c r="M39" i="14"/>
  <c r="M43" i="14" s="1"/>
  <c r="M50" i="14" s="1"/>
  <c r="K39" i="14"/>
  <c r="K43" i="14" s="1"/>
  <c r="K50" i="14" s="1"/>
  <c r="I39" i="14"/>
  <c r="I43" i="14" s="1"/>
  <c r="I50" i="14" s="1"/>
  <c r="G39" i="14"/>
  <c r="G43" i="14" s="1"/>
  <c r="G50" i="14" s="1"/>
  <c r="E39" i="14"/>
  <c r="E43" i="14" s="1"/>
  <c r="E50" i="14" s="1"/>
  <c r="C39" i="14"/>
  <c r="C43" i="14" s="1"/>
  <c r="C50" i="14" s="1"/>
  <c r="Q33" i="14"/>
  <c r="P33" i="14"/>
  <c r="O33" i="14"/>
  <c r="N33" i="14"/>
  <c r="M33" i="14"/>
  <c r="L33" i="14"/>
  <c r="K33" i="14"/>
  <c r="J33" i="14"/>
  <c r="I33" i="14"/>
  <c r="H33" i="14"/>
  <c r="G33" i="14"/>
  <c r="F33" i="14"/>
  <c r="E33" i="14"/>
  <c r="D33" i="14"/>
  <c r="C33" i="14"/>
  <c r="B33" i="14"/>
  <c r="Q23" i="14"/>
  <c r="P23" i="14"/>
  <c r="O23" i="14"/>
  <c r="N23" i="14"/>
  <c r="M23" i="14"/>
  <c r="L23" i="14"/>
  <c r="K23" i="14"/>
  <c r="J23" i="14"/>
  <c r="I23" i="14"/>
  <c r="H23" i="14"/>
  <c r="G23" i="14"/>
  <c r="F23" i="14"/>
  <c r="E23" i="14"/>
  <c r="D23" i="14"/>
  <c r="C23" i="14"/>
  <c r="B23" i="14"/>
  <c r="Q21" i="14"/>
  <c r="Q28" i="14" s="1"/>
  <c r="P21" i="14"/>
  <c r="P28" i="14" s="1"/>
  <c r="P53" i="14" s="1"/>
  <c r="P63" i="14" s="1"/>
  <c r="P66" i="14" s="1"/>
  <c r="P68" i="14" s="1"/>
  <c r="O21" i="14"/>
  <c r="O28" i="14" s="1"/>
  <c r="N21" i="14"/>
  <c r="N28" i="14" s="1"/>
  <c r="M21" i="14"/>
  <c r="M28" i="14" s="1"/>
  <c r="L21" i="14"/>
  <c r="L28" i="14" s="1"/>
  <c r="L53" i="14" s="1"/>
  <c r="L63" i="14" s="1"/>
  <c r="L66" i="14" s="1"/>
  <c r="L68" i="14" s="1"/>
  <c r="K21" i="14"/>
  <c r="K28" i="14" s="1"/>
  <c r="J21" i="14"/>
  <c r="J28" i="14" s="1"/>
  <c r="J53" i="14" s="1"/>
  <c r="J63" i="14" s="1"/>
  <c r="J66" i="14" s="1"/>
  <c r="J68" i="14" s="1"/>
  <c r="I21" i="14"/>
  <c r="I28" i="14" s="1"/>
  <c r="H21" i="14"/>
  <c r="H28" i="14" s="1"/>
  <c r="G21" i="14"/>
  <c r="G28" i="14" s="1"/>
  <c r="F21" i="14"/>
  <c r="F28" i="14" s="1"/>
  <c r="E21" i="14"/>
  <c r="E28" i="14" s="1"/>
  <c r="D21" i="14"/>
  <c r="D28" i="14" s="1"/>
  <c r="C21" i="14"/>
  <c r="C28" i="14" s="1"/>
  <c r="B21" i="14"/>
  <c r="B28" i="14" s="1"/>
  <c r="B53" i="14" s="1"/>
  <c r="B63" i="14" s="1"/>
  <c r="B66" i="14" s="1"/>
  <c r="B68" i="14" s="1"/>
  <c r="L13" i="14"/>
  <c r="P10" i="14"/>
  <c r="P13" i="14" s="1"/>
  <c r="N10" i="14"/>
  <c r="N13" i="14" s="1"/>
  <c r="L10" i="14"/>
  <c r="J10" i="14"/>
  <c r="J13" i="14" s="1"/>
  <c r="H10" i="14"/>
  <c r="H13" i="14" s="1"/>
  <c r="F10" i="14"/>
  <c r="F13" i="14" s="1"/>
  <c r="D10" i="14"/>
  <c r="D13" i="14" s="1"/>
  <c r="B10" i="14"/>
  <c r="B13" i="14" s="1"/>
  <c r="Q9" i="14"/>
  <c r="O9" i="14"/>
  <c r="M9" i="14"/>
  <c r="K9" i="14"/>
  <c r="I9" i="14"/>
  <c r="G9" i="14"/>
  <c r="E9" i="14"/>
  <c r="C9" i="14"/>
  <c r="H42" i="30"/>
  <c r="F42" i="30"/>
  <c r="D42" i="30"/>
  <c r="D13" i="30" s="1"/>
  <c r="B42" i="30"/>
  <c r="I41" i="30"/>
  <c r="G41" i="30"/>
  <c r="E41" i="30"/>
  <c r="H40" i="30"/>
  <c r="H44" i="30" s="1"/>
  <c r="H51" i="30" s="1"/>
  <c r="F40" i="30"/>
  <c r="F44" i="30" s="1"/>
  <c r="F51" i="30" s="1"/>
  <c r="D40" i="30"/>
  <c r="B40" i="30"/>
  <c r="B44" i="30" s="1"/>
  <c r="B51" i="30" s="1"/>
  <c r="I39" i="30"/>
  <c r="I43" i="30" s="1"/>
  <c r="I50" i="30" s="1"/>
  <c r="G39" i="30"/>
  <c r="G43" i="30" s="1"/>
  <c r="G50" i="30" s="1"/>
  <c r="E39" i="30"/>
  <c r="E43" i="30" s="1"/>
  <c r="E50" i="30" s="1"/>
  <c r="C39" i="30"/>
  <c r="C43" i="30" s="1"/>
  <c r="C50" i="30" s="1"/>
  <c r="I33" i="30"/>
  <c r="H33" i="30"/>
  <c r="G33" i="30"/>
  <c r="F33" i="30"/>
  <c r="E33" i="30"/>
  <c r="D33" i="30"/>
  <c r="C33" i="30"/>
  <c r="B33" i="30"/>
  <c r="F28" i="30"/>
  <c r="F27" i="30"/>
  <c r="I23" i="30"/>
  <c r="H23" i="30"/>
  <c r="G23" i="30"/>
  <c r="F23" i="30"/>
  <c r="E23" i="30"/>
  <c r="D23" i="30"/>
  <c r="C23" i="30"/>
  <c r="B23" i="30"/>
  <c r="I21" i="30"/>
  <c r="I28" i="30" s="1"/>
  <c r="H21" i="30"/>
  <c r="H28" i="30" s="1"/>
  <c r="H53" i="30" s="1"/>
  <c r="H63" i="30" s="1"/>
  <c r="H66" i="30" s="1"/>
  <c r="H68" i="30" s="1"/>
  <c r="G21" i="30"/>
  <c r="G28" i="30" s="1"/>
  <c r="F21" i="30"/>
  <c r="E21" i="30"/>
  <c r="E28" i="30" s="1"/>
  <c r="D21" i="30"/>
  <c r="D28" i="30" s="1"/>
  <c r="C21" i="30"/>
  <c r="C28" i="30" s="1"/>
  <c r="B21" i="30"/>
  <c r="B28" i="30" s="1"/>
  <c r="B13" i="30"/>
  <c r="H10" i="30"/>
  <c r="H13" i="30" s="1"/>
  <c r="F10" i="30"/>
  <c r="F13" i="30" s="1"/>
  <c r="D10" i="30"/>
  <c r="B10" i="30"/>
  <c r="I9" i="30"/>
  <c r="G9" i="30"/>
  <c r="E9" i="30"/>
  <c r="C9" i="30"/>
  <c r="I59" i="6"/>
  <c r="H59" i="6"/>
  <c r="G59" i="6"/>
  <c r="F59" i="6"/>
  <c r="E59" i="6"/>
  <c r="D59" i="6"/>
  <c r="C59" i="6"/>
  <c r="B59" i="6"/>
  <c r="H42" i="6"/>
  <c r="F42" i="6"/>
  <c r="D42" i="6"/>
  <c r="B42" i="6"/>
  <c r="I41" i="6"/>
  <c r="G41" i="6"/>
  <c r="E41" i="6"/>
  <c r="C41" i="6"/>
  <c r="H40" i="6"/>
  <c r="H44" i="6" s="1"/>
  <c r="H51" i="6" s="1"/>
  <c r="F40" i="6"/>
  <c r="F44" i="6" s="1"/>
  <c r="F51" i="6" s="1"/>
  <c r="D40" i="6"/>
  <c r="D44" i="6" s="1"/>
  <c r="D51" i="6" s="1"/>
  <c r="B40" i="6"/>
  <c r="B44" i="6" s="1"/>
  <c r="B51" i="6" s="1"/>
  <c r="I39" i="6"/>
  <c r="I43" i="6" s="1"/>
  <c r="I50" i="6" s="1"/>
  <c r="G39" i="6"/>
  <c r="G43" i="6" s="1"/>
  <c r="G50" i="6" s="1"/>
  <c r="E39" i="6"/>
  <c r="E43" i="6" s="1"/>
  <c r="E50" i="6" s="1"/>
  <c r="C39" i="6"/>
  <c r="C43" i="6" s="1"/>
  <c r="C50" i="6" s="1"/>
  <c r="I33" i="6"/>
  <c r="H33" i="6"/>
  <c r="G33" i="6"/>
  <c r="F33" i="6"/>
  <c r="E33" i="6"/>
  <c r="D33" i="6"/>
  <c r="C33" i="6"/>
  <c r="B33" i="6"/>
  <c r="I23" i="6"/>
  <c r="H23" i="6"/>
  <c r="G23" i="6"/>
  <c r="F23" i="6"/>
  <c r="E23" i="6"/>
  <c r="D23" i="6"/>
  <c r="C23" i="6"/>
  <c r="B23" i="6"/>
  <c r="I21" i="6"/>
  <c r="I28" i="6" s="1"/>
  <c r="H21" i="6"/>
  <c r="H28" i="6" s="1"/>
  <c r="H53" i="6" s="1"/>
  <c r="H62" i="6" s="1"/>
  <c r="H65" i="6" s="1"/>
  <c r="H67" i="6" s="1"/>
  <c r="G21" i="6"/>
  <c r="G28" i="6" s="1"/>
  <c r="F21" i="6"/>
  <c r="F28" i="6" s="1"/>
  <c r="E21" i="6"/>
  <c r="E27" i="6" s="1"/>
  <c r="E52" i="6" s="1"/>
  <c r="E61" i="6" s="1"/>
  <c r="E64" i="6" s="1"/>
  <c r="E66" i="6" s="1"/>
  <c r="D21" i="6"/>
  <c r="D28" i="6" s="1"/>
  <c r="D53" i="6" s="1"/>
  <c r="D62" i="6" s="1"/>
  <c r="D65" i="6" s="1"/>
  <c r="D67" i="6" s="1"/>
  <c r="C21" i="6"/>
  <c r="C28" i="6" s="1"/>
  <c r="B21" i="6"/>
  <c r="B28" i="6" s="1"/>
  <c r="B53" i="6" s="1"/>
  <c r="B62" i="6" s="1"/>
  <c r="B65" i="6" s="1"/>
  <c r="B67" i="6" s="1"/>
  <c r="B13" i="6"/>
  <c r="H10" i="6"/>
  <c r="H13" i="6" s="1"/>
  <c r="F10" i="6"/>
  <c r="F13" i="6" s="1"/>
  <c r="D10" i="6"/>
  <c r="D13" i="6" s="1"/>
  <c r="B10" i="6"/>
  <c r="I9" i="6"/>
  <c r="G9" i="6"/>
  <c r="E9" i="6"/>
  <c r="C9" i="6"/>
  <c r="H57" i="13"/>
  <c r="D57" i="13"/>
  <c r="I56" i="13"/>
  <c r="E56" i="13"/>
  <c r="F44" i="13"/>
  <c r="F51" i="13" s="1"/>
  <c r="P42" i="13"/>
  <c r="N42" i="13"/>
  <c r="L42" i="13"/>
  <c r="J42" i="13"/>
  <c r="H42" i="13"/>
  <c r="F42" i="13"/>
  <c r="D42" i="13"/>
  <c r="B42" i="13"/>
  <c r="Q41" i="13"/>
  <c r="O41" i="13"/>
  <c r="M41" i="13"/>
  <c r="K41" i="13"/>
  <c r="I41" i="13"/>
  <c r="G41" i="13"/>
  <c r="E41" i="13"/>
  <c r="C41" i="13"/>
  <c r="P40" i="13"/>
  <c r="P44" i="13" s="1"/>
  <c r="P51" i="13" s="1"/>
  <c r="N40" i="13"/>
  <c r="N44" i="13" s="1"/>
  <c r="N51" i="13" s="1"/>
  <c r="L40" i="13"/>
  <c r="L44" i="13" s="1"/>
  <c r="L51" i="13" s="1"/>
  <c r="J40" i="13"/>
  <c r="J44" i="13" s="1"/>
  <c r="J51" i="13" s="1"/>
  <c r="H40" i="13"/>
  <c r="H44" i="13" s="1"/>
  <c r="H51" i="13" s="1"/>
  <c r="F40" i="13"/>
  <c r="D40" i="13"/>
  <c r="D44" i="13" s="1"/>
  <c r="D51" i="13" s="1"/>
  <c r="B40" i="13"/>
  <c r="B44" i="13" s="1"/>
  <c r="B51" i="13" s="1"/>
  <c r="Q39" i="13"/>
  <c r="Q43" i="13" s="1"/>
  <c r="Q50" i="13" s="1"/>
  <c r="O39" i="13"/>
  <c r="O43" i="13" s="1"/>
  <c r="O50" i="13" s="1"/>
  <c r="M39" i="13"/>
  <c r="M43" i="13" s="1"/>
  <c r="M50" i="13" s="1"/>
  <c r="K39" i="13"/>
  <c r="K43" i="13" s="1"/>
  <c r="K50" i="13" s="1"/>
  <c r="I39" i="13"/>
  <c r="I43" i="13" s="1"/>
  <c r="I50" i="13" s="1"/>
  <c r="G39" i="13"/>
  <c r="G43" i="13" s="1"/>
  <c r="G50" i="13" s="1"/>
  <c r="E39" i="13"/>
  <c r="E43" i="13" s="1"/>
  <c r="E50" i="13" s="1"/>
  <c r="C39" i="13"/>
  <c r="C43" i="13" s="1"/>
  <c r="C50" i="13" s="1"/>
  <c r="Q33" i="13"/>
  <c r="P33" i="13"/>
  <c r="O33" i="13"/>
  <c r="N33" i="13"/>
  <c r="M33" i="13"/>
  <c r="L33" i="13"/>
  <c r="K33" i="13"/>
  <c r="J33" i="13"/>
  <c r="I33" i="13"/>
  <c r="H33" i="13"/>
  <c r="G33" i="13"/>
  <c r="F33" i="13"/>
  <c r="E33" i="13"/>
  <c r="D33" i="13"/>
  <c r="C33" i="13"/>
  <c r="B33" i="13"/>
  <c r="Q23" i="13"/>
  <c r="P23" i="13"/>
  <c r="O23" i="13"/>
  <c r="N23" i="13"/>
  <c r="M23" i="13"/>
  <c r="L23" i="13"/>
  <c r="K23" i="13"/>
  <c r="J23" i="13"/>
  <c r="I23" i="13"/>
  <c r="H23" i="13"/>
  <c r="G23" i="13"/>
  <c r="F23" i="13"/>
  <c r="E23" i="13"/>
  <c r="D23" i="13"/>
  <c r="C23" i="13"/>
  <c r="B23" i="13"/>
  <c r="Q21" i="13"/>
  <c r="Q28" i="13" s="1"/>
  <c r="P21" i="13"/>
  <c r="P28" i="13" s="1"/>
  <c r="P53" i="13" s="1"/>
  <c r="P62" i="13" s="1"/>
  <c r="P65" i="13" s="1"/>
  <c r="P67" i="13" s="1"/>
  <c r="O21" i="13"/>
  <c r="O28" i="13" s="1"/>
  <c r="N21" i="13"/>
  <c r="N28" i="13" s="1"/>
  <c r="N53" i="13" s="1"/>
  <c r="N62" i="13" s="1"/>
  <c r="N65" i="13" s="1"/>
  <c r="N67" i="13" s="1"/>
  <c r="M21" i="13"/>
  <c r="M28" i="13" s="1"/>
  <c r="L21" i="13"/>
  <c r="L28" i="13" s="1"/>
  <c r="L53" i="13" s="1"/>
  <c r="L62" i="13" s="1"/>
  <c r="L65" i="13" s="1"/>
  <c r="L67" i="13" s="1"/>
  <c r="K21" i="13"/>
  <c r="K28" i="13" s="1"/>
  <c r="J21" i="13"/>
  <c r="J28" i="13" s="1"/>
  <c r="J53" i="13" s="1"/>
  <c r="J62" i="13" s="1"/>
  <c r="J65" i="13" s="1"/>
  <c r="J67" i="13" s="1"/>
  <c r="I21" i="13"/>
  <c r="I28" i="13" s="1"/>
  <c r="H21" i="13"/>
  <c r="H28" i="13" s="1"/>
  <c r="H53" i="13" s="1"/>
  <c r="H62" i="13" s="1"/>
  <c r="H65" i="13" s="1"/>
  <c r="H67" i="13" s="1"/>
  <c r="G21" i="13"/>
  <c r="G28" i="13" s="1"/>
  <c r="F21" i="13"/>
  <c r="F28" i="13" s="1"/>
  <c r="F53" i="13" s="1"/>
  <c r="F62" i="13" s="1"/>
  <c r="F65" i="13" s="1"/>
  <c r="F67" i="13" s="1"/>
  <c r="E21" i="13"/>
  <c r="E28" i="13" s="1"/>
  <c r="D21" i="13"/>
  <c r="D27" i="13" s="1"/>
  <c r="C21" i="13"/>
  <c r="C28" i="13" s="1"/>
  <c r="B21" i="13"/>
  <c r="B28" i="13" s="1"/>
  <c r="B53" i="13" s="1"/>
  <c r="B62" i="13" s="1"/>
  <c r="B65" i="13" s="1"/>
  <c r="B67" i="13" s="1"/>
  <c r="P10" i="13"/>
  <c r="P13" i="13" s="1"/>
  <c r="N10" i="13"/>
  <c r="N13" i="13" s="1"/>
  <c r="L10" i="13"/>
  <c r="L13" i="13" s="1"/>
  <c r="J10" i="13"/>
  <c r="J13" i="13" s="1"/>
  <c r="H10" i="13"/>
  <c r="H13" i="13" s="1"/>
  <c r="F10" i="13"/>
  <c r="F13" i="13" s="1"/>
  <c r="D10" i="13"/>
  <c r="D13" i="13" s="1"/>
  <c r="B10" i="13"/>
  <c r="B13" i="13" s="1"/>
  <c r="Q9" i="13"/>
  <c r="O9" i="13"/>
  <c r="M9" i="13"/>
  <c r="K9" i="13"/>
  <c r="I9" i="13"/>
  <c r="G9" i="13"/>
  <c r="E9" i="13"/>
  <c r="C9" i="13"/>
  <c r="H42" i="12"/>
  <c r="F42" i="12"/>
  <c r="D42" i="12"/>
  <c r="B42" i="12"/>
  <c r="I41" i="12"/>
  <c r="G41" i="12"/>
  <c r="E41" i="12"/>
  <c r="C41" i="12"/>
  <c r="H40" i="12"/>
  <c r="H44" i="12" s="1"/>
  <c r="H51" i="12" s="1"/>
  <c r="F40" i="12"/>
  <c r="F44" i="12" s="1"/>
  <c r="F51" i="12" s="1"/>
  <c r="D40" i="12"/>
  <c r="D44" i="12" s="1"/>
  <c r="D51" i="12" s="1"/>
  <c r="B40" i="12"/>
  <c r="B44" i="12" s="1"/>
  <c r="B51" i="12" s="1"/>
  <c r="I39" i="12"/>
  <c r="I43" i="12" s="1"/>
  <c r="I50" i="12" s="1"/>
  <c r="G39" i="12"/>
  <c r="G43" i="12" s="1"/>
  <c r="G50" i="12" s="1"/>
  <c r="E39" i="12"/>
  <c r="E43" i="12" s="1"/>
  <c r="E50" i="12" s="1"/>
  <c r="C39" i="12"/>
  <c r="C43" i="12" s="1"/>
  <c r="C50" i="12" s="1"/>
  <c r="I33" i="12"/>
  <c r="H33" i="12"/>
  <c r="G33" i="12"/>
  <c r="F33" i="12"/>
  <c r="E33" i="12"/>
  <c r="D33" i="12"/>
  <c r="C33" i="12"/>
  <c r="B33" i="12"/>
  <c r="I23" i="12"/>
  <c r="H23" i="12"/>
  <c r="G23" i="12"/>
  <c r="F23" i="12"/>
  <c r="E23" i="12"/>
  <c r="D23" i="12"/>
  <c r="C23" i="12"/>
  <c r="B23" i="12"/>
  <c r="I21" i="12"/>
  <c r="I28" i="12" s="1"/>
  <c r="H21" i="12"/>
  <c r="H28" i="12" s="1"/>
  <c r="H53" i="12" s="1"/>
  <c r="H63" i="12" s="1"/>
  <c r="H66" i="12" s="1"/>
  <c r="H68" i="12" s="1"/>
  <c r="G21" i="12"/>
  <c r="G28" i="12" s="1"/>
  <c r="F21" i="12"/>
  <c r="F27" i="12" s="1"/>
  <c r="E21" i="12"/>
  <c r="E27" i="12" s="1"/>
  <c r="E52" i="12" s="1"/>
  <c r="E62" i="12" s="1"/>
  <c r="E65" i="12" s="1"/>
  <c r="E67" i="12" s="1"/>
  <c r="D21" i="12"/>
  <c r="D28" i="12" s="1"/>
  <c r="D53" i="12" s="1"/>
  <c r="D63" i="12" s="1"/>
  <c r="D66" i="12" s="1"/>
  <c r="D68" i="12" s="1"/>
  <c r="C21" i="12"/>
  <c r="C28" i="12" s="1"/>
  <c r="B21" i="12"/>
  <c r="B28" i="12" s="1"/>
  <c r="B53" i="12" s="1"/>
  <c r="B63" i="12" s="1"/>
  <c r="B66" i="12" s="1"/>
  <c r="B68" i="12" s="1"/>
  <c r="B13" i="12"/>
  <c r="H10" i="12"/>
  <c r="H13" i="12" s="1"/>
  <c r="F10" i="12"/>
  <c r="F13" i="12" s="1"/>
  <c r="D10" i="12"/>
  <c r="D13" i="12" s="1"/>
  <c r="B10" i="12"/>
  <c r="I9" i="12"/>
  <c r="G9" i="12"/>
  <c r="E9" i="12"/>
  <c r="C9" i="12"/>
  <c r="F53" i="6" l="1"/>
  <c r="F62" i="6" s="1"/>
  <c r="F65" i="6" s="1"/>
  <c r="F67" i="6" s="1"/>
  <c r="C27" i="12"/>
  <c r="C52" i="12" s="1"/>
  <c r="C62" i="12" s="1"/>
  <c r="C65" i="12" s="1"/>
  <c r="C67" i="12" s="1"/>
  <c r="E28" i="12"/>
  <c r="F28" i="12"/>
  <c r="F53" i="12" s="1"/>
  <c r="F63" i="12" s="1"/>
  <c r="F66" i="12" s="1"/>
  <c r="F68" i="12" s="1"/>
  <c r="F27" i="13"/>
  <c r="N27" i="13"/>
  <c r="F27" i="6"/>
  <c r="B53" i="30"/>
  <c r="B63" i="30" s="1"/>
  <c r="B66" i="30" s="1"/>
  <c r="B68" i="30" s="1"/>
  <c r="G27" i="14"/>
  <c r="G52" i="14" s="1"/>
  <c r="G62" i="14" s="1"/>
  <c r="G65" i="14" s="1"/>
  <c r="G67" i="14" s="1"/>
  <c r="F53" i="3"/>
  <c r="F62" i="3" s="1"/>
  <c r="F65" i="3" s="1"/>
  <c r="F67" i="3" s="1"/>
  <c r="C27" i="3"/>
  <c r="C52" i="3" s="1"/>
  <c r="C61" i="3" s="1"/>
  <c r="C64" i="3" s="1"/>
  <c r="C66" i="3" s="1"/>
  <c r="E27" i="33"/>
  <c r="E52" i="33" s="1"/>
  <c r="E61" i="33" s="1"/>
  <c r="E64" i="33" s="1"/>
  <c r="E66" i="33" s="1"/>
  <c r="C52" i="29"/>
  <c r="C61" i="29" s="1"/>
  <c r="C65" i="29" s="1"/>
  <c r="C67" i="29" s="1"/>
  <c r="D28" i="13"/>
  <c r="D53" i="13" s="1"/>
  <c r="D62" i="13" s="1"/>
  <c r="D65" i="13" s="1"/>
  <c r="D67" i="13" s="1"/>
  <c r="G27" i="12"/>
  <c r="G52" i="12" s="1"/>
  <c r="G62" i="12" s="1"/>
  <c r="G65" i="12" s="1"/>
  <c r="G67" i="12" s="1"/>
  <c r="G27" i="13"/>
  <c r="G52" i="13" s="1"/>
  <c r="G61" i="13" s="1"/>
  <c r="G64" i="13" s="1"/>
  <c r="G66" i="13" s="1"/>
  <c r="O27" i="13"/>
  <c r="O52" i="13" s="1"/>
  <c r="O61" i="13" s="1"/>
  <c r="O64" i="13" s="1"/>
  <c r="O66" i="13" s="1"/>
  <c r="G27" i="6"/>
  <c r="G52" i="6" s="1"/>
  <c r="G61" i="6" s="1"/>
  <c r="G64" i="6" s="1"/>
  <c r="G66" i="6" s="1"/>
  <c r="F53" i="30"/>
  <c r="F63" i="30" s="1"/>
  <c r="F66" i="30" s="1"/>
  <c r="F68" i="30" s="1"/>
  <c r="D44" i="30"/>
  <c r="D51" i="30" s="1"/>
  <c r="D53" i="30" s="1"/>
  <c r="D63" i="30" s="1"/>
  <c r="D66" i="30" s="1"/>
  <c r="D68" i="30" s="1"/>
  <c r="O27" i="14"/>
  <c r="O52" i="14" s="1"/>
  <c r="O62" i="14" s="1"/>
  <c r="O65" i="14" s="1"/>
  <c r="O67" i="14" s="1"/>
  <c r="B53" i="32"/>
  <c r="B63" i="32" s="1"/>
  <c r="B66" i="32" s="1"/>
  <c r="B68" i="32" s="1"/>
  <c r="G27" i="32"/>
  <c r="G52" i="32" s="1"/>
  <c r="G62" i="32" s="1"/>
  <c r="G65" i="32" s="1"/>
  <c r="G67" i="32" s="1"/>
  <c r="K27" i="3"/>
  <c r="C52" i="33"/>
  <c r="C61" i="33" s="1"/>
  <c r="C64" i="33" s="1"/>
  <c r="C66" i="33" s="1"/>
  <c r="L27" i="13"/>
  <c r="E27" i="13"/>
  <c r="E52" i="13" s="1"/>
  <c r="E61" i="13" s="1"/>
  <c r="E64" i="13" s="1"/>
  <c r="E66" i="13" s="1"/>
  <c r="E28" i="6"/>
  <c r="L27" i="29"/>
  <c r="L28" i="29"/>
  <c r="L53" i="29" s="1"/>
  <c r="L62" i="29" s="1"/>
  <c r="L66" i="29" s="1"/>
  <c r="L68" i="29" s="1"/>
  <c r="H27" i="12"/>
  <c r="H27" i="13"/>
  <c r="P27" i="13"/>
  <c r="H27" i="6"/>
  <c r="D53" i="14"/>
  <c r="D63" i="14" s="1"/>
  <c r="D66" i="14" s="1"/>
  <c r="D68" i="14" s="1"/>
  <c r="O27" i="32"/>
  <c r="O52" i="32" s="1"/>
  <c r="O62" i="32" s="1"/>
  <c r="O65" i="32" s="1"/>
  <c r="O67" i="32" s="1"/>
  <c r="D53" i="3"/>
  <c r="D62" i="3" s="1"/>
  <c r="D65" i="3" s="1"/>
  <c r="D67" i="3" s="1"/>
  <c r="I43" i="33"/>
  <c r="I50" i="33" s="1"/>
  <c r="I52" i="33" s="1"/>
  <c r="I61" i="33" s="1"/>
  <c r="I64" i="33" s="1"/>
  <c r="I66" i="33" s="1"/>
  <c r="D27" i="12"/>
  <c r="M27" i="13"/>
  <c r="M52" i="13" s="1"/>
  <c r="M61" i="13" s="1"/>
  <c r="M64" i="13" s="1"/>
  <c r="M66" i="13" s="1"/>
  <c r="I27" i="12"/>
  <c r="I52" i="12" s="1"/>
  <c r="I62" i="12" s="1"/>
  <c r="I65" i="12" s="1"/>
  <c r="I67" i="12" s="1"/>
  <c r="I27" i="13"/>
  <c r="I52" i="13" s="1"/>
  <c r="I61" i="13" s="1"/>
  <c r="I64" i="13" s="1"/>
  <c r="I66" i="13" s="1"/>
  <c r="Q27" i="13"/>
  <c r="Q52" i="13" s="1"/>
  <c r="Q61" i="13" s="1"/>
  <c r="Q64" i="13" s="1"/>
  <c r="Q66" i="13" s="1"/>
  <c r="I27" i="6"/>
  <c r="I52" i="6" s="1"/>
  <c r="I61" i="6" s="1"/>
  <c r="I64" i="6" s="1"/>
  <c r="I66" i="6" s="1"/>
  <c r="D53" i="32"/>
  <c r="D63" i="32" s="1"/>
  <c r="D66" i="32" s="1"/>
  <c r="D68" i="32" s="1"/>
  <c r="M53" i="3"/>
  <c r="M62" i="3" s="1"/>
  <c r="M65" i="3" s="1"/>
  <c r="M67" i="3" s="1"/>
  <c r="M53" i="33"/>
  <c r="M62" i="33" s="1"/>
  <c r="M65" i="33" s="1"/>
  <c r="M67" i="33" s="1"/>
  <c r="D53" i="29"/>
  <c r="D62" i="29" s="1"/>
  <c r="D66" i="29" s="1"/>
  <c r="D68" i="29" s="1"/>
  <c r="B27" i="12"/>
  <c r="B27" i="13"/>
  <c r="J27" i="13"/>
  <c r="B27" i="6"/>
  <c r="F53" i="14"/>
  <c r="F63" i="14" s="1"/>
  <c r="F66" i="14" s="1"/>
  <c r="F68" i="14" s="1"/>
  <c r="N53" i="14"/>
  <c r="N63" i="14" s="1"/>
  <c r="N66" i="14" s="1"/>
  <c r="N68" i="14" s="1"/>
  <c r="F53" i="33"/>
  <c r="F62" i="33" s="1"/>
  <c r="F65" i="33" s="1"/>
  <c r="F67" i="33" s="1"/>
  <c r="I28" i="29"/>
  <c r="I27" i="29"/>
  <c r="I52" i="29" s="1"/>
  <c r="I61" i="29" s="1"/>
  <c r="I65" i="29" s="1"/>
  <c r="I67" i="29" s="1"/>
  <c r="E52" i="29"/>
  <c r="E61" i="29" s="1"/>
  <c r="E65" i="29" s="1"/>
  <c r="E67" i="29" s="1"/>
  <c r="C27" i="13"/>
  <c r="C52" i="13" s="1"/>
  <c r="C61" i="13" s="1"/>
  <c r="C64" i="13" s="1"/>
  <c r="C66" i="13" s="1"/>
  <c r="K27" i="13"/>
  <c r="K52" i="13" s="1"/>
  <c r="K61" i="13" s="1"/>
  <c r="K64" i="13" s="1"/>
  <c r="K66" i="13" s="1"/>
  <c r="C27" i="6"/>
  <c r="C52" i="6" s="1"/>
  <c r="C61" i="6" s="1"/>
  <c r="C64" i="6" s="1"/>
  <c r="C66" i="6" s="1"/>
  <c r="F53" i="32"/>
  <c r="F63" i="32" s="1"/>
  <c r="F66" i="32" s="1"/>
  <c r="F68" i="32" s="1"/>
  <c r="J27" i="29"/>
  <c r="J28" i="29"/>
  <c r="J53" i="29" s="1"/>
  <c r="J62" i="29" s="1"/>
  <c r="J66" i="29" s="1"/>
  <c r="J68" i="29" s="1"/>
  <c r="F53" i="29"/>
  <c r="F62" i="29" s="1"/>
  <c r="F66" i="29" s="1"/>
  <c r="F68" i="29" s="1"/>
  <c r="D27" i="6"/>
  <c r="H53" i="14"/>
  <c r="H63" i="14" s="1"/>
  <c r="H66" i="14" s="1"/>
  <c r="H68" i="14" s="1"/>
  <c r="G27" i="30"/>
  <c r="G52" i="30" s="1"/>
  <c r="G62" i="30" s="1"/>
  <c r="G65" i="30" s="1"/>
  <c r="G67" i="30" s="1"/>
  <c r="H27" i="14"/>
  <c r="P27" i="14"/>
  <c r="H27" i="32"/>
  <c r="P27" i="32"/>
  <c r="D27" i="3"/>
  <c r="L27" i="3"/>
  <c r="L52" i="3" s="1"/>
  <c r="L61" i="3" s="1"/>
  <c r="L64" i="3" s="1"/>
  <c r="L66" i="3" s="1"/>
  <c r="H28" i="3"/>
  <c r="H53" i="3" s="1"/>
  <c r="H62" i="3" s="1"/>
  <c r="H65" i="3" s="1"/>
  <c r="H67" i="3" s="1"/>
  <c r="F27" i="33"/>
  <c r="B28" i="33"/>
  <c r="B53" i="33" s="1"/>
  <c r="B62" i="33" s="1"/>
  <c r="B65" i="33" s="1"/>
  <c r="B67" i="33" s="1"/>
  <c r="J28" i="33"/>
  <c r="F27" i="29"/>
  <c r="B28" i="29"/>
  <c r="B53" i="29" s="1"/>
  <c r="B62" i="29" s="1"/>
  <c r="B66" i="29" s="1"/>
  <c r="B68" i="29" s="1"/>
  <c r="H27" i="30"/>
  <c r="I27" i="14"/>
  <c r="I52" i="14" s="1"/>
  <c r="I62" i="14" s="1"/>
  <c r="I65" i="14" s="1"/>
  <c r="I67" i="14" s="1"/>
  <c r="Q27" i="14"/>
  <c r="Q52" i="14" s="1"/>
  <c r="Q62" i="14" s="1"/>
  <c r="Q65" i="14" s="1"/>
  <c r="Q67" i="14" s="1"/>
  <c r="I27" i="32"/>
  <c r="I52" i="32" s="1"/>
  <c r="I62" i="32" s="1"/>
  <c r="I65" i="32" s="1"/>
  <c r="I67" i="32" s="1"/>
  <c r="Q27" i="32"/>
  <c r="Q52" i="32" s="1"/>
  <c r="Q62" i="32" s="1"/>
  <c r="Q65" i="32" s="1"/>
  <c r="Q67" i="32" s="1"/>
  <c r="E27" i="3"/>
  <c r="E52" i="3" s="1"/>
  <c r="E61" i="3" s="1"/>
  <c r="E64" i="3" s="1"/>
  <c r="E66" i="3" s="1"/>
  <c r="M27" i="3"/>
  <c r="I28" i="3"/>
  <c r="G27" i="33"/>
  <c r="G52" i="33" s="1"/>
  <c r="G61" i="33" s="1"/>
  <c r="G64" i="33" s="1"/>
  <c r="G66" i="33" s="1"/>
  <c r="C28" i="33"/>
  <c r="K28" i="33"/>
  <c r="K53" i="33" s="1"/>
  <c r="K62" i="33" s="1"/>
  <c r="K65" i="33" s="1"/>
  <c r="K67" i="33" s="1"/>
  <c r="I27" i="30"/>
  <c r="I52" i="30" s="1"/>
  <c r="I62" i="30" s="1"/>
  <c r="I65" i="30" s="1"/>
  <c r="I67" i="30" s="1"/>
  <c r="B27" i="14"/>
  <c r="J27" i="14"/>
  <c r="B27" i="32"/>
  <c r="J27" i="32"/>
  <c r="B28" i="3"/>
  <c r="B53" i="3" s="1"/>
  <c r="B62" i="3" s="1"/>
  <c r="B65" i="3" s="1"/>
  <c r="B67" i="3" s="1"/>
  <c r="J28" i="3"/>
  <c r="D28" i="33"/>
  <c r="D53" i="33" s="1"/>
  <c r="D62" i="33" s="1"/>
  <c r="D65" i="33" s="1"/>
  <c r="D67" i="33" s="1"/>
  <c r="L28" i="33"/>
  <c r="H27" i="29"/>
  <c r="B27" i="30"/>
  <c r="C27" i="14"/>
  <c r="C52" i="14" s="1"/>
  <c r="C62" i="14" s="1"/>
  <c r="C65" i="14" s="1"/>
  <c r="C67" i="14" s="1"/>
  <c r="K27" i="14"/>
  <c r="K52" i="14" s="1"/>
  <c r="K62" i="14" s="1"/>
  <c r="K65" i="14" s="1"/>
  <c r="K67" i="14" s="1"/>
  <c r="C27" i="32"/>
  <c r="C52" i="32" s="1"/>
  <c r="C62" i="32" s="1"/>
  <c r="C65" i="32" s="1"/>
  <c r="C67" i="32" s="1"/>
  <c r="K27" i="32"/>
  <c r="K52" i="32" s="1"/>
  <c r="K62" i="32" s="1"/>
  <c r="K65" i="32" s="1"/>
  <c r="K67" i="32" s="1"/>
  <c r="E28" i="29"/>
  <c r="M28" i="29"/>
  <c r="C27" i="30"/>
  <c r="C52" i="30" s="1"/>
  <c r="C62" i="30" s="1"/>
  <c r="C65" i="30" s="1"/>
  <c r="C67" i="30" s="1"/>
  <c r="D27" i="14"/>
  <c r="L27" i="14"/>
  <c r="D27" i="32"/>
  <c r="L27" i="32"/>
  <c r="D27" i="30"/>
  <c r="E27" i="14"/>
  <c r="E52" i="14" s="1"/>
  <c r="E62" i="14" s="1"/>
  <c r="E65" i="14" s="1"/>
  <c r="E67" i="14" s="1"/>
  <c r="M27" i="14"/>
  <c r="M52" i="14" s="1"/>
  <c r="M62" i="14" s="1"/>
  <c r="M65" i="14" s="1"/>
  <c r="M67" i="14" s="1"/>
  <c r="E27" i="32"/>
  <c r="E52" i="32" s="1"/>
  <c r="E62" i="32" s="1"/>
  <c r="E65" i="32" s="1"/>
  <c r="E67" i="32" s="1"/>
  <c r="M27" i="32"/>
  <c r="M52" i="32" s="1"/>
  <c r="M62" i="32" s="1"/>
  <c r="M65" i="32" s="1"/>
  <c r="M67" i="32" s="1"/>
  <c r="E27" i="30"/>
  <c r="E52" i="30" s="1"/>
  <c r="E62" i="30" s="1"/>
  <c r="E65" i="30" s="1"/>
  <c r="E67" i="30" s="1"/>
  <c r="F27" i="14"/>
  <c r="N27" i="14"/>
  <c r="F27" i="32"/>
  <c r="N27" i="32"/>
</calcChain>
</file>

<file path=xl/sharedStrings.xml><?xml version="1.0" encoding="utf-8"?>
<sst xmlns="http://schemas.openxmlformats.org/spreadsheetml/2006/main" count="2559" uniqueCount="232">
  <si>
    <t>Item</t>
  </si>
  <si>
    <t>System configuration</t>
  </si>
  <si>
    <t>Carrier frequency (GHz)</t>
  </si>
  <si>
    <t>BS antenna heights (m)</t>
  </si>
  <si>
    <t>UT antenna heights (m)</t>
  </si>
  <si>
    <t>Transmission bit rate for control channel (bit/s)</t>
  </si>
  <si>
    <t>Transmission bit rate for data channel (bit/s)</t>
  </si>
  <si>
    <t>Target packet error rate for the required SNR in item (19a) for control channel</t>
  </si>
  <si>
    <t>Target packet error rate for the required SNR in item (19b) for data channel</t>
  </si>
  <si>
    <t>Feeder loss (dB)</t>
  </si>
  <si>
    <t>Transmitter</t>
  </si>
  <si>
    <t>(2) Maximal transmit power per antenna (dBm)</t>
  </si>
  <si>
    <t>(4) Transmitter antenna gain (dBi)</t>
  </si>
  <si>
    <t>(5) Transmitter array gain (depends on transmitter array configurations and technologies such as adaptive beam forming, CDD (cyclic delay diversity), etc.) (dB)</t>
  </si>
  <si>
    <t>(6) Control channel power boosting gain (dB)</t>
  </si>
  <si>
    <t>(7) Data channel power loss due to pilot/control boosting (dB)</t>
  </si>
  <si>
    <t>(8) Cable, connector, combiner, body losses, etc. (enumerate sources) (dB) (feeder loss must be included for and only for downlink)</t>
  </si>
  <si>
    <t>(9a) Control channel EIRP = (3) + (4) + (5) + (6) – (8) dBm</t>
  </si>
  <si>
    <t>(9b) Data channel EIRP = (3) + (4) + (5) – (7) – (8)  dBm</t>
  </si>
  <si>
    <t>Receiver</t>
  </si>
  <si>
    <t>(11) Receiver antenna gain (dBi)</t>
  </si>
  <si>
    <t>(12) Cable, connector, combiner, body losses, etc. (enumerate sources) (dB) (feeder loss must be included for and only for uplink)</t>
  </si>
  <si>
    <t>(13) Receiver noise figure (dB)</t>
  </si>
  <si>
    <t>(14) Thermal noise density (dBm/Hz)</t>
  </si>
  <si>
    <t xml:space="preserve">(15b) Receiver interference density for data channel (dBm/Hz) </t>
  </si>
  <si>
    <t>(17a) Occupied channel bandwidth for control channel (for meeting the requirements of the traffic type) (Hz)</t>
  </si>
  <si>
    <t>(17b) Occupied channel bandwidth for data channel (for meeting the requirements of the traffic type) (Hz)</t>
  </si>
  <si>
    <t>(18a) Effective noise power for control channel = (16a) + 10 log((17a)) dBm</t>
  </si>
  <si>
    <t>(18b) Effective noise power for data channel = (16b) + 10 log((17b)) dBm</t>
  </si>
  <si>
    <t xml:space="preserve">(19a) Required SNR for the control channel (dB) </t>
  </si>
  <si>
    <t xml:space="preserve">(19b) Required SNR for the data channel (dB) </t>
  </si>
  <si>
    <t>(20) Receiver implementation margin (dB)</t>
  </si>
  <si>
    <t>(21a) H-ARQ gain for control channel (dB)</t>
  </si>
  <si>
    <t>(21b) H-ARQ gain for data channel (dB)</t>
  </si>
  <si>
    <t>Calculation of available pathloss</t>
  </si>
  <si>
    <t>(24) Lognormal shadow fading std deviation (dB)</t>
  </si>
  <si>
    <t>(25a) Shadow fading margin for control channel (function of the cell area reliability and (24)) (dB)</t>
  </si>
  <si>
    <t xml:space="preserve">(25b) Shadow fading margin for data channel (function of the cell area reliability and (24)) (dB) </t>
  </si>
  <si>
    <t>(26) BS selection/macro-diversity gain (dB)</t>
  </si>
  <si>
    <t>(27) Penetration margin (dB)</t>
  </si>
  <si>
    <t>(28) Other gains (dB) (if any please specify)</t>
  </si>
  <si>
    <t>Range/coverage efficiency calculation</t>
  </si>
  <si>
    <t>(30a) Maximum range for control channel (based on (29a) and according to the system configuration section of the link budget) (m)</t>
  </si>
  <si>
    <t>(30b) Maximum range for data channel (based on (29b) and according to the system configuration section of the link budget) (m)</t>
  </si>
  <si>
    <t>(22a) Receiver sensitivity for control channel         = (18a) + (19a) + (20) – (21a)  dBm</t>
  </si>
  <si>
    <t>(22b) Receiver sensitivity for data channel          = (18b) + (19b) + (20) – (21b)  dBm</t>
  </si>
  <si>
    <t>(29b) Available path loss for data channel           = (23b) – (25b) + (26) – (27) + (28) – (12)   dB</t>
  </si>
  <si>
    <t>DL</t>
    <phoneticPr fontId="1" type="noConversion"/>
  </si>
  <si>
    <t>UL</t>
    <phoneticPr fontId="1" type="noConversion"/>
  </si>
  <si>
    <t>(29a) Available path loss for control channel          = (23a) – (25a) + (26) – (27) + (28) – (12)   dB</t>
    <phoneticPr fontId="1" type="noConversion"/>
  </si>
  <si>
    <t>-</t>
    <phoneticPr fontId="1" type="noConversion"/>
  </si>
  <si>
    <t>FR1</t>
    <phoneticPr fontId="7" type="noConversion"/>
  </si>
  <si>
    <t>SCS (kHz)</t>
  </si>
  <si>
    <t>5MHz</t>
  </si>
  <si>
    <t>10MHz</t>
  </si>
  <si>
    <t>15MHz</t>
  </si>
  <si>
    <t>20 MHz</t>
  </si>
  <si>
    <t>25 MHz</t>
  </si>
  <si>
    <t>30 MHz</t>
  </si>
  <si>
    <t>40 MHz</t>
  </si>
  <si>
    <t>50MHz</t>
  </si>
  <si>
    <t>60 MHz</t>
  </si>
  <si>
    <t>80 MHz</t>
  </si>
  <si>
    <t>90 MHz</t>
  </si>
  <si>
    <t>100 MHz</t>
  </si>
  <si>
    <t>MHz</t>
  </si>
  <si>
    <r>
      <t>N</t>
    </r>
    <r>
      <rPr>
        <b/>
        <vertAlign val="subscript"/>
        <sz val="9"/>
        <color theme="1"/>
        <rFont val="Arial"/>
        <family val="2"/>
      </rPr>
      <t>RB</t>
    </r>
  </si>
  <si>
    <t>N/A</t>
  </si>
  <si>
    <t>N.A</t>
  </si>
  <si>
    <t>FR2</t>
    <phoneticPr fontId="7" type="noConversion"/>
  </si>
  <si>
    <t>SCS [kHz]</t>
  </si>
  <si>
    <t>50 MHz</t>
  </si>
  <si>
    <t>100 MHz</t>
  </si>
  <si>
    <t>200 MHz</t>
  </si>
  <si>
    <t>400 MHz</t>
  </si>
  <si>
    <t>(10) Number of receive antennas (The number shall be within the indicated range in § 8.4 of Report ITU-R M.2412-0)</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</si>
  <si>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</si>
  <si>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</si>
  <si>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UE speed (km/h)</t>
    <phoneticPr fontId="1" type="noConversion"/>
  </si>
  <si>
    <t>(11bis) Receiver array gain (depends on transmitter array configurations and technologies such as adaptive beam forming, etc.) (dB)</t>
    <phoneticPr fontId="1" type="noConversion"/>
  </si>
  <si>
    <t>Break point</t>
    <phoneticPr fontId="1" type="noConversion"/>
  </si>
  <si>
    <t>(11bis) Receiver array gain (depends on transmitter array configurations and technologies such as adaptive beam forming, etc.) (dB)</t>
    <phoneticPr fontId="1" type="noConversion"/>
  </si>
  <si>
    <t>-</t>
  </si>
  <si>
    <t>-</t>
    <phoneticPr fontId="1" type="noConversion"/>
  </si>
  <si>
    <t>-</t>
    <phoneticPr fontId="1" type="noConversion"/>
  </si>
  <si>
    <r>
      <t>Spectral efficiency</t>
    </r>
    <r>
      <rPr>
        <vertAlign val="superscript"/>
        <sz val="10"/>
        <color theme="1"/>
        <rFont val="Times New Roman"/>
        <family val="1"/>
      </rPr>
      <t>(2)</t>
    </r>
    <r>
      <rPr>
        <sz val="11"/>
        <color theme="1"/>
        <rFont val="Times New Roman"/>
        <family val="1"/>
      </rPr>
      <t xml:space="preserve"> (bit/s/Hz)</t>
    </r>
  </si>
  <si>
    <r>
      <t>Pathloss model</t>
    </r>
    <r>
      <rPr>
        <vertAlign val="superscript"/>
        <sz val="10"/>
        <color theme="1"/>
        <rFont val="Times New Roman"/>
        <family val="1"/>
      </rPr>
      <t>(3)</t>
    </r>
    <r>
      <rPr>
        <sz val="11"/>
        <color theme="1"/>
        <rFont val="Times New Roman"/>
        <family val="1"/>
      </rPr>
      <t xml:space="preserve"> (select from LoS or NLoS)</t>
    </r>
  </si>
  <si>
    <t>(23a) Hardware link budget for control channel          = (9a) + (11) + (11bis) − (22a)   dB</t>
  </si>
  <si>
    <t>(23b) Hardware link budget for data channel           = (9b) + (11) + (11bis) − (22b)  dB</t>
  </si>
  <si>
    <r>
      <t>Penetration Loss std deviation (dB)</t>
    </r>
    <r>
      <rPr>
        <vertAlign val="superscript"/>
        <sz val="11"/>
        <color theme="1"/>
        <rFont val="Times New Roman"/>
        <family val="1"/>
      </rPr>
      <t>(ii)</t>
    </r>
  </si>
  <si>
    <r>
      <t>(31a) Coverage Area for control channel = (π (30a)</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</si>
  <si>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r>
      <t>(31b) Coverage Area for data channel = (π (30b)</t>
    </r>
    <r>
      <rPr>
        <vertAlign val="superscript"/>
        <sz val="11"/>
        <color theme="1"/>
        <rFont val="Times New Roman"/>
        <family val="1"/>
      </rPr>
      <t>2</t>
    </r>
    <r>
      <rPr>
        <sz val="11"/>
        <color theme="1"/>
        <rFont val="Times New Roman"/>
        <family val="1"/>
      </rPr>
      <t>) (m</t>
    </r>
    <r>
      <rPr>
        <vertAlign val="superscript"/>
        <sz val="11"/>
        <color theme="1"/>
        <rFont val="Times New Roman"/>
        <family val="1"/>
      </rPr>
      <t>2</t>
    </r>
    <r>
      <rPr>
        <sz val="11"/>
        <color theme="1"/>
        <rFont val="Times New Roman"/>
        <family val="1"/>
      </rPr>
      <t>/site)</t>
    </r>
  </si>
  <si>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</si>
  <si>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</si>
  <si>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</si>
  <si>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</si>
  <si>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(23a) Hardware link budget for control channel          = (9a) + (11) + (11bis)  − (22a)   dB</t>
  </si>
  <si>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</si>
  <si>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</si>
  <si>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</si>
  <si>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</si>
  <si>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</si>
  <si>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</si>
  <si>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DL</t>
  </si>
  <si>
    <t>UL</t>
  </si>
  <si>
    <t>LOS</t>
    <phoneticPr fontId="1" type="noConversion"/>
  </si>
  <si>
    <t>NLOS</t>
    <phoneticPr fontId="1" type="noConversion"/>
  </si>
  <si>
    <t>(1bis) Number of transmit antenna ports</t>
    <phoneticPr fontId="1" type="noConversion"/>
  </si>
  <si>
    <t>-</t>
    <phoneticPr fontId="1" type="noConversion"/>
  </si>
  <si>
    <t>NLOS</t>
    <phoneticPr fontId="1" type="noConversion"/>
  </si>
  <si>
    <t>NLOS O-to-I</t>
    <phoneticPr fontId="1" type="noConversion"/>
  </si>
  <si>
    <t>DL</t>
    <phoneticPr fontId="1" type="noConversion"/>
  </si>
  <si>
    <t>UL</t>
    <phoneticPr fontId="1" type="noConversion"/>
  </si>
  <si>
    <t>-</t>
    <phoneticPr fontId="1" type="noConversion"/>
  </si>
  <si>
    <t>NLOS</t>
    <phoneticPr fontId="1" type="noConversion"/>
  </si>
  <si>
    <t>NLOS O-to-I</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</si>
  <si>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</si>
  <si>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</si>
  <si>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</si>
  <si>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</si>
  <si>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(11bis) Receiver array gain (depends on transmitter array configurations and technologies such as adaptive beam forming, etc.) (dB)</t>
    <phoneticPr fontId="1" type="noConversion"/>
  </si>
  <si>
    <t>(22b) Receiver sensitivity for data channel          = (18b) + (19b) + (20) – (21b)  dBm</t>
    <phoneticPr fontId="1" type="noConversion"/>
  </si>
  <si>
    <t>(23a) Hardware link budget for control channel          = (9a) + (11) + (11bis) − (22a)   dB</t>
    <phoneticPr fontId="1" type="noConversion"/>
  </si>
  <si>
    <t>(23b) Hardware link budget for data channel           = (9b) + (11) + (11bis) − (22b)  dB</t>
    <phoneticPr fontId="1" type="noConversion"/>
  </si>
  <si>
    <t>(29a) Available path loss for control channel          = (23a) – (25a) + (26) – (27) + (28) – (12)   dB</t>
    <phoneticPr fontId="1" type="noConversion"/>
  </si>
  <si>
    <t>DL</t>
    <phoneticPr fontId="1" type="noConversion"/>
  </si>
  <si>
    <t>UL</t>
    <phoneticPr fontId="1" type="noConversion"/>
  </si>
  <si>
    <t>UE speed (km/h)</t>
    <phoneticPr fontId="1" type="noConversion"/>
  </si>
  <si>
    <t>(1) Number of transmit antennas. (The number shall be within the indicated range in  § 8.4 of Report ITU-R M.2412-0)</t>
    <phoneticPr fontId="1" type="noConversion"/>
  </si>
  <si>
    <t>(3) Total transmit power = function of (1) and (2) (dBm) (The value shall not exceed the indicated value in § 8.4 of Report ITU-R M.2412-0)</t>
    <phoneticPr fontId="1" type="noConversion"/>
  </si>
  <si>
    <t>(10) Number of receive antennas (The number shall be within the indicated range in § 8.4 of Report ITU-R M.2412-0)</t>
    <phoneticPr fontId="1" type="noConversion"/>
  </si>
  <si>
    <t>(11bis) Receiver array gain (depends on transmitter array configurations and technologies such as adaptive beam forming, etc.) (dB)</t>
    <phoneticPr fontId="1" type="noConversion"/>
  </si>
  <si>
    <t>(29a) Available path loss for control channel          = (23a) – (25a) + (26) – (27) + (28) – (12)   dB</t>
    <phoneticPr fontId="1" type="noConversion"/>
  </si>
  <si>
    <t>(30a) Maximum range for control channel (based on (29a) and according to the system configuration section of the link budget) (m)</t>
    <phoneticPr fontId="1" type="noConversion"/>
  </si>
  <si>
    <t>(30b) Maximum range for data channel (based on (29b) and according to the system configuration section of the link budget) (m)</t>
    <phoneticPr fontId="1" type="noConversion"/>
  </si>
  <si>
    <t>(1bis) Number of transmit antenna ports</t>
    <phoneticPr fontId="1" type="noConversion"/>
  </si>
  <si>
    <t>(10bis) Number of receive antenna ports</t>
    <phoneticPr fontId="1" type="noConversion"/>
  </si>
  <si>
    <t>(1bis) Number of transmit antennas</t>
    <phoneticPr fontId="1" type="noConversion"/>
  </si>
  <si>
    <t>(10bis) Number of receive antennas</t>
    <phoneticPr fontId="1" type="noConversion"/>
  </si>
  <si>
    <t>(10bis) Number of receive antenna ports</t>
    <phoneticPr fontId="1" type="noConversion"/>
  </si>
  <si>
    <t>(1bis) Number of transmit antenna ports</t>
    <phoneticPr fontId="1" type="noConversion"/>
  </si>
  <si>
    <t>(10bis) Number of receive antenna ports</t>
    <phoneticPr fontId="1" type="noConversion"/>
  </si>
  <si>
    <t>-</t>
    <phoneticPr fontId="1" type="noConversion"/>
  </si>
  <si>
    <t>-</t>
    <phoneticPr fontId="1" type="noConversion"/>
  </si>
  <si>
    <t>s</t>
    <phoneticPr fontId="1" type="noConversion"/>
  </si>
  <si>
    <t>DL</t>
    <phoneticPr fontId="1" type="noConversion"/>
  </si>
  <si>
    <t>UL</t>
    <phoneticPr fontId="1" type="noConversion"/>
  </si>
  <si>
    <t>s</t>
    <phoneticPr fontId="1" type="noConversion"/>
  </si>
  <si>
    <t>c</t>
    <phoneticPr fontId="1" type="noConversion"/>
  </si>
  <si>
    <t>-</t>
    <phoneticPr fontId="1" type="noConversion"/>
  </si>
  <si>
    <t>-</t>
    <phoneticPr fontId="1" type="noConversion"/>
  </si>
  <si>
    <t>LOS</t>
    <phoneticPr fontId="1" type="noConversion"/>
  </si>
  <si>
    <t>-</t>
    <phoneticPr fontId="1" type="noConversion"/>
  </si>
  <si>
    <t>LOS</t>
  </si>
  <si>
    <t>LOS O-to-I</t>
  </si>
  <si>
    <t>-</t>
    <phoneticPr fontId="1" type="noConversion"/>
  </si>
  <si>
    <t>-</t>
    <phoneticPr fontId="1" type="noConversion"/>
  </si>
  <si>
    <t>-</t>
    <phoneticPr fontId="1" type="noConversion"/>
  </si>
  <si>
    <t>LOS</t>
    <phoneticPr fontId="1" type="noConversion"/>
  </si>
  <si>
    <t>LOS O-to-I</t>
    <phoneticPr fontId="1" type="noConversion"/>
  </si>
  <si>
    <t>LOS O-to-I</t>
    <phoneticPr fontId="1" type="noConversion"/>
  </si>
  <si>
    <t>-</t>
    <phoneticPr fontId="1" type="noConversion"/>
  </si>
  <si>
    <t>-</t>
    <phoneticPr fontId="1" type="noConversion"/>
  </si>
  <si>
    <t>-</t>
    <phoneticPr fontId="1" type="noConversion"/>
  </si>
  <si>
    <t xml:space="preserve">(27) Penetration margin (dB) </t>
    <phoneticPr fontId="1" type="noConversion"/>
  </si>
  <si>
    <t>-</t>
    <phoneticPr fontId="1" type="noConversion"/>
  </si>
  <si>
    <t>-</t>
    <phoneticPr fontId="1" type="noConversion"/>
  </si>
  <si>
    <t>-</t>
    <phoneticPr fontId="1" type="noConversion"/>
  </si>
  <si>
    <t>NLOS</t>
    <phoneticPr fontId="1" type="noConversion"/>
  </si>
  <si>
    <t>-</t>
    <phoneticPr fontId="1" type="noConversion"/>
  </si>
  <si>
    <t>NLOS</t>
    <phoneticPr fontId="1" type="noConversion"/>
  </si>
  <si>
    <t>NLOS O-to-I</t>
    <phoneticPr fontId="1" type="noConversion"/>
  </si>
  <si>
    <t>NLOS O-to-I</t>
    <phoneticPr fontId="1" type="noConversion"/>
  </si>
  <si>
    <t>-</t>
    <phoneticPr fontId="1" type="noConversion"/>
  </si>
  <si>
    <t>UL</t>
    <phoneticPr fontId="1" type="noConversion"/>
  </si>
  <si>
    <t>General notes</t>
    <phoneticPr fontId="1" type="noConversion"/>
  </si>
  <si>
    <t>1. Item "(1bis) Number of transmit antenna ports" is added, which indicates the number of transmit antenna ports for the transmission link. One transmit antenna port may map to 1 or multiple transmit antenna elements. Beamforming is assumed for the transmit antenna element(s) that generate one transmit antenna port, which results in transmitter array gain. 
2. Item "(5) Transmitter array gain" is calculated as 10*log10( (1)/(1bis) )
3. Item "(10bis) Number of  receive antenna ports" is added, which indicates the number of receive antenna ports for the transmission link. One receive antenna port may map to 1 or multiple transmit antenna elements. Beamforming is assumed for the receive antenna element(s) that generate one receive antenna port, which results in receive array gain. 
4. Item "(11bis) Receiver array gain" is added. It is calculated as 10*log10( (10)/(10bis) )
5. For Dense Urban - eMBB test environment, the penentration margin is calculated based on the assumption of 80% low loss and 20% high loss.
6. For Rural - eMBB and Urban Macro - URLLC test environment,penentration margin is calculated based on the assumption of 100% low loss.
7. For Urban Macro - mMTC test environment, the penentration margin is calculated based on the assumption of 100% high loss, which is motivated by the coverage demand for mMTC scenarios.
8. For Urban Macro - mMTC test environment, item "(15a/b) Receiver interference density" is assumed to be -177dB due to the assumption of low cell load when the large coverage area of  mMTC is considered.
9. If item "(30a/b) Maximum range" exceeds the maximum supportable range of the channel model defined in Report ITU-R M.2412, the item "(30a/b) Maximum range" will be given by the  maximum supportable range of the related  channel model. As a consequence, item "(31a/b) Coverage Area" will be calculated by the maximum supportable range.
10. In applying the link budget template, it was noted that the template calculates valuations for the control channel and the data channel separately.  In particular, it was necessary to provide separate values for the data channel and the control channel in the following entries: cell area reliability, items 15, 16, 17, 18 and 25 for the reason that the control channel link budget is based on a set of different parameters from those for the data channel, e.g. the bandwidth, cell area reliability, receiver interference density, shadow fading margin, etc.  Therefore we have provided an “a) (control channel)” and “b) (data channel)” set of answers for these values even though the ITU-R template did not specifically request separate values for these items.</t>
    <phoneticPr fontId="1" type="noConversion"/>
  </si>
  <si>
    <t>DL</t>
    <phoneticPr fontId="1" type="noConversion"/>
  </si>
  <si>
    <t>UL</t>
    <phoneticPr fontId="1" type="noConversion"/>
  </si>
  <si>
    <t>NPDSCH (LOS)</t>
    <phoneticPr fontId="1" type="noConversion"/>
  </si>
  <si>
    <t>NPDCCH (LOS)</t>
    <phoneticPr fontId="1" type="noConversion"/>
  </si>
  <si>
    <t>NPDSCH (NLOS)</t>
    <phoneticPr fontId="1" type="noConversion"/>
  </si>
  <si>
    <t>NPDCCH (NLOS)</t>
    <phoneticPr fontId="1" type="noConversion"/>
  </si>
  <si>
    <t>NPDSCH (NLOS O-to-I)</t>
    <phoneticPr fontId="1" type="noConversion"/>
  </si>
  <si>
    <t>NPDCCH (NLOS O-to-I)</t>
    <phoneticPr fontId="1" type="noConversion"/>
  </si>
  <si>
    <t>NPUSCH format 1 (LOS)</t>
    <phoneticPr fontId="1" type="noConversion"/>
  </si>
  <si>
    <t>NPUSCH (NLOS)</t>
    <phoneticPr fontId="1" type="noConversion"/>
  </si>
  <si>
    <t>NPUSCH Format 2  (NLOS)</t>
    <phoneticPr fontId="1" type="noConversion"/>
  </si>
  <si>
    <t>NPUSCH (NLOS O-to-I)</t>
    <phoneticPr fontId="1" type="noConversion"/>
  </si>
  <si>
    <t>NPUSCH Format 2 (NLOS O-to-I)</t>
    <phoneticPr fontId="1" type="noConversion"/>
  </si>
  <si>
    <t xml:space="preserve">Cell area reliability(1) for control channel  (%) (Please specify how it is calculated.) </t>
  </si>
  <si>
    <t xml:space="preserve">Cell area reliability(1) for data channel (%) (Please specify how it is calculated.) </t>
  </si>
  <si>
    <t xml:space="preserve">(15a) Receiver interference density for control channel (dBm/Hz) </t>
  </si>
  <si>
    <t xml:space="preserve">(16a) Total noise plus interference density for control channel        = 10 log (10^(((13) + (14))/10) + 10^((15a)/10))  dBm/Hz  </t>
  </si>
  <si>
    <t xml:space="preserve">(16b) Total noise plus interference density for data channel        = 10 log (10^(((13) + (14))/10) + 10^((15b)/10))  dBm/Hz  </t>
  </si>
  <si>
    <r>
      <t>Transmission bandwidth configuration N</t>
    </r>
    <r>
      <rPr>
        <b/>
        <vertAlign val="subscript"/>
        <sz val="10"/>
        <color theme="1"/>
        <rFont val="Arial"/>
        <family val="2"/>
      </rPr>
      <t>RB</t>
    </r>
    <r>
      <rPr>
        <b/>
        <sz val="10"/>
        <color theme="1"/>
        <rFont val="Arial"/>
        <family val="2"/>
      </rPr>
      <t xml:space="preserve"> </t>
    </r>
  </si>
  <si>
    <t xml:space="preserve">Cell area reliability(1) for control channel  (%) (Please specify how it is calculated.)  </t>
  </si>
  <si>
    <t xml:space="preserve">Cell area reliability(1) for data channel (%) (Please specify how it is calculated.)  </t>
  </si>
  <si>
    <r>
      <t xml:space="preserve">(3) Total transmit power = function of (1) and (2) (dBm) (The value shall not exceed the indicated value in § 8.4 of Report ITU-R M.2412-0) </t>
    </r>
    <r>
      <rPr>
        <vertAlign val="superscript"/>
        <sz val="11"/>
        <color theme="1"/>
        <rFont val="Times New Roman"/>
        <family val="1"/>
      </rPr>
      <t>(12)</t>
    </r>
  </si>
  <si>
    <t xml:space="preserve">(15a) Receiver interference density for control channel (dBm/Hz)  </t>
  </si>
  <si>
    <t xml:space="preserve">(16a) Total noise plus interference density for control channel        = 10 log (10^(((13) + (14))/10) + 10^((15a)/10))  dBm/Hz   </t>
  </si>
  <si>
    <t xml:space="preserve">(16b) Total noise plus interference density for data channel        = 10 log (10^(((13) + (14))/10) + 10^((15b)/10))  dBm/Hz   </t>
  </si>
  <si>
    <r>
      <t xml:space="preserve">(30b) Maximum range for data channel (based on (29b) and according to the system configuration section of the link budget) (m) </t>
    </r>
    <r>
      <rPr>
        <vertAlign val="superscript"/>
        <sz val="11"/>
        <color theme="1"/>
        <rFont val="Times New Roman"/>
        <family val="1"/>
      </rPr>
      <t>(13)</t>
    </r>
  </si>
  <si>
    <t>PDSCH (NLOS)</t>
  </si>
  <si>
    <t xml:space="preserve">PDCCH (NLOS) </t>
  </si>
  <si>
    <t>PUSCH (NLOS)</t>
  </si>
  <si>
    <t>PUCCH (NLOS)</t>
  </si>
  <si>
    <t>PDSCH (LOS)</t>
  </si>
  <si>
    <t>PDCCH (LOS)</t>
  </si>
  <si>
    <t>PUSCH (LOS)</t>
  </si>
  <si>
    <t>PUCCH (LOS)</t>
  </si>
  <si>
    <t>PDCCH (NLOS)</t>
  </si>
  <si>
    <t>PDSCH (NLOS O-to-I)</t>
  </si>
  <si>
    <t>PDCCH (NLOS O-to-I)</t>
  </si>
  <si>
    <t>PUSCH (NLOS O-to-I)</t>
  </si>
  <si>
    <t>PUCCH (NLOS O-to-I)</t>
  </si>
  <si>
    <t xml:space="preserve">PDCCH (LOS) </t>
  </si>
  <si>
    <t>PDSCH (LOS O-to-I)</t>
  </si>
  <si>
    <t xml:space="preserve">PDCCH (LOS O-to-I) </t>
  </si>
  <si>
    <t>PUSCH (LOS O-to-I)</t>
  </si>
  <si>
    <t>PUCCH (LOS O-to-I)</t>
  </si>
  <si>
    <t xml:space="preserve">PDCCH (NLOS O-to-I) </t>
  </si>
  <si>
    <t>PDSCH 
(LOS)</t>
  </si>
  <si>
    <t xml:space="preserve">PDCCH
(LOS) </t>
  </si>
  <si>
    <t>PDSCH 
(LOS O-to-I)</t>
  </si>
  <si>
    <t xml:space="preserve">PDCCH
 (LOS O-to-I) </t>
  </si>
  <si>
    <t>PUSCH 
(LOS)</t>
  </si>
  <si>
    <t>PUCCH
(LOS)</t>
  </si>
  <si>
    <t>PUSCH 
(LOS O-to-I)</t>
  </si>
  <si>
    <t>PUCCH
 (LOS O-to-I)</t>
  </si>
  <si>
    <t>PDCCH (LOS O-to-I)</t>
  </si>
  <si>
    <t>NPUSCH format2  (LOS)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</si>
</sst>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_ "/>
    <numFmt numFmtId="165" formatCode="0.000_ "/>
    <numFmt numFmtId="166" formatCode="0.00_);[Red]\(0.00\)"/>
    <numFmt numFmtId="167" formatCode="0.000%"/>
    <numFmt numFmtId="168" formatCode="0.000E+00"/>
    <numFmt numFmtId="169" formatCode="0.0"/>
  </numFmts>
  <fonts count="28">
    <font>
      <sz val="12"/>
      <name val="宋体"/>
      <charset val="134"/>
    </font>
    <font>
      <sz val="9"/>
      <name val="宋体"/>
      <family val="3"/>
      <charset val="134"/>
    </font>
    <font>
      <sz val="11"/>
      <name val="Times New Roman"/>
      <family val="1"/>
    </font>
    <font>
      <sz val="12"/>
      <name val="宋体"/>
      <family val="3"/>
      <charset val="134"/>
    </font>
    <font>
      <b/>
      <sz val="10"/>
      <color theme="1"/>
      <name val="Arial"/>
      <family val="2"/>
    </font>
    <font>
      <b/>
      <vertAlign val="subscript"/>
      <sz val="10"/>
      <color theme="1"/>
      <name val="Arial"/>
      <family val="2"/>
    </font>
    <font>
      <sz val="11"/>
      <color theme="1"/>
      <name val="Arial"/>
      <family val="2"/>
    </font>
    <font>
      <sz val="9"/>
      <name val="Calibri"/>
      <family val="3"/>
      <charset val="134"/>
      <scheme val="minor"/>
    </font>
    <font>
      <b/>
      <sz val="9"/>
      <color theme="1"/>
      <name val="Arial"/>
      <family val="2"/>
    </font>
    <font>
      <b/>
      <sz val="8"/>
      <color theme="1"/>
      <name val="Arial"/>
      <family val="2"/>
    </font>
    <font>
      <b/>
      <vertAlign val="subscript"/>
      <sz val="9"/>
      <color theme="1"/>
      <name val="Arial"/>
      <family val="2"/>
    </font>
    <font>
      <sz val="9"/>
      <color theme="1"/>
      <name val="Arial"/>
      <family val="2"/>
    </font>
    <font>
      <b/>
      <sz val="11"/>
      <color theme="1"/>
      <name val="Times New Roman"/>
      <family val="1"/>
    </font>
    <font>
      <sz val="11"/>
      <color theme="1"/>
      <name val="Times New Roman"/>
      <family val="1"/>
    </font>
    <font>
      <vertAlign val="superscript"/>
      <sz val="10"/>
      <color theme="1"/>
      <name val="Times New Roman"/>
      <family val="1"/>
    </font>
    <font>
      <vertAlign val="superscript"/>
      <sz val="11"/>
      <color theme="1"/>
      <name val="Times New Roman"/>
      <family val="1"/>
    </font>
    <font>
      <sz val="12"/>
      <color theme="1"/>
      <name val="宋体"/>
      <family val="3"/>
      <charset val="134"/>
    </font>
    <font>
      <sz val="11"/>
      <color rgb="FF3F3F76"/>
      <name val="Calibri"/>
      <family val="2"/>
      <charset val="134"/>
      <scheme val="minor"/>
    </font>
    <font>
      <b/>
      <sz val="11"/>
      <name val="Times New Roman"/>
      <family val="1"/>
    </font>
    <font>
      <sz val="12"/>
      <name val="Times New Roman"/>
      <family val="1"/>
    </font>
    <font>
      <sz val="11"/>
      <name val="Arial"/>
      <family val="2"/>
    </font>
    <font>
      <sz val="10"/>
      <name val="Arial"/>
      <family val="2"/>
    </font>
    <font>
      <b/>
      <sz val="11"/>
      <color theme="9" tint="-0.249977111117893"/>
      <name val="Times New Roman"/>
      <family val="1"/>
    </font>
    <font>
      <sz val="11"/>
      <color theme="9" tint="-0.249977111117893"/>
      <name val="Times New Roman"/>
      <family val="1"/>
    </font>
    <font>
      <sz val="11"/>
      <color theme="1"/>
      <name val="Calibri"/>
      <family val="2"/>
      <scheme val="minor"/>
    </font>
    <font>
      <sz val="11"/>
      <color rgb="FF7030A0"/>
      <name val="Times New Roman"/>
      <family val="1"/>
    </font>
    <font>
      <b/>
      <sz val="14"/>
      <name val="Arial"/>
      <family val="2"/>
    </font>
    <font>
      <sz val="12"/>
      <color rgb="FF7030A0"/>
      <name val="宋体"/>
      <family val="3"/>
      <charset val="134"/>
    </font>
  </fonts>
  <fills count="10">
    <fill>
      <patternFill patternType="none"/>
    </fill>
    <fill>
      <patternFill patternType="gray125"/>
    </fill>
    <fill>
      <patternFill patternType="solid">
        <fgColor rgb="FFE6E6E6"/>
        <bgColor indexed="64"/>
      </patternFill>
    </fill>
    <fill>
      <patternFill patternType="solid">
        <fgColor theme="6" tint="0.79998168889431442"/>
        <bgColor indexed="64"/>
      </patternFill>
    </fill>
    <fill>
      <patternFill patternType="solid">
        <fgColor rgb="FFFFFF00"/>
        <bgColor indexed="64"/>
      </patternFill>
    </fill>
    <fill>
      <patternFill patternType="solid">
        <fgColor rgb="FFD9D9D9"/>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CC99"/>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s>
  <cellStyleXfs count="4">
    <xf numFmtId="0" fontId="0" fillId="0" borderId="0">
      <alignment vertical="center"/>
    </xf>
    <xf numFmtId="0" fontId="3" fillId="0" borderId="0">
      <alignment vertical="center"/>
    </xf>
    <xf numFmtId="0" fontId="17" fillId="8" borderId="15" applyNumberFormat="0" applyAlignment="0" applyProtection="0">
      <alignment vertical="center"/>
    </xf>
    <xf numFmtId="0" fontId="24" fillId="0" borderId="0"/>
  </cellStyleXfs>
  <cellXfs count="148">
    <xf numFmtId="0" fontId="0" fillId="0" borderId="0" xfId="0">
      <alignment vertical="center"/>
    </xf>
    <xf numFmtId="0" fontId="0" fillId="0" borderId="0" xfId="0" applyAlignment="1">
      <alignment vertical="center" wrapText="1"/>
    </xf>
    <xf numFmtId="0" fontId="3" fillId="0" borderId="0" xfId="1">
      <alignment vertical="center"/>
    </xf>
    <xf numFmtId="0" fontId="4" fillId="0" borderId="0" xfId="0" applyFont="1">
      <alignment vertical="center"/>
    </xf>
    <xf numFmtId="0" fontId="6" fillId="0" borderId="0" xfId="0" applyFont="1">
      <alignment vertical="center"/>
    </xf>
    <xf numFmtId="0" fontId="9" fillId="5" borderId="8"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10" xfId="0" applyFont="1" applyBorder="1" applyAlignment="1">
      <alignment horizontal="center" vertical="center" wrapText="1"/>
    </xf>
    <xf numFmtId="0" fontId="8" fillId="5" borderId="12"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2" fillId="0" borderId="0" xfId="0" applyFont="1">
      <alignment vertical="center"/>
    </xf>
    <xf numFmtId="0" fontId="12" fillId="2" borderId="1" xfId="0" applyFont="1" applyFill="1" applyBorder="1" applyAlignment="1">
      <alignment horizontal="justify" vertical="center" wrapText="1"/>
    </xf>
    <xf numFmtId="0" fontId="12" fillId="2" borderId="1" xfId="0" applyFont="1" applyFill="1" applyBorder="1" applyAlignment="1">
      <alignment vertical="center" wrapText="1"/>
    </xf>
    <xf numFmtId="0" fontId="13" fillId="3" borderId="1" xfId="0" applyFont="1" applyFill="1" applyBorder="1" applyAlignment="1">
      <alignment horizontal="justify" vertical="center" wrapText="1"/>
    </xf>
    <xf numFmtId="9" fontId="13" fillId="0" borderId="1" xfId="0" applyNumberFormat="1" applyFont="1" applyFill="1" applyBorder="1" applyAlignment="1">
      <alignment horizontal="center" vertical="center" wrapText="1"/>
    </xf>
    <xf numFmtId="9" fontId="13" fillId="0" borderId="1" xfId="0" applyNumberFormat="1" applyFont="1" applyBorder="1" applyAlignment="1">
      <alignment horizontal="center" vertical="center" wrapText="1"/>
    </xf>
    <xf numFmtId="0" fontId="13" fillId="6" borderId="2" xfId="0" applyFont="1" applyFill="1" applyBorder="1" applyAlignment="1">
      <alignment vertical="center" wrapText="1"/>
    </xf>
    <xf numFmtId="0" fontId="13" fillId="4" borderId="1" xfId="0" applyFont="1" applyFill="1" applyBorder="1" applyAlignment="1">
      <alignment horizontal="justify" vertical="center" wrapText="1"/>
    </xf>
    <xf numFmtId="0" fontId="12" fillId="7" borderId="1" xfId="0" applyFont="1" applyFill="1" applyBorder="1" applyAlignment="1">
      <alignment horizontal="justify" vertical="center" wrapText="1"/>
    </xf>
    <xf numFmtId="0" fontId="13" fillId="4" borderId="1" xfId="0" applyFont="1" applyFill="1" applyBorder="1" applyAlignment="1">
      <alignment horizontal="justify" vertical="center"/>
    </xf>
    <xf numFmtId="0" fontId="13" fillId="0" borderId="1" xfId="0" applyFont="1" applyBorder="1">
      <alignment vertical="center"/>
    </xf>
    <xf numFmtId="0" fontId="13" fillId="0" borderId="1" xfId="0" applyFont="1" applyBorder="1" applyAlignment="1">
      <alignment horizontal="justify" vertical="center" wrapText="1"/>
    </xf>
    <xf numFmtId="0" fontId="16" fillId="0" borderId="0" xfId="0" applyFont="1">
      <alignment vertical="center"/>
    </xf>
    <xf numFmtId="164" fontId="12" fillId="2" borderId="1" xfId="0" applyNumberFormat="1" applyFont="1" applyFill="1" applyBorder="1" applyAlignment="1">
      <alignment horizontal="center" vertical="center" wrapText="1"/>
    </xf>
    <xf numFmtId="164" fontId="12" fillId="2" borderId="1" xfId="0" applyNumberFormat="1" applyFont="1" applyFill="1" applyBorder="1" applyAlignment="1">
      <alignment vertical="center" wrapText="1"/>
    </xf>
    <xf numFmtId="164" fontId="13" fillId="0" borderId="1" xfId="0" applyNumberFormat="1" applyFont="1" applyFill="1" applyBorder="1" applyAlignment="1">
      <alignment horizontal="center" vertical="center" wrapText="1"/>
    </xf>
    <xf numFmtId="164" fontId="13" fillId="0" borderId="1" xfId="0" applyNumberFormat="1" applyFont="1" applyBorder="1" applyAlignment="1">
      <alignment horizontal="center" vertical="center" wrapText="1"/>
    </xf>
    <xf numFmtId="164" fontId="13" fillId="0" borderId="1" xfId="0" applyNumberFormat="1" applyFont="1" applyFill="1" applyBorder="1" applyAlignment="1">
      <alignment horizontal="center" vertical="center"/>
    </xf>
    <xf numFmtId="164" fontId="13" fillId="6" borderId="1" xfId="0" applyNumberFormat="1" applyFont="1" applyFill="1" applyBorder="1" applyAlignment="1">
      <alignment horizontal="center" vertical="center" wrapText="1"/>
    </xf>
    <xf numFmtId="164" fontId="13" fillId="4" borderId="1" xfId="0" applyNumberFormat="1" applyFont="1" applyFill="1" applyBorder="1" applyAlignment="1">
      <alignment horizontal="center" vertical="center"/>
    </xf>
    <xf numFmtId="164" fontId="13" fillId="7" borderId="1" xfId="0" applyNumberFormat="1" applyFont="1" applyFill="1" applyBorder="1" applyAlignment="1">
      <alignment horizontal="center" vertical="center" wrapText="1"/>
    </xf>
    <xf numFmtId="164" fontId="16" fillId="0" borderId="0" xfId="0" applyNumberFormat="1" applyFont="1" applyAlignment="1">
      <alignment horizontal="center" vertical="center"/>
    </xf>
    <xf numFmtId="164" fontId="16" fillId="0" borderId="0" xfId="0" applyNumberFormat="1" applyFont="1">
      <alignment vertical="center"/>
    </xf>
    <xf numFmtId="0" fontId="13" fillId="7" borderId="2" xfId="0" applyFont="1" applyFill="1" applyBorder="1" applyAlignment="1">
      <alignment vertical="center" wrapText="1"/>
    </xf>
    <xf numFmtId="0" fontId="13" fillId="7" borderId="1" xfId="0" applyFont="1" applyFill="1" applyBorder="1" applyAlignment="1">
      <alignment horizontal="justify" vertical="center" wrapText="1"/>
    </xf>
    <xf numFmtId="0" fontId="13" fillId="0" borderId="0" xfId="0" applyFont="1">
      <alignment vertical="center"/>
    </xf>
    <xf numFmtId="164" fontId="13" fillId="0" borderId="0" xfId="0" applyNumberFormat="1" applyFont="1" applyAlignment="1">
      <alignment horizontal="center" vertical="center"/>
    </xf>
    <xf numFmtId="164" fontId="13" fillId="0" borderId="0" xfId="0" applyNumberFormat="1" applyFont="1">
      <alignment vertical="center"/>
    </xf>
    <xf numFmtId="0" fontId="12" fillId="2" borderId="1" xfId="0" applyFont="1" applyFill="1" applyBorder="1" applyAlignment="1">
      <alignment horizontal="justify" vertical="center"/>
    </xf>
    <xf numFmtId="9" fontId="13" fillId="0" borderId="1" xfId="0" applyNumberFormat="1" applyFont="1" applyBorder="1" applyAlignment="1">
      <alignment horizontal="center" vertical="center"/>
    </xf>
    <xf numFmtId="0" fontId="16" fillId="0" borderId="0" xfId="0" applyFont="1" applyAlignment="1">
      <alignment vertical="center"/>
    </xf>
    <xf numFmtId="164" fontId="12" fillId="2" borderId="1" xfId="0" applyNumberFormat="1" applyFont="1" applyFill="1" applyBorder="1" applyAlignment="1">
      <alignment vertical="center"/>
    </xf>
    <xf numFmtId="164" fontId="13" fillId="0" borderId="1" xfId="0" applyNumberFormat="1" applyFont="1" applyBorder="1" applyAlignment="1">
      <alignment horizontal="center" vertical="center"/>
    </xf>
    <xf numFmtId="164" fontId="13" fillId="0" borderId="1" xfId="0" applyNumberFormat="1" applyFont="1" applyBorder="1" applyAlignment="1" applyProtection="1">
      <alignment horizontal="center" vertical="center"/>
      <protection locked="0"/>
    </xf>
    <xf numFmtId="0" fontId="16" fillId="0" borderId="0" xfId="0" applyFont="1" applyAlignment="1">
      <alignment vertical="center" wrapText="1"/>
    </xf>
    <xf numFmtId="164" fontId="16" fillId="0" borderId="0" xfId="0" applyNumberFormat="1" applyFont="1" applyAlignment="1">
      <alignment horizontal="center" vertical="center" wrapText="1"/>
    </xf>
    <xf numFmtId="164" fontId="16" fillId="0" borderId="0" xfId="0" applyNumberFormat="1" applyFont="1" applyAlignment="1">
      <alignment vertical="center" wrapText="1"/>
    </xf>
    <xf numFmtId="164" fontId="2" fillId="0" borderId="1" xfId="0" applyNumberFormat="1" applyFont="1" applyFill="1" applyBorder="1" applyAlignment="1">
      <alignment horizontal="center" vertical="center"/>
    </xf>
    <xf numFmtId="164" fontId="2" fillId="0" borderId="1" xfId="0" applyNumberFormat="1" applyFont="1" applyBorder="1" applyAlignment="1">
      <alignment horizontal="center" vertical="center"/>
    </xf>
    <xf numFmtId="164" fontId="2" fillId="0" borderId="1" xfId="0" applyNumberFormat="1" applyFont="1" applyFill="1" applyBorder="1" applyAlignment="1">
      <alignment horizontal="center" vertical="center" wrapText="1"/>
    </xf>
    <xf numFmtId="164" fontId="2" fillId="0" borderId="1" xfId="0" applyNumberFormat="1" applyFont="1" applyBorder="1" applyAlignment="1">
      <alignment horizontal="center" vertical="center" wrapText="1"/>
    </xf>
    <xf numFmtId="3" fontId="2" fillId="0" borderId="1" xfId="2" applyNumberFormat="1" applyFont="1" applyFill="1" applyBorder="1" applyAlignment="1">
      <alignment horizontal="center" vertical="center"/>
    </xf>
    <xf numFmtId="166" fontId="12" fillId="2" borderId="1" xfId="0" applyNumberFormat="1" applyFont="1" applyFill="1" applyBorder="1" applyAlignment="1">
      <alignment vertical="center" wrapText="1"/>
    </xf>
    <xf numFmtId="166" fontId="13" fillId="0" borderId="1" xfId="0" applyNumberFormat="1" applyFont="1" applyFill="1" applyBorder="1" applyAlignment="1">
      <alignment horizontal="center" vertical="center" wrapText="1"/>
    </xf>
    <xf numFmtId="166" fontId="13" fillId="0" borderId="1" xfId="0" applyNumberFormat="1" applyFont="1" applyBorder="1" applyAlignment="1">
      <alignment horizontal="center" vertical="center" wrapText="1"/>
    </xf>
    <xf numFmtId="166" fontId="13" fillId="7" borderId="1" xfId="0" applyNumberFormat="1" applyFont="1" applyFill="1" applyBorder="1" applyAlignment="1">
      <alignment horizontal="center" vertical="center" wrapText="1"/>
    </xf>
    <xf numFmtId="166" fontId="13" fillId="4" borderId="1" xfId="0" applyNumberFormat="1" applyFont="1" applyFill="1" applyBorder="1" applyAlignment="1">
      <alignment horizontal="center" vertical="center" wrapText="1"/>
    </xf>
    <xf numFmtId="166" fontId="13" fillId="0" borderId="1" xfId="0" applyNumberFormat="1" applyFont="1" applyBorder="1" applyAlignment="1">
      <alignment horizontal="center" vertical="center"/>
    </xf>
    <xf numFmtId="0" fontId="13" fillId="3" borderId="1" xfId="0" applyFont="1" applyFill="1" applyBorder="1" applyAlignment="1">
      <alignment vertical="center" wrapText="1"/>
    </xf>
    <xf numFmtId="0" fontId="13" fillId="6" borderId="1" xfId="0" applyFont="1" applyFill="1" applyBorder="1" applyAlignment="1">
      <alignment vertical="center" wrapText="1"/>
    </xf>
    <xf numFmtId="0" fontId="13" fillId="4" borderId="1" xfId="0" applyFont="1" applyFill="1" applyBorder="1" applyAlignment="1">
      <alignment vertical="center" wrapText="1"/>
    </xf>
    <xf numFmtId="0" fontId="12" fillId="7" borderId="1" xfId="0" applyFont="1" applyFill="1" applyBorder="1" applyAlignment="1">
      <alignment vertical="center" wrapText="1"/>
    </xf>
    <xf numFmtId="0" fontId="13" fillId="4" borderId="1" xfId="0" applyFont="1" applyFill="1" applyBorder="1" applyAlignment="1">
      <alignment vertical="center"/>
    </xf>
    <xf numFmtId="0" fontId="13" fillId="0" borderId="1" xfId="0" applyFont="1" applyBorder="1" applyAlignment="1">
      <alignment vertical="center"/>
    </xf>
    <xf numFmtId="0" fontId="13" fillId="0" borderId="1" xfId="0" applyFont="1" applyBorder="1" applyAlignment="1">
      <alignment vertical="center" wrapText="1"/>
    </xf>
    <xf numFmtId="164" fontId="13" fillId="4" borderId="1" xfId="0" applyNumberFormat="1" applyFont="1" applyFill="1" applyBorder="1" applyAlignment="1">
      <alignment horizontal="center" vertical="center" wrapText="1"/>
    </xf>
    <xf numFmtId="0" fontId="20" fillId="0" borderId="0" xfId="0" applyFont="1">
      <alignment vertical="center"/>
    </xf>
    <xf numFmtId="0" fontId="21" fillId="0" borderId="0" xfId="0" applyFont="1">
      <alignment vertical="center"/>
    </xf>
    <xf numFmtId="0" fontId="21" fillId="0" borderId="0" xfId="0" applyFont="1" applyAlignment="1">
      <alignment vertical="top" wrapText="1"/>
    </xf>
    <xf numFmtId="164" fontId="3" fillId="0" borderId="0" xfId="0" applyNumberFormat="1" applyFont="1" applyFill="1" applyAlignment="1">
      <alignment horizontal="center" vertical="center"/>
    </xf>
    <xf numFmtId="166" fontId="22" fillId="2" borderId="1" xfId="0" applyNumberFormat="1" applyFont="1" applyFill="1" applyBorder="1" applyAlignment="1">
      <alignment horizontal="center" vertical="center" wrapText="1"/>
    </xf>
    <xf numFmtId="164" fontId="22" fillId="2" borderId="1" xfId="0" applyNumberFormat="1" applyFont="1" applyFill="1" applyBorder="1" applyAlignment="1">
      <alignment horizontal="center" vertical="center" wrapText="1"/>
    </xf>
    <xf numFmtId="164" fontId="2" fillId="0" borderId="0" xfId="0" applyNumberFormat="1" applyFont="1" applyBorder="1" applyAlignment="1">
      <alignment horizontal="center" vertical="center" wrapText="1"/>
    </xf>
    <xf numFmtId="164" fontId="13" fillId="0" borderId="1" xfId="1"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xf>
    <xf numFmtId="167" fontId="13" fillId="0" borderId="1" xfId="0" applyNumberFormat="1" applyFont="1" applyFill="1" applyBorder="1" applyAlignment="1">
      <alignment horizontal="center" vertical="center" wrapText="1"/>
    </xf>
    <xf numFmtId="167" fontId="13" fillId="0" borderId="1" xfId="0" applyNumberFormat="1" applyFont="1" applyBorder="1" applyAlignment="1">
      <alignment horizontal="center" vertical="center" wrapText="1"/>
    </xf>
    <xf numFmtId="11" fontId="13" fillId="0" borderId="1" xfId="0" applyNumberFormat="1" applyFont="1" applyBorder="1" applyAlignment="1">
      <alignment horizontal="center" vertical="center" wrapText="1"/>
    </xf>
    <xf numFmtId="164" fontId="23" fillId="0" borderId="1" xfId="0" applyNumberFormat="1" applyFont="1" applyFill="1" applyBorder="1" applyAlignment="1">
      <alignment horizontal="center" vertical="center"/>
    </xf>
    <xf numFmtId="164" fontId="23" fillId="0" borderId="1" xfId="0" applyNumberFormat="1" applyFont="1" applyFill="1" applyBorder="1" applyAlignment="1">
      <alignment horizontal="center" vertical="center" wrapText="1"/>
    </xf>
    <xf numFmtId="164" fontId="23" fillId="0" borderId="1" xfId="0" applyNumberFormat="1" applyFont="1" applyBorder="1" applyAlignment="1">
      <alignment horizontal="center" vertical="center"/>
    </xf>
    <xf numFmtId="0" fontId="22" fillId="2" borderId="1" xfId="0" applyFont="1" applyFill="1" applyBorder="1" applyAlignment="1">
      <alignment horizontal="center" vertical="center" wrapText="1"/>
    </xf>
    <xf numFmtId="0" fontId="20" fillId="0" borderId="0" xfId="0" applyFont="1" applyAlignment="1">
      <alignment horizontal="left" vertical="center" wrapText="1"/>
    </xf>
    <xf numFmtId="164" fontId="25" fillId="0" borderId="1" xfId="0" applyNumberFormat="1"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0" fontId="26" fillId="0" borderId="16" xfId="0" applyFont="1" applyBorder="1">
      <alignment vertical="center"/>
    </xf>
    <xf numFmtId="0" fontId="20" fillId="0" borderId="16" xfId="0" applyFont="1" applyBorder="1">
      <alignment vertical="center"/>
    </xf>
    <xf numFmtId="0" fontId="0" fillId="0" borderId="16" xfId="0" applyBorder="1">
      <alignment vertical="center"/>
    </xf>
    <xf numFmtId="0" fontId="21" fillId="0" borderId="0" xfId="0" applyFont="1" applyBorder="1" applyAlignment="1">
      <alignment vertical="top" wrapText="1"/>
    </xf>
    <xf numFmtId="14" fontId="20" fillId="0" borderId="0" xfId="0" applyNumberFormat="1" applyFont="1" applyBorder="1" applyAlignment="1">
      <alignment horizontal="left" vertical="top" wrapText="1"/>
    </xf>
    <xf numFmtId="0" fontId="20" fillId="0" borderId="0" xfId="0" applyFont="1" applyBorder="1" applyAlignment="1">
      <alignment horizontal="left" vertical="top" wrapText="1"/>
    </xf>
    <xf numFmtId="164" fontId="12" fillId="2" borderId="1" xfId="0" applyNumberFormat="1" applyFont="1" applyFill="1" applyBorder="1" applyAlignment="1">
      <alignment horizontal="center" vertical="center" wrapText="1"/>
    </xf>
    <xf numFmtId="164" fontId="12" fillId="9"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2" borderId="4" xfId="0" applyFont="1" applyFill="1" applyBorder="1" applyAlignment="1">
      <alignment horizontal="center" vertical="center"/>
    </xf>
    <xf numFmtId="164" fontId="12" fillId="2" borderId="4" xfId="0" applyNumberFormat="1" applyFont="1" applyFill="1" applyBorder="1" applyAlignment="1">
      <alignment horizontal="center" vertical="center"/>
    </xf>
    <xf numFmtId="164" fontId="18"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xf>
    <xf numFmtId="0" fontId="19" fillId="0" borderId="1" xfId="0" applyFont="1" applyBorder="1" applyAlignment="1">
      <alignment horizontal="center" vertical="center"/>
    </xf>
    <xf numFmtId="9" fontId="19" fillId="0" borderId="1" xfId="0" applyNumberFormat="1" applyFont="1" applyBorder="1" applyAlignment="1">
      <alignment horizontal="center" vertical="center"/>
    </xf>
    <xf numFmtId="9" fontId="2" fillId="0" borderId="1" xfId="0" applyNumberFormat="1" applyFont="1" applyBorder="1" applyAlignment="1">
      <alignment horizontal="center" vertical="center" wrapText="1"/>
    </xf>
    <xf numFmtId="1" fontId="2" fillId="0" borderId="1" xfId="2" applyNumberFormat="1" applyFont="1" applyFill="1" applyBorder="1" applyAlignment="1">
      <alignment horizontal="center" vertical="center"/>
    </xf>
    <xf numFmtId="164" fontId="19"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8" fontId="19"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18" fillId="2" borderId="1" xfId="0" applyFont="1" applyFill="1" applyBorder="1" applyAlignment="1">
      <alignment horizontal="center" vertical="center" wrapText="1"/>
    </xf>
    <xf numFmtId="164" fontId="18" fillId="2" borderId="1" xfId="0" applyNumberFormat="1" applyFont="1" applyFill="1" applyBorder="1" applyAlignment="1">
      <alignment horizontal="center" vertical="center"/>
    </xf>
    <xf numFmtId="169" fontId="19" fillId="0" borderId="1" xfId="0" applyNumberFormat="1" applyFont="1" applyBorder="1" applyAlignment="1">
      <alignment horizontal="center" vertical="center"/>
    </xf>
    <xf numFmtId="164" fontId="2" fillId="7" borderId="1" xfId="0" applyNumberFormat="1" applyFont="1" applyFill="1" applyBorder="1" applyAlignment="1">
      <alignment horizontal="center" vertical="center" wrapText="1"/>
    </xf>
    <xf numFmtId="169" fontId="19" fillId="4" borderId="1"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xf>
    <xf numFmtId="0" fontId="2" fillId="0" borderId="1" xfId="2" applyFont="1" applyFill="1" applyBorder="1" applyAlignment="1">
      <alignment horizontal="center" vertical="center"/>
    </xf>
    <xf numFmtId="0" fontId="13" fillId="0" borderId="1" xfId="0" applyFont="1" applyBorder="1" applyAlignment="1">
      <alignment horizontal="center" vertical="center" wrapText="1"/>
    </xf>
    <xf numFmtId="164" fontId="25" fillId="0" borderId="1" xfId="0" applyNumberFormat="1" applyFont="1" applyBorder="1" applyAlignment="1">
      <alignment horizontal="center" vertical="center" wrapText="1"/>
    </xf>
    <xf numFmtId="164" fontId="27" fillId="0" borderId="0" xfId="0" applyNumberFormat="1" applyFont="1" applyAlignment="1">
      <alignment horizontal="center" vertical="center"/>
    </xf>
    <xf numFmtId="0" fontId="12" fillId="0" borderId="1" xfId="0" applyFont="1" applyBorder="1" applyAlignment="1">
      <alignment vertical="center" wrapText="1"/>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xf>
    <xf numFmtId="164" fontId="12" fillId="2" borderId="1" xfId="0" applyNumberFormat="1"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4" fontId="12" fillId="2" borderId="1" xfId="0" applyNumberFormat="1" applyFont="1" applyFill="1" applyBorder="1">
      <alignment vertical="center"/>
    </xf>
    <xf numFmtId="164" fontId="12" fillId="2" borderId="1" xfId="0" applyNumberFormat="1" applyFont="1" applyFill="1" applyBorder="1" applyAlignment="1">
      <alignment horizontal="center" vertical="center" wrapText="1"/>
    </xf>
    <xf numFmtId="164" fontId="12" fillId="9"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wrapText="1"/>
    </xf>
    <xf numFmtId="164" fontId="12" fillId="2" borderId="1" xfId="0" applyNumberFormat="1" applyFont="1" applyFill="1" applyBorder="1" applyAlignment="1">
      <alignment horizontal="center" vertical="center" wrapText="1"/>
    </xf>
    <xf numFmtId="166" fontId="12" fillId="2" borderId="4" xfId="0" applyNumberFormat="1" applyFont="1" applyFill="1" applyBorder="1" applyAlignment="1">
      <alignment horizontal="center" vertical="center" wrapText="1"/>
    </xf>
    <xf numFmtId="166" fontId="12" fillId="2" borderId="5" xfId="0" applyNumberFormat="1" applyFont="1" applyFill="1" applyBorder="1" applyAlignment="1">
      <alignment horizontal="center" vertical="center" wrapText="1"/>
    </xf>
    <xf numFmtId="164" fontId="12" fillId="2" borderId="4" xfId="0" applyNumberFormat="1" applyFont="1" applyFill="1" applyBorder="1" applyAlignment="1">
      <alignment horizontal="center" vertical="center" wrapText="1"/>
    </xf>
    <xf numFmtId="164" fontId="12" fillId="2" borderId="5" xfId="0" applyNumberFormat="1" applyFont="1" applyFill="1" applyBorder="1" applyAlignment="1">
      <alignment horizontal="center" vertical="center" wrapText="1"/>
    </xf>
    <xf numFmtId="164" fontId="12" fillId="2" borderId="6" xfId="0" applyNumberFormat="1" applyFont="1" applyFill="1" applyBorder="1" applyAlignment="1">
      <alignment horizontal="center" vertical="center" wrapText="1"/>
    </xf>
    <xf numFmtId="164" fontId="12" fillId="9" borderId="1" xfId="0" applyNumberFormat="1" applyFont="1" applyFill="1" applyBorder="1" applyAlignment="1">
      <alignment horizontal="center" vertical="center" wrapText="1"/>
    </xf>
    <xf numFmtId="0" fontId="12" fillId="9" borderId="1" xfId="0" applyFont="1" applyFill="1" applyBorder="1" applyAlignment="1">
      <alignment horizontal="center" vertical="center" wrapText="1"/>
    </xf>
    <xf numFmtId="164" fontId="12" fillId="2" borderId="4" xfId="0" applyNumberFormat="1" applyFont="1" applyFill="1" applyBorder="1" applyAlignment="1">
      <alignment horizontal="center" vertical="center"/>
    </xf>
    <xf numFmtId="164" fontId="12" fillId="2" borderId="5" xfId="0" applyNumberFormat="1" applyFont="1" applyFill="1" applyBorder="1" applyAlignment="1">
      <alignment horizontal="center" vertical="center"/>
    </xf>
    <xf numFmtId="0" fontId="8" fillId="5" borderId="7"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9" xfId="0" applyFont="1" applyFill="1" applyBorder="1" applyAlignment="1">
      <alignment horizontal="center" vertical="center" wrapText="1"/>
    </xf>
  </cellXfs>
  <cellStyles count="4">
    <cellStyle name="Input" xfId="2" builtinId="20"/>
    <cellStyle name="Normal" xfId="0" builtinId="0"/>
    <cellStyle name="常规 2" xfId="1"/>
    <cellStyle name="常规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115" zoomScaleNormal="115" workbookViewId="0">
      <selection activeCell="A5" sqref="A5"/>
    </sheetView>
  </sheetViews>
  <sheetFormatPr defaultColWidth="9" defaultRowHeight="14.25"/>
  <cols>
    <col min="1" max="1" width="110.875" style="70" customWidth="1"/>
    <col min="2" max="4" width="9" style="70"/>
    <col min="5" max="5" width="35.625" style="70" customWidth="1"/>
    <col min="6" max="16384" width="9" style="70"/>
  </cols>
  <sheetData>
    <row r="1" spans="1:5" ht="18.75" thickBot="1">
      <c r="A1" s="89" t="s">
        <v>175</v>
      </c>
      <c r="B1" s="90"/>
      <c r="C1" s="90"/>
      <c r="D1" s="90"/>
    </row>
    <row r="2" spans="1:5" ht="335.85" customHeight="1">
      <c r="A2" s="72" t="s">
        <v>176</v>
      </c>
      <c r="B2" s="71"/>
    </row>
    <row r="3" spans="1:5" ht="24.6" customHeight="1"/>
    <row r="5" spans="1:5" ht="18.75" thickBot="1">
      <c r="A5" s="89"/>
      <c r="B5" s="91"/>
      <c r="C5" s="91"/>
      <c r="D5" s="91"/>
    </row>
    <row r="6" spans="1:5">
      <c r="A6" s="92"/>
      <c r="B6" s="93"/>
      <c r="C6" s="94"/>
      <c r="D6" s="94"/>
      <c r="E6" s="86"/>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
  <sheetViews>
    <sheetView tabSelected="1" topLeftCell="A37" zoomScale="60" zoomScaleNormal="60" workbookViewId="0">
      <selection activeCell="E12" sqref="E12"/>
    </sheetView>
  </sheetViews>
  <sheetFormatPr defaultColWidth="11" defaultRowHeight="14.25"/>
  <cols>
    <col min="1" max="1" width="52.5" bestFit="1" customWidth="1"/>
    <col min="2" max="3" width="14.125" bestFit="1" customWidth="1"/>
    <col min="4" max="5" width="13.125" bestFit="1" customWidth="1"/>
    <col min="6" max="7" width="12.125" bestFit="1" customWidth="1"/>
    <col min="8" max="9" width="14.125" bestFit="1" customWidth="1"/>
    <col min="10" max="11" width="13.125" bestFit="1" customWidth="1"/>
    <col min="12" max="12" width="12.125" bestFit="1" customWidth="1"/>
    <col min="13" max="13" width="11.125" bestFit="1" customWidth="1"/>
  </cols>
  <sheetData>
    <row r="1" spans="1:13">
      <c r="A1" s="42" t="s">
        <v>0</v>
      </c>
      <c r="B1" s="98"/>
      <c r="C1" s="98"/>
      <c r="D1" s="141" t="s">
        <v>103</v>
      </c>
      <c r="E1" s="141"/>
      <c r="F1" s="141"/>
      <c r="G1" s="142"/>
      <c r="H1" s="99"/>
      <c r="I1" s="99"/>
      <c r="J1" s="141" t="s">
        <v>104</v>
      </c>
      <c r="K1" s="141"/>
      <c r="L1" s="141"/>
      <c r="M1" s="142"/>
    </row>
    <row r="2" spans="1:13" ht="57">
      <c r="A2" s="42"/>
      <c r="B2" s="100" t="s">
        <v>179</v>
      </c>
      <c r="C2" s="100" t="s">
        <v>180</v>
      </c>
      <c r="D2" s="95" t="s">
        <v>181</v>
      </c>
      <c r="E2" s="95" t="s">
        <v>182</v>
      </c>
      <c r="F2" s="95" t="s">
        <v>183</v>
      </c>
      <c r="G2" s="95" t="s">
        <v>184</v>
      </c>
      <c r="H2" s="100" t="s">
        <v>185</v>
      </c>
      <c r="I2" s="100" t="s">
        <v>231</v>
      </c>
      <c r="J2" s="95" t="s">
        <v>186</v>
      </c>
      <c r="K2" s="95" t="s">
        <v>187</v>
      </c>
      <c r="L2" s="95" t="s">
        <v>188</v>
      </c>
      <c r="M2" s="95" t="s">
        <v>189</v>
      </c>
    </row>
    <row r="3" spans="1:13">
      <c r="A3" s="16" t="s">
        <v>1</v>
      </c>
      <c r="B3" s="101"/>
      <c r="C3" s="101"/>
      <c r="D3" s="102"/>
      <c r="E3" s="102"/>
      <c r="F3" s="102"/>
      <c r="G3" s="102"/>
      <c r="H3" s="102"/>
      <c r="I3" s="102"/>
      <c r="J3" s="102"/>
      <c r="K3" s="102"/>
      <c r="L3" s="102"/>
      <c r="M3" s="102"/>
    </row>
    <row r="4" spans="1:13" ht="15.75">
      <c r="A4" s="17" t="s">
        <v>2</v>
      </c>
      <c r="B4" s="103">
        <v>0.7</v>
      </c>
      <c r="C4" s="103">
        <v>0.7</v>
      </c>
      <c r="D4" s="103">
        <v>0.7</v>
      </c>
      <c r="E4" s="52">
        <v>0.7</v>
      </c>
      <c r="F4" s="103">
        <v>0.7</v>
      </c>
      <c r="G4" s="52">
        <v>0.7</v>
      </c>
      <c r="H4" s="103">
        <v>0.7</v>
      </c>
      <c r="I4" s="103">
        <v>0.7</v>
      </c>
      <c r="J4" s="103">
        <v>0.7</v>
      </c>
      <c r="K4" s="103">
        <v>0.7</v>
      </c>
      <c r="L4" s="103">
        <v>0.7</v>
      </c>
      <c r="M4" s="103">
        <v>0.7</v>
      </c>
    </row>
    <row r="5" spans="1:13" ht="15.75">
      <c r="A5" s="17" t="s">
        <v>3</v>
      </c>
      <c r="B5" s="103">
        <v>25</v>
      </c>
      <c r="C5" s="103">
        <v>25</v>
      </c>
      <c r="D5" s="103">
        <v>25</v>
      </c>
      <c r="E5" s="52">
        <v>25</v>
      </c>
      <c r="F5" s="103">
        <v>25</v>
      </c>
      <c r="G5" s="52">
        <v>25</v>
      </c>
      <c r="H5" s="103">
        <v>25</v>
      </c>
      <c r="I5" s="103">
        <v>25</v>
      </c>
      <c r="J5" s="103">
        <v>25</v>
      </c>
      <c r="K5" s="103">
        <v>25</v>
      </c>
      <c r="L5" s="103">
        <v>25</v>
      </c>
      <c r="M5" s="103">
        <v>25</v>
      </c>
    </row>
    <row r="6" spans="1:13" ht="15.75">
      <c r="A6" s="17" t="s">
        <v>4</v>
      </c>
      <c r="B6" s="103">
        <v>1.5</v>
      </c>
      <c r="C6" s="103">
        <v>1.5</v>
      </c>
      <c r="D6" s="103">
        <v>1.5</v>
      </c>
      <c r="E6" s="52">
        <v>1.5</v>
      </c>
      <c r="F6" s="103">
        <v>1.5</v>
      </c>
      <c r="G6" s="52">
        <v>1.5</v>
      </c>
      <c r="H6" s="103">
        <v>1.5</v>
      </c>
      <c r="I6" s="103">
        <v>1.5</v>
      </c>
      <c r="J6" s="103">
        <v>1.5</v>
      </c>
      <c r="K6" s="103">
        <v>1.5</v>
      </c>
      <c r="L6" s="103">
        <v>1.5</v>
      </c>
      <c r="M6" s="103">
        <v>1.5</v>
      </c>
    </row>
    <row r="7" spans="1:13" ht="30">
      <c r="A7" s="17" t="s">
        <v>190</v>
      </c>
      <c r="B7" s="104" t="s">
        <v>50</v>
      </c>
      <c r="C7" s="104">
        <v>0.99</v>
      </c>
      <c r="D7" s="104" t="s">
        <v>50</v>
      </c>
      <c r="E7" s="104">
        <v>0.99</v>
      </c>
      <c r="F7" s="104" t="s">
        <v>50</v>
      </c>
      <c r="G7" s="104">
        <v>0.99</v>
      </c>
      <c r="H7" s="104" t="s">
        <v>50</v>
      </c>
      <c r="I7" s="104">
        <v>0.99</v>
      </c>
      <c r="J7" s="104" t="s">
        <v>50</v>
      </c>
      <c r="K7" s="104">
        <v>0.99</v>
      </c>
      <c r="L7" s="104" t="s">
        <v>50</v>
      </c>
      <c r="M7" s="104">
        <v>0.99</v>
      </c>
    </row>
    <row r="8" spans="1:13" ht="30">
      <c r="A8" s="17" t="s">
        <v>191</v>
      </c>
      <c r="B8" s="105">
        <v>0.99</v>
      </c>
      <c r="C8" s="105" t="s">
        <v>50</v>
      </c>
      <c r="D8" s="105">
        <v>0.99</v>
      </c>
      <c r="E8" s="105" t="s">
        <v>50</v>
      </c>
      <c r="F8" s="105">
        <v>0.99</v>
      </c>
      <c r="G8" s="105" t="s">
        <v>50</v>
      </c>
      <c r="H8" s="105">
        <v>0.99</v>
      </c>
      <c r="I8" s="105" t="s">
        <v>50</v>
      </c>
      <c r="J8" s="105">
        <v>0.99</v>
      </c>
      <c r="K8" s="105" t="s">
        <v>50</v>
      </c>
      <c r="L8" s="105">
        <v>0.99</v>
      </c>
      <c r="M8" s="105" t="s">
        <v>50</v>
      </c>
    </row>
    <row r="9" spans="1:13" ht="15.75">
      <c r="A9" s="17" t="s">
        <v>5</v>
      </c>
      <c r="B9" s="106" t="s">
        <v>50</v>
      </c>
      <c r="C9" s="106">
        <v>89</v>
      </c>
      <c r="D9" s="107" t="s">
        <v>50</v>
      </c>
      <c r="E9" s="106">
        <v>44</v>
      </c>
      <c r="F9" s="107" t="s">
        <v>50</v>
      </c>
      <c r="G9" s="106">
        <v>44</v>
      </c>
      <c r="H9" s="106"/>
      <c r="I9" s="106">
        <v>15</v>
      </c>
      <c r="J9" s="106"/>
      <c r="K9" s="106">
        <v>15</v>
      </c>
      <c r="L9" s="106"/>
      <c r="M9" s="106">
        <v>15</v>
      </c>
    </row>
    <row r="10" spans="1:13" ht="15">
      <c r="A10" s="17" t="s">
        <v>6</v>
      </c>
      <c r="B10" s="106">
        <v>360</v>
      </c>
      <c r="C10" s="106" t="s">
        <v>50</v>
      </c>
      <c r="D10" s="106">
        <v>180</v>
      </c>
      <c r="E10" s="52" t="s">
        <v>50</v>
      </c>
      <c r="F10" s="106">
        <v>180</v>
      </c>
      <c r="G10" s="52" t="s">
        <v>50</v>
      </c>
      <c r="H10" s="52">
        <v>180</v>
      </c>
      <c r="I10" s="52" t="s">
        <v>50</v>
      </c>
      <c r="J10" s="52">
        <v>180</v>
      </c>
      <c r="K10" s="52" t="s">
        <v>50</v>
      </c>
      <c r="L10" s="52">
        <v>180</v>
      </c>
      <c r="M10" s="52" t="s">
        <v>50</v>
      </c>
    </row>
    <row r="11" spans="1:13" ht="30">
      <c r="A11" s="17" t="s">
        <v>7</v>
      </c>
      <c r="B11" s="103" t="s">
        <v>50</v>
      </c>
      <c r="C11" s="104">
        <v>0.01</v>
      </c>
      <c r="D11" s="108" t="s">
        <v>50</v>
      </c>
      <c r="E11" s="108">
        <v>0.01</v>
      </c>
      <c r="F11" s="108" t="s">
        <v>50</v>
      </c>
      <c r="G11" s="108">
        <v>0.01</v>
      </c>
      <c r="H11" s="108" t="s">
        <v>50</v>
      </c>
      <c r="I11" s="108">
        <v>0.01</v>
      </c>
      <c r="J11" s="108" t="s">
        <v>50</v>
      </c>
      <c r="K11" s="108">
        <v>0.01</v>
      </c>
      <c r="L11" s="108" t="s">
        <v>50</v>
      </c>
      <c r="M11" s="108">
        <v>0.01</v>
      </c>
    </row>
    <row r="12" spans="1:13" ht="30">
      <c r="A12" s="17" t="s">
        <v>8</v>
      </c>
      <c r="B12" s="104">
        <v>0.1</v>
      </c>
      <c r="C12" s="109" t="s">
        <v>50</v>
      </c>
      <c r="D12" s="108">
        <v>0.1</v>
      </c>
      <c r="E12" s="108" t="s">
        <v>50</v>
      </c>
      <c r="F12" s="108">
        <v>0.1</v>
      </c>
      <c r="G12" s="108" t="s">
        <v>50</v>
      </c>
      <c r="H12" s="108">
        <v>0.1</v>
      </c>
      <c r="I12" s="108" t="s">
        <v>50</v>
      </c>
      <c r="J12" s="108">
        <v>0.1</v>
      </c>
      <c r="K12" s="108" t="s">
        <v>50</v>
      </c>
      <c r="L12" s="108">
        <v>0.1</v>
      </c>
      <c r="M12" s="108" t="s">
        <v>50</v>
      </c>
    </row>
    <row r="13" spans="1:13" ht="16.5">
      <c r="A13" s="17" t="s">
        <v>85</v>
      </c>
      <c r="B13" s="110">
        <f>B10/B42</f>
        <v>2E-3</v>
      </c>
      <c r="C13" s="109" t="s">
        <v>50</v>
      </c>
      <c r="D13" s="111">
        <f>D10/D42</f>
        <v>1E-3</v>
      </c>
      <c r="E13" s="112" t="s">
        <v>50</v>
      </c>
      <c r="F13" s="111">
        <f>F10/F42</f>
        <v>1E-3</v>
      </c>
      <c r="G13" s="112" t="s">
        <v>50</v>
      </c>
      <c r="H13" s="111">
        <f>H10/H42</f>
        <v>1.2E-2</v>
      </c>
      <c r="I13" s="112" t="s">
        <v>50</v>
      </c>
      <c r="J13" s="111">
        <f>J10/J42</f>
        <v>1.2E-2</v>
      </c>
      <c r="K13" s="112" t="s">
        <v>50</v>
      </c>
      <c r="L13" s="111">
        <f>L10/L42</f>
        <v>1.2E-2</v>
      </c>
      <c r="M13" s="112" t="s">
        <v>50</v>
      </c>
    </row>
    <row r="14" spans="1:13" ht="16.5">
      <c r="A14" s="17" t="s">
        <v>86</v>
      </c>
      <c r="B14" s="113" t="s">
        <v>105</v>
      </c>
      <c r="C14" s="113" t="s">
        <v>105</v>
      </c>
      <c r="D14" s="52" t="s">
        <v>106</v>
      </c>
      <c r="E14" s="52" t="s">
        <v>106</v>
      </c>
      <c r="F14" s="52" t="s">
        <v>110</v>
      </c>
      <c r="G14" s="52" t="s">
        <v>110</v>
      </c>
      <c r="H14" s="52" t="s">
        <v>105</v>
      </c>
      <c r="I14" s="52" t="s">
        <v>105</v>
      </c>
      <c r="J14" s="52" t="s">
        <v>106</v>
      </c>
      <c r="K14" s="52" t="s">
        <v>106</v>
      </c>
      <c r="L14" s="52" t="s">
        <v>110</v>
      </c>
      <c r="M14" s="52" t="s">
        <v>110</v>
      </c>
    </row>
    <row r="15" spans="1:13" ht="15.75">
      <c r="A15" s="17" t="s">
        <v>78</v>
      </c>
      <c r="B15" s="103">
        <v>3</v>
      </c>
      <c r="C15" s="103">
        <v>3</v>
      </c>
      <c r="D15" s="52">
        <v>3</v>
      </c>
      <c r="E15" s="52">
        <v>3</v>
      </c>
      <c r="F15" s="52">
        <v>3</v>
      </c>
      <c r="G15" s="52">
        <v>3</v>
      </c>
      <c r="H15" s="103">
        <v>3</v>
      </c>
      <c r="I15" s="103">
        <v>3</v>
      </c>
      <c r="J15" s="103">
        <v>3</v>
      </c>
      <c r="K15" s="103">
        <v>3</v>
      </c>
      <c r="L15" s="103">
        <v>3</v>
      </c>
      <c r="M15" s="103">
        <v>3</v>
      </c>
    </row>
    <row r="16" spans="1:13" ht="15.75">
      <c r="A16" s="17" t="s">
        <v>9</v>
      </c>
      <c r="B16" s="103">
        <v>3</v>
      </c>
      <c r="C16" s="103">
        <v>3</v>
      </c>
      <c r="D16" s="52">
        <v>3</v>
      </c>
      <c r="E16" s="52">
        <v>3</v>
      </c>
      <c r="F16" s="52">
        <v>3</v>
      </c>
      <c r="G16" s="52">
        <v>3</v>
      </c>
      <c r="H16" s="103">
        <v>3</v>
      </c>
      <c r="I16" s="103">
        <v>3</v>
      </c>
      <c r="J16" s="103">
        <v>3</v>
      </c>
      <c r="K16" s="103">
        <v>3</v>
      </c>
      <c r="L16" s="103">
        <v>3</v>
      </c>
      <c r="M16" s="103">
        <v>3</v>
      </c>
    </row>
    <row r="17" spans="1:13">
      <c r="A17" s="16" t="s">
        <v>10</v>
      </c>
      <c r="B17" s="114"/>
      <c r="C17" s="114"/>
      <c r="D17" s="115"/>
      <c r="E17" s="115"/>
      <c r="F17" s="115"/>
      <c r="G17" s="115"/>
      <c r="H17" s="115"/>
      <c r="I17" s="115"/>
      <c r="J17" s="115"/>
      <c r="K17" s="115"/>
      <c r="L17" s="115"/>
      <c r="M17" s="115"/>
    </row>
    <row r="18" spans="1:13" ht="30">
      <c r="A18" s="17" t="s">
        <v>76</v>
      </c>
      <c r="B18" s="103">
        <v>16</v>
      </c>
      <c r="C18" s="103">
        <v>16</v>
      </c>
      <c r="D18" s="103">
        <v>16</v>
      </c>
      <c r="E18" s="103">
        <v>16</v>
      </c>
      <c r="F18" s="52">
        <v>16</v>
      </c>
      <c r="G18" s="52">
        <v>16</v>
      </c>
      <c r="H18" s="103">
        <v>1</v>
      </c>
      <c r="I18" s="103">
        <v>1</v>
      </c>
      <c r="J18" s="103">
        <v>1</v>
      </c>
      <c r="K18" s="103">
        <v>1</v>
      </c>
      <c r="L18" s="103">
        <v>1</v>
      </c>
      <c r="M18" s="103">
        <v>1</v>
      </c>
    </row>
    <row r="19" spans="1:13" ht="15.75">
      <c r="A19" s="17" t="s">
        <v>107</v>
      </c>
      <c r="B19" s="103">
        <v>2</v>
      </c>
      <c r="C19" s="103">
        <v>2</v>
      </c>
      <c r="D19" s="103">
        <v>2</v>
      </c>
      <c r="E19" s="103">
        <v>2</v>
      </c>
      <c r="F19" s="103">
        <v>2</v>
      </c>
      <c r="G19" s="103">
        <v>2</v>
      </c>
      <c r="H19" s="103">
        <v>23</v>
      </c>
      <c r="I19" s="103">
        <v>23</v>
      </c>
      <c r="J19" s="103">
        <v>23</v>
      </c>
      <c r="K19" s="103">
        <v>23</v>
      </c>
      <c r="L19" s="103">
        <v>23</v>
      </c>
      <c r="M19" s="103">
        <v>23</v>
      </c>
    </row>
    <row r="20" spans="1:13" ht="15.75">
      <c r="A20" s="17" t="s">
        <v>11</v>
      </c>
      <c r="B20" s="116">
        <v>23</v>
      </c>
      <c r="C20" s="116">
        <v>23</v>
      </c>
      <c r="D20" s="116">
        <v>23</v>
      </c>
      <c r="E20" s="116">
        <v>23</v>
      </c>
      <c r="F20" s="116">
        <v>23</v>
      </c>
      <c r="G20" s="116">
        <v>23</v>
      </c>
      <c r="H20" s="116">
        <f t="shared" ref="H20:M20" si="0">H19+10*LOG10(H18)</f>
        <v>23</v>
      </c>
      <c r="I20" s="116">
        <f t="shared" si="0"/>
        <v>23</v>
      </c>
      <c r="J20" s="116">
        <f t="shared" si="0"/>
        <v>23</v>
      </c>
      <c r="K20" s="116">
        <f t="shared" si="0"/>
        <v>23</v>
      </c>
      <c r="L20" s="116">
        <f t="shared" si="0"/>
        <v>23</v>
      </c>
      <c r="M20" s="116">
        <f t="shared" si="0"/>
        <v>23</v>
      </c>
    </row>
    <row r="21" spans="1:13" ht="45">
      <c r="A21" s="37" t="s">
        <v>77</v>
      </c>
      <c r="B21" s="117">
        <f t="shared" ref="B21:M21" si="1">B20+10*LOG10(B18)</f>
        <v>35.04119982655925</v>
      </c>
      <c r="C21" s="117">
        <f t="shared" si="1"/>
        <v>35.04119982655925</v>
      </c>
      <c r="D21" s="117">
        <f t="shared" si="1"/>
        <v>35.04119982655925</v>
      </c>
      <c r="E21" s="117">
        <f t="shared" si="1"/>
        <v>35.04119982655925</v>
      </c>
      <c r="F21" s="117">
        <f t="shared" si="1"/>
        <v>35.04119982655925</v>
      </c>
      <c r="G21" s="117">
        <f t="shared" si="1"/>
        <v>35.04119982655925</v>
      </c>
      <c r="H21" s="117">
        <f t="shared" si="1"/>
        <v>23</v>
      </c>
      <c r="I21" s="117">
        <f t="shared" si="1"/>
        <v>23</v>
      </c>
      <c r="J21" s="117">
        <f t="shared" si="1"/>
        <v>23</v>
      </c>
      <c r="K21" s="117">
        <f t="shared" si="1"/>
        <v>23</v>
      </c>
      <c r="L21" s="117">
        <f t="shared" si="1"/>
        <v>23</v>
      </c>
      <c r="M21" s="117">
        <f t="shared" si="1"/>
        <v>23</v>
      </c>
    </row>
    <row r="22" spans="1:13" ht="15.75">
      <c r="A22" s="17" t="s">
        <v>12</v>
      </c>
      <c r="B22" s="116">
        <f>8</f>
        <v>8</v>
      </c>
      <c r="C22" s="116">
        <f>8</f>
        <v>8</v>
      </c>
      <c r="D22" s="52">
        <v>8</v>
      </c>
      <c r="E22" s="52">
        <v>8</v>
      </c>
      <c r="F22" s="52">
        <v>8</v>
      </c>
      <c r="G22" s="52">
        <v>8</v>
      </c>
      <c r="H22" s="103">
        <v>0</v>
      </c>
      <c r="I22" s="52">
        <v>0</v>
      </c>
      <c r="J22" s="103">
        <v>0</v>
      </c>
      <c r="K22" s="52">
        <v>0</v>
      </c>
      <c r="L22" s="103">
        <v>0</v>
      </c>
      <c r="M22" s="52">
        <v>0</v>
      </c>
    </row>
    <row r="23" spans="1:13" ht="45">
      <c r="A23" s="38" t="s">
        <v>13</v>
      </c>
      <c r="B23" s="117">
        <f>IF(B18&gt;=2, 10*LOG10(B18/B19), 0)</f>
        <v>9.0308998699194358</v>
      </c>
      <c r="C23" s="117">
        <f>IF(C18&gt;=2, 10*LOG10(C18/C19), 0)</f>
        <v>9.0308998699194358</v>
      </c>
      <c r="D23" s="117">
        <f t="shared" ref="D23:M23" si="2">IF(D18&gt;=2, 10*LOG10(D18/2), 0)</f>
        <v>9.0308998699194358</v>
      </c>
      <c r="E23" s="117">
        <f t="shared" si="2"/>
        <v>9.0308998699194358</v>
      </c>
      <c r="F23" s="117">
        <f t="shared" si="2"/>
        <v>9.0308998699194358</v>
      </c>
      <c r="G23" s="117">
        <f t="shared" si="2"/>
        <v>9.0308998699194358</v>
      </c>
      <c r="H23" s="117">
        <f t="shared" si="2"/>
        <v>0</v>
      </c>
      <c r="I23" s="117">
        <f t="shared" si="2"/>
        <v>0</v>
      </c>
      <c r="J23" s="117">
        <f t="shared" si="2"/>
        <v>0</v>
      </c>
      <c r="K23" s="117">
        <f t="shared" si="2"/>
        <v>0</v>
      </c>
      <c r="L23" s="117">
        <f t="shared" si="2"/>
        <v>0</v>
      </c>
      <c r="M23" s="117">
        <f t="shared" si="2"/>
        <v>0</v>
      </c>
    </row>
    <row r="24" spans="1:13" ht="15.75">
      <c r="A24" s="17" t="s">
        <v>14</v>
      </c>
      <c r="B24" s="103">
        <v>0</v>
      </c>
      <c r="C24" s="103">
        <v>0</v>
      </c>
      <c r="D24" s="54">
        <v>0</v>
      </c>
      <c r="E24" s="52">
        <v>0</v>
      </c>
      <c r="F24" s="54">
        <v>0</v>
      </c>
      <c r="G24" s="52">
        <v>0</v>
      </c>
      <c r="H24" s="103">
        <v>0</v>
      </c>
      <c r="I24" s="103">
        <v>0</v>
      </c>
      <c r="J24" s="103">
        <v>0</v>
      </c>
      <c r="K24" s="103">
        <v>0</v>
      </c>
      <c r="L24" s="103">
        <v>0</v>
      </c>
      <c r="M24" s="103">
        <v>0</v>
      </c>
    </row>
    <row r="25" spans="1:13" ht="15.75">
      <c r="A25" s="17" t="s">
        <v>15</v>
      </c>
      <c r="B25" s="103">
        <v>0</v>
      </c>
      <c r="C25" s="103">
        <v>0</v>
      </c>
      <c r="D25" s="54">
        <v>0</v>
      </c>
      <c r="E25" s="52">
        <v>0</v>
      </c>
      <c r="F25" s="54">
        <v>0</v>
      </c>
      <c r="G25" s="52">
        <v>0</v>
      </c>
      <c r="H25" s="103">
        <v>0</v>
      </c>
      <c r="I25" s="103">
        <v>0</v>
      </c>
      <c r="J25" s="103">
        <v>0</v>
      </c>
      <c r="K25" s="103">
        <v>0</v>
      </c>
      <c r="L25" s="103">
        <v>0</v>
      </c>
      <c r="M25" s="103">
        <v>0</v>
      </c>
    </row>
    <row r="26" spans="1:13" ht="45">
      <c r="A26" s="17" t="s">
        <v>16</v>
      </c>
      <c r="B26" s="113">
        <v>3</v>
      </c>
      <c r="C26" s="113">
        <v>3</v>
      </c>
      <c r="D26" s="113">
        <v>3</v>
      </c>
      <c r="E26" s="113">
        <v>3</v>
      </c>
      <c r="F26" s="113">
        <v>3</v>
      </c>
      <c r="G26" s="113">
        <v>3</v>
      </c>
      <c r="H26" s="113">
        <v>0</v>
      </c>
      <c r="I26" s="113">
        <v>0</v>
      </c>
      <c r="J26" s="113">
        <v>0</v>
      </c>
      <c r="K26" s="113">
        <v>0</v>
      </c>
      <c r="L26" s="113">
        <v>0</v>
      </c>
      <c r="M26" s="113">
        <v>0</v>
      </c>
    </row>
    <row r="27" spans="1:13" ht="15.75">
      <c r="A27" s="21" t="s">
        <v>17</v>
      </c>
      <c r="B27" s="118">
        <f t="shared" ref="B27:M27" si="3">B21+B22+B23+B24-B26</f>
        <v>49.072099696478688</v>
      </c>
      <c r="C27" s="118">
        <f t="shared" si="3"/>
        <v>49.072099696478688</v>
      </c>
      <c r="D27" s="118">
        <f t="shared" si="3"/>
        <v>49.072099696478688</v>
      </c>
      <c r="E27" s="118">
        <f t="shared" si="3"/>
        <v>49.072099696478688</v>
      </c>
      <c r="F27" s="118">
        <f t="shared" si="3"/>
        <v>49.072099696478688</v>
      </c>
      <c r="G27" s="118">
        <f t="shared" si="3"/>
        <v>49.072099696478688</v>
      </c>
      <c r="H27" s="119">
        <f t="shared" si="3"/>
        <v>23</v>
      </c>
      <c r="I27" s="119">
        <f t="shared" si="3"/>
        <v>23</v>
      </c>
      <c r="J27" s="119">
        <f t="shared" si="3"/>
        <v>23</v>
      </c>
      <c r="K27" s="119">
        <f t="shared" si="3"/>
        <v>23</v>
      </c>
      <c r="L27" s="119">
        <f t="shared" si="3"/>
        <v>23</v>
      </c>
      <c r="M27" s="119">
        <f t="shared" si="3"/>
        <v>23</v>
      </c>
    </row>
    <row r="28" spans="1:13" ht="15.75">
      <c r="A28" s="21" t="s">
        <v>18</v>
      </c>
      <c r="B28" s="118">
        <f t="shared" ref="B28:M28" si="4">B21+B22+B23-B25-B26</f>
        <v>49.072099696478688</v>
      </c>
      <c r="C28" s="118">
        <f t="shared" si="4"/>
        <v>49.072099696478688</v>
      </c>
      <c r="D28" s="118">
        <f t="shared" si="4"/>
        <v>49.072099696478688</v>
      </c>
      <c r="E28" s="118">
        <f t="shared" si="4"/>
        <v>49.072099696478688</v>
      </c>
      <c r="F28" s="118">
        <f t="shared" si="4"/>
        <v>49.072099696478688</v>
      </c>
      <c r="G28" s="118">
        <f t="shared" si="4"/>
        <v>49.072099696478688</v>
      </c>
      <c r="H28" s="119">
        <f t="shared" si="4"/>
        <v>23</v>
      </c>
      <c r="I28" s="119">
        <f t="shared" si="4"/>
        <v>23</v>
      </c>
      <c r="J28" s="119">
        <f t="shared" si="4"/>
        <v>23</v>
      </c>
      <c r="K28" s="119">
        <f t="shared" si="4"/>
        <v>23</v>
      </c>
      <c r="L28" s="119">
        <f t="shared" si="4"/>
        <v>23</v>
      </c>
      <c r="M28" s="119">
        <f t="shared" si="4"/>
        <v>23</v>
      </c>
    </row>
    <row r="29" spans="1:13">
      <c r="A29" s="16" t="s">
        <v>19</v>
      </c>
      <c r="B29" s="114"/>
      <c r="C29" s="114"/>
      <c r="D29" s="115"/>
      <c r="E29" s="115"/>
      <c r="F29" s="115"/>
      <c r="G29" s="115"/>
      <c r="H29" s="115"/>
      <c r="I29" s="115"/>
      <c r="J29" s="115"/>
      <c r="K29" s="115"/>
      <c r="L29" s="115"/>
      <c r="M29" s="115"/>
    </row>
    <row r="30" spans="1:13" ht="30">
      <c r="A30" s="17" t="s">
        <v>75</v>
      </c>
      <c r="B30" s="103">
        <v>1</v>
      </c>
      <c r="C30" s="103">
        <v>1</v>
      </c>
      <c r="D30" s="54">
        <v>1</v>
      </c>
      <c r="E30" s="52">
        <v>1</v>
      </c>
      <c r="F30" s="54">
        <v>1</v>
      </c>
      <c r="G30" s="52">
        <v>1</v>
      </c>
      <c r="H30" s="52">
        <v>32</v>
      </c>
      <c r="I30" s="52">
        <v>32</v>
      </c>
      <c r="J30" s="52">
        <v>32</v>
      </c>
      <c r="K30" s="52">
        <v>32</v>
      </c>
      <c r="L30" s="52">
        <v>32</v>
      </c>
      <c r="M30" s="52">
        <v>32</v>
      </c>
    </row>
    <row r="31" spans="1:13" ht="15.75">
      <c r="A31" s="17" t="s">
        <v>136</v>
      </c>
      <c r="B31" s="103">
        <v>1</v>
      </c>
      <c r="C31" s="103">
        <v>1</v>
      </c>
      <c r="D31" s="54">
        <v>1</v>
      </c>
      <c r="E31" s="52">
        <v>1</v>
      </c>
      <c r="F31" s="54">
        <v>1</v>
      </c>
      <c r="G31" s="52">
        <v>1</v>
      </c>
      <c r="H31" s="52">
        <v>4</v>
      </c>
      <c r="I31" s="52">
        <v>4</v>
      </c>
      <c r="J31" s="52">
        <v>4</v>
      </c>
      <c r="K31" s="52">
        <v>4</v>
      </c>
      <c r="L31" s="52">
        <v>4</v>
      </c>
      <c r="M31" s="52">
        <v>4</v>
      </c>
    </row>
    <row r="32" spans="1:13" ht="15.75">
      <c r="A32" s="17" t="s">
        <v>20</v>
      </c>
      <c r="B32" s="103">
        <v>0</v>
      </c>
      <c r="C32" s="103">
        <v>0</v>
      </c>
      <c r="D32" s="54">
        <v>0</v>
      </c>
      <c r="E32" s="52">
        <v>0</v>
      </c>
      <c r="F32" s="54">
        <v>0</v>
      </c>
      <c r="G32" s="52">
        <v>0</v>
      </c>
      <c r="H32" s="52">
        <v>8</v>
      </c>
      <c r="I32" s="52">
        <v>8</v>
      </c>
      <c r="J32" s="52">
        <v>8</v>
      </c>
      <c r="K32" s="52">
        <v>8</v>
      </c>
      <c r="L32" s="52">
        <v>8</v>
      </c>
      <c r="M32" s="52">
        <v>8</v>
      </c>
    </row>
    <row r="33" spans="1:13" ht="42.75">
      <c r="A33" s="22" t="s">
        <v>79</v>
      </c>
      <c r="B33" s="117">
        <f t="shared" ref="B33:G33" si="5">IF(B30&gt;=2, 10*LOG10(B30/2), 0)</f>
        <v>0</v>
      </c>
      <c r="C33" s="117">
        <f t="shared" si="5"/>
        <v>0</v>
      </c>
      <c r="D33" s="117">
        <f t="shared" si="5"/>
        <v>0</v>
      </c>
      <c r="E33" s="117">
        <f t="shared" si="5"/>
        <v>0</v>
      </c>
      <c r="F33" s="117">
        <f t="shared" si="5"/>
        <v>0</v>
      </c>
      <c r="G33" s="117">
        <f t="shared" si="5"/>
        <v>0</v>
      </c>
      <c r="H33" s="117">
        <f t="shared" ref="H33:M33" si="6">IF(H30/H31&gt;=2, 10*LOG10(H30/H31), 0)</f>
        <v>9.0308998699194358</v>
      </c>
      <c r="I33" s="117">
        <f t="shared" si="6"/>
        <v>9.0308998699194358</v>
      </c>
      <c r="J33" s="117">
        <f t="shared" si="6"/>
        <v>9.0308998699194358</v>
      </c>
      <c r="K33" s="117">
        <f t="shared" si="6"/>
        <v>9.0308998699194358</v>
      </c>
      <c r="L33" s="117">
        <f t="shared" si="6"/>
        <v>9.0308998699194358</v>
      </c>
      <c r="M33" s="117">
        <f t="shared" si="6"/>
        <v>9.0308998699194358</v>
      </c>
    </row>
    <row r="34" spans="1:13" ht="30">
      <c r="A34" s="17" t="s">
        <v>21</v>
      </c>
      <c r="B34" s="103">
        <v>0</v>
      </c>
      <c r="C34" s="103">
        <v>0</v>
      </c>
      <c r="D34" s="103">
        <v>0</v>
      </c>
      <c r="E34" s="103">
        <v>0</v>
      </c>
      <c r="F34" s="103">
        <v>0</v>
      </c>
      <c r="G34" s="103">
        <v>0</v>
      </c>
      <c r="H34" s="103">
        <v>3</v>
      </c>
      <c r="I34" s="103">
        <v>3</v>
      </c>
      <c r="J34" s="103">
        <v>3</v>
      </c>
      <c r="K34" s="103">
        <v>3</v>
      </c>
      <c r="L34" s="103">
        <v>3</v>
      </c>
      <c r="M34" s="103">
        <v>3</v>
      </c>
    </row>
    <row r="35" spans="1:13" ht="15.75">
      <c r="A35" s="17" t="s">
        <v>22</v>
      </c>
      <c r="B35" s="103">
        <v>7</v>
      </c>
      <c r="C35" s="103">
        <v>7</v>
      </c>
      <c r="D35" s="52">
        <v>7</v>
      </c>
      <c r="E35" s="52">
        <v>7</v>
      </c>
      <c r="F35" s="52">
        <v>7</v>
      </c>
      <c r="G35" s="52">
        <v>7</v>
      </c>
      <c r="H35" s="103">
        <v>5</v>
      </c>
      <c r="I35" s="103">
        <v>5</v>
      </c>
      <c r="J35" s="103">
        <v>5</v>
      </c>
      <c r="K35" s="103">
        <v>5</v>
      </c>
      <c r="L35" s="103">
        <v>5</v>
      </c>
      <c r="M35" s="103">
        <v>5</v>
      </c>
    </row>
    <row r="36" spans="1:13" ht="15.75">
      <c r="A36" s="17" t="s">
        <v>23</v>
      </c>
      <c r="B36" s="103">
        <v>-174</v>
      </c>
      <c r="C36" s="103">
        <v>-174</v>
      </c>
      <c r="D36" s="52">
        <v>-174</v>
      </c>
      <c r="E36" s="52">
        <v>-174</v>
      </c>
      <c r="F36" s="52">
        <v>-174</v>
      </c>
      <c r="G36" s="52">
        <v>-174</v>
      </c>
      <c r="H36" s="103">
        <v>-174</v>
      </c>
      <c r="I36" s="103">
        <v>-174</v>
      </c>
      <c r="J36" s="103">
        <v>-174</v>
      </c>
      <c r="K36" s="103">
        <v>-174</v>
      </c>
      <c r="L36" s="103">
        <v>-174</v>
      </c>
      <c r="M36" s="103">
        <v>-174</v>
      </c>
    </row>
    <row r="37" spans="1:13" ht="15.75">
      <c r="A37" s="17" t="s">
        <v>192</v>
      </c>
      <c r="B37" s="103" t="s">
        <v>50</v>
      </c>
      <c r="C37" s="109">
        <v>-177</v>
      </c>
      <c r="D37" s="54" t="s">
        <v>50</v>
      </c>
      <c r="E37" s="54">
        <v>-177</v>
      </c>
      <c r="F37" s="54" t="s">
        <v>50</v>
      </c>
      <c r="G37" s="54">
        <v>-177</v>
      </c>
      <c r="H37" s="103" t="s">
        <v>50</v>
      </c>
      <c r="I37" s="54">
        <v>-177</v>
      </c>
      <c r="J37" s="103" t="s">
        <v>50</v>
      </c>
      <c r="K37" s="54">
        <v>-177</v>
      </c>
      <c r="L37" s="103" t="s">
        <v>50</v>
      </c>
      <c r="M37" s="54">
        <v>-177</v>
      </c>
    </row>
    <row r="38" spans="1:13" ht="15.75">
      <c r="A38" s="17" t="s">
        <v>24</v>
      </c>
      <c r="B38" s="116">
        <v>-177</v>
      </c>
      <c r="C38" s="109" t="s">
        <v>50</v>
      </c>
      <c r="D38" s="54">
        <v>-177</v>
      </c>
      <c r="E38" s="54" t="s">
        <v>50</v>
      </c>
      <c r="F38" s="54">
        <v>-177</v>
      </c>
      <c r="G38" s="54" t="s">
        <v>50</v>
      </c>
      <c r="H38" s="54">
        <v>-177</v>
      </c>
      <c r="I38" s="54" t="s">
        <v>50</v>
      </c>
      <c r="J38" s="54">
        <v>-177</v>
      </c>
      <c r="K38" s="54" t="s">
        <v>50</v>
      </c>
      <c r="L38" s="54">
        <v>-177</v>
      </c>
      <c r="M38" s="54" t="s">
        <v>50</v>
      </c>
    </row>
    <row r="39" spans="1:13" ht="30">
      <c r="A39" s="23" t="s">
        <v>193</v>
      </c>
      <c r="B39" s="119" t="s">
        <v>50</v>
      </c>
      <c r="C39" s="119">
        <f t="shared" ref="C39:M39" si="7">10*LOG10(10^((C35+C36)/10)+10^(C37/10))</f>
        <v>-166.58607314841777</v>
      </c>
      <c r="D39" s="119" t="s">
        <v>50</v>
      </c>
      <c r="E39" s="119">
        <f t="shared" si="7"/>
        <v>-166.58607314841777</v>
      </c>
      <c r="F39" s="119" t="s">
        <v>50</v>
      </c>
      <c r="G39" s="119">
        <f t="shared" si="7"/>
        <v>-166.58607314841777</v>
      </c>
      <c r="H39" s="119" t="s">
        <v>50</v>
      </c>
      <c r="I39" s="119">
        <f t="shared" si="7"/>
        <v>-168.36107965856621</v>
      </c>
      <c r="J39" s="119" t="s">
        <v>50</v>
      </c>
      <c r="K39" s="119">
        <f t="shared" si="7"/>
        <v>-168.36107965856621</v>
      </c>
      <c r="L39" s="119" t="s">
        <v>50</v>
      </c>
      <c r="M39" s="119">
        <f t="shared" si="7"/>
        <v>-168.36107965856621</v>
      </c>
    </row>
    <row r="40" spans="1:13" ht="30">
      <c r="A40" s="23" t="s">
        <v>194</v>
      </c>
      <c r="B40" s="119">
        <f t="shared" ref="B40:L40" si="8">10*LOG10(10^((B35+B36)/10)+10^(B38/10))</f>
        <v>-166.58607314841777</v>
      </c>
      <c r="C40" s="119" t="s">
        <v>50</v>
      </c>
      <c r="D40" s="119">
        <f t="shared" si="8"/>
        <v>-166.58607314841777</v>
      </c>
      <c r="E40" s="119" t="s">
        <v>50</v>
      </c>
      <c r="F40" s="119">
        <f t="shared" si="8"/>
        <v>-166.58607314841777</v>
      </c>
      <c r="G40" s="119" t="s">
        <v>50</v>
      </c>
      <c r="H40" s="119">
        <f t="shared" si="8"/>
        <v>-168.36107965856621</v>
      </c>
      <c r="I40" s="119" t="s">
        <v>50</v>
      </c>
      <c r="J40" s="119">
        <f t="shared" si="8"/>
        <v>-168.36107965856621</v>
      </c>
      <c r="K40" s="119" t="s">
        <v>50</v>
      </c>
      <c r="L40" s="119">
        <f t="shared" si="8"/>
        <v>-168.36107965856621</v>
      </c>
      <c r="M40" s="119" t="s">
        <v>50</v>
      </c>
    </row>
    <row r="41" spans="1:13" ht="30">
      <c r="A41" s="17" t="s">
        <v>25</v>
      </c>
      <c r="B41" s="55" t="s">
        <v>50</v>
      </c>
      <c r="C41" s="109">
        <v>180000</v>
      </c>
      <c r="D41" s="54" t="s">
        <v>50</v>
      </c>
      <c r="E41" s="54">
        <f>1*12*15*1000</f>
        <v>180000</v>
      </c>
      <c r="F41" s="54" t="s">
        <v>50</v>
      </c>
      <c r="G41" s="54">
        <f>1*12*15*1000</f>
        <v>180000</v>
      </c>
      <c r="H41" s="54" t="s">
        <v>50</v>
      </c>
      <c r="I41" s="55">
        <v>15000</v>
      </c>
      <c r="J41" s="52" t="s">
        <v>50</v>
      </c>
      <c r="K41" s="52">
        <f>15*1000</f>
        <v>15000</v>
      </c>
      <c r="L41" s="52" t="s">
        <v>50</v>
      </c>
      <c r="M41" s="52">
        <f>15*1000</f>
        <v>15000</v>
      </c>
    </row>
    <row r="42" spans="1:13" ht="30">
      <c r="A42" s="17" t="s">
        <v>26</v>
      </c>
      <c r="B42" s="55">
        <v>180000</v>
      </c>
      <c r="C42" s="109" t="s">
        <v>50</v>
      </c>
      <c r="D42" s="54">
        <f>1*12*15*1000</f>
        <v>180000</v>
      </c>
      <c r="E42" s="52" t="s">
        <v>50</v>
      </c>
      <c r="F42" s="54">
        <f>1*12*15*1000</f>
        <v>180000</v>
      </c>
      <c r="G42" s="52" t="s">
        <v>50</v>
      </c>
      <c r="H42" s="55">
        <v>15000</v>
      </c>
      <c r="I42" s="52" t="s">
        <v>50</v>
      </c>
      <c r="J42" s="54">
        <f>15*1000</f>
        <v>15000</v>
      </c>
      <c r="K42" s="52" t="s">
        <v>50</v>
      </c>
      <c r="L42" s="54">
        <f>15*1000</f>
        <v>15000</v>
      </c>
      <c r="M42" s="52" t="s">
        <v>50</v>
      </c>
    </row>
    <row r="43" spans="1:13" ht="30">
      <c r="A43" s="21" t="s">
        <v>27</v>
      </c>
      <c r="B43" s="119" t="s">
        <v>50</v>
      </c>
      <c r="C43" s="119">
        <f t="shared" ref="C43:M44" si="9">C39+10*LOG10(C41)</f>
        <v>-114.0333480973847</v>
      </c>
      <c r="D43" s="119" t="s">
        <v>50</v>
      </c>
      <c r="E43" s="119">
        <f t="shared" si="9"/>
        <v>-114.0333480973847</v>
      </c>
      <c r="F43" s="119" t="s">
        <v>50</v>
      </c>
      <c r="G43" s="119">
        <f t="shared" si="9"/>
        <v>-114.0333480973847</v>
      </c>
      <c r="H43" s="119" t="s">
        <v>50</v>
      </c>
      <c r="I43" s="119">
        <f t="shared" si="9"/>
        <v>-126.6001670680094</v>
      </c>
      <c r="J43" s="119" t="s">
        <v>50</v>
      </c>
      <c r="K43" s="119">
        <f t="shared" si="9"/>
        <v>-126.6001670680094</v>
      </c>
      <c r="L43" s="119" t="s">
        <v>50</v>
      </c>
      <c r="M43" s="119">
        <f t="shared" si="9"/>
        <v>-126.6001670680094</v>
      </c>
    </row>
    <row r="44" spans="1:13" ht="30">
      <c r="A44" s="21" t="s">
        <v>28</v>
      </c>
      <c r="B44" s="119">
        <f>B40+10*LOG10(B42)</f>
        <v>-114.0333480973847</v>
      </c>
      <c r="C44" s="119" t="s">
        <v>50</v>
      </c>
      <c r="D44" s="119">
        <f t="shared" si="9"/>
        <v>-114.0333480973847</v>
      </c>
      <c r="E44" s="119" t="s">
        <v>50</v>
      </c>
      <c r="F44" s="119">
        <f t="shared" si="9"/>
        <v>-114.0333480973847</v>
      </c>
      <c r="G44" s="119" t="s">
        <v>50</v>
      </c>
      <c r="H44" s="119">
        <f t="shared" si="9"/>
        <v>-126.6001670680094</v>
      </c>
      <c r="I44" s="119" t="s">
        <v>50</v>
      </c>
      <c r="J44" s="119">
        <f t="shared" si="9"/>
        <v>-126.6001670680094</v>
      </c>
      <c r="K44" s="119" t="s">
        <v>50</v>
      </c>
      <c r="L44" s="119">
        <f t="shared" si="9"/>
        <v>-126.6001670680094</v>
      </c>
      <c r="M44" s="119" t="s">
        <v>50</v>
      </c>
    </row>
    <row r="45" spans="1:13" ht="15.75">
      <c r="A45" s="17" t="s">
        <v>29</v>
      </c>
      <c r="B45" s="103" t="s">
        <v>50</v>
      </c>
      <c r="C45" s="109">
        <v>-17.2</v>
      </c>
      <c r="D45" s="54" t="s">
        <v>50</v>
      </c>
      <c r="E45" s="52">
        <v>-16.7</v>
      </c>
      <c r="F45" s="54" t="s">
        <v>50</v>
      </c>
      <c r="G45" s="52">
        <v>-16.7</v>
      </c>
      <c r="H45" s="52" t="s">
        <v>50</v>
      </c>
      <c r="I45" s="52">
        <v>-17.899999999999999</v>
      </c>
      <c r="J45" s="52" t="s">
        <v>50</v>
      </c>
      <c r="K45" s="52">
        <v>-16</v>
      </c>
      <c r="L45" s="52" t="s">
        <v>50</v>
      </c>
      <c r="M45" s="52">
        <v>-16</v>
      </c>
    </row>
    <row r="46" spans="1:13" ht="15">
      <c r="A46" s="17" t="s">
        <v>30</v>
      </c>
      <c r="B46" s="120">
        <v>-16.899999999999999</v>
      </c>
      <c r="C46" s="109" t="s">
        <v>50</v>
      </c>
      <c r="D46" s="54">
        <v>-17.7</v>
      </c>
      <c r="E46" s="52" t="s">
        <v>50</v>
      </c>
      <c r="F46" s="54">
        <v>-17.7</v>
      </c>
      <c r="G46" s="52" t="s">
        <v>50</v>
      </c>
      <c r="H46" s="52">
        <v>-17.600000000000001</v>
      </c>
      <c r="I46" s="52" t="s">
        <v>50</v>
      </c>
      <c r="J46" s="52">
        <v>-16.600000000000001</v>
      </c>
      <c r="K46" s="52" t="s">
        <v>50</v>
      </c>
      <c r="L46" s="52">
        <v>-16.600000000000001</v>
      </c>
      <c r="M46" s="52" t="s">
        <v>50</v>
      </c>
    </row>
    <row r="47" spans="1:13" ht="15.75">
      <c r="A47" s="17" t="s">
        <v>31</v>
      </c>
      <c r="B47" s="103">
        <v>2</v>
      </c>
      <c r="C47" s="109">
        <v>2</v>
      </c>
      <c r="D47" s="54">
        <v>2</v>
      </c>
      <c r="E47" s="52">
        <v>2</v>
      </c>
      <c r="F47" s="54">
        <v>2</v>
      </c>
      <c r="G47" s="52">
        <v>2</v>
      </c>
      <c r="H47" s="52">
        <v>2</v>
      </c>
      <c r="I47" s="52">
        <v>2</v>
      </c>
      <c r="J47" s="52">
        <v>2</v>
      </c>
      <c r="K47" s="52">
        <v>2</v>
      </c>
      <c r="L47" s="52">
        <v>2</v>
      </c>
      <c r="M47" s="52">
        <v>2</v>
      </c>
    </row>
    <row r="48" spans="1:13" ht="15.75">
      <c r="A48" s="17" t="s">
        <v>32</v>
      </c>
      <c r="B48" s="103" t="s">
        <v>50</v>
      </c>
      <c r="C48" s="109">
        <v>0</v>
      </c>
      <c r="D48" s="54" t="s">
        <v>50</v>
      </c>
      <c r="E48" s="52">
        <v>0</v>
      </c>
      <c r="F48" s="54" t="s">
        <v>50</v>
      </c>
      <c r="G48" s="52">
        <v>0</v>
      </c>
      <c r="H48" s="52" t="s">
        <v>50</v>
      </c>
      <c r="I48" s="52">
        <v>0</v>
      </c>
      <c r="J48" s="52" t="s">
        <v>50</v>
      </c>
      <c r="K48" s="52">
        <v>0</v>
      </c>
      <c r="L48" s="52" t="s">
        <v>50</v>
      </c>
      <c r="M48" s="52">
        <v>0</v>
      </c>
    </row>
    <row r="49" spans="1:13" ht="15.75">
      <c r="A49" s="17" t="s">
        <v>33</v>
      </c>
      <c r="B49" s="103">
        <v>0</v>
      </c>
      <c r="C49" s="109" t="s">
        <v>50</v>
      </c>
      <c r="D49" s="54">
        <v>0</v>
      </c>
      <c r="E49" s="52" t="s">
        <v>50</v>
      </c>
      <c r="F49" s="54">
        <v>0</v>
      </c>
      <c r="G49" s="52" t="s">
        <v>50</v>
      </c>
      <c r="H49" s="52">
        <v>0</v>
      </c>
      <c r="I49" s="52" t="s">
        <v>50</v>
      </c>
      <c r="J49" s="54">
        <v>0</v>
      </c>
      <c r="K49" s="52" t="s">
        <v>50</v>
      </c>
      <c r="L49" s="54">
        <v>0</v>
      </c>
      <c r="M49" s="52" t="s">
        <v>50</v>
      </c>
    </row>
    <row r="50" spans="1:13" ht="30">
      <c r="A50" s="23" t="s">
        <v>44</v>
      </c>
      <c r="B50" s="119" t="s">
        <v>50</v>
      </c>
      <c r="C50" s="119">
        <f t="shared" ref="C50:M50" si="10">C43+C45+C47-C48</f>
        <v>-129.23334809738469</v>
      </c>
      <c r="D50" s="119" t="s">
        <v>50</v>
      </c>
      <c r="E50" s="119">
        <f t="shared" si="10"/>
        <v>-128.73334809738469</v>
      </c>
      <c r="F50" s="119" t="s">
        <v>50</v>
      </c>
      <c r="G50" s="119">
        <f t="shared" si="10"/>
        <v>-128.73334809738469</v>
      </c>
      <c r="H50" s="119" t="s">
        <v>50</v>
      </c>
      <c r="I50" s="119">
        <f t="shared" si="10"/>
        <v>-142.5001670680094</v>
      </c>
      <c r="J50" s="119" t="s">
        <v>50</v>
      </c>
      <c r="K50" s="119">
        <f t="shared" si="10"/>
        <v>-140.6001670680094</v>
      </c>
      <c r="L50" s="119" t="s">
        <v>50</v>
      </c>
      <c r="M50" s="119">
        <f t="shared" si="10"/>
        <v>-140.6001670680094</v>
      </c>
    </row>
    <row r="51" spans="1:13" ht="30">
      <c r="A51" s="23" t="s">
        <v>45</v>
      </c>
      <c r="B51" s="119">
        <f>B44+B46+B47-B49</f>
        <v>-128.93334809738471</v>
      </c>
      <c r="C51" s="119" t="s">
        <v>50</v>
      </c>
      <c r="D51" s="119">
        <f>D44+D46+D47-D49</f>
        <v>-129.73334809738469</v>
      </c>
      <c r="E51" s="119" t="s">
        <v>50</v>
      </c>
      <c r="F51" s="119">
        <f t="shared" ref="F51:L51" si="11">F44+F46+F47-F49</f>
        <v>-129.73334809738469</v>
      </c>
      <c r="G51" s="119" t="s">
        <v>50</v>
      </c>
      <c r="H51" s="119">
        <f t="shared" si="11"/>
        <v>-142.20016706800939</v>
      </c>
      <c r="I51" s="119" t="s">
        <v>50</v>
      </c>
      <c r="J51" s="119">
        <f t="shared" si="11"/>
        <v>-141.20016706800939</v>
      </c>
      <c r="K51" s="119" t="s">
        <v>50</v>
      </c>
      <c r="L51" s="119">
        <f t="shared" si="11"/>
        <v>-141.20016706800939</v>
      </c>
      <c r="M51" s="119" t="s">
        <v>50</v>
      </c>
    </row>
    <row r="52" spans="1:13" ht="30">
      <c r="A52" s="23" t="s">
        <v>87</v>
      </c>
      <c r="B52" s="119" t="s">
        <v>50</v>
      </c>
      <c r="C52" s="119">
        <f t="shared" ref="C52:M52" si="12">C27+C32+C33-C50</f>
        <v>178.30544779386338</v>
      </c>
      <c r="D52" s="119" t="s">
        <v>50</v>
      </c>
      <c r="E52" s="119">
        <f t="shared" si="12"/>
        <v>177.80544779386338</v>
      </c>
      <c r="F52" s="119" t="s">
        <v>50</v>
      </c>
      <c r="G52" s="119">
        <f t="shared" si="12"/>
        <v>177.80544779386338</v>
      </c>
      <c r="H52" s="119" t="s">
        <v>50</v>
      </c>
      <c r="I52" s="119">
        <f t="shared" si="12"/>
        <v>182.53106693792884</v>
      </c>
      <c r="J52" s="119" t="s">
        <v>50</v>
      </c>
      <c r="K52" s="119">
        <f t="shared" si="12"/>
        <v>180.63106693792884</v>
      </c>
      <c r="L52" s="119" t="s">
        <v>50</v>
      </c>
      <c r="M52" s="119">
        <f t="shared" si="12"/>
        <v>180.63106693792884</v>
      </c>
    </row>
    <row r="53" spans="1:13" ht="30">
      <c r="A53" s="23" t="s">
        <v>88</v>
      </c>
      <c r="B53" s="119">
        <f>B28+B32+B33-B51</f>
        <v>178.0054477938634</v>
      </c>
      <c r="C53" s="119" t="s">
        <v>50</v>
      </c>
      <c r="D53" s="119">
        <f t="shared" ref="D53:L53" si="13">D28+D32+D33-D51</f>
        <v>178.80544779386338</v>
      </c>
      <c r="E53" s="119" t="s">
        <v>50</v>
      </c>
      <c r="F53" s="119">
        <f t="shared" si="13"/>
        <v>178.80544779386338</v>
      </c>
      <c r="G53" s="119" t="s">
        <v>50</v>
      </c>
      <c r="H53" s="119">
        <f t="shared" si="13"/>
        <v>182.23106693792883</v>
      </c>
      <c r="I53" s="119" t="s">
        <v>50</v>
      </c>
      <c r="J53" s="119">
        <f t="shared" si="13"/>
        <v>181.23106693792883</v>
      </c>
      <c r="K53" s="119" t="s">
        <v>50</v>
      </c>
      <c r="L53" s="119">
        <f t="shared" si="13"/>
        <v>181.23106693792883</v>
      </c>
      <c r="M53" s="119" t="s">
        <v>50</v>
      </c>
    </row>
    <row r="54" spans="1:13">
      <c r="A54" s="16" t="s">
        <v>34</v>
      </c>
      <c r="B54" s="101"/>
      <c r="C54" s="101"/>
      <c r="D54" s="102"/>
      <c r="E54" s="102"/>
      <c r="F54" s="102"/>
      <c r="G54" s="102"/>
      <c r="H54" s="102"/>
      <c r="I54" s="102"/>
      <c r="J54" s="102"/>
      <c r="K54" s="102"/>
      <c r="L54" s="102"/>
      <c r="M54" s="102"/>
    </row>
    <row r="55" spans="1:13" ht="15">
      <c r="A55" s="17" t="s">
        <v>35</v>
      </c>
      <c r="B55" s="121">
        <v>4</v>
      </c>
      <c r="C55" s="121">
        <v>4</v>
      </c>
      <c r="D55" s="30">
        <v>6</v>
      </c>
      <c r="E55" s="30">
        <v>6</v>
      </c>
      <c r="F55" s="122">
        <v>7</v>
      </c>
      <c r="G55" s="122">
        <v>7</v>
      </c>
      <c r="H55" s="121">
        <v>4</v>
      </c>
      <c r="I55" s="121">
        <v>4</v>
      </c>
      <c r="J55" s="30">
        <v>6</v>
      </c>
      <c r="K55" s="30">
        <v>6</v>
      </c>
      <c r="L55" s="122">
        <v>7</v>
      </c>
      <c r="M55" s="122">
        <v>7</v>
      </c>
    </row>
    <row r="56" spans="1:13" ht="30">
      <c r="A56" s="17" t="s">
        <v>36</v>
      </c>
      <c r="B56" s="121" t="s">
        <v>50</v>
      </c>
      <c r="C56" s="121">
        <v>6.3</v>
      </c>
      <c r="D56" s="30" t="s">
        <v>50</v>
      </c>
      <c r="E56" s="30">
        <v>10.26</v>
      </c>
      <c r="F56" s="123" t="s">
        <v>50</v>
      </c>
      <c r="G56" s="122">
        <v>18.34</v>
      </c>
      <c r="H56" s="121" t="s">
        <v>50</v>
      </c>
      <c r="I56" s="121">
        <v>6.3</v>
      </c>
      <c r="J56" s="46" t="s">
        <v>50</v>
      </c>
      <c r="K56" s="30">
        <v>10.26</v>
      </c>
      <c r="L56" s="123" t="s">
        <v>50</v>
      </c>
      <c r="M56" s="122">
        <v>18.34</v>
      </c>
    </row>
    <row r="57" spans="1:13" ht="30">
      <c r="A57" s="17" t="s">
        <v>37</v>
      </c>
      <c r="B57" s="121">
        <v>6.3</v>
      </c>
      <c r="C57" s="121" t="s">
        <v>50</v>
      </c>
      <c r="D57" s="30">
        <v>10.26</v>
      </c>
      <c r="E57" s="30" t="s">
        <v>50</v>
      </c>
      <c r="F57" s="122">
        <v>18.34</v>
      </c>
      <c r="G57" s="123" t="s">
        <v>50</v>
      </c>
      <c r="H57" s="121">
        <v>6.3</v>
      </c>
      <c r="I57" s="121" t="s">
        <v>50</v>
      </c>
      <c r="J57" s="30">
        <v>10.26</v>
      </c>
      <c r="K57" s="46" t="s">
        <v>50</v>
      </c>
      <c r="L57" s="122">
        <v>18.34</v>
      </c>
      <c r="M57" s="123" t="s">
        <v>50</v>
      </c>
    </row>
    <row r="58" spans="1:13" ht="15">
      <c r="A58" s="17" t="s">
        <v>38</v>
      </c>
      <c r="B58" s="121">
        <v>0</v>
      </c>
      <c r="C58" s="121">
        <v>0</v>
      </c>
      <c r="D58" s="46">
        <v>0</v>
      </c>
      <c r="E58" s="46">
        <v>0</v>
      </c>
      <c r="F58" s="46">
        <v>0</v>
      </c>
      <c r="G58" s="46">
        <v>0</v>
      </c>
      <c r="H58" s="121">
        <v>0</v>
      </c>
      <c r="I58" s="121">
        <v>0</v>
      </c>
      <c r="J58" s="46">
        <v>0</v>
      </c>
      <c r="K58" s="46">
        <v>0</v>
      </c>
      <c r="L58" s="46">
        <v>0</v>
      </c>
      <c r="M58" s="46">
        <v>0</v>
      </c>
    </row>
    <row r="59" spans="1:13" ht="15">
      <c r="A59" s="17" t="s">
        <v>39</v>
      </c>
      <c r="B59" s="121">
        <v>0</v>
      </c>
      <c r="C59" s="121">
        <v>0</v>
      </c>
      <c r="D59" s="30">
        <v>0</v>
      </c>
      <c r="E59" s="30">
        <v>0</v>
      </c>
      <c r="F59" s="46">
        <f>17.75+0.5*25/3</f>
        <v>21.916666666666668</v>
      </c>
      <c r="G59" s="46">
        <f>17.75+0.5*25/3</f>
        <v>21.916666666666668</v>
      </c>
      <c r="H59" s="121">
        <v>0</v>
      </c>
      <c r="I59" s="121">
        <v>0</v>
      </c>
      <c r="J59" s="30">
        <v>0</v>
      </c>
      <c r="K59" s="30">
        <v>0</v>
      </c>
      <c r="L59" s="46">
        <f>17.75+0.5*25/3</f>
        <v>21.916666666666668</v>
      </c>
      <c r="M59" s="46">
        <f>17.75+0.5*25/3</f>
        <v>21.916666666666668</v>
      </c>
    </row>
    <row r="60" spans="1:13" ht="15">
      <c r="A60" s="17" t="s">
        <v>40</v>
      </c>
      <c r="B60" s="121">
        <v>0</v>
      </c>
      <c r="C60" s="121">
        <v>0</v>
      </c>
      <c r="D60" s="46">
        <v>0</v>
      </c>
      <c r="E60" s="46">
        <v>0</v>
      </c>
      <c r="F60" s="46">
        <v>0</v>
      </c>
      <c r="G60" s="46">
        <v>0</v>
      </c>
      <c r="H60" s="121">
        <v>0</v>
      </c>
      <c r="I60" s="121">
        <v>0</v>
      </c>
      <c r="J60" s="46">
        <v>0</v>
      </c>
      <c r="K60" s="46">
        <v>0</v>
      </c>
      <c r="L60" s="46">
        <v>0</v>
      </c>
      <c r="M60" s="46">
        <v>0</v>
      </c>
    </row>
    <row r="61" spans="1:13" ht="30">
      <c r="A61" s="23" t="s">
        <v>49</v>
      </c>
      <c r="B61" s="119" t="s">
        <v>50</v>
      </c>
      <c r="C61" s="33">
        <f t="shared" ref="C61:M61" si="14">C52-C56+C58-C59+C60-C34</f>
        <v>172.00544779386337</v>
      </c>
      <c r="D61" s="119" t="s">
        <v>50</v>
      </c>
      <c r="E61" s="33">
        <f t="shared" si="14"/>
        <v>167.54544779386339</v>
      </c>
      <c r="F61" s="119" t="s">
        <v>50</v>
      </c>
      <c r="G61" s="33">
        <f t="shared" si="14"/>
        <v>137.54878112719672</v>
      </c>
      <c r="H61" s="119" t="s">
        <v>50</v>
      </c>
      <c r="I61" s="33">
        <f t="shared" si="14"/>
        <v>173.23106693792883</v>
      </c>
      <c r="J61" s="119" t="s">
        <v>50</v>
      </c>
      <c r="K61" s="33">
        <f t="shared" si="14"/>
        <v>167.37106693792884</v>
      </c>
      <c r="L61" s="119" t="s">
        <v>50</v>
      </c>
      <c r="M61" s="33">
        <f t="shared" si="14"/>
        <v>137.37440027126218</v>
      </c>
    </row>
    <row r="62" spans="1:13" ht="30">
      <c r="A62" s="23" t="s">
        <v>46</v>
      </c>
      <c r="B62" s="33">
        <f t="shared" ref="B62:L62" si="15">B53-B57+B58-B59+B60-B34</f>
        <v>171.70544779386339</v>
      </c>
      <c r="C62" s="119" t="s">
        <v>50</v>
      </c>
      <c r="D62" s="33">
        <f t="shared" si="15"/>
        <v>168.54544779386339</v>
      </c>
      <c r="E62" s="119" t="s">
        <v>50</v>
      </c>
      <c r="F62" s="33">
        <f t="shared" si="15"/>
        <v>138.54878112719672</v>
      </c>
      <c r="G62" s="119" t="s">
        <v>50</v>
      </c>
      <c r="H62" s="33">
        <f t="shared" si="15"/>
        <v>172.93106693792882</v>
      </c>
      <c r="I62" s="119" t="s">
        <v>50</v>
      </c>
      <c r="J62" s="33">
        <f t="shared" si="15"/>
        <v>167.97106693792884</v>
      </c>
      <c r="K62" s="119" t="s">
        <v>50</v>
      </c>
      <c r="L62" s="33">
        <f t="shared" si="15"/>
        <v>137.97440027126217</v>
      </c>
      <c r="M62" s="119" t="s">
        <v>50</v>
      </c>
    </row>
    <row r="63" spans="1:13">
      <c r="A63" s="16" t="s">
        <v>41</v>
      </c>
      <c r="B63" s="101"/>
      <c r="C63" s="101"/>
      <c r="D63" s="102"/>
      <c r="E63" s="102"/>
      <c r="F63" s="102"/>
      <c r="G63" s="102"/>
      <c r="H63" s="102"/>
      <c r="I63" s="102"/>
      <c r="J63" s="102"/>
      <c r="K63" s="102"/>
      <c r="L63" s="102"/>
      <c r="M63" s="102"/>
    </row>
    <row r="64" spans="1:13">
      <c r="A64" s="124"/>
      <c r="B64" s="125"/>
      <c r="C64" s="125"/>
      <c r="D64" s="126"/>
      <c r="E64" s="126"/>
      <c r="F64" s="126"/>
      <c r="G64" s="126"/>
      <c r="H64" s="126"/>
      <c r="I64" s="126"/>
      <c r="J64" s="126"/>
      <c r="K64" s="126"/>
      <c r="L64" s="126"/>
      <c r="M64" s="126"/>
    </row>
    <row r="65" spans="1:13" ht="45">
      <c r="A65" s="25" t="s">
        <v>42</v>
      </c>
      <c r="B65" s="121" t="s">
        <v>50</v>
      </c>
      <c r="C65" s="54">
        <f>SQRT((10^((C61-28-20*LOG10(C$4)+9*LOG10(112^2+(C$5-C$6)^2))/40) )^2-(C$5-C$6)^2)</f>
        <v>40174.008381932588</v>
      </c>
      <c r="D65" s="30"/>
      <c r="E65" s="30">
        <f>SQRT((10^((E61-13.54-20*LOG10(E$4)+0.6*(E$6-1.5))/39.08))^2-(E5-E6)^2)</f>
        <v>10472.42338901419</v>
      </c>
      <c r="F65" s="30" t="s">
        <v>82</v>
      </c>
      <c r="G65" s="30">
        <f>SQRT((10^((G61-13.54-20*LOG10(G$4)+0.6*(G$6-1.5))/39.08))^2-(G5-G6)^2)</f>
        <v>1788.2984310429915</v>
      </c>
      <c r="H65" s="121" t="s">
        <v>50</v>
      </c>
      <c r="I65" s="54">
        <f>SQRT((10^((I61-28-20*LOG10(I$4)+9*LOG10(112^2+(I$5-I$6)^2))/40) )^2-(I$5-I$6)^2)</f>
        <v>43110.75753038426</v>
      </c>
      <c r="J65" s="30"/>
      <c r="K65" s="30">
        <f>SQRT((10^((K61-13.54-20*LOG10(K$4)+0.6*(K$6-1.5))/39.08))^2-(K5-K6)^2)</f>
        <v>10365.374993166371</v>
      </c>
      <c r="L65" s="30"/>
      <c r="M65" s="30">
        <f>SQRT((10^((M61-13.54-20*LOG10(M$4)+0.6*(M$6-1.5))/39.08))^2-(M5-M6)^2)</f>
        <v>1770.0154863222292</v>
      </c>
    </row>
    <row r="66" spans="1:13" ht="45">
      <c r="A66" s="25" t="s">
        <v>43</v>
      </c>
      <c r="B66" s="54">
        <f>SQRT((10^((B62-28-20*LOG10(B$4)+9*LOG10(112^2+(B$5-B$6)^2))/40) )^2-(B$5-B$6)^2)</f>
        <v>39486.183844923165</v>
      </c>
      <c r="C66" s="121" t="s">
        <v>50</v>
      </c>
      <c r="D66" s="30">
        <f>SQRT((10^((D62-13.54-20*LOG10(D$4)+0.6*(D$6-1.5))/39.08))^2-(D5-D6)^2)</f>
        <v>11107.999457015094</v>
      </c>
      <c r="E66" s="30" t="s">
        <v>82</v>
      </c>
      <c r="F66" s="30">
        <f>SQRT((10^((F62-13.54-20*LOG10(F$4)+0.6*(F$6-1.5))/39.08))^2-(F5-F6)^2)</f>
        <v>1896.8487388968135</v>
      </c>
      <c r="G66" s="30" t="s">
        <v>82</v>
      </c>
      <c r="H66" s="54">
        <f>SQRT((10^((H62-28-20*LOG10(H$4)+9*LOG10(112^2+(H$5-H$6)^2))/40) )^2-(H$5-H$6)^2)</f>
        <v>42372.652554409324</v>
      </c>
      <c r="I66" s="121" t="s">
        <v>50</v>
      </c>
      <c r="J66" s="30">
        <f>SQRT((10^((J62-13.54-20*LOG10(J$4)+0.6*(J$6-1.5))/39.08))^2-(J5-J6)^2)</f>
        <v>10738.366352976442</v>
      </c>
      <c r="K66" s="30" t="s">
        <v>82</v>
      </c>
      <c r="L66" s="30">
        <f>SQRT((10^((L62-13.54-20*LOG10(L$4)+0.6*(L$6-1.5))/39.08))^2-(L5-L6)^2)</f>
        <v>1833.7190668917192</v>
      </c>
      <c r="M66" s="30" t="s">
        <v>82</v>
      </c>
    </row>
    <row r="67" spans="1:13" ht="18">
      <c r="A67" s="25" t="s">
        <v>90</v>
      </c>
      <c r="B67" s="58" t="s">
        <v>50</v>
      </c>
      <c r="C67" s="58">
        <f>PI()*(C65)^2</f>
        <v>5070376446.1142178</v>
      </c>
      <c r="D67" s="58" t="s">
        <v>50</v>
      </c>
      <c r="E67" s="58">
        <f>PI()*(E65)^2</f>
        <v>344543655.09542334</v>
      </c>
      <c r="F67" s="58" t="s">
        <v>50</v>
      </c>
      <c r="G67" s="58">
        <f>PI()*(G65)^2</f>
        <v>10046848.738541245</v>
      </c>
      <c r="H67" s="58" t="s">
        <v>50</v>
      </c>
      <c r="I67" s="58">
        <f>PI()*(I65)^2</f>
        <v>5838767488.8943663</v>
      </c>
      <c r="J67" s="58" t="s">
        <v>50</v>
      </c>
      <c r="K67" s="58">
        <f>PI()*(K65)^2</f>
        <v>337535852.36407894</v>
      </c>
      <c r="L67" s="58" t="s">
        <v>50</v>
      </c>
      <c r="M67" s="58">
        <f>PI()*(M65)^2</f>
        <v>9842467.8522600569</v>
      </c>
    </row>
    <row r="68" spans="1:13" ht="18">
      <c r="A68" s="25" t="s">
        <v>91</v>
      </c>
      <c r="B68" s="58">
        <f>PI()*(B66)^2</f>
        <v>4898241563.6780443</v>
      </c>
      <c r="C68" s="58" t="s">
        <v>50</v>
      </c>
      <c r="D68" s="58">
        <f>PI()*(D66)^2</f>
        <v>387633740.86912322</v>
      </c>
      <c r="E68" s="58" t="s">
        <v>50</v>
      </c>
      <c r="F68" s="58">
        <f>PI()*(F66)^2</f>
        <v>11303560.757698059</v>
      </c>
      <c r="G68" s="58" t="s">
        <v>50</v>
      </c>
      <c r="H68" s="58">
        <f>PI()*(H66)^2</f>
        <v>5640546405.9636879</v>
      </c>
      <c r="I68" s="58" t="s">
        <v>50</v>
      </c>
      <c r="J68" s="58">
        <f>PI()*(J66)^2</f>
        <v>362264940.34858739</v>
      </c>
      <c r="K68" s="58" t="s">
        <v>50</v>
      </c>
      <c r="L68" s="58">
        <f>PI()*(L66)^2</f>
        <v>10563685.773619767</v>
      </c>
      <c r="M68" s="58" t="s">
        <v>50</v>
      </c>
    </row>
  </sheetData>
  <mergeCells count="2">
    <mergeCell ref="D1:G1"/>
    <mergeCell ref="J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I19" sqref="I19"/>
    </sheetView>
  </sheetViews>
  <sheetFormatPr defaultColWidth="9" defaultRowHeight="14.25"/>
  <cols>
    <col min="1" max="16384" width="9" style="2"/>
  </cols>
  <sheetData>
    <row r="1" spans="1:16">
      <c r="A1"/>
      <c r="B1" s="3" t="s">
        <v>195</v>
      </c>
      <c r="C1"/>
      <c r="D1"/>
      <c r="E1"/>
      <c r="F1"/>
      <c r="G1"/>
      <c r="H1"/>
      <c r="I1"/>
      <c r="J1"/>
      <c r="K1"/>
      <c r="L1"/>
      <c r="M1"/>
      <c r="N1"/>
      <c r="O1"/>
      <c r="P1"/>
    </row>
    <row r="2" spans="1:16" ht="15" thickBot="1">
      <c r="A2"/>
      <c r="B2" s="4" t="s">
        <v>51</v>
      </c>
      <c r="C2"/>
      <c r="D2"/>
      <c r="E2"/>
      <c r="F2"/>
      <c r="G2"/>
      <c r="H2"/>
      <c r="I2"/>
      <c r="J2"/>
      <c r="K2"/>
      <c r="L2"/>
      <c r="M2"/>
      <c r="N2"/>
      <c r="O2"/>
      <c r="P2"/>
    </row>
    <row r="3" spans="1:16">
      <c r="A3"/>
      <c r="B3" s="143" t="s">
        <v>52</v>
      </c>
      <c r="C3" s="143" t="s">
        <v>53</v>
      </c>
      <c r="D3" s="143" t="s">
        <v>54</v>
      </c>
      <c r="E3" s="143" t="s">
        <v>55</v>
      </c>
      <c r="F3" s="143" t="s">
        <v>56</v>
      </c>
      <c r="G3" s="143" t="s">
        <v>57</v>
      </c>
      <c r="H3" s="143" t="s">
        <v>58</v>
      </c>
      <c r="I3" s="143" t="s">
        <v>59</v>
      </c>
      <c r="J3" s="143" t="s">
        <v>60</v>
      </c>
      <c r="K3" s="143" t="s">
        <v>61</v>
      </c>
      <c r="L3" s="5">
        <v>70</v>
      </c>
      <c r="M3" s="143" t="s">
        <v>62</v>
      </c>
      <c r="N3" s="143" t="s">
        <v>63</v>
      </c>
      <c r="O3" s="143" t="s">
        <v>64</v>
      </c>
      <c r="P3"/>
    </row>
    <row r="4" spans="1:16" ht="15" thickBot="1">
      <c r="A4"/>
      <c r="B4" s="147"/>
      <c r="C4" s="144"/>
      <c r="D4" s="144"/>
      <c r="E4" s="144"/>
      <c r="F4" s="144"/>
      <c r="G4" s="144"/>
      <c r="H4" s="144"/>
      <c r="I4" s="144"/>
      <c r="J4" s="144"/>
      <c r="K4" s="144"/>
      <c r="L4" s="6" t="s">
        <v>65</v>
      </c>
      <c r="M4" s="144"/>
      <c r="N4" s="144"/>
      <c r="O4" s="144"/>
      <c r="P4"/>
    </row>
    <row r="5" spans="1:16" ht="15" thickBot="1">
      <c r="A5"/>
      <c r="B5" s="144"/>
      <c r="C5" s="7" t="s">
        <v>66</v>
      </c>
      <c r="D5" s="7" t="s">
        <v>66</v>
      </c>
      <c r="E5" s="7" t="s">
        <v>66</v>
      </c>
      <c r="F5" s="7" t="s">
        <v>66</v>
      </c>
      <c r="G5" s="7" t="s">
        <v>66</v>
      </c>
      <c r="H5" s="7" t="s">
        <v>66</v>
      </c>
      <c r="I5" s="7" t="s">
        <v>66</v>
      </c>
      <c r="J5" s="7" t="s">
        <v>66</v>
      </c>
      <c r="K5" s="7" t="s">
        <v>66</v>
      </c>
      <c r="L5" s="7" t="s">
        <v>66</v>
      </c>
      <c r="M5" s="7" t="s">
        <v>66</v>
      </c>
      <c r="N5" s="7" t="s">
        <v>66</v>
      </c>
      <c r="O5" s="7" t="s">
        <v>66</v>
      </c>
      <c r="P5"/>
    </row>
    <row r="6" spans="1:16" ht="15" thickBot="1">
      <c r="A6"/>
      <c r="B6" s="8">
        <v>15</v>
      </c>
      <c r="C6" s="9">
        <v>25</v>
      </c>
      <c r="D6" s="9">
        <v>52</v>
      </c>
      <c r="E6" s="9">
        <v>79</v>
      </c>
      <c r="F6" s="9">
        <v>106</v>
      </c>
      <c r="G6" s="9">
        <v>133</v>
      </c>
      <c r="H6" s="9">
        <v>160</v>
      </c>
      <c r="I6" s="9">
        <v>216</v>
      </c>
      <c r="J6" s="9">
        <v>270</v>
      </c>
      <c r="K6" s="9" t="s">
        <v>67</v>
      </c>
      <c r="L6" s="9" t="s">
        <v>68</v>
      </c>
      <c r="M6" s="9" t="s">
        <v>67</v>
      </c>
      <c r="N6" s="9" t="s">
        <v>67</v>
      </c>
      <c r="O6" s="9" t="s">
        <v>67</v>
      </c>
      <c r="P6"/>
    </row>
    <row r="7" spans="1:16" ht="15" thickBot="1">
      <c r="A7"/>
      <c r="B7" s="8">
        <v>30</v>
      </c>
      <c r="C7" s="9">
        <v>11</v>
      </c>
      <c r="D7" s="9">
        <v>24</v>
      </c>
      <c r="E7" s="9">
        <v>38</v>
      </c>
      <c r="F7" s="9">
        <v>51</v>
      </c>
      <c r="G7" s="9">
        <v>65</v>
      </c>
      <c r="H7" s="9">
        <v>78</v>
      </c>
      <c r="I7" s="9">
        <v>106</v>
      </c>
      <c r="J7" s="9">
        <v>133</v>
      </c>
      <c r="K7" s="9">
        <v>162</v>
      </c>
      <c r="L7" s="9">
        <v>189</v>
      </c>
      <c r="M7" s="9">
        <v>217</v>
      </c>
      <c r="N7" s="9">
        <v>245</v>
      </c>
      <c r="O7" s="9">
        <v>273</v>
      </c>
      <c r="P7"/>
    </row>
    <row r="8" spans="1:16" ht="15" thickBot="1">
      <c r="A8"/>
      <c r="B8" s="8">
        <v>60</v>
      </c>
      <c r="C8" s="9" t="s">
        <v>67</v>
      </c>
      <c r="D8" s="9">
        <v>11</v>
      </c>
      <c r="E8" s="9">
        <v>18</v>
      </c>
      <c r="F8" s="9">
        <v>24</v>
      </c>
      <c r="G8" s="9">
        <v>31</v>
      </c>
      <c r="H8" s="9">
        <v>38</v>
      </c>
      <c r="I8" s="9">
        <v>51</v>
      </c>
      <c r="J8" s="9">
        <v>65</v>
      </c>
      <c r="K8" s="9">
        <v>79</v>
      </c>
      <c r="L8" s="9">
        <v>93</v>
      </c>
      <c r="M8" s="9">
        <v>107</v>
      </c>
      <c r="N8" s="9">
        <v>121</v>
      </c>
      <c r="O8" s="9">
        <v>135</v>
      </c>
      <c r="P8"/>
    </row>
    <row r="9" spans="1:16">
      <c r="A9"/>
      <c r="B9"/>
      <c r="C9"/>
      <c r="D9"/>
      <c r="E9"/>
      <c r="F9"/>
      <c r="G9"/>
      <c r="H9"/>
      <c r="I9"/>
      <c r="J9"/>
      <c r="K9"/>
      <c r="L9"/>
      <c r="M9"/>
      <c r="N9"/>
      <c r="O9"/>
      <c r="P9"/>
    </row>
    <row r="10" spans="1:16" ht="15" thickBot="1">
      <c r="A10"/>
      <c r="B10" s="4" t="s">
        <v>69</v>
      </c>
      <c r="C10"/>
      <c r="D10"/>
      <c r="E10"/>
      <c r="F10"/>
      <c r="G10"/>
      <c r="H10"/>
      <c r="I10"/>
      <c r="J10"/>
      <c r="K10"/>
      <c r="L10"/>
      <c r="M10"/>
      <c r="N10"/>
      <c r="O10"/>
      <c r="P10"/>
    </row>
    <row r="11" spans="1:16" ht="15" thickBot="1">
      <c r="A11"/>
      <c r="B11" s="145" t="s">
        <v>70</v>
      </c>
      <c r="C11" s="10" t="s">
        <v>71</v>
      </c>
      <c r="D11" s="10" t="s">
        <v>72</v>
      </c>
      <c r="E11" s="10" t="s">
        <v>73</v>
      </c>
      <c r="F11" s="10" t="s">
        <v>74</v>
      </c>
      <c r="G11"/>
      <c r="H11"/>
      <c r="I11"/>
      <c r="J11"/>
      <c r="K11"/>
      <c r="L11"/>
      <c r="M11"/>
      <c r="N11"/>
      <c r="O11"/>
      <c r="P11"/>
    </row>
    <row r="12" spans="1:16" ht="15" thickBot="1">
      <c r="A12"/>
      <c r="B12" s="146"/>
      <c r="C12" s="11" t="s">
        <v>66</v>
      </c>
      <c r="D12" s="11" t="s">
        <v>66</v>
      </c>
      <c r="E12" s="11" t="s">
        <v>66</v>
      </c>
      <c r="F12" s="11" t="s">
        <v>66</v>
      </c>
      <c r="G12"/>
      <c r="H12"/>
      <c r="I12"/>
      <c r="J12"/>
      <c r="K12"/>
      <c r="L12"/>
      <c r="M12"/>
      <c r="N12"/>
      <c r="O12"/>
      <c r="P12"/>
    </row>
    <row r="13" spans="1:16" ht="15" thickBot="1">
      <c r="A13"/>
      <c r="B13" s="12">
        <v>60</v>
      </c>
      <c r="C13" s="13">
        <v>66</v>
      </c>
      <c r="D13" s="13">
        <v>132</v>
      </c>
      <c r="E13" s="13">
        <v>264</v>
      </c>
      <c r="F13" s="13" t="s">
        <v>68</v>
      </c>
      <c r="G13"/>
      <c r="H13"/>
      <c r="I13"/>
      <c r="J13"/>
      <c r="K13"/>
      <c r="L13"/>
      <c r="M13"/>
      <c r="N13"/>
      <c r="O13"/>
      <c r="P13"/>
    </row>
    <row r="14" spans="1:16" ht="15" thickBot="1">
      <c r="A14"/>
      <c r="B14" s="12">
        <v>120</v>
      </c>
      <c r="C14" s="13">
        <v>32</v>
      </c>
      <c r="D14" s="13">
        <v>66</v>
      </c>
      <c r="E14" s="13">
        <v>132</v>
      </c>
      <c r="F14" s="13">
        <v>264</v>
      </c>
      <c r="G14"/>
      <c r="H14"/>
      <c r="I14"/>
      <c r="J14"/>
      <c r="K14"/>
      <c r="L14"/>
      <c r="M14"/>
      <c r="N14"/>
      <c r="O14"/>
      <c r="P14"/>
    </row>
    <row r="15" spans="1:16">
      <c r="A15"/>
      <c r="B15"/>
      <c r="C15"/>
      <c r="D15"/>
      <c r="E15"/>
      <c r="F15"/>
      <c r="G15"/>
      <c r="H15"/>
      <c r="I15"/>
      <c r="J15"/>
      <c r="K15"/>
      <c r="L15"/>
      <c r="M15"/>
      <c r="N15"/>
      <c r="O15"/>
      <c r="P15"/>
    </row>
    <row r="16" spans="1:16">
      <c r="A16"/>
      <c r="B16"/>
      <c r="C16"/>
      <c r="D16"/>
      <c r="E16"/>
      <c r="F16"/>
      <c r="G16"/>
      <c r="H16"/>
      <c r="I16"/>
      <c r="J16"/>
      <c r="K16"/>
      <c r="L16"/>
      <c r="M16"/>
      <c r="N16"/>
      <c r="O16"/>
      <c r="P16"/>
    </row>
  </sheetData>
  <mergeCells count="14">
    <mergeCell ref="O3:O4"/>
    <mergeCell ref="B11:B12"/>
    <mergeCell ref="H3:H4"/>
    <mergeCell ref="I3:I4"/>
    <mergeCell ref="J3:J4"/>
    <mergeCell ref="K3:K4"/>
    <mergeCell ref="M3:M4"/>
    <mergeCell ref="N3:N4"/>
    <mergeCell ref="B3:B5"/>
    <mergeCell ref="C3:C4"/>
    <mergeCell ref="D3:D4"/>
    <mergeCell ref="E3:E4"/>
    <mergeCell ref="F3:F4"/>
    <mergeCell ref="G3:G4"/>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80" zoomScaleNormal="80" workbookViewId="0">
      <pane xSplit="1" ySplit="2" topLeftCell="B3" activePane="bottomRight" state="frozen"/>
      <selection pane="topRight" activeCell="B1" sqref="B1"/>
      <selection pane="bottomLeft" activeCell="A3" sqref="A3"/>
      <selection pane="bottomRight" activeCell="B2" sqref="B2"/>
    </sheetView>
  </sheetViews>
  <sheetFormatPr defaultColWidth="8.875" defaultRowHeight="14.25"/>
  <cols>
    <col min="1" max="1" width="62.125" style="44" bestFit="1" customWidth="1"/>
    <col min="2" max="2" width="16" style="35" customWidth="1"/>
    <col min="3" max="3" width="15.625" style="35" bestFit="1" customWidth="1"/>
    <col min="4" max="4" width="15.125" style="36" customWidth="1"/>
    <col min="5" max="5" width="14.625" style="36" customWidth="1"/>
    <col min="6" max="7" width="11.375" bestFit="1" customWidth="1"/>
    <col min="8" max="8" width="10.375" bestFit="1" customWidth="1"/>
    <col min="9" max="9" width="12.125" customWidth="1"/>
  </cols>
  <sheetData>
    <row r="1" spans="1:9">
      <c r="A1" s="16" t="s">
        <v>0</v>
      </c>
      <c r="B1" s="133" t="s">
        <v>111</v>
      </c>
      <c r="C1" s="133"/>
      <c r="D1" s="133" t="s">
        <v>112</v>
      </c>
      <c r="E1" s="133"/>
      <c r="F1" s="134" t="s">
        <v>47</v>
      </c>
      <c r="G1" s="135"/>
      <c r="H1" s="134" t="s">
        <v>48</v>
      </c>
      <c r="I1" s="135"/>
    </row>
    <row r="2" spans="1:9" ht="28.5">
      <c r="A2" s="16"/>
      <c r="B2" s="27" t="s">
        <v>203</v>
      </c>
      <c r="C2" s="27" t="s">
        <v>204</v>
      </c>
      <c r="D2" s="27" t="s">
        <v>205</v>
      </c>
      <c r="E2" s="27" t="s">
        <v>206</v>
      </c>
      <c r="F2" s="74" t="s">
        <v>207</v>
      </c>
      <c r="G2" s="75" t="s">
        <v>208</v>
      </c>
      <c r="H2" s="74" t="s">
        <v>209</v>
      </c>
      <c r="I2" s="74" t="s">
        <v>210</v>
      </c>
    </row>
    <row r="3" spans="1:9">
      <c r="A3" s="16" t="s">
        <v>1</v>
      </c>
      <c r="B3" s="56"/>
      <c r="C3" s="56"/>
      <c r="D3" s="56"/>
      <c r="E3" s="56"/>
      <c r="F3" s="56"/>
      <c r="G3" s="56"/>
      <c r="H3" s="56"/>
      <c r="I3" s="56"/>
    </row>
    <row r="4" spans="1:9" ht="15">
      <c r="A4" s="62" t="s">
        <v>2</v>
      </c>
      <c r="B4" s="30">
        <v>4</v>
      </c>
      <c r="C4" s="30">
        <v>4</v>
      </c>
      <c r="D4" s="30">
        <v>4</v>
      </c>
      <c r="E4" s="30">
        <v>4</v>
      </c>
      <c r="F4" s="30">
        <v>4</v>
      </c>
      <c r="G4" s="30">
        <v>4</v>
      </c>
      <c r="H4" s="30">
        <v>4</v>
      </c>
      <c r="I4" s="30">
        <v>4</v>
      </c>
    </row>
    <row r="5" spans="1:9" ht="15">
      <c r="A5" s="62" t="s">
        <v>3</v>
      </c>
      <c r="B5" s="30">
        <v>3</v>
      </c>
      <c r="C5" s="30">
        <v>3</v>
      </c>
      <c r="D5" s="30">
        <v>3</v>
      </c>
      <c r="E5" s="30">
        <v>3</v>
      </c>
      <c r="F5" s="30">
        <v>3</v>
      </c>
      <c r="G5" s="30">
        <v>3</v>
      </c>
      <c r="H5" s="30">
        <v>3</v>
      </c>
      <c r="I5" s="30">
        <v>3</v>
      </c>
    </row>
    <row r="6" spans="1:9" ht="15">
      <c r="A6" s="62" t="s">
        <v>4</v>
      </c>
      <c r="B6" s="29">
        <v>1.5</v>
      </c>
      <c r="C6" s="29">
        <v>1.5</v>
      </c>
      <c r="D6" s="29">
        <v>1.5</v>
      </c>
      <c r="E6" s="29">
        <v>1.5</v>
      </c>
      <c r="F6" s="29">
        <v>1.5</v>
      </c>
      <c r="G6" s="29">
        <v>1.5</v>
      </c>
      <c r="H6" s="29">
        <v>1.5</v>
      </c>
      <c r="I6" s="29">
        <v>1.5</v>
      </c>
    </row>
    <row r="7" spans="1:9" ht="30">
      <c r="A7" s="62" t="s">
        <v>190</v>
      </c>
      <c r="B7" s="18" t="s">
        <v>83</v>
      </c>
      <c r="C7" s="19">
        <v>0.95</v>
      </c>
      <c r="D7" s="19" t="s">
        <v>83</v>
      </c>
      <c r="E7" s="19">
        <v>0.95</v>
      </c>
      <c r="F7" s="18" t="s">
        <v>149</v>
      </c>
      <c r="G7" s="19">
        <v>0.95</v>
      </c>
      <c r="H7" s="19" t="s">
        <v>149</v>
      </c>
      <c r="I7" s="19">
        <v>0.95</v>
      </c>
    </row>
    <row r="8" spans="1:9" ht="15">
      <c r="A8" s="62" t="s">
        <v>191</v>
      </c>
      <c r="B8" s="18">
        <v>0.9</v>
      </c>
      <c r="C8" s="19" t="s">
        <v>83</v>
      </c>
      <c r="D8" s="19">
        <v>0.9</v>
      </c>
      <c r="E8" s="19" t="s">
        <v>83</v>
      </c>
      <c r="F8" s="18">
        <v>0.9</v>
      </c>
      <c r="G8" s="19" t="s">
        <v>149</v>
      </c>
      <c r="H8" s="19">
        <v>0.9</v>
      </c>
      <c r="I8" s="19" t="s">
        <v>149</v>
      </c>
    </row>
    <row r="9" spans="1:9" ht="15">
      <c r="A9" s="62" t="s">
        <v>5</v>
      </c>
      <c r="B9" s="29" t="s">
        <v>83</v>
      </c>
      <c r="C9" s="30">
        <f>64/(0.001)</f>
        <v>64000</v>
      </c>
      <c r="D9" s="30" t="s">
        <v>83</v>
      </c>
      <c r="E9" s="30">
        <f>2/(0.5*0.001)</f>
        <v>4000</v>
      </c>
      <c r="F9" s="29" t="s">
        <v>150</v>
      </c>
      <c r="G9" s="30">
        <f>64/(0.001)</f>
        <v>64000</v>
      </c>
      <c r="H9" s="30" t="s">
        <v>50</v>
      </c>
      <c r="I9" s="30">
        <f>2/(0.5*0.001)</f>
        <v>4000</v>
      </c>
    </row>
    <row r="10" spans="1:9" ht="15">
      <c r="A10" s="62" t="s">
        <v>6</v>
      </c>
      <c r="B10" s="29">
        <f>4650676*3</f>
        <v>13952028</v>
      </c>
      <c r="C10" s="30" t="s">
        <v>83</v>
      </c>
      <c r="D10" s="31">
        <f>371520*3</f>
        <v>1114560</v>
      </c>
      <c r="E10" s="30" t="s">
        <v>83</v>
      </c>
      <c r="F10" s="29">
        <f>4650676*3</f>
        <v>13952028</v>
      </c>
      <c r="G10" s="30" t="s">
        <v>50</v>
      </c>
      <c r="H10" s="31">
        <f>371520*3</f>
        <v>1114560</v>
      </c>
      <c r="I10" s="30" t="s">
        <v>50</v>
      </c>
    </row>
    <row r="11" spans="1:9" ht="15">
      <c r="A11" s="62" t="s">
        <v>7</v>
      </c>
      <c r="B11" s="18" t="s">
        <v>83</v>
      </c>
      <c r="C11" s="19">
        <v>0.01</v>
      </c>
      <c r="D11" s="19" t="s">
        <v>83</v>
      </c>
      <c r="E11" s="19">
        <v>0.01</v>
      </c>
      <c r="F11" s="18" t="s">
        <v>149</v>
      </c>
      <c r="G11" s="19">
        <v>0.01</v>
      </c>
      <c r="H11" s="19" t="s">
        <v>149</v>
      </c>
      <c r="I11" s="19">
        <v>0.01</v>
      </c>
    </row>
    <row r="12" spans="1:9" ht="15">
      <c r="A12" s="62" t="s">
        <v>8</v>
      </c>
      <c r="B12" s="18">
        <v>0.1</v>
      </c>
      <c r="C12" s="19" t="s">
        <v>83</v>
      </c>
      <c r="D12" s="19">
        <v>0.1</v>
      </c>
      <c r="E12" s="19" t="s">
        <v>83</v>
      </c>
      <c r="F12" s="18">
        <v>0.1</v>
      </c>
      <c r="G12" s="19" t="s">
        <v>149</v>
      </c>
      <c r="H12" s="19">
        <v>0.1</v>
      </c>
      <c r="I12" s="19" t="s">
        <v>150</v>
      </c>
    </row>
    <row r="13" spans="1:9" ht="16.5">
      <c r="A13" s="62" t="s">
        <v>85</v>
      </c>
      <c r="B13" s="29">
        <f>B10/(B42*(4+2*11/14+1*1/14)/10)</f>
        <v>1.3466837097708284</v>
      </c>
      <c r="C13" s="30" t="s">
        <v>83</v>
      </c>
      <c r="D13" s="29">
        <f>D10/(D42*(4+2*2/14+1*1/14)/10)</f>
        <v>1.7763934426229511</v>
      </c>
      <c r="E13" s="30" t="s">
        <v>83</v>
      </c>
      <c r="F13" s="29">
        <f>F10/(F42*(4+2*11/14+1*1/14)/10)</f>
        <v>1.3466837097708284</v>
      </c>
      <c r="G13" s="30" t="s">
        <v>149</v>
      </c>
      <c r="H13" s="29">
        <f>H10/(H42*(4+2*2/14+1*1/14)/10)</f>
        <v>1.7763934426229511</v>
      </c>
      <c r="I13" s="30" t="s">
        <v>149</v>
      </c>
    </row>
    <row r="14" spans="1:9" ht="16.5">
      <c r="A14" s="62" t="s">
        <v>86</v>
      </c>
      <c r="B14" s="30" t="s">
        <v>106</v>
      </c>
      <c r="C14" s="30" t="s">
        <v>106</v>
      </c>
      <c r="D14" s="30" t="s">
        <v>106</v>
      </c>
      <c r="E14" s="30" t="s">
        <v>106</v>
      </c>
      <c r="F14" s="30" t="s">
        <v>151</v>
      </c>
      <c r="G14" s="30" t="s">
        <v>151</v>
      </c>
      <c r="H14" s="30" t="s">
        <v>151</v>
      </c>
      <c r="I14" s="30" t="s">
        <v>151</v>
      </c>
    </row>
    <row r="15" spans="1:9" ht="15">
      <c r="A15" s="62" t="s">
        <v>78</v>
      </c>
      <c r="B15" s="29">
        <v>3</v>
      </c>
      <c r="C15" s="30">
        <v>3</v>
      </c>
      <c r="D15" s="30">
        <v>3</v>
      </c>
      <c r="E15" s="30">
        <v>3</v>
      </c>
      <c r="F15" s="29">
        <v>3</v>
      </c>
      <c r="G15" s="30">
        <v>3</v>
      </c>
      <c r="H15" s="30">
        <v>3</v>
      </c>
      <c r="I15" s="30">
        <v>3</v>
      </c>
    </row>
    <row r="16" spans="1:9" ht="15">
      <c r="A16" s="62" t="s">
        <v>9</v>
      </c>
      <c r="B16" s="29">
        <v>3</v>
      </c>
      <c r="C16" s="30">
        <v>3</v>
      </c>
      <c r="D16" s="30">
        <v>3</v>
      </c>
      <c r="E16" s="30">
        <v>3</v>
      </c>
      <c r="F16" s="29">
        <v>3</v>
      </c>
      <c r="G16" s="30">
        <v>3</v>
      </c>
      <c r="H16" s="30">
        <v>3</v>
      </c>
      <c r="I16" s="30">
        <v>3</v>
      </c>
    </row>
    <row r="17" spans="1:9">
      <c r="A17" s="16" t="s">
        <v>10</v>
      </c>
      <c r="B17" s="28"/>
      <c r="C17" s="28"/>
      <c r="D17" s="28"/>
      <c r="E17" s="28"/>
      <c r="F17" s="28"/>
      <c r="G17" s="28"/>
      <c r="H17" s="28"/>
      <c r="I17" s="28"/>
    </row>
    <row r="18" spans="1:9" ht="30">
      <c r="A18" s="62" t="s">
        <v>100</v>
      </c>
      <c r="B18" s="29">
        <v>32</v>
      </c>
      <c r="C18" s="30">
        <v>32</v>
      </c>
      <c r="D18" s="30">
        <v>2</v>
      </c>
      <c r="E18" s="30">
        <v>2</v>
      </c>
      <c r="F18" s="29">
        <v>32</v>
      </c>
      <c r="G18" s="30">
        <v>32</v>
      </c>
      <c r="H18" s="30">
        <v>2</v>
      </c>
      <c r="I18" s="30">
        <v>2</v>
      </c>
    </row>
    <row r="19" spans="1:9" ht="15">
      <c r="A19" s="62" t="s">
        <v>107</v>
      </c>
      <c r="B19" s="29">
        <v>2</v>
      </c>
      <c r="C19" s="30">
        <v>2</v>
      </c>
      <c r="D19" s="30">
        <v>2</v>
      </c>
      <c r="E19" s="30">
        <v>2</v>
      </c>
      <c r="F19" s="29">
        <v>2</v>
      </c>
      <c r="G19" s="30">
        <v>2</v>
      </c>
      <c r="H19" s="30">
        <v>2</v>
      </c>
      <c r="I19" s="30">
        <v>2</v>
      </c>
    </row>
    <row r="20" spans="1:9" ht="15">
      <c r="A20" s="62" t="s">
        <v>11</v>
      </c>
      <c r="B20" s="29">
        <v>9</v>
      </c>
      <c r="C20" s="30">
        <v>9</v>
      </c>
      <c r="D20" s="30">
        <v>20</v>
      </c>
      <c r="E20" s="30">
        <v>20</v>
      </c>
      <c r="F20" s="29">
        <v>9</v>
      </c>
      <c r="G20" s="30">
        <v>9</v>
      </c>
      <c r="H20" s="30">
        <v>20</v>
      </c>
      <c r="I20" s="30">
        <v>20</v>
      </c>
    </row>
    <row r="21" spans="1:9" ht="30">
      <c r="A21" s="20" t="s">
        <v>77</v>
      </c>
      <c r="B21" s="32">
        <f t="shared" ref="B21:I21" si="0">B20+10*LOG10(B18)</f>
        <v>24.051499783199063</v>
      </c>
      <c r="C21" s="32">
        <f t="shared" si="0"/>
        <v>24.051499783199063</v>
      </c>
      <c r="D21" s="32">
        <f t="shared" si="0"/>
        <v>23.010299956639813</v>
      </c>
      <c r="E21" s="32">
        <f t="shared" si="0"/>
        <v>23.010299956639813</v>
      </c>
      <c r="F21" s="32">
        <f t="shared" si="0"/>
        <v>24.051499783199063</v>
      </c>
      <c r="G21" s="32">
        <f t="shared" si="0"/>
        <v>24.051499783199063</v>
      </c>
      <c r="H21" s="32">
        <f t="shared" si="0"/>
        <v>23.010299956639813</v>
      </c>
      <c r="I21" s="32">
        <f t="shared" si="0"/>
        <v>23.010299956639813</v>
      </c>
    </row>
    <row r="22" spans="1:9" ht="15">
      <c r="A22" s="62" t="s">
        <v>12</v>
      </c>
      <c r="B22" s="29">
        <v>5</v>
      </c>
      <c r="C22" s="30">
        <v>5</v>
      </c>
      <c r="D22" s="30">
        <v>0</v>
      </c>
      <c r="E22" s="30">
        <v>0</v>
      </c>
      <c r="F22" s="29">
        <v>5</v>
      </c>
      <c r="G22" s="30">
        <v>5</v>
      </c>
      <c r="H22" s="30">
        <v>0</v>
      </c>
      <c r="I22" s="30">
        <v>0</v>
      </c>
    </row>
    <row r="23" spans="1:9" ht="45">
      <c r="A23" s="63" t="s">
        <v>13</v>
      </c>
      <c r="B23" s="32">
        <f>IF(B18&gt;=2, 10*LOG10(B18/2), 0)</f>
        <v>12.041199826559248</v>
      </c>
      <c r="C23" s="32">
        <f t="shared" ref="C23:E23" si="1">IF(C18&gt;=2, 10*LOG10(C18/2), 0)</f>
        <v>12.041199826559248</v>
      </c>
      <c r="D23" s="32">
        <f t="shared" si="1"/>
        <v>0</v>
      </c>
      <c r="E23" s="32">
        <f t="shared" si="1"/>
        <v>0</v>
      </c>
      <c r="F23" s="32">
        <f>IF(F18&gt;=2, 10*LOG10(F18/2), 0)</f>
        <v>12.041199826559248</v>
      </c>
      <c r="G23" s="32">
        <f t="shared" ref="G23:I23" si="2">IF(G18&gt;=2, 10*LOG10(G18/2), 0)</f>
        <v>12.041199826559248</v>
      </c>
      <c r="H23" s="32">
        <f t="shared" si="2"/>
        <v>0</v>
      </c>
      <c r="I23" s="32">
        <f t="shared" si="2"/>
        <v>0</v>
      </c>
    </row>
    <row r="24" spans="1:9" ht="15">
      <c r="A24" s="62" t="s">
        <v>14</v>
      </c>
      <c r="B24" s="29">
        <v>0</v>
      </c>
      <c r="C24" s="29">
        <v>0</v>
      </c>
      <c r="D24" s="30">
        <v>0</v>
      </c>
      <c r="E24" s="30">
        <v>0</v>
      </c>
      <c r="F24" s="29">
        <v>0</v>
      </c>
      <c r="G24" s="29">
        <v>0</v>
      </c>
      <c r="H24" s="30">
        <v>0</v>
      </c>
      <c r="I24" s="30">
        <v>0</v>
      </c>
    </row>
    <row r="25" spans="1:9" ht="15">
      <c r="A25" s="62" t="s">
        <v>15</v>
      </c>
      <c r="B25" s="29">
        <v>0</v>
      </c>
      <c r="C25" s="29">
        <v>0</v>
      </c>
      <c r="D25" s="30">
        <v>0</v>
      </c>
      <c r="E25" s="30">
        <v>0</v>
      </c>
      <c r="F25" s="29">
        <v>0</v>
      </c>
      <c r="G25" s="29">
        <v>0</v>
      </c>
      <c r="H25" s="30">
        <v>0</v>
      </c>
      <c r="I25" s="30">
        <v>0</v>
      </c>
    </row>
    <row r="26" spans="1:9" ht="30">
      <c r="A26" s="62" t="s">
        <v>16</v>
      </c>
      <c r="B26" s="29">
        <v>3</v>
      </c>
      <c r="C26" s="29">
        <v>3</v>
      </c>
      <c r="D26" s="29">
        <v>1</v>
      </c>
      <c r="E26" s="29">
        <v>1</v>
      </c>
      <c r="F26" s="29">
        <v>3</v>
      </c>
      <c r="G26" s="29">
        <v>3</v>
      </c>
      <c r="H26" s="29">
        <v>1</v>
      </c>
      <c r="I26" s="29">
        <v>1</v>
      </c>
    </row>
    <row r="27" spans="1:9" ht="15">
      <c r="A27" s="64" t="s">
        <v>17</v>
      </c>
      <c r="B27" s="33">
        <f t="shared" ref="B27:I27" si="3">B21+B22+B23+B24-B26</f>
        <v>38.092699609758313</v>
      </c>
      <c r="C27" s="33">
        <f t="shared" si="3"/>
        <v>38.092699609758313</v>
      </c>
      <c r="D27" s="33">
        <f>D21+D22+D23+D24-D26</f>
        <v>22.010299956639813</v>
      </c>
      <c r="E27" s="33">
        <f t="shared" si="3"/>
        <v>22.010299956639813</v>
      </c>
      <c r="F27" s="33">
        <f t="shared" si="3"/>
        <v>38.092699609758313</v>
      </c>
      <c r="G27" s="33">
        <f t="shared" si="3"/>
        <v>38.092699609758313</v>
      </c>
      <c r="H27" s="33">
        <f>H21+H22+H23+H24-H26</f>
        <v>22.010299956639813</v>
      </c>
      <c r="I27" s="33">
        <f t="shared" si="3"/>
        <v>22.010299956639813</v>
      </c>
    </row>
    <row r="28" spans="1:9" ht="15">
      <c r="A28" s="64" t="s">
        <v>18</v>
      </c>
      <c r="B28" s="33">
        <f t="shared" ref="B28:I28" si="4">B21+B22+B23-B25-B26</f>
        <v>38.092699609758313</v>
      </c>
      <c r="C28" s="33">
        <f t="shared" si="4"/>
        <v>38.092699609758313</v>
      </c>
      <c r="D28" s="33">
        <f t="shared" si="4"/>
        <v>22.010299956639813</v>
      </c>
      <c r="E28" s="33">
        <f t="shared" si="4"/>
        <v>22.010299956639813</v>
      </c>
      <c r="F28" s="33">
        <f t="shared" si="4"/>
        <v>38.092699609758313</v>
      </c>
      <c r="G28" s="33">
        <f t="shared" si="4"/>
        <v>38.092699609758313</v>
      </c>
      <c r="H28" s="33">
        <f t="shared" si="4"/>
        <v>22.010299956639813</v>
      </c>
      <c r="I28" s="33">
        <f t="shared" si="4"/>
        <v>22.010299956639813</v>
      </c>
    </row>
    <row r="29" spans="1:9">
      <c r="A29" s="16" t="s">
        <v>19</v>
      </c>
      <c r="B29" s="28"/>
      <c r="C29" s="28"/>
      <c r="D29" s="28"/>
      <c r="E29" s="28"/>
      <c r="F29" s="28"/>
      <c r="G29" s="28"/>
      <c r="H29" s="28"/>
      <c r="I29" s="28"/>
    </row>
    <row r="30" spans="1:9" ht="30">
      <c r="A30" s="62" t="s">
        <v>102</v>
      </c>
      <c r="B30" s="29">
        <v>4</v>
      </c>
      <c r="C30" s="29">
        <v>4</v>
      </c>
      <c r="D30" s="30">
        <v>32</v>
      </c>
      <c r="E30" s="30">
        <v>32</v>
      </c>
      <c r="F30" s="29">
        <v>4</v>
      </c>
      <c r="G30" s="29">
        <v>4</v>
      </c>
      <c r="H30" s="30">
        <v>32</v>
      </c>
      <c r="I30" s="30">
        <v>32</v>
      </c>
    </row>
    <row r="31" spans="1:9" ht="15">
      <c r="A31" s="62" t="s">
        <v>136</v>
      </c>
      <c r="B31" s="29">
        <v>2</v>
      </c>
      <c r="C31" s="29">
        <v>2</v>
      </c>
      <c r="D31" s="30">
        <v>2</v>
      </c>
      <c r="E31" s="30">
        <v>2</v>
      </c>
      <c r="F31" s="29">
        <v>2</v>
      </c>
      <c r="G31" s="29">
        <v>2</v>
      </c>
      <c r="H31" s="30">
        <v>2</v>
      </c>
      <c r="I31" s="30">
        <v>2</v>
      </c>
    </row>
    <row r="32" spans="1:9" ht="15">
      <c r="A32" s="62" t="s">
        <v>20</v>
      </c>
      <c r="B32" s="29">
        <v>0</v>
      </c>
      <c r="C32" s="29">
        <v>0</v>
      </c>
      <c r="D32" s="30">
        <v>5</v>
      </c>
      <c r="E32" s="30">
        <v>5</v>
      </c>
      <c r="F32" s="29">
        <v>0</v>
      </c>
      <c r="G32" s="29">
        <v>0</v>
      </c>
      <c r="H32" s="30">
        <v>5</v>
      </c>
      <c r="I32" s="30">
        <v>5</v>
      </c>
    </row>
    <row r="33" spans="1:9" ht="28.5">
      <c r="A33" s="65" t="s">
        <v>79</v>
      </c>
      <c r="B33" s="34">
        <f t="shared" ref="B33:I33" si="5">IF(B30&gt;=2, 10*LOG10(B30/2), 0)</f>
        <v>3.0102999566398121</v>
      </c>
      <c r="C33" s="34">
        <f t="shared" si="5"/>
        <v>3.0102999566398121</v>
      </c>
      <c r="D33" s="34">
        <f t="shared" si="5"/>
        <v>12.041199826559248</v>
      </c>
      <c r="E33" s="34">
        <f t="shared" si="5"/>
        <v>12.041199826559248</v>
      </c>
      <c r="F33" s="34">
        <f t="shared" si="5"/>
        <v>3.0102999566398121</v>
      </c>
      <c r="G33" s="34">
        <f t="shared" si="5"/>
        <v>3.0102999566398121</v>
      </c>
      <c r="H33" s="34">
        <f t="shared" si="5"/>
        <v>12.041199826559248</v>
      </c>
      <c r="I33" s="34">
        <f t="shared" si="5"/>
        <v>12.041199826559248</v>
      </c>
    </row>
    <row r="34" spans="1:9" ht="30">
      <c r="A34" s="62" t="s">
        <v>21</v>
      </c>
      <c r="B34" s="29">
        <v>1</v>
      </c>
      <c r="C34" s="29">
        <v>1</v>
      </c>
      <c r="D34" s="29">
        <v>3</v>
      </c>
      <c r="E34" s="29">
        <v>3</v>
      </c>
      <c r="F34" s="29">
        <v>1</v>
      </c>
      <c r="G34" s="29">
        <v>1</v>
      </c>
      <c r="H34" s="29">
        <v>3</v>
      </c>
      <c r="I34" s="29">
        <v>3</v>
      </c>
    </row>
    <row r="35" spans="1:9" ht="15">
      <c r="A35" s="62" t="s">
        <v>22</v>
      </c>
      <c r="B35" s="30">
        <v>7</v>
      </c>
      <c r="C35" s="30">
        <v>7</v>
      </c>
      <c r="D35" s="30">
        <v>5</v>
      </c>
      <c r="E35" s="30">
        <v>5</v>
      </c>
      <c r="F35" s="30">
        <v>7</v>
      </c>
      <c r="G35" s="30">
        <v>7</v>
      </c>
      <c r="H35" s="30">
        <v>5</v>
      </c>
      <c r="I35" s="30">
        <v>5</v>
      </c>
    </row>
    <row r="36" spans="1:9" ht="15">
      <c r="A36" s="62" t="s">
        <v>23</v>
      </c>
      <c r="B36" s="30">
        <v>-174</v>
      </c>
      <c r="C36" s="30">
        <v>-174</v>
      </c>
      <c r="D36" s="30">
        <v>-174</v>
      </c>
      <c r="E36" s="30">
        <v>-174</v>
      </c>
      <c r="F36" s="30">
        <v>-174</v>
      </c>
      <c r="G36" s="30">
        <v>-174</v>
      </c>
      <c r="H36" s="30">
        <v>-174</v>
      </c>
      <c r="I36" s="30">
        <v>-174</v>
      </c>
    </row>
    <row r="37" spans="1:9" ht="15">
      <c r="A37" s="62" t="s">
        <v>192</v>
      </c>
      <c r="B37" s="29" t="s">
        <v>83</v>
      </c>
      <c r="C37" s="30">
        <v>-174</v>
      </c>
      <c r="D37" s="30" t="s">
        <v>83</v>
      </c>
      <c r="E37" s="30">
        <v>-174.9</v>
      </c>
      <c r="F37" s="29" t="s">
        <v>50</v>
      </c>
      <c r="G37" s="30">
        <v>-174</v>
      </c>
      <c r="H37" s="30" t="s">
        <v>50</v>
      </c>
      <c r="I37" s="30">
        <v>-174.9</v>
      </c>
    </row>
    <row r="38" spans="1:9" ht="15">
      <c r="A38" s="62" t="s">
        <v>24</v>
      </c>
      <c r="B38" s="29">
        <v>-174</v>
      </c>
      <c r="C38" s="30" t="s">
        <v>83</v>
      </c>
      <c r="D38" s="30">
        <v>-174.9</v>
      </c>
      <c r="E38" s="30" t="s">
        <v>83</v>
      </c>
      <c r="F38" s="29">
        <v>-174</v>
      </c>
      <c r="G38" s="30" t="s">
        <v>150</v>
      </c>
      <c r="H38" s="30">
        <v>-174.9</v>
      </c>
      <c r="I38" s="30" t="s">
        <v>150</v>
      </c>
    </row>
    <row r="39" spans="1:9" ht="48.75" customHeight="1">
      <c r="A39" s="66" t="s">
        <v>193</v>
      </c>
      <c r="B39" s="33" t="s">
        <v>142</v>
      </c>
      <c r="C39" s="33">
        <f t="shared" ref="C39:E39" si="6">10*LOG10(10^((C35+C36)/10)+10^(C37/10))</f>
        <v>-166.20990250347435</v>
      </c>
      <c r="D39" s="33" t="s">
        <v>142</v>
      </c>
      <c r="E39" s="33">
        <f t="shared" si="6"/>
        <v>-168.00651048203736</v>
      </c>
      <c r="F39" s="33" t="s">
        <v>150</v>
      </c>
      <c r="G39" s="33">
        <f t="shared" ref="G39:I39" si="7">10*LOG10(10^((G35+G36)/10)+10^(G37/10))</f>
        <v>-166.20990250347435</v>
      </c>
      <c r="H39" s="33" t="s">
        <v>150</v>
      </c>
      <c r="I39" s="33">
        <f t="shared" si="7"/>
        <v>-168.00651048203736</v>
      </c>
    </row>
    <row r="40" spans="1:9" ht="42.75" customHeight="1">
      <c r="A40" s="66" t="s">
        <v>194</v>
      </c>
      <c r="B40" s="33">
        <f t="shared" ref="B40:D40" si="8">10*LOG10(10^((B35+B36)/10)+10^(B38/10))</f>
        <v>-166.20990250347435</v>
      </c>
      <c r="C40" s="33" t="s">
        <v>142</v>
      </c>
      <c r="D40" s="33">
        <f t="shared" si="8"/>
        <v>-168.00651048203736</v>
      </c>
      <c r="E40" s="33" t="s">
        <v>142</v>
      </c>
      <c r="F40" s="33">
        <f t="shared" ref="F40:H40" si="9">10*LOG10(10^((F35+F36)/10)+10^(F38/10))</f>
        <v>-166.20990250347435</v>
      </c>
      <c r="G40" s="33" t="s">
        <v>150</v>
      </c>
      <c r="H40" s="33">
        <f t="shared" si="9"/>
        <v>-168.00651048203736</v>
      </c>
      <c r="I40" s="33" t="s">
        <v>150</v>
      </c>
    </row>
    <row r="41" spans="1:9" ht="33" customHeight="1">
      <c r="A41" s="62" t="s">
        <v>25</v>
      </c>
      <c r="B41" s="29" t="s">
        <v>83</v>
      </c>
      <c r="C41" s="29">
        <f>MaxN_RB!F6*12*15*1000</f>
        <v>19080000</v>
      </c>
      <c r="D41" s="30" t="s">
        <v>83</v>
      </c>
      <c r="E41" s="30">
        <f>1*12*30*1000</f>
        <v>360000</v>
      </c>
      <c r="F41" s="29" t="s">
        <v>150</v>
      </c>
      <c r="G41" s="29">
        <f>MaxN_RB!F7*12*30*1000</f>
        <v>18360000</v>
      </c>
      <c r="H41" s="30" t="s">
        <v>150</v>
      </c>
      <c r="I41" s="30">
        <f>1*12*30*1000</f>
        <v>360000</v>
      </c>
    </row>
    <row r="42" spans="1:9" ht="33.75" customHeight="1">
      <c r="A42" s="62" t="s">
        <v>26</v>
      </c>
      <c r="B42" s="29">
        <f>MaxN_RB!F7*12*30*1000</f>
        <v>18360000</v>
      </c>
      <c r="C42" s="30" t="s">
        <v>83</v>
      </c>
      <c r="D42" s="29">
        <f>4*12*30*1000</f>
        <v>1440000</v>
      </c>
      <c r="E42" s="30" t="s">
        <v>83</v>
      </c>
      <c r="F42" s="29">
        <f>MaxN_RB!F7*12*30*1000</f>
        <v>18360000</v>
      </c>
      <c r="G42" s="30" t="s">
        <v>149</v>
      </c>
      <c r="H42" s="29">
        <f>4*12*30*1000</f>
        <v>1440000</v>
      </c>
      <c r="I42" s="30" t="s">
        <v>149</v>
      </c>
    </row>
    <row r="43" spans="1:9" ht="18.75" customHeight="1">
      <c r="A43" s="64" t="s">
        <v>27</v>
      </c>
      <c r="B43" s="33" t="s">
        <v>142</v>
      </c>
      <c r="C43" s="33">
        <f t="shared" ref="B43:E44" si="10">C39+10*LOG10(C41)</f>
        <v>-93.404118799793594</v>
      </c>
      <c r="D43" s="33" t="s">
        <v>142</v>
      </c>
      <c r="E43" s="33">
        <f t="shared" si="10"/>
        <v>-112.44348547436448</v>
      </c>
      <c r="F43" s="33" t="s">
        <v>149</v>
      </c>
      <c r="G43" s="33">
        <f t="shared" ref="G43:I43" si="11">G39+10*LOG10(G41)</f>
        <v>-93.57117573482212</v>
      </c>
      <c r="H43" s="33" t="s">
        <v>150</v>
      </c>
      <c r="I43" s="33">
        <f t="shared" si="11"/>
        <v>-112.44348547436448</v>
      </c>
    </row>
    <row r="44" spans="1:9" ht="15">
      <c r="A44" s="64" t="s">
        <v>28</v>
      </c>
      <c r="B44" s="33">
        <f t="shared" si="10"/>
        <v>-93.57117573482212</v>
      </c>
      <c r="C44" s="33" t="s">
        <v>142</v>
      </c>
      <c r="D44" s="33">
        <f t="shared" si="10"/>
        <v>-106.42288556108485</v>
      </c>
      <c r="E44" s="33" t="s">
        <v>142</v>
      </c>
      <c r="F44" s="33">
        <f>F40+10*LOG10(F42)</f>
        <v>-93.57117573482212</v>
      </c>
      <c r="G44" s="33" t="s">
        <v>150</v>
      </c>
      <c r="H44" s="33">
        <f>H40+10*LOG10(H42)</f>
        <v>-106.42288556108485</v>
      </c>
      <c r="I44" s="33" t="s">
        <v>150</v>
      </c>
    </row>
    <row r="45" spans="1:9" ht="15">
      <c r="A45" s="62" t="s">
        <v>29</v>
      </c>
      <c r="B45" s="29" t="s">
        <v>83</v>
      </c>
      <c r="C45" s="53">
        <v>-4.8</v>
      </c>
      <c r="D45" s="29" t="s">
        <v>83</v>
      </c>
      <c r="E45" s="53">
        <v>-8</v>
      </c>
      <c r="F45" s="53" t="s">
        <v>150</v>
      </c>
      <c r="G45" s="53">
        <v>-9.4</v>
      </c>
      <c r="H45" s="53" t="s">
        <v>150</v>
      </c>
      <c r="I45" s="53">
        <v>-10.199999999999999</v>
      </c>
    </row>
    <row r="46" spans="1:9" ht="15">
      <c r="A46" s="62" t="s">
        <v>30</v>
      </c>
      <c r="B46" s="53">
        <v>6.3</v>
      </c>
      <c r="C46" s="29" t="s">
        <v>83</v>
      </c>
      <c r="D46" s="53">
        <v>14.13</v>
      </c>
      <c r="E46" s="29" t="s">
        <v>83</v>
      </c>
      <c r="F46" s="53">
        <v>3.5</v>
      </c>
      <c r="G46" s="53" t="s">
        <v>150</v>
      </c>
      <c r="H46" s="53">
        <v>8.9499999999999993</v>
      </c>
      <c r="I46" s="53" t="s">
        <v>149</v>
      </c>
    </row>
    <row r="47" spans="1:9" ht="15">
      <c r="A47" s="62" t="s">
        <v>31</v>
      </c>
      <c r="B47" s="29">
        <v>2</v>
      </c>
      <c r="C47" s="30">
        <v>2</v>
      </c>
      <c r="D47" s="30">
        <v>2</v>
      </c>
      <c r="E47" s="30">
        <v>2</v>
      </c>
      <c r="F47" s="29">
        <v>2</v>
      </c>
      <c r="G47" s="30">
        <v>2</v>
      </c>
      <c r="H47" s="30">
        <v>2</v>
      </c>
      <c r="I47" s="30">
        <v>2</v>
      </c>
    </row>
    <row r="48" spans="1:9" ht="15">
      <c r="A48" s="62" t="s">
        <v>32</v>
      </c>
      <c r="B48" s="29" t="s">
        <v>83</v>
      </c>
      <c r="C48" s="30">
        <v>0</v>
      </c>
      <c r="D48" s="30" t="s">
        <v>83</v>
      </c>
      <c r="E48" s="30">
        <v>0</v>
      </c>
      <c r="F48" s="29" t="s">
        <v>149</v>
      </c>
      <c r="G48" s="30">
        <v>0</v>
      </c>
      <c r="H48" s="30" t="s">
        <v>149</v>
      </c>
      <c r="I48" s="30">
        <v>0</v>
      </c>
    </row>
    <row r="49" spans="1:9" ht="15">
      <c r="A49" s="62" t="s">
        <v>33</v>
      </c>
      <c r="B49" s="29">
        <v>0.5</v>
      </c>
      <c r="C49" s="30" t="s">
        <v>83</v>
      </c>
      <c r="D49" s="30">
        <v>0.5</v>
      </c>
      <c r="E49" s="30" t="s">
        <v>83</v>
      </c>
      <c r="F49" s="29">
        <v>0.5</v>
      </c>
      <c r="G49" s="30" t="s">
        <v>149</v>
      </c>
      <c r="H49" s="30">
        <v>0.5</v>
      </c>
      <c r="I49" s="30" t="s">
        <v>150</v>
      </c>
    </row>
    <row r="50" spans="1:9" ht="15">
      <c r="A50" s="66" t="s">
        <v>44</v>
      </c>
      <c r="B50" s="33" t="s">
        <v>142</v>
      </c>
      <c r="C50" s="33">
        <f t="shared" ref="C50:E50" si="12">C43+C45+C47-C48</f>
        <v>-96.204118799793591</v>
      </c>
      <c r="D50" s="33" t="s">
        <v>142</v>
      </c>
      <c r="E50" s="33">
        <f t="shared" si="12"/>
        <v>-118.44348547436448</v>
      </c>
      <c r="F50" s="33" t="s">
        <v>149</v>
      </c>
      <c r="G50" s="33">
        <f t="shared" ref="G50:I50" si="13">G43+G45+G47-G48</f>
        <v>-100.97117573482213</v>
      </c>
      <c r="H50" s="33" t="s">
        <v>150</v>
      </c>
      <c r="I50" s="33">
        <f t="shared" si="13"/>
        <v>-120.64348547436448</v>
      </c>
    </row>
    <row r="51" spans="1:9" ht="15">
      <c r="A51" s="66" t="s">
        <v>45</v>
      </c>
      <c r="B51" s="33">
        <f t="shared" ref="B51:D51" si="14">B44+B46+B47-B49</f>
        <v>-85.771175734822123</v>
      </c>
      <c r="C51" s="33" t="s">
        <v>142</v>
      </c>
      <c r="D51" s="33">
        <f t="shared" si="14"/>
        <v>-90.792885561084859</v>
      </c>
      <c r="E51" s="33" t="s">
        <v>142</v>
      </c>
      <c r="F51" s="33">
        <f t="shared" ref="F51:H51" si="15">F44+F46+F47-F49</f>
        <v>-88.57117573482212</v>
      </c>
      <c r="G51" s="33" t="s">
        <v>149</v>
      </c>
      <c r="H51" s="33">
        <f t="shared" si="15"/>
        <v>-95.972885561084851</v>
      </c>
      <c r="I51" s="33" t="s">
        <v>149</v>
      </c>
    </row>
    <row r="52" spans="1:9" ht="15">
      <c r="A52" s="66" t="s">
        <v>87</v>
      </c>
      <c r="B52" s="33" t="s">
        <v>142</v>
      </c>
      <c r="C52" s="33">
        <f t="shared" ref="C52:E52" si="16">C27+C32+C33-C50</f>
        <v>137.30711836619173</v>
      </c>
      <c r="D52" s="33" t="s">
        <v>142</v>
      </c>
      <c r="E52" s="33">
        <f t="shared" si="16"/>
        <v>157.49498525756354</v>
      </c>
      <c r="F52" s="33" t="s">
        <v>150</v>
      </c>
      <c r="G52" s="33">
        <f t="shared" ref="G52:I52" si="17">G27+G32+G33-G50</f>
        <v>142.07417530122024</v>
      </c>
      <c r="H52" s="33" t="s">
        <v>150</v>
      </c>
      <c r="I52" s="33">
        <f t="shared" si="17"/>
        <v>159.69498525756353</v>
      </c>
    </row>
    <row r="53" spans="1:9" ht="15">
      <c r="A53" s="66" t="s">
        <v>88</v>
      </c>
      <c r="B53" s="33">
        <f t="shared" ref="B53:D53" si="18">B28+B32+B33-B51</f>
        <v>126.87417530122025</v>
      </c>
      <c r="C53" s="33" t="s">
        <v>142</v>
      </c>
      <c r="D53" s="33">
        <f t="shared" si="18"/>
        <v>129.84438534428392</v>
      </c>
      <c r="E53" s="33" t="s">
        <v>142</v>
      </c>
      <c r="F53" s="33">
        <f t="shared" ref="F53:H53" si="19">F28+F32+F33-F51</f>
        <v>129.67417530122026</v>
      </c>
      <c r="G53" s="33" t="s">
        <v>150</v>
      </c>
      <c r="H53" s="33">
        <f t="shared" si="19"/>
        <v>135.02438534428393</v>
      </c>
      <c r="I53" s="33" t="s">
        <v>149</v>
      </c>
    </row>
    <row r="54" spans="1:9">
      <c r="A54" s="16" t="s">
        <v>34</v>
      </c>
      <c r="B54" s="28"/>
      <c r="C54" s="28"/>
      <c r="D54" s="28"/>
      <c r="E54" s="28"/>
      <c r="F54" s="28"/>
      <c r="G54" s="28"/>
      <c r="H54" s="28"/>
      <c r="I54" s="28"/>
    </row>
    <row r="55" spans="1:9" ht="15">
      <c r="A55" s="62" t="s">
        <v>35</v>
      </c>
      <c r="B55" s="30">
        <v>4</v>
      </c>
      <c r="C55" s="30">
        <v>4</v>
      </c>
      <c r="D55" s="30">
        <v>4</v>
      </c>
      <c r="E55" s="30">
        <v>4</v>
      </c>
      <c r="F55" s="54">
        <v>3</v>
      </c>
      <c r="G55" s="54">
        <v>3</v>
      </c>
      <c r="H55" s="54">
        <v>3</v>
      </c>
      <c r="I55" s="54">
        <v>3</v>
      </c>
    </row>
    <row r="56" spans="1:9" ht="18">
      <c r="A56" s="67" t="s">
        <v>89</v>
      </c>
      <c r="B56" s="30"/>
      <c r="C56" s="30"/>
      <c r="D56" s="30"/>
      <c r="E56" s="30"/>
      <c r="F56" s="76"/>
      <c r="G56" s="54"/>
      <c r="H56" s="76"/>
      <c r="I56" s="54"/>
    </row>
    <row r="57" spans="1:9" ht="30">
      <c r="A57" s="62" t="s">
        <v>36</v>
      </c>
      <c r="B57" s="30" t="s">
        <v>83</v>
      </c>
      <c r="C57" s="30">
        <v>8.5</v>
      </c>
      <c r="D57" s="30" t="s">
        <v>83</v>
      </c>
      <c r="E57" s="30">
        <v>8.5</v>
      </c>
      <c r="F57" s="73" t="s">
        <v>150</v>
      </c>
      <c r="G57" s="53">
        <v>2.96</v>
      </c>
      <c r="H57" s="73" t="s">
        <v>150</v>
      </c>
      <c r="I57" s="53">
        <v>2.96</v>
      </c>
    </row>
    <row r="58" spans="1:9" ht="30">
      <c r="A58" s="62" t="s">
        <v>37</v>
      </c>
      <c r="B58" s="30">
        <v>5.2</v>
      </c>
      <c r="C58" s="30" t="s">
        <v>83</v>
      </c>
      <c r="D58" s="30">
        <v>5.2</v>
      </c>
      <c r="E58" s="30" t="s">
        <v>83</v>
      </c>
      <c r="F58" s="53">
        <v>1.69</v>
      </c>
      <c r="G58" s="73" t="s">
        <v>149</v>
      </c>
      <c r="H58" s="53">
        <v>1.69</v>
      </c>
      <c r="I58" s="73" t="s">
        <v>150</v>
      </c>
    </row>
    <row r="59" spans="1:9" ht="15">
      <c r="A59" s="62" t="s">
        <v>38</v>
      </c>
      <c r="B59" s="30"/>
      <c r="C59" s="30"/>
      <c r="D59" s="30"/>
      <c r="E59" s="30"/>
      <c r="F59" s="30">
        <v>0</v>
      </c>
      <c r="G59" s="30">
        <v>0</v>
      </c>
      <c r="H59" s="30">
        <v>0</v>
      </c>
      <c r="I59" s="30">
        <v>0</v>
      </c>
    </row>
    <row r="60" spans="1:9" ht="15">
      <c r="A60" s="62" t="s">
        <v>39</v>
      </c>
      <c r="B60" s="30">
        <v>0</v>
      </c>
      <c r="C60" s="30">
        <v>0</v>
      </c>
      <c r="D60" s="30">
        <v>0</v>
      </c>
      <c r="E60" s="30">
        <v>0</v>
      </c>
      <c r="F60" s="29">
        <v>0</v>
      </c>
      <c r="G60" s="29">
        <v>0</v>
      </c>
      <c r="H60" s="29">
        <v>0</v>
      </c>
      <c r="I60" s="29">
        <v>0</v>
      </c>
    </row>
    <row r="61" spans="1:9" ht="15">
      <c r="A61" s="62" t="s">
        <v>40</v>
      </c>
      <c r="B61" s="30"/>
      <c r="C61" s="30"/>
      <c r="D61" s="30"/>
      <c r="E61" s="30"/>
      <c r="F61" s="30">
        <v>0</v>
      </c>
      <c r="G61" s="30">
        <v>0</v>
      </c>
      <c r="H61" s="30">
        <v>0</v>
      </c>
      <c r="I61" s="30">
        <v>0</v>
      </c>
    </row>
    <row r="62" spans="1:9" ht="15">
      <c r="A62" s="66" t="s">
        <v>49</v>
      </c>
      <c r="B62" s="33" t="s">
        <v>142</v>
      </c>
      <c r="C62" s="33">
        <f t="shared" ref="C62:E62" si="20">C52-C57+C59-C60+C61-C34</f>
        <v>127.80711836619173</v>
      </c>
      <c r="D62" s="33" t="s">
        <v>142</v>
      </c>
      <c r="E62" s="33">
        <f t="shared" si="20"/>
        <v>145.99498525756354</v>
      </c>
      <c r="F62" s="33" t="s">
        <v>150</v>
      </c>
      <c r="G62" s="33">
        <f>G52-G57+G59-G60+G61-G34</f>
        <v>138.11417530122023</v>
      </c>
      <c r="H62" s="33" t="s">
        <v>150</v>
      </c>
      <c r="I62" s="33">
        <f>I52-I57+I59-I60+I61-I34</f>
        <v>153.73498525756352</v>
      </c>
    </row>
    <row r="63" spans="1:9" ht="15">
      <c r="A63" s="66" t="s">
        <v>46</v>
      </c>
      <c r="B63" s="33">
        <f t="shared" ref="B63:D63" si="21">B53-B58+B59-B60+B61-B34</f>
        <v>120.67417530122025</v>
      </c>
      <c r="C63" s="33" t="s">
        <v>142</v>
      </c>
      <c r="D63" s="33">
        <f t="shared" si="21"/>
        <v>121.64438534428392</v>
      </c>
      <c r="E63" s="33" t="s">
        <v>142</v>
      </c>
      <c r="F63" s="33">
        <f>F53-F58+F59-F60+F61-F34</f>
        <v>126.98417530122026</v>
      </c>
      <c r="G63" s="33" t="s">
        <v>150</v>
      </c>
      <c r="H63" s="33">
        <f>H53-H58+H59-H60+H61-H34</f>
        <v>130.33438534428393</v>
      </c>
      <c r="I63" s="33" t="s">
        <v>149</v>
      </c>
    </row>
    <row r="64" spans="1:9">
      <c r="A64" s="16" t="s">
        <v>41</v>
      </c>
      <c r="B64" s="28"/>
      <c r="C64" s="28"/>
      <c r="D64" s="28"/>
      <c r="E64" s="28"/>
      <c r="F64" s="28"/>
      <c r="G64" s="28"/>
      <c r="H64" s="28"/>
      <c r="I64" s="28"/>
    </row>
    <row r="65" spans="1:9" ht="30">
      <c r="A65" s="68" t="s">
        <v>42</v>
      </c>
      <c r="B65" s="30" t="s">
        <v>82</v>
      </c>
      <c r="C65" s="30">
        <f>10^((C62-17.3-24.9*LOG10(C$4))/38.3)</f>
        <v>311.80692715884993</v>
      </c>
      <c r="D65" s="30" t="s">
        <v>82</v>
      </c>
      <c r="E65" s="30">
        <f>10^((E62-17.3-24.9*LOG10(E$4))/38.3)</f>
        <v>930.60373324047498</v>
      </c>
      <c r="F65" s="30" t="s">
        <v>150</v>
      </c>
      <c r="G65" s="30">
        <f>10^((G62-11.5-20*LOG10(G$4))/43.3)</f>
        <v>442.61603888914976</v>
      </c>
      <c r="H65" s="30" t="s">
        <v>149</v>
      </c>
      <c r="I65" s="30">
        <f>10^((I62-11.5-20*LOG10(I$4))/43.3)</f>
        <v>1015.7454437760595</v>
      </c>
    </row>
    <row r="66" spans="1:9" ht="30">
      <c r="A66" s="68" t="s">
        <v>43</v>
      </c>
      <c r="B66" s="30">
        <f>10^((B63-17.3-24.9*LOG10(B$4))/38.3)</f>
        <v>203.07059298612089</v>
      </c>
      <c r="C66" s="30" t="s">
        <v>82</v>
      </c>
      <c r="D66" s="30">
        <f>10^((D63-17.3-24.9*LOG10(D$4))/38.3)</f>
        <v>215.2677105251534</v>
      </c>
      <c r="E66" s="30" t="s">
        <v>82</v>
      </c>
      <c r="F66" s="30">
        <f>10^((F63-11.5-20*LOG10(F$4))/43.3)</f>
        <v>244.89688850880043</v>
      </c>
      <c r="G66" s="30" t="s">
        <v>149</v>
      </c>
      <c r="H66" s="30">
        <f>10^((H63-11.5-20*LOG10(H$4))/43.3)</f>
        <v>292.65457904885341</v>
      </c>
      <c r="I66" s="30" t="s">
        <v>149</v>
      </c>
    </row>
    <row r="67" spans="1:9" ht="18">
      <c r="A67" s="68" t="s">
        <v>90</v>
      </c>
      <c r="B67" s="30" t="s">
        <v>83</v>
      </c>
      <c r="C67" s="30">
        <f>PI()*(C65)^2</f>
        <v>305436.82129969384</v>
      </c>
      <c r="D67" s="30" t="s">
        <v>83</v>
      </c>
      <c r="E67" s="30">
        <f>PI()*(E65)^2</f>
        <v>2720692.4632591247</v>
      </c>
      <c r="F67" s="30" t="s">
        <v>150</v>
      </c>
      <c r="G67" s="30">
        <f>PI()*(G65)^2</f>
        <v>615466.14285427635</v>
      </c>
      <c r="H67" s="30" t="s">
        <v>150</v>
      </c>
      <c r="I67" s="30">
        <f>PI()*(I65)^2</f>
        <v>3241303.055086711</v>
      </c>
    </row>
    <row r="68" spans="1:9" ht="18">
      <c r="A68" s="68" t="s">
        <v>91</v>
      </c>
      <c r="B68" s="30">
        <f>PI()*(B66)^2</f>
        <v>129551.94772657589</v>
      </c>
      <c r="C68" s="30" t="s">
        <v>83</v>
      </c>
      <c r="D68" s="30">
        <f>PI()*(D66)^2</f>
        <v>145581.99165697489</v>
      </c>
      <c r="E68" s="30" t="s">
        <v>83</v>
      </c>
      <c r="F68" s="30">
        <f>PI()*(F66)^2</f>
        <v>188415.4046244823</v>
      </c>
      <c r="G68" s="30" t="s">
        <v>150</v>
      </c>
      <c r="H68" s="30">
        <f>PI()*(H66)^2</f>
        <v>269067.05181255215</v>
      </c>
      <c r="I68" s="30" t="s">
        <v>150</v>
      </c>
    </row>
  </sheetData>
  <mergeCells count="4">
    <mergeCell ref="B1:C1"/>
    <mergeCell ref="D1:E1"/>
    <mergeCell ref="F1:G1"/>
    <mergeCell ref="H1:I1"/>
  </mergeCells>
  <phoneticPr fontId="1" type="noConversion"/>
  <dataValidations count="1">
    <dataValidation type="list" allowBlank="1" showInputMessage="1" showErrorMessage="1" sqref="D34:E34 B26:C26 H34:I34 F26:G26">
      <formula1>"0,3"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zoomScale="60" zoomScaleNormal="60" workbookViewId="0">
      <pane xSplit="1" ySplit="3" topLeftCell="B4" activePane="bottomRight" state="frozen"/>
      <selection pane="topRight" activeCell="B1" sqref="B1"/>
      <selection pane="bottomLeft" activeCell="A4" sqref="A4"/>
      <selection pane="bottomRight" activeCell="B42" sqref="B42"/>
    </sheetView>
  </sheetViews>
  <sheetFormatPr defaultColWidth="8.875" defaultRowHeight="14.25"/>
  <cols>
    <col min="1" max="1" width="62.125" style="26" bestFit="1" customWidth="1"/>
    <col min="2" max="2" width="15.375" style="35" bestFit="1" customWidth="1"/>
    <col min="3" max="3" width="12.125" style="35" bestFit="1" customWidth="1"/>
    <col min="4" max="5" width="13.375" style="35" bestFit="1" customWidth="1"/>
    <col min="6" max="6" width="11" style="36" bestFit="1" customWidth="1"/>
    <col min="7" max="8" width="15.125" style="36" customWidth="1"/>
    <col min="9" max="9" width="15.625" style="36" customWidth="1"/>
    <col min="10" max="10" width="11.625" bestFit="1" customWidth="1"/>
    <col min="11" max="11" width="13.625" customWidth="1"/>
    <col min="12" max="13" width="11.625" bestFit="1" customWidth="1"/>
    <col min="14" max="15" width="10.625" bestFit="1" customWidth="1"/>
    <col min="16" max="16" width="12.625" customWidth="1"/>
    <col min="17" max="17" width="13.125" customWidth="1"/>
  </cols>
  <sheetData>
    <row r="1" spans="1:17">
      <c r="A1" s="15" t="s">
        <v>0</v>
      </c>
      <c r="B1" s="133" t="s">
        <v>111</v>
      </c>
      <c r="C1" s="133"/>
      <c r="D1" s="133"/>
      <c r="E1" s="133"/>
      <c r="F1" s="133" t="s">
        <v>112</v>
      </c>
      <c r="G1" s="133"/>
      <c r="H1" s="133"/>
      <c r="I1" s="133"/>
      <c r="J1" s="133" t="s">
        <v>47</v>
      </c>
      <c r="K1" s="133"/>
      <c r="L1" s="133"/>
      <c r="M1" s="133"/>
      <c r="N1" s="133" t="s">
        <v>48</v>
      </c>
      <c r="O1" s="133"/>
      <c r="P1" s="133"/>
      <c r="Q1" s="133"/>
    </row>
    <row r="2" spans="1:17" ht="42.75">
      <c r="A2" s="15"/>
      <c r="B2" s="27" t="s">
        <v>203</v>
      </c>
      <c r="C2" s="27" t="s">
        <v>211</v>
      </c>
      <c r="D2" s="27" t="s">
        <v>212</v>
      </c>
      <c r="E2" s="27" t="s">
        <v>213</v>
      </c>
      <c r="F2" s="27" t="s">
        <v>205</v>
      </c>
      <c r="G2" s="27" t="s">
        <v>206</v>
      </c>
      <c r="H2" s="27" t="s">
        <v>214</v>
      </c>
      <c r="I2" s="27" t="s">
        <v>215</v>
      </c>
      <c r="J2" s="75" t="s">
        <v>207</v>
      </c>
      <c r="K2" s="75" t="s">
        <v>216</v>
      </c>
      <c r="L2" s="75" t="s">
        <v>217</v>
      </c>
      <c r="M2" s="75" t="s">
        <v>218</v>
      </c>
      <c r="N2" s="75" t="s">
        <v>209</v>
      </c>
      <c r="O2" s="75" t="s">
        <v>210</v>
      </c>
      <c r="P2" s="75" t="s">
        <v>219</v>
      </c>
      <c r="Q2" s="75" t="s">
        <v>220</v>
      </c>
    </row>
    <row r="3" spans="1:17">
      <c r="A3" s="16" t="s">
        <v>1</v>
      </c>
      <c r="B3" s="28"/>
      <c r="C3" s="28"/>
      <c r="D3" s="28"/>
      <c r="E3" s="28"/>
      <c r="F3" s="28"/>
      <c r="G3" s="28"/>
      <c r="H3" s="28"/>
      <c r="I3" s="28"/>
      <c r="J3" s="28"/>
      <c r="K3" s="28"/>
      <c r="L3" s="28"/>
      <c r="M3" s="28"/>
      <c r="N3" s="28"/>
      <c r="O3" s="28"/>
      <c r="P3" s="28"/>
      <c r="Q3" s="28"/>
    </row>
    <row r="4" spans="1:17" ht="15">
      <c r="A4" s="17" t="s">
        <v>2</v>
      </c>
      <c r="B4" s="30">
        <v>4</v>
      </c>
      <c r="C4" s="30">
        <v>4</v>
      </c>
      <c r="D4" s="30">
        <v>4</v>
      </c>
      <c r="E4" s="30">
        <v>4</v>
      </c>
      <c r="F4" s="30">
        <v>4</v>
      </c>
      <c r="G4" s="30">
        <v>4</v>
      </c>
      <c r="H4" s="30">
        <v>4</v>
      </c>
      <c r="I4" s="30">
        <v>4</v>
      </c>
      <c r="J4" s="30">
        <v>4</v>
      </c>
      <c r="K4" s="30">
        <v>4</v>
      </c>
      <c r="L4" s="30">
        <v>4</v>
      </c>
      <c r="M4" s="30">
        <v>4</v>
      </c>
      <c r="N4" s="30">
        <v>4</v>
      </c>
      <c r="O4" s="30">
        <v>4</v>
      </c>
      <c r="P4" s="30">
        <v>4</v>
      </c>
      <c r="Q4" s="30">
        <v>4</v>
      </c>
    </row>
    <row r="5" spans="1:17" ht="15">
      <c r="A5" s="17" t="s">
        <v>3</v>
      </c>
      <c r="B5" s="30">
        <v>25</v>
      </c>
      <c r="C5" s="30">
        <v>25</v>
      </c>
      <c r="D5" s="30">
        <v>25</v>
      </c>
      <c r="E5" s="30">
        <v>25</v>
      </c>
      <c r="F5" s="30">
        <v>25</v>
      </c>
      <c r="G5" s="30">
        <v>25</v>
      </c>
      <c r="H5" s="30">
        <v>25</v>
      </c>
      <c r="I5" s="30">
        <v>25</v>
      </c>
      <c r="J5" s="30">
        <v>25</v>
      </c>
      <c r="K5" s="30">
        <v>25</v>
      </c>
      <c r="L5" s="30">
        <v>25</v>
      </c>
      <c r="M5" s="30">
        <v>25</v>
      </c>
      <c r="N5" s="30">
        <v>25</v>
      </c>
      <c r="O5" s="30">
        <v>25</v>
      </c>
      <c r="P5" s="30">
        <v>25</v>
      </c>
      <c r="Q5" s="30">
        <v>25</v>
      </c>
    </row>
    <row r="6" spans="1:17" ht="15">
      <c r="A6" s="17" t="s">
        <v>4</v>
      </c>
      <c r="B6" s="30">
        <v>1.5</v>
      </c>
      <c r="C6" s="30">
        <v>1.5</v>
      </c>
      <c r="D6" s="30">
        <v>1.5</v>
      </c>
      <c r="E6" s="30">
        <v>1.5</v>
      </c>
      <c r="F6" s="30">
        <v>1.5</v>
      </c>
      <c r="G6" s="30">
        <v>1.5</v>
      </c>
      <c r="H6" s="30">
        <v>1.5</v>
      </c>
      <c r="I6" s="30">
        <v>1.5</v>
      </c>
      <c r="J6" s="30">
        <v>1.5</v>
      </c>
      <c r="K6" s="30">
        <v>1.5</v>
      </c>
      <c r="L6" s="30">
        <v>1.5</v>
      </c>
      <c r="M6" s="30">
        <v>1.5</v>
      </c>
      <c r="N6" s="30">
        <v>1.5</v>
      </c>
      <c r="O6" s="30">
        <v>1.5</v>
      </c>
      <c r="P6" s="30">
        <v>1.5</v>
      </c>
      <c r="Q6" s="30">
        <v>1.5</v>
      </c>
    </row>
    <row r="7" spans="1:17" ht="30">
      <c r="A7" s="17" t="s">
        <v>190</v>
      </c>
      <c r="B7" s="18" t="s">
        <v>113</v>
      </c>
      <c r="C7" s="19">
        <v>0.95</v>
      </c>
      <c r="D7" s="18" t="s">
        <v>113</v>
      </c>
      <c r="E7" s="19">
        <v>0.95</v>
      </c>
      <c r="F7" s="19" t="s">
        <v>113</v>
      </c>
      <c r="G7" s="19">
        <v>0.95</v>
      </c>
      <c r="H7" s="19" t="s">
        <v>113</v>
      </c>
      <c r="I7" s="19">
        <v>0.95</v>
      </c>
      <c r="J7" s="18" t="s">
        <v>50</v>
      </c>
      <c r="K7" s="19">
        <v>0.95</v>
      </c>
      <c r="L7" s="18" t="s">
        <v>152</v>
      </c>
      <c r="M7" s="19">
        <v>0.95</v>
      </c>
      <c r="N7" s="19" t="s">
        <v>150</v>
      </c>
      <c r="O7" s="19">
        <v>0.95</v>
      </c>
      <c r="P7" s="19" t="s">
        <v>152</v>
      </c>
      <c r="Q7" s="19">
        <v>0.95</v>
      </c>
    </row>
    <row r="8" spans="1:17" ht="30">
      <c r="A8" s="17" t="s">
        <v>191</v>
      </c>
      <c r="B8" s="18">
        <v>0.9</v>
      </c>
      <c r="C8" s="19" t="s">
        <v>113</v>
      </c>
      <c r="D8" s="18">
        <v>0.9</v>
      </c>
      <c r="E8" s="19" t="s">
        <v>113</v>
      </c>
      <c r="F8" s="19">
        <v>0.9</v>
      </c>
      <c r="G8" s="19" t="s">
        <v>113</v>
      </c>
      <c r="H8" s="19">
        <v>0.9</v>
      </c>
      <c r="I8" s="19" t="s">
        <v>113</v>
      </c>
      <c r="J8" s="18">
        <v>0.9</v>
      </c>
      <c r="K8" s="19" t="s">
        <v>50</v>
      </c>
      <c r="L8" s="18">
        <v>0.9</v>
      </c>
      <c r="M8" s="19" t="s">
        <v>150</v>
      </c>
      <c r="N8" s="19">
        <v>0.9</v>
      </c>
      <c r="O8" s="19" t="s">
        <v>50</v>
      </c>
      <c r="P8" s="19">
        <v>0.9</v>
      </c>
      <c r="Q8" s="19" t="s">
        <v>50</v>
      </c>
    </row>
    <row r="9" spans="1:17" ht="15">
      <c r="A9" s="17" t="s">
        <v>5</v>
      </c>
      <c r="B9" s="29" t="s">
        <v>113</v>
      </c>
      <c r="C9" s="30">
        <f>64/(0.001)</f>
        <v>64000</v>
      </c>
      <c r="D9" s="29" t="s">
        <v>113</v>
      </c>
      <c r="E9" s="30">
        <f>64/(0.001)</f>
        <v>64000</v>
      </c>
      <c r="F9" s="30" t="s">
        <v>113</v>
      </c>
      <c r="G9" s="30">
        <f>2/(0.5*0.001)</f>
        <v>4000</v>
      </c>
      <c r="H9" s="30"/>
      <c r="I9" s="30">
        <f>2/(0.5*0.001)</f>
        <v>4000</v>
      </c>
      <c r="J9" s="29" t="s">
        <v>152</v>
      </c>
      <c r="K9" s="30">
        <f>64/(0.001)</f>
        <v>64000</v>
      </c>
      <c r="L9" s="29" t="s">
        <v>50</v>
      </c>
      <c r="M9" s="30">
        <f>64/(0.001)</f>
        <v>64000</v>
      </c>
      <c r="N9" s="30" t="s">
        <v>152</v>
      </c>
      <c r="O9" s="30">
        <f>2/(0.5*0.001)</f>
        <v>4000</v>
      </c>
      <c r="P9" s="30"/>
      <c r="Q9" s="30">
        <f>2/(0.5*0.001)</f>
        <v>4000</v>
      </c>
    </row>
    <row r="10" spans="1:17" ht="15">
      <c r="A10" s="17" t="s">
        <v>6</v>
      </c>
      <c r="B10" s="29">
        <f>2248233*3</f>
        <v>6744699</v>
      </c>
      <c r="C10" s="30" t="s">
        <v>113</v>
      </c>
      <c r="D10" s="29">
        <f>2248233*3</f>
        <v>6744699</v>
      </c>
      <c r="E10" s="30" t="s">
        <v>113</v>
      </c>
      <c r="F10" s="30">
        <f>74880*3</f>
        <v>224640</v>
      </c>
      <c r="G10" s="30" t="s">
        <v>113</v>
      </c>
      <c r="H10" s="30">
        <f>74880*3</f>
        <v>224640</v>
      </c>
      <c r="I10" s="30" t="s">
        <v>113</v>
      </c>
      <c r="J10" s="29">
        <f>2248233*3</f>
        <v>6744699</v>
      </c>
      <c r="K10" s="30" t="s">
        <v>152</v>
      </c>
      <c r="L10" s="29">
        <f>2248233*3</f>
        <v>6744699</v>
      </c>
      <c r="M10" s="30" t="s">
        <v>150</v>
      </c>
      <c r="N10" s="30">
        <f>74880*3</f>
        <v>224640</v>
      </c>
      <c r="O10" s="30" t="s">
        <v>150</v>
      </c>
      <c r="P10" s="30">
        <f>74880*3</f>
        <v>224640</v>
      </c>
      <c r="Q10" s="30" t="s">
        <v>152</v>
      </c>
    </row>
    <row r="11" spans="1:17" ht="15">
      <c r="A11" s="17" t="s">
        <v>7</v>
      </c>
      <c r="B11" s="18" t="s">
        <v>113</v>
      </c>
      <c r="C11" s="19">
        <v>0.01</v>
      </c>
      <c r="D11" s="18" t="s">
        <v>113</v>
      </c>
      <c r="E11" s="19">
        <v>0.01</v>
      </c>
      <c r="F11" s="19" t="s">
        <v>113</v>
      </c>
      <c r="G11" s="19">
        <v>0.01</v>
      </c>
      <c r="H11" s="19" t="s">
        <v>113</v>
      </c>
      <c r="I11" s="19">
        <v>0.01</v>
      </c>
      <c r="J11" s="18" t="s">
        <v>50</v>
      </c>
      <c r="K11" s="19">
        <v>0.01</v>
      </c>
      <c r="L11" s="18" t="s">
        <v>50</v>
      </c>
      <c r="M11" s="19">
        <v>0.01</v>
      </c>
      <c r="N11" s="19" t="s">
        <v>50</v>
      </c>
      <c r="O11" s="19">
        <v>0.01</v>
      </c>
      <c r="P11" s="19" t="s">
        <v>50</v>
      </c>
      <c r="Q11" s="19">
        <v>0.01</v>
      </c>
    </row>
    <row r="12" spans="1:17" ht="15">
      <c r="A12" s="17" t="s">
        <v>8</v>
      </c>
      <c r="B12" s="18">
        <v>0.1</v>
      </c>
      <c r="C12" s="19" t="s">
        <v>113</v>
      </c>
      <c r="D12" s="18">
        <v>0.1</v>
      </c>
      <c r="E12" s="19" t="s">
        <v>113</v>
      </c>
      <c r="F12" s="19">
        <v>0.1</v>
      </c>
      <c r="G12" s="19" t="s">
        <v>113</v>
      </c>
      <c r="H12" s="19">
        <v>0.1</v>
      </c>
      <c r="I12" s="19" t="s">
        <v>113</v>
      </c>
      <c r="J12" s="18">
        <v>0.1</v>
      </c>
      <c r="K12" s="19" t="s">
        <v>150</v>
      </c>
      <c r="L12" s="18">
        <v>0.1</v>
      </c>
      <c r="M12" s="19" t="s">
        <v>150</v>
      </c>
      <c r="N12" s="19">
        <v>0.1</v>
      </c>
      <c r="O12" s="19" t="s">
        <v>150</v>
      </c>
      <c r="P12" s="19">
        <v>0.1</v>
      </c>
      <c r="Q12" s="19" t="s">
        <v>150</v>
      </c>
    </row>
    <row r="13" spans="1:17" ht="16.5">
      <c r="A13" s="17" t="s">
        <v>85</v>
      </c>
      <c r="B13" s="29">
        <f>B10/(B42*(4+2*11/14+1/14)/10)</f>
        <v>0.65101476793248958</v>
      </c>
      <c r="C13" s="29" t="s">
        <v>113</v>
      </c>
      <c r="D13" s="29">
        <f>D10/(D42*(4+2*11/14+1/14)/10)</f>
        <v>0.65101476793248958</v>
      </c>
      <c r="E13" s="29" t="s">
        <v>113</v>
      </c>
      <c r="F13" s="29">
        <f>F10/(F42*(4+2*2/14+1/14)/10)</f>
        <v>0.35803278688524592</v>
      </c>
      <c r="G13" s="29" t="s">
        <v>113</v>
      </c>
      <c r="H13" s="29">
        <f>H10/(H42*(4+2*2/14+1/14)/10)</f>
        <v>0.35803278688524592</v>
      </c>
      <c r="I13" s="30" t="s">
        <v>113</v>
      </c>
      <c r="J13" s="29">
        <f>J10/(J42*(4+2*11/14+1/14)/10)</f>
        <v>0.65101476793248958</v>
      </c>
      <c r="K13" s="29" t="s">
        <v>150</v>
      </c>
      <c r="L13" s="29">
        <f>L10/(L42*(4+2*11/14+1/14)/10)</f>
        <v>0.65101476793248958</v>
      </c>
      <c r="M13" s="29" t="s">
        <v>50</v>
      </c>
      <c r="N13" s="29">
        <f>N10/(N42*(4+2*2/14+1/14)/10)</f>
        <v>0.35803278688524592</v>
      </c>
      <c r="O13" s="29" t="s">
        <v>150</v>
      </c>
      <c r="P13" s="29">
        <f>P10/(P42*(4+2*2/14+1/14)/10)</f>
        <v>0.35803278688524592</v>
      </c>
      <c r="Q13" s="30" t="s">
        <v>150</v>
      </c>
    </row>
    <row r="14" spans="1:17" ht="16.5">
      <c r="A14" s="17" t="s">
        <v>86</v>
      </c>
      <c r="B14" s="29" t="s">
        <v>114</v>
      </c>
      <c r="C14" s="29" t="s">
        <v>114</v>
      </c>
      <c r="D14" s="29" t="s">
        <v>115</v>
      </c>
      <c r="E14" s="29" t="s">
        <v>115</v>
      </c>
      <c r="F14" s="29" t="s">
        <v>114</v>
      </c>
      <c r="G14" s="29" t="s">
        <v>114</v>
      </c>
      <c r="H14" s="29" t="s">
        <v>115</v>
      </c>
      <c r="I14" s="29" t="s">
        <v>115</v>
      </c>
      <c r="J14" s="29" t="s">
        <v>153</v>
      </c>
      <c r="K14" s="29" t="s">
        <v>153</v>
      </c>
      <c r="L14" s="29" t="s">
        <v>154</v>
      </c>
      <c r="M14" s="29" t="s">
        <v>154</v>
      </c>
      <c r="N14" s="29" t="s">
        <v>153</v>
      </c>
      <c r="O14" s="29" t="s">
        <v>153</v>
      </c>
      <c r="P14" s="29" t="s">
        <v>154</v>
      </c>
      <c r="Q14" s="29" t="s">
        <v>154</v>
      </c>
    </row>
    <row r="15" spans="1:17" ht="15">
      <c r="A15" s="17" t="s">
        <v>116</v>
      </c>
      <c r="B15" s="29">
        <v>30</v>
      </c>
      <c r="C15" s="30">
        <v>30</v>
      </c>
      <c r="D15" s="29">
        <v>3</v>
      </c>
      <c r="E15" s="30">
        <v>3</v>
      </c>
      <c r="F15" s="30">
        <v>30</v>
      </c>
      <c r="G15" s="30">
        <v>30</v>
      </c>
      <c r="H15" s="30">
        <v>3</v>
      </c>
      <c r="I15" s="30">
        <v>3</v>
      </c>
      <c r="J15" s="29">
        <v>30</v>
      </c>
      <c r="K15" s="30">
        <v>30</v>
      </c>
      <c r="L15" s="29">
        <v>3</v>
      </c>
      <c r="M15" s="30">
        <v>3</v>
      </c>
      <c r="N15" s="30">
        <v>30</v>
      </c>
      <c r="O15" s="30">
        <v>30</v>
      </c>
      <c r="P15" s="30">
        <v>3</v>
      </c>
      <c r="Q15" s="30">
        <v>3</v>
      </c>
    </row>
    <row r="16" spans="1:17" ht="15">
      <c r="A16" s="17" t="s">
        <v>9</v>
      </c>
      <c r="B16" s="29">
        <v>3</v>
      </c>
      <c r="C16" s="30">
        <v>3</v>
      </c>
      <c r="D16" s="29">
        <v>3</v>
      </c>
      <c r="E16" s="30">
        <v>3</v>
      </c>
      <c r="F16" s="30">
        <v>3</v>
      </c>
      <c r="G16" s="30">
        <v>3</v>
      </c>
      <c r="H16" s="30">
        <v>3</v>
      </c>
      <c r="I16" s="30">
        <v>3</v>
      </c>
      <c r="J16" s="29">
        <v>3</v>
      </c>
      <c r="K16" s="30">
        <v>3</v>
      </c>
      <c r="L16" s="29">
        <v>3</v>
      </c>
      <c r="M16" s="30">
        <v>3</v>
      </c>
      <c r="N16" s="30">
        <v>3</v>
      </c>
      <c r="O16" s="30">
        <v>3</v>
      </c>
      <c r="P16" s="30">
        <v>3</v>
      </c>
      <c r="Q16" s="30">
        <v>3</v>
      </c>
    </row>
    <row r="17" spans="1:17">
      <c r="A17" s="16" t="s">
        <v>10</v>
      </c>
      <c r="B17" s="28"/>
      <c r="C17" s="28"/>
      <c r="D17" s="28"/>
      <c r="E17" s="28"/>
      <c r="F17" s="28"/>
      <c r="G17" s="28"/>
      <c r="H17" s="28"/>
      <c r="I17" s="28"/>
      <c r="J17" s="28"/>
      <c r="K17" s="28"/>
      <c r="L17" s="28"/>
      <c r="M17" s="28"/>
      <c r="N17" s="28"/>
      <c r="O17" s="28"/>
      <c r="P17" s="28"/>
      <c r="Q17" s="28"/>
    </row>
    <row r="18" spans="1:17" ht="30">
      <c r="A18" s="17" t="s">
        <v>117</v>
      </c>
      <c r="B18" s="29">
        <v>256</v>
      </c>
      <c r="C18" s="29">
        <v>256</v>
      </c>
      <c r="D18" s="29">
        <v>256</v>
      </c>
      <c r="E18" s="29">
        <v>256</v>
      </c>
      <c r="F18" s="30">
        <v>2</v>
      </c>
      <c r="G18" s="30">
        <v>2</v>
      </c>
      <c r="H18" s="30">
        <v>2</v>
      </c>
      <c r="I18" s="30">
        <v>2</v>
      </c>
      <c r="J18" s="29">
        <v>256</v>
      </c>
      <c r="K18" s="29">
        <v>256</v>
      </c>
      <c r="L18" s="29">
        <v>256</v>
      </c>
      <c r="M18" s="29">
        <v>256</v>
      </c>
      <c r="N18" s="30">
        <v>2</v>
      </c>
      <c r="O18" s="30">
        <v>2</v>
      </c>
      <c r="P18" s="30">
        <v>2</v>
      </c>
      <c r="Q18" s="30">
        <v>2</v>
      </c>
    </row>
    <row r="19" spans="1:17" ht="15">
      <c r="A19" s="17" t="s">
        <v>137</v>
      </c>
      <c r="B19" s="29">
        <v>2</v>
      </c>
      <c r="C19" s="29">
        <v>2</v>
      </c>
      <c r="D19" s="29">
        <v>2</v>
      </c>
      <c r="E19" s="29">
        <v>2</v>
      </c>
      <c r="F19" s="30">
        <v>2</v>
      </c>
      <c r="G19" s="30">
        <v>2</v>
      </c>
      <c r="H19" s="30">
        <v>2</v>
      </c>
      <c r="I19" s="30">
        <v>2</v>
      </c>
      <c r="J19" s="29">
        <v>2</v>
      </c>
      <c r="K19" s="29">
        <v>2</v>
      </c>
      <c r="L19" s="29">
        <v>2</v>
      </c>
      <c r="M19" s="29">
        <v>2</v>
      </c>
      <c r="N19" s="30">
        <v>2</v>
      </c>
      <c r="O19" s="30">
        <v>2</v>
      </c>
      <c r="P19" s="30">
        <v>2</v>
      </c>
      <c r="Q19" s="30">
        <v>2</v>
      </c>
    </row>
    <row r="20" spans="1:17" ht="15">
      <c r="A20" s="17" t="s">
        <v>11</v>
      </c>
      <c r="B20" s="29">
        <v>20</v>
      </c>
      <c r="C20" s="29">
        <v>20</v>
      </c>
      <c r="D20" s="29">
        <v>20</v>
      </c>
      <c r="E20" s="29">
        <v>20</v>
      </c>
      <c r="F20" s="30">
        <v>20</v>
      </c>
      <c r="G20" s="30">
        <v>20</v>
      </c>
      <c r="H20" s="30">
        <v>20</v>
      </c>
      <c r="I20" s="30">
        <v>20</v>
      </c>
      <c r="J20" s="29">
        <v>20</v>
      </c>
      <c r="K20" s="29">
        <v>20</v>
      </c>
      <c r="L20" s="29">
        <v>20</v>
      </c>
      <c r="M20" s="29">
        <v>20</v>
      </c>
      <c r="N20" s="30">
        <v>20</v>
      </c>
      <c r="O20" s="30">
        <v>20</v>
      </c>
      <c r="P20" s="30">
        <v>20</v>
      </c>
      <c r="Q20" s="30">
        <v>20</v>
      </c>
    </row>
    <row r="21" spans="1:17" ht="30">
      <c r="A21" s="37" t="s">
        <v>118</v>
      </c>
      <c r="B21" s="34">
        <f t="shared" ref="B21:Q21" si="0">B20+10*LOG10(B18)</f>
        <v>44.0823996531185</v>
      </c>
      <c r="C21" s="34">
        <f t="shared" si="0"/>
        <v>44.0823996531185</v>
      </c>
      <c r="D21" s="34">
        <f t="shared" si="0"/>
        <v>44.0823996531185</v>
      </c>
      <c r="E21" s="34">
        <f t="shared" si="0"/>
        <v>44.0823996531185</v>
      </c>
      <c r="F21" s="34">
        <f t="shared" si="0"/>
        <v>23.010299956639813</v>
      </c>
      <c r="G21" s="34">
        <f t="shared" si="0"/>
        <v>23.010299956639813</v>
      </c>
      <c r="H21" s="34">
        <f t="shared" si="0"/>
        <v>23.010299956639813</v>
      </c>
      <c r="I21" s="34">
        <f t="shared" si="0"/>
        <v>23.010299956639813</v>
      </c>
      <c r="J21" s="34">
        <f t="shared" si="0"/>
        <v>44.0823996531185</v>
      </c>
      <c r="K21" s="34">
        <f t="shared" si="0"/>
        <v>44.0823996531185</v>
      </c>
      <c r="L21" s="34">
        <f t="shared" si="0"/>
        <v>44.0823996531185</v>
      </c>
      <c r="M21" s="34">
        <f t="shared" si="0"/>
        <v>44.0823996531185</v>
      </c>
      <c r="N21" s="34">
        <f t="shared" si="0"/>
        <v>23.010299956639813</v>
      </c>
      <c r="O21" s="34">
        <f t="shared" si="0"/>
        <v>23.010299956639813</v>
      </c>
      <c r="P21" s="34">
        <f t="shared" si="0"/>
        <v>23.010299956639813</v>
      </c>
      <c r="Q21" s="34">
        <f t="shared" si="0"/>
        <v>23.010299956639813</v>
      </c>
    </row>
    <row r="22" spans="1:17" ht="15">
      <c r="A22" s="17" t="s">
        <v>12</v>
      </c>
      <c r="B22" s="29">
        <v>8</v>
      </c>
      <c r="C22" s="30">
        <v>8</v>
      </c>
      <c r="D22" s="29">
        <v>8</v>
      </c>
      <c r="E22" s="30">
        <v>8</v>
      </c>
      <c r="F22" s="30">
        <v>0</v>
      </c>
      <c r="G22" s="30">
        <v>0</v>
      </c>
      <c r="H22" s="30">
        <v>0</v>
      </c>
      <c r="I22" s="30">
        <v>0</v>
      </c>
      <c r="J22" s="29">
        <v>8</v>
      </c>
      <c r="K22" s="30">
        <v>8</v>
      </c>
      <c r="L22" s="29">
        <v>8</v>
      </c>
      <c r="M22" s="30">
        <v>8</v>
      </c>
      <c r="N22" s="30">
        <v>0</v>
      </c>
      <c r="O22" s="30">
        <v>0</v>
      </c>
      <c r="P22" s="30">
        <v>0</v>
      </c>
      <c r="Q22" s="30">
        <v>0</v>
      </c>
    </row>
    <row r="23" spans="1:17" ht="45">
      <c r="A23" s="38" t="s">
        <v>13</v>
      </c>
      <c r="B23" s="34">
        <f t="shared" ref="B23:Q23" si="1">IF(B18&gt;=2, 10*LOG10(B18/2), 0)</f>
        <v>21.072099696478684</v>
      </c>
      <c r="C23" s="34">
        <f t="shared" si="1"/>
        <v>21.072099696478684</v>
      </c>
      <c r="D23" s="34">
        <f t="shared" si="1"/>
        <v>21.072099696478684</v>
      </c>
      <c r="E23" s="34">
        <f t="shared" si="1"/>
        <v>21.072099696478684</v>
      </c>
      <c r="F23" s="34">
        <f t="shared" si="1"/>
        <v>0</v>
      </c>
      <c r="G23" s="34">
        <f t="shared" si="1"/>
        <v>0</v>
      </c>
      <c r="H23" s="34">
        <f t="shared" si="1"/>
        <v>0</v>
      </c>
      <c r="I23" s="34">
        <f t="shared" si="1"/>
        <v>0</v>
      </c>
      <c r="J23" s="34">
        <f t="shared" si="1"/>
        <v>21.072099696478684</v>
      </c>
      <c r="K23" s="34">
        <f t="shared" si="1"/>
        <v>21.072099696478684</v>
      </c>
      <c r="L23" s="34">
        <f t="shared" si="1"/>
        <v>21.072099696478684</v>
      </c>
      <c r="M23" s="34">
        <f t="shared" si="1"/>
        <v>21.072099696478684</v>
      </c>
      <c r="N23" s="34">
        <f t="shared" si="1"/>
        <v>0</v>
      </c>
      <c r="O23" s="34">
        <f t="shared" si="1"/>
        <v>0</v>
      </c>
      <c r="P23" s="34">
        <f t="shared" si="1"/>
        <v>0</v>
      </c>
      <c r="Q23" s="34">
        <f t="shared" si="1"/>
        <v>0</v>
      </c>
    </row>
    <row r="24" spans="1:17" ht="15">
      <c r="A24" s="17" t="s">
        <v>14</v>
      </c>
      <c r="B24" s="29">
        <v>0</v>
      </c>
      <c r="C24" s="30">
        <v>0</v>
      </c>
      <c r="D24" s="29">
        <v>0</v>
      </c>
      <c r="E24" s="30">
        <v>0</v>
      </c>
      <c r="F24" s="30">
        <v>0</v>
      </c>
      <c r="G24" s="30">
        <v>0</v>
      </c>
      <c r="H24" s="30">
        <v>0</v>
      </c>
      <c r="I24" s="30">
        <v>0</v>
      </c>
      <c r="J24" s="29">
        <v>0</v>
      </c>
      <c r="K24" s="30">
        <v>0</v>
      </c>
      <c r="L24" s="29">
        <v>0</v>
      </c>
      <c r="M24" s="30">
        <v>0</v>
      </c>
      <c r="N24" s="30">
        <v>0</v>
      </c>
      <c r="O24" s="30">
        <v>0</v>
      </c>
      <c r="P24" s="30">
        <v>0</v>
      </c>
      <c r="Q24" s="30">
        <v>0</v>
      </c>
    </row>
    <row r="25" spans="1:17" ht="15">
      <c r="A25" s="17" t="s">
        <v>15</v>
      </c>
      <c r="B25" s="29">
        <v>0</v>
      </c>
      <c r="C25" s="30">
        <v>0</v>
      </c>
      <c r="D25" s="29">
        <v>0</v>
      </c>
      <c r="E25" s="30">
        <v>0</v>
      </c>
      <c r="F25" s="30">
        <v>0</v>
      </c>
      <c r="G25" s="30">
        <v>0</v>
      </c>
      <c r="H25" s="30">
        <v>0</v>
      </c>
      <c r="I25" s="30">
        <v>0</v>
      </c>
      <c r="J25" s="29">
        <v>0</v>
      </c>
      <c r="K25" s="30">
        <v>0</v>
      </c>
      <c r="L25" s="29">
        <v>0</v>
      </c>
      <c r="M25" s="30">
        <v>0</v>
      </c>
      <c r="N25" s="30">
        <v>0</v>
      </c>
      <c r="O25" s="30">
        <v>0</v>
      </c>
      <c r="P25" s="30">
        <v>0</v>
      </c>
      <c r="Q25" s="30">
        <v>0</v>
      </c>
    </row>
    <row r="26" spans="1:17" ht="30">
      <c r="A26" s="17" t="s">
        <v>16</v>
      </c>
      <c r="B26" s="29">
        <v>3</v>
      </c>
      <c r="C26" s="29">
        <v>3</v>
      </c>
      <c r="D26" s="29">
        <v>3</v>
      </c>
      <c r="E26" s="29">
        <v>3</v>
      </c>
      <c r="F26" s="29">
        <v>1</v>
      </c>
      <c r="G26" s="29">
        <v>1</v>
      </c>
      <c r="H26" s="29">
        <v>1</v>
      </c>
      <c r="I26" s="30">
        <v>1</v>
      </c>
      <c r="J26" s="29">
        <v>3</v>
      </c>
      <c r="K26" s="29">
        <v>3</v>
      </c>
      <c r="L26" s="29">
        <v>3</v>
      </c>
      <c r="M26" s="29">
        <v>3</v>
      </c>
      <c r="N26" s="29">
        <v>1</v>
      </c>
      <c r="O26" s="29">
        <v>1</v>
      </c>
      <c r="P26" s="29">
        <v>1</v>
      </c>
      <c r="Q26" s="30">
        <v>1</v>
      </c>
    </row>
    <row r="27" spans="1:17" ht="15">
      <c r="A27" s="21" t="s">
        <v>17</v>
      </c>
      <c r="B27" s="33">
        <f t="shared" ref="B27:Q27" si="2">B21+B22+B23+B24-B26</f>
        <v>70.154499349597188</v>
      </c>
      <c r="C27" s="33">
        <f t="shared" si="2"/>
        <v>70.154499349597188</v>
      </c>
      <c r="D27" s="33">
        <f t="shared" si="2"/>
        <v>70.154499349597188</v>
      </c>
      <c r="E27" s="33">
        <f t="shared" si="2"/>
        <v>70.154499349597188</v>
      </c>
      <c r="F27" s="33">
        <f t="shared" si="2"/>
        <v>22.010299956639813</v>
      </c>
      <c r="G27" s="33">
        <f t="shared" si="2"/>
        <v>22.010299956639813</v>
      </c>
      <c r="H27" s="33">
        <f t="shared" si="2"/>
        <v>22.010299956639813</v>
      </c>
      <c r="I27" s="33">
        <f t="shared" si="2"/>
        <v>22.010299956639813</v>
      </c>
      <c r="J27" s="33">
        <f t="shared" si="2"/>
        <v>70.154499349597188</v>
      </c>
      <c r="K27" s="33">
        <f t="shared" si="2"/>
        <v>70.154499349597188</v>
      </c>
      <c r="L27" s="33">
        <f t="shared" si="2"/>
        <v>70.154499349597188</v>
      </c>
      <c r="M27" s="33">
        <f t="shared" si="2"/>
        <v>70.154499349597188</v>
      </c>
      <c r="N27" s="33">
        <f t="shared" si="2"/>
        <v>22.010299956639813</v>
      </c>
      <c r="O27" s="33">
        <f t="shared" si="2"/>
        <v>22.010299956639813</v>
      </c>
      <c r="P27" s="33">
        <f t="shared" si="2"/>
        <v>22.010299956639813</v>
      </c>
      <c r="Q27" s="33">
        <f t="shared" si="2"/>
        <v>22.010299956639813</v>
      </c>
    </row>
    <row r="28" spans="1:17" ht="15">
      <c r="A28" s="21" t="s">
        <v>18</v>
      </c>
      <c r="B28" s="33">
        <f t="shared" ref="B28:Q28" si="3">B21+B22+B23-B25-B26</f>
        <v>70.154499349597188</v>
      </c>
      <c r="C28" s="33">
        <f t="shared" si="3"/>
        <v>70.154499349597188</v>
      </c>
      <c r="D28" s="33">
        <f t="shared" si="3"/>
        <v>70.154499349597188</v>
      </c>
      <c r="E28" s="33">
        <f t="shared" si="3"/>
        <v>70.154499349597188</v>
      </c>
      <c r="F28" s="33">
        <f t="shared" si="3"/>
        <v>22.010299956639813</v>
      </c>
      <c r="G28" s="33">
        <f t="shared" si="3"/>
        <v>22.010299956639813</v>
      </c>
      <c r="H28" s="33">
        <f t="shared" si="3"/>
        <v>22.010299956639813</v>
      </c>
      <c r="I28" s="33">
        <f t="shared" si="3"/>
        <v>22.010299956639813</v>
      </c>
      <c r="J28" s="33">
        <f t="shared" si="3"/>
        <v>70.154499349597188</v>
      </c>
      <c r="K28" s="33">
        <f t="shared" si="3"/>
        <v>70.154499349597188</v>
      </c>
      <c r="L28" s="33">
        <f t="shared" si="3"/>
        <v>70.154499349597188</v>
      </c>
      <c r="M28" s="33">
        <f t="shared" si="3"/>
        <v>70.154499349597188</v>
      </c>
      <c r="N28" s="33">
        <f t="shared" si="3"/>
        <v>22.010299956639813</v>
      </c>
      <c r="O28" s="33">
        <f t="shared" si="3"/>
        <v>22.010299956639813</v>
      </c>
      <c r="P28" s="33">
        <f t="shared" si="3"/>
        <v>22.010299956639813</v>
      </c>
      <c r="Q28" s="33">
        <f t="shared" si="3"/>
        <v>22.010299956639813</v>
      </c>
    </row>
    <row r="29" spans="1:17">
      <c r="A29" s="16" t="s">
        <v>19</v>
      </c>
      <c r="B29" s="28"/>
      <c r="C29" s="28"/>
      <c r="D29" s="28"/>
      <c r="E29" s="28"/>
      <c r="F29" s="28"/>
      <c r="G29" s="28"/>
      <c r="H29" s="28"/>
      <c r="I29" s="28"/>
      <c r="J29" s="28"/>
      <c r="K29" s="28"/>
      <c r="L29" s="28"/>
      <c r="M29" s="28"/>
      <c r="N29" s="28"/>
      <c r="O29" s="28"/>
      <c r="P29" s="28"/>
      <c r="Q29" s="28"/>
    </row>
    <row r="30" spans="1:17" ht="30">
      <c r="A30" s="17" t="s">
        <v>119</v>
      </c>
      <c r="B30" s="29">
        <v>4</v>
      </c>
      <c r="C30" s="30">
        <v>4</v>
      </c>
      <c r="D30" s="29">
        <v>4</v>
      </c>
      <c r="E30" s="30">
        <v>4</v>
      </c>
      <c r="F30" s="29">
        <v>256</v>
      </c>
      <c r="G30" s="29">
        <v>256</v>
      </c>
      <c r="H30" s="29">
        <v>256</v>
      </c>
      <c r="I30" s="29">
        <v>256</v>
      </c>
      <c r="J30" s="29">
        <v>4</v>
      </c>
      <c r="K30" s="30">
        <v>4</v>
      </c>
      <c r="L30" s="29">
        <v>4</v>
      </c>
      <c r="M30" s="30">
        <v>4</v>
      </c>
      <c r="N30" s="30">
        <v>256</v>
      </c>
      <c r="O30" s="30">
        <v>256</v>
      </c>
      <c r="P30" s="30">
        <v>256</v>
      </c>
      <c r="Q30" s="30">
        <v>256</v>
      </c>
    </row>
    <row r="31" spans="1:17" ht="15">
      <c r="A31" s="17" t="s">
        <v>138</v>
      </c>
      <c r="B31" s="29">
        <v>2</v>
      </c>
      <c r="C31" s="30">
        <v>2</v>
      </c>
      <c r="D31" s="29">
        <v>2</v>
      </c>
      <c r="E31" s="30">
        <v>2</v>
      </c>
      <c r="F31" s="29">
        <v>2</v>
      </c>
      <c r="G31" s="29">
        <v>2</v>
      </c>
      <c r="H31" s="29">
        <v>2</v>
      </c>
      <c r="I31" s="29">
        <v>2</v>
      </c>
      <c r="J31" s="29">
        <v>2</v>
      </c>
      <c r="K31" s="30">
        <v>2</v>
      </c>
      <c r="L31" s="29">
        <v>2</v>
      </c>
      <c r="M31" s="30">
        <v>2</v>
      </c>
      <c r="N31" s="30">
        <v>2</v>
      </c>
      <c r="O31" s="30">
        <v>2</v>
      </c>
      <c r="P31" s="30">
        <v>2</v>
      </c>
      <c r="Q31" s="30">
        <v>2</v>
      </c>
    </row>
    <row r="32" spans="1:17" ht="15">
      <c r="A32" s="17" t="s">
        <v>20</v>
      </c>
      <c r="B32" s="29">
        <v>0</v>
      </c>
      <c r="C32" s="30">
        <v>0</v>
      </c>
      <c r="D32" s="29">
        <v>0</v>
      </c>
      <c r="E32" s="30">
        <v>0</v>
      </c>
      <c r="F32" s="30">
        <v>8</v>
      </c>
      <c r="G32" s="30">
        <v>8</v>
      </c>
      <c r="H32" s="30">
        <v>8</v>
      </c>
      <c r="I32" s="30">
        <v>8</v>
      </c>
      <c r="J32" s="29">
        <v>0</v>
      </c>
      <c r="K32" s="30">
        <v>0</v>
      </c>
      <c r="L32" s="29">
        <v>0</v>
      </c>
      <c r="M32" s="30">
        <v>0</v>
      </c>
      <c r="N32" s="30">
        <v>8</v>
      </c>
      <c r="O32" s="30">
        <v>8</v>
      </c>
      <c r="P32" s="30">
        <v>8</v>
      </c>
      <c r="Q32" s="30">
        <v>8</v>
      </c>
    </row>
    <row r="33" spans="1:17" ht="42.75">
      <c r="A33" s="22" t="s">
        <v>120</v>
      </c>
      <c r="B33" s="34">
        <f t="shared" ref="B33:Q33" si="4">IF(B30&gt;=2, 10*LOG10(B30/2), 0)</f>
        <v>3.0102999566398121</v>
      </c>
      <c r="C33" s="34">
        <f t="shared" si="4"/>
        <v>3.0102999566398121</v>
      </c>
      <c r="D33" s="34">
        <f t="shared" si="4"/>
        <v>3.0102999566398121</v>
      </c>
      <c r="E33" s="34">
        <f t="shared" si="4"/>
        <v>3.0102999566398121</v>
      </c>
      <c r="F33" s="34">
        <f t="shared" si="4"/>
        <v>21.072099696478684</v>
      </c>
      <c r="G33" s="34">
        <f t="shared" si="4"/>
        <v>21.072099696478684</v>
      </c>
      <c r="H33" s="34">
        <f t="shared" si="4"/>
        <v>21.072099696478684</v>
      </c>
      <c r="I33" s="34">
        <f t="shared" si="4"/>
        <v>21.072099696478684</v>
      </c>
      <c r="J33" s="34">
        <f t="shared" si="4"/>
        <v>3.0102999566398121</v>
      </c>
      <c r="K33" s="34">
        <f t="shared" si="4"/>
        <v>3.0102999566398121</v>
      </c>
      <c r="L33" s="34">
        <f t="shared" si="4"/>
        <v>3.0102999566398121</v>
      </c>
      <c r="M33" s="34">
        <f t="shared" si="4"/>
        <v>3.0102999566398121</v>
      </c>
      <c r="N33" s="34">
        <f>IF(N30&gt;=2, 10*LOG10(N30/2), 0)</f>
        <v>21.072099696478684</v>
      </c>
      <c r="O33" s="34">
        <f t="shared" si="4"/>
        <v>21.072099696478684</v>
      </c>
      <c r="P33" s="34">
        <f t="shared" si="4"/>
        <v>21.072099696478684</v>
      </c>
      <c r="Q33" s="34">
        <f t="shared" si="4"/>
        <v>21.072099696478684</v>
      </c>
    </row>
    <row r="34" spans="1:17" ht="30">
      <c r="A34" s="17" t="s">
        <v>21</v>
      </c>
      <c r="B34" s="29">
        <v>1</v>
      </c>
      <c r="C34" s="29">
        <v>1</v>
      </c>
      <c r="D34" s="29">
        <v>1</v>
      </c>
      <c r="E34" s="29">
        <v>1</v>
      </c>
      <c r="F34" s="29">
        <v>3</v>
      </c>
      <c r="G34" s="29">
        <v>3</v>
      </c>
      <c r="H34" s="29">
        <v>3</v>
      </c>
      <c r="I34" s="29">
        <v>3</v>
      </c>
      <c r="J34" s="29">
        <v>1</v>
      </c>
      <c r="K34" s="29">
        <v>1</v>
      </c>
      <c r="L34" s="29">
        <v>1</v>
      </c>
      <c r="M34" s="29">
        <v>1</v>
      </c>
      <c r="N34" s="29">
        <v>3</v>
      </c>
      <c r="O34" s="29">
        <v>3</v>
      </c>
      <c r="P34" s="29">
        <v>3</v>
      </c>
      <c r="Q34" s="77">
        <v>3</v>
      </c>
    </row>
    <row r="35" spans="1:17" ht="15">
      <c r="A35" s="17" t="s">
        <v>22</v>
      </c>
      <c r="B35" s="30">
        <v>7</v>
      </c>
      <c r="C35" s="30">
        <v>7</v>
      </c>
      <c r="D35" s="30">
        <v>7</v>
      </c>
      <c r="E35" s="30">
        <v>7</v>
      </c>
      <c r="F35" s="30">
        <v>5</v>
      </c>
      <c r="G35" s="30">
        <v>5</v>
      </c>
      <c r="H35" s="30">
        <v>5</v>
      </c>
      <c r="I35" s="30">
        <v>5</v>
      </c>
      <c r="J35" s="30">
        <v>7</v>
      </c>
      <c r="K35" s="30">
        <v>7</v>
      </c>
      <c r="L35" s="30">
        <v>7</v>
      </c>
      <c r="M35" s="30">
        <v>7</v>
      </c>
      <c r="N35" s="30">
        <v>5</v>
      </c>
      <c r="O35" s="30">
        <v>5</v>
      </c>
      <c r="P35" s="30">
        <v>5</v>
      </c>
      <c r="Q35" s="30">
        <v>5</v>
      </c>
    </row>
    <row r="36" spans="1:17" ht="15">
      <c r="A36" s="17" t="s">
        <v>23</v>
      </c>
      <c r="B36" s="30">
        <v>-174</v>
      </c>
      <c r="C36" s="30">
        <v>-174</v>
      </c>
      <c r="D36" s="30">
        <v>-174</v>
      </c>
      <c r="E36" s="30">
        <v>-174</v>
      </c>
      <c r="F36" s="29">
        <v>-174</v>
      </c>
      <c r="G36" s="30">
        <v>-174</v>
      </c>
      <c r="H36" s="29">
        <v>-174</v>
      </c>
      <c r="I36" s="30">
        <v>-174</v>
      </c>
      <c r="J36" s="30">
        <v>-174</v>
      </c>
      <c r="K36" s="30">
        <v>-174</v>
      </c>
      <c r="L36" s="30">
        <v>-174</v>
      </c>
      <c r="M36" s="30">
        <v>-174</v>
      </c>
      <c r="N36" s="29">
        <v>-174</v>
      </c>
      <c r="O36" s="30">
        <v>-174</v>
      </c>
      <c r="P36" s="29">
        <v>-174</v>
      </c>
      <c r="Q36" s="30">
        <v>-174</v>
      </c>
    </row>
    <row r="37" spans="1:17" ht="15">
      <c r="A37" s="17" t="s">
        <v>192</v>
      </c>
      <c r="B37" s="29" t="s">
        <v>113</v>
      </c>
      <c r="C37" s="30">
        <v>-169.3</v>
      </c>
      <c r="D37" s="29" t="s">
        <v>113</v>
      </c>
      <c r="E37" s="30">
        <v>-169.3</v>
      </c>
      <c r="F37" s="30" t="s">
        <v>113</v>
      </c>
      <c r="G37" s="30">
        <v>-161.69999999999999</v>
      </c>
      <c r="H37" s="30" t="s">
        <v>113</v>
      </c>
      <c r="I37" s="30">
        <v>-161.69999999999999</v>
      </c>
      <c r="J37" s="29" t="s">
        <v>152</v>
      </c>
      <c r="K37" s="30">
        <v>-169.3</v>
      </c>
      <c r="L37" s="29" t="s">
        <v>152</v>
      </c>
      <c r="M37" s="30">
        <v>-169.3</v>
      </c>
      <c r="N37" s="30" t="s">
        <v>152</v>
      </c>
      <c r="O37" s="30">
        <v>-161.69999999999999</v>
      </c>
      <c r="P37" s="30" t="s">
        <v>152</v>
      </c>
      <c r="Q37" s="30">
        <v>-161.69999999999999</v>
      </c>
    </row>
    <row r="38" spans="1:17" ht="15">
      <c r="A38" s="17" t="s">
        <v>24</v>
      </c>
      <c r="B38" s="29">
        <v>-169.3</v>
      </c>
      <c r="C38" s="30" t="s">
        <v>113</v>
      </c>
      <c r="D38" s="29">
        <v>-169.3</v>
      </c>
      <c r="E38" s="30" t="s">
        <v>113</v>
      </c>
      <c r="F38" s="30">
        <v>-165.7</v>
      </c>
      <c r="G38" s="30" t="s">
        <v>113</v>
      </c>
      <c r="H38" s="30">
        <v>-165.7</v>
      </c>
      <c r="I38" s="30" t="s">
        <v>113</v>
      </c>
      <c r="J38" s="29">
        <v>-169.3</v>
      </c>
      <c r="K38" s="30" t="s">
        <v>152</v>
      </c>
      <c r="L38" s="29">
        <v>-169.3</v>
      </c>
      <c r="M38" s="30" t="s">
        <v>152</v>
      </c>
      <c r="N38" s="30">
        <v>-165.7</v>
      </c>
      <c r="O38" s="30" t="s">
        <v>152</v>
      </c>
      <c r="P38" s="30">
        <v>-165.7</v>
      </c>
      <c r="Q38" s="30" t="s">
        <v>152</v>
      </c>
    </row>
    <row r="39" spans="1:17" ht="30">
      <c r="A39" s="23" t="s">
        <v>193</v>
      </c>
      <c r="B39" s="33" t="s">
        <v>142</v>
      </c>
      <c r="C39" s="33">
        <f t="shared" ref="C39:I39" si="5">10*LOG10(10^((C35+C36)/10)+10^(C37/10))</f>
        <v>-164.98918835931039</v>
      </c>
      <c r="D39" s="33" t="s">
        <v>142</v>
      </c>
      <c r="E39" s="33">
        <f t="shared" si="5"/>
        <v>-164.98918835931039</v>
      </c>
      <c r="F39" s="33" t="s">
        <v>142</v>
      </c>
      <c r="G39" s="33">
        <f t="shared" si="5"/>
        <v>-160.9583889004532</v>
      </c>
      <c r="H39" s="33" t="s">
        <v>142</v>
      </c>
      <c r="I39" s="33">
        <f t="shared" si="5"/>
        <v>-160.9583889004532</v>
      </c>
      <c r="J39" s="33" t="s">
        <v>152</v>
      </c>
      <c r="K39" s="33">
        <f t="shared" ref="K39:Q39" si="6">10*LOG10(10^((K35+K36)/10)+10^(K37/10))</f>
        <v>-164.98918835931039</v>
      </c>
      <c r="L39" s="33" t="s">
        <v>152</v>
      </c>
      <c r="M39" s="33">
        <f t="shared" si="6"/>
        <v>-164.98918835931039</v>
      </c>
      <c r="N39" s="33" t="s">
        <v>152</v>
      </c>
      <c r="O39" s="33">
        <f t="shared" si="6"/>
        <v>-160.9583889004532</v>
      </c>
      <c r="P39" s="33" t="s">
        <v>150</v>
      </c>
      <c r="Q39" s="33">
        <f t="shared" si="6"/>
        <v>-160.9583889004532</v>
      </c>
    </row>
    <row r="40" spans="1:17" ht="30">
      <c r="A40" s="23" t="s">
        <v>194</v>
      </c>
      <c r="B40" s="33">
        <f t="shared" ref="B40:H40" si="7">10*LOG10(10^((B35+B36)/10)+10^(B38/10))</f>
        <v>-164.98918835931039</v>
      </c>
      <c r="C40" s="33" t="s">
        <v>142</v>
      </c>
      <c r="D40" s="33">
        <f t="shared" si="7"/>
        <v>-164.98918835931039</v>
      </c>
      <c r="E40" s="33" t="s">
        <v>142</v>
      </c>
      <c r="F40" s="33">
        <f t="shared" si="7"/>
        <v>-164.03352307536667</v>
      </c>
      <c r="G40" s="33" t="s">
        <v>142</v>
      </c>
      <c r="H40" s="33">
        <f t="shared" si="7"/>
        <v>-164.03352307536667</v>
      </c>
      <c r="I40" s="33" t="s">
        <v>142</v>
      </c>
      <c r="J40" s="33">
        <f t="shared" ref="J40:P40" si="8">10*LOG10(10^((J35+J36)/10)+10^(J38/10))</f>
        <v>-164.98918835931039</v>
      </c>
      <c r="K40" s="33" t="s">
        <v>152</v>
      </c>
      <c r="L40" s="33">
        <f t="shared" si="8"/>
        <v>-164.98918835931039</v>
      </c>
      <c r="M40" s="33" t="s">
        <v>152</v>
      </c>
      <c r="N40" s="33">
        <f t="shared" si="8"/>
        <v>-164.03352307536667</v>
      </c>
      <c r="O40" s="33" t="s">
        <v>150</v>
      </c>
      <c r="P40" s="33">
        <f t="shared" si="8"/>
        <v>-164.03352307536667</v>
      </c>
      <c r="Q40" s="33" t="s">
        <v>150</v>
      </c>
    </row>
    <row r="41" spans="1:17" ht="30">
      <c r="A41" s="17" t="s">
        <v>25</v>
      </c>
      <c r="B41" s="29" t="s">
        <v>113</v>
      </c>
      <c r="C41" s="29">
        <f>MaxN_RB!$F$6*12*15*1000</f>
        <v>19080000</v>
      </c>
      <c r="D41" s="29" t="s">
        <v>113</v>
      </c>
      <c r="E41" s="29">
        <f>MaxN_RB!$F$6*12*15*1000</f>
        <v>19080000</v>
      </c>
      <c r="F41" s="30" t="s">
        <v>113</v>
      </c>
      <c r="G41" s="30">
        <f>1*12*30*1000</f>
        <v>360000</v>
      </c>
      <c r="H41" s="30" t="s">
        <v>113</v>
      </c>
      <c r="I41" s="30">
        <f>1*12*30*1000</f>
        <v>360000</v>
      </c>
      <c r="J41" s="29" t="s">
        <v>152</v>
      </c>
      <c r="K41" s="29">
        <f>MaxN_RB!F7*12*30*1000</f>
        <v>18360000</v>
      </c>
      <c r="L41" s="29" t="s">
        <v>150</v>
      </c>
      <c r="M41" s="29">
        <f>MaxN_RB!F7*12*30*1000</f>
        <v>18360000</v>
      </c>
      <c r="N41" s="30" t="s">
        <v>150</v>
      </c>
      <c r="O41" s="30">
        <f>1*12*30*1000</f>
        <v>360000</v>
      </c>
      <c r="P41" s="30" t="s">
        <v>150</v>
      </c>
      <c r="Q41" s="30">
        <f>1*12*30*1000</f>
        <v>360000</v>
      </c>
    </row>
    <row r="42" spans="1:17" ht="30">
      <c r="A42" s="17" t="s">
        <v>26</v>
      </c>
      <c r="B42" s="29">
        <f>MaxN_RB!$F$7*12*30*1000</f>
        <v>18360000</v>
      </c>
      <c r="C42" s="30" t="s">
        <v>113</v>
      </c>
      <c r="D42" s="29">
        <f>MaxN_RB!$F$7*12*30*1000</f>
        <v>18360000</v>
      </c>
      <c r="E42" s="30" t="s">
        <v>113</v>
      </c>
      <c r="F42" s="30">
        <f>4*12*30*1000</f>
        <v>1440000</v>
      </c>
      <c r="G42" s="30" t="s">
        <v>113</v>
      </c>
      <c r="H42" s="30">
        <f>4*12*30*1000</f>
        <v>1440000</v>
      </c>
      <c r="I42" s="30" t="s">
        <v>113</v>
      </c>
      <c r="J42" s="29">
        <f>MaxN_RB!F7*12*30*1000</f>
        <v>18360000</v>
      </c>
      <c r="K42" s="30" t="s">
        <v>150</v>
      </c>
      <c r="L42" s="29">
        <f>MaxN_RB!F7*12*30*1000</f>
        <v>18360000</v>
      </c>
      <c r="M42" s="30" t="s">
        <v>152</v>
      </c>
      <c r="N42" s="30">
        <f>4*12*30*1000</f>
        <v>1440000</v>
      </c>
      <c r="O42" s="30" t="s">
        <v>150</v>
      </c>
      <c r="P42" s="30">
        <f>4*12*30*1000</f>
        <v>1440000</v>
      </c>
      <c r="Q42" s="30" t="s">
        <v>152</v>
      </c>
    </row>
    <row r="43" spans="1:17" ht="15">
      <c r="A43" s="21" t="s">
        <v>27</v>
      </c>
      <c r="B43" s="33" t="s">
        <v>142</v>
      </c>
      <c r="C43" s="33">
        <f t="shared" ref="B43:I44" si="9">C39+10*LOG10(C41)</f>
        <v>-92.18340465562963</v>
      </c>
      <c r="D43" s="33" t="s">
        <v>142</v>
      </c>
      <c r="E43" s="33">
        <f t="shared" si="9"/>
        <v>-92.18340465562963</v>
      </c>
      <c r="F43" s="33" t="s">
        <v>142</v>
      </c>
      <c r="G43" s="33">
        <f t="shared" si="9"/>
        <v>-105.39536389278032</v>
      </c>
      <c r="H43" s="33" t="s">
        <v>142</v>
      </c>
      <c r="I43" s="33">
        <f t="shared" si="9"/>
        <v>-105.39536389278032</v>
      </c>
      <c r="J43" s="33" t="s">
        <v>150</v>
      </c>
      <c r="K43" s="33">
        <f t="shared" ref="J43:Q44" si="10">K39+10*LOG10(K41)</f>
        <v>-92.350461590658156</v>
      </c>
      <c r="L43" s="33" t="s">
        <v>152</v>
      </c>
      <c r="M43" s="33">
        <f t="shared" si="10"/>
        <v>-92.350461590658156</v>
      </c>
      <c r="N43" s="33" t="s">
        <v>150</v>
      </c>
      <c r="O43" s="33">
        <f t="shared" si="10"/>
        <v>-105.39536389278032</v>
      </c>
      <c r="P43" s="33" t="s">
        <v>150</v>
      </c>
      <c r="Q43" s="33">
        <f t="shared" si="10"/>
        <v>-105.39536389278032</v>
      </c>
    </row>
    <row r="44" spans="1:17" ht="15">
      <c r="A44" s="21" t="s">
        <v>28</v>
      </c>
      <c r="B44" s="33">
        <f t="shared" si="9"/>
        <v>-92.350461590658156</v>
      </c>
      <c r="C44" s="33" t="s">
        <v>142</v>
      </c>
      <c r="D44" s="33">
        <f t="shared" si="9"/>
        <v>-92.350461590658156</v>
      </c>
      <c r="E44" s="33" t="s">
        <v>142</v>
      </c>
      <c r="F44" s="33">
        <f t="shared" si="9"/>
        <v>-102.44989815441417</v>
      </c>
      <c r="G44" s="33" t="s">
        <v>142</v>
      </c>
      <c r="H44" s="33">
        <f t="shared" si="9"/>
        <v>-102.44989815441417</v>
      </c>
      <c r="I44" s="33" t="s">
        <v>142</v>
      </c>
      <c r="J44" s="33">
        <f t="shared" si="10"/>
        <v>-92.350461590658156</v>
      </c>
      <c r="K44" s="33" t="s">
        <v>152</v>
      </c>
      <c r="L44" s="33">
        <f t="shared" si="10"/>
        <v>-92.350461590658156</v>
      </c>
      <c r="M44" s="33" t="s">
        <v>152</v>
      </c>
      <c r="N44" s="33">
        <f t="shared" si="10"/>
        <v>-102.44989815441417</v>
      </c>
      <c r="O44" s="33" t="s">
        <v>150</v>
      </c>
      <c r="P44" s="33">
        <f t="shared" si="10"/>
        <v>-102.44989815441417</v>
      </c>
      <c r="Q44" s="33" t="s">
        <v>150</v>
      </c>
    </row>
    <row r="45" spans="1:17" ht="15">
      <c r="A45" s="17" t="s">
        <v>29</v>
      </c>
      <c r="B45" s="29" t="s">
        <v>113</v>
      </c>
      <c r="C45" s="53">
        <v>-5.7</v>
      </c>
      <c r="D45" s="53" t="s">
        <v>113</v>
      </c>
      <c r="E45" s="53">
        <v>-5.9</v>
      </c>
      <c r="F45" s="29" t="s">
        <v>113</v>
      </c>
      <c r="G45" s="53">
        <v>-5.6</v>
      </c>
      <c r="H45" s="53" t="s">
        <v>113</v>
      </c>
      <c r="I45" s="53">
        <v>-6.7</v>
      </c>
      <c r="J45" s="53" t="s">
        <v>150</v>
      </c>
      <c r="K45" s="53">
        <v>-9.6999999999999993</v>
      </c>
      <c r="L45" s="53" t="s">
        <v>150</v>
      </c>
      <c r="M45" s="53">
        <v>-9.6999999999999993</v>
      </c>
      <c r="N45" s="53" t="s">
        <v>150</v>
      </c>
      <c r="O45" s="53">
        <v>-10</v>
      </c>
      <c r="P45" s="53" t="s">
        <v>150</v>
      </c>
      <c r="Q45" s="53">
        <v>-10</v>
      </c>
    </row>
    <row r="46" spans="1:17" ht="15">
      <c r="A46" s="17" t="s">
        <v>30</v>
      </c>
      <c r="B46" s="29">
        <v>3.2</v>
      </c>
      <c r="C46" s="29" t="s">
        <v>113</v>
      </c>
      <c r="D46" s="29">
        <v>-0.1</v>
      </c>
      <c r="E46" s="29" t="s">
        <v>113</v>
      </c>
      <c r="F46" s="53">
        <v>2.29</v>
      </c>
      <c r="G46" s="29" t="s">
        <v>113</v>
      </c>
      <c r="H46" s="53">
        <v>1.23</v>
      </c>
      <c r="I46" s="29" t="s">
        <v>113</v>
      </c>
      <c r="J46" s="53">
        <v>-0.9</v>
      </c>
      <c r="K46" s="53" t="s">
        <v>150</v>
      </c>
      <c r="L46" s="53">
        <v>-2.5</v>
      </c>
      <c r="M46" s="53" t="s">
        <v>150</v>
      </c>
      <c r="N46" s="53">
        <v>-1.2</v>
      </c>
      <c r="O46" s="53" t="s">
        <v>150</v>
      </c>
      <c r="P46" s="53">
        <v>-1.3</v>
      </c>
      <c r="Q46" s="53" t="s">
        <v>150</v>
      </c>
    </row>
    <row r="47" spans="1:17" ht="15">
      <c r="A47" s="17" t="s">
        <v>31</v>
      </c>
      <c r="B47" s="29">
        <v>2</v>
      </c>
      <c r="C47" s="30">
        <v>2</v>
      </c>
      <c r="D47" s="29">
        <v>2</v>
      </c>
      <c r="E47" s="30">
        <v>2</v>
      </c>
      <c r="F47" s="30">
        <v>2</v>
      </c>
      <c r="G47" s="30">
        <v>2</v>
      </c>
      <c r="H47" s="30">
        <v>2</v>
      </c>
      <c r="I47" s="30">
        <v>2</v>
      </c>
      <c r="J47" s="29">
        <v>2</v>
      </c>
      <c r="K47" s="30">
        <v>2</v>
      </c>
      <c r="L47" s="29">
        <v>2</v>
      </c>
      <c r="M47" s="30">
        <v>2</v>
      </c>
      <c r="N47" s="30">
        <v>2</v>
      </c>
      <c r="O47" s="30">
        <v>2</v>
      </c>
      <c r="P47" s="30">
        <v>2</v>
      </c>
      <c r="Q47" s="30">
        <v>2</v>
      </c>
    </row>
    <row r="48" spans="1:17" ht="15">
      <c r="A48" s="17" t="s">
        <v>32</v>
      </c>
      <c r="B48" s="29" t="s">
        <v>113</v>
      </c>
      <c r="C48" s="30">
        <v>0</v>
      </c>
      <c r="D48" s="29" t="s">
        <v>113</v>
      </c>
      <c r="E48" s="30">
        <v>0</v>
      </c>
      <c r="F48" s="30" t="s">
        <v>113</v>
      </c>
      <c r="G48" s="30">
        <v>0</v>
      </c>
      <c r="H48" s="30" t="s">
        <v>113</v>
      </c>
      <c r="I48" s="30">
        <v>0</v>
      </c>
      <c r="J48" s="29" t="s">
        <v>150</v>
      </c>
      <c r="K48" s="30">
        <v>0</v>
      </c>
      <c r="L48" s="29" t="s">
        <v>150</v>
      </c>
      <c r="M48" s="30">
        <v>0</v>
      </c>
      <c r="N48" s="30" t="s">
        <v>150</v>
      </c>
      <c r="O48" s="30">
        <v>0</v>
      </c>
      <c r="P48" s="30" t="s">
        <v>150</v>
      </c>
      <c r="Q48" s="30">
        <v>0</v>
      </c>
    </row>
    <row r="49" spans="1:17" ht="15">
      <c r="A49" s="17" t="s">
        <v>33</v>
      </c>
      <c r="B49" s="29">
        <v>0.5</v>
      </c>
      <c r="C49" s="30" t="s">
        <v>113</v>
      </c>
      <c r="D49" s="29">
        <v>0.5</v>
      </c>
      <c r="E49" s="30" t="s">
        <v>113</v>
      </c>
      <c r="F49" s="30">
        <v>0.5</v>
      </c>
      <c r="G49" s="30" t="s">
        <v>113</v>
      </c>
      <c r="H49" s="30">
        <v>0.5</v>
      </c>
      <c r="I49" s="30" t="s">
        <v>113</v>
      </c>
      <c r="J49" s="29">
        <v>0.5</v>
      </c>
      <c r="K49" s="30" t="s">
        <v>150</v>
      </c>
      <c r="L49" s="29">
        <v>0.5</v>
      </c>
      <c r="M49" s="30" t="s">
        <v>150</v>
      </c>
      <c r="N49" s="30">
        <v>0.5</v>
      </c>
      <c r="O49" s="30" t="s">
        <v>150</v>
      </c>
      <c r="P49" s="30">
        <v>0.5</v>
      </c>
      <c r="Q49" s="30" t="s">
        <v>150</v>
      </c>
    </row>
    <row r="50" spans="1:17" ht="30">
      <c r="A50" s="23" t="s">
        <v>44</v>
      </c>
      <c r="B50" s="33" t="s">
        <v>142</v>
      </c>
      <c r="C50" s="33">
        <f t="shared" ref="C50:I50" si="11">C43+C45+C47-C48</f>
        <v>-95.883404655629633</v>
      </c>
      <c r="D50" s="33" t="s">
        <v>142</v>
      </c>
      <c r="E50" s="33">
        <f t="shared" si="11"/>
        <v>-96.083404655629636</v>
      </c>
      <c r="F50" s="33" t="s">
        <v>142</v>
      </c>
      <c r="G50" s="33">
        <f t="shared" si="11"/>
        <v>-108.99536389278032</v>
      </c>
      <c r="H50" s="33" t="s">
        <v>142</v>
      </c>
      <c r="I50" s="33">
        <f t="shared" si="11"/>
        <v>-110.09536389278033</v>
      </c>
      <c r="J50" s="33" t="s">
        <v>150</v>
      </c>
      <c r="K50" s="33">
        <f t="shared" ref="K50:Q50" si="12">K43+K45+K47-K48</f>
        <v>-100.05046159065816</v>
      </c>
      <c r="L50" s="33" t="s">
        <v>150</v>
      </c>
      <c r="M50" s="33">
        <f t="shared" si="12"/>
        <v>-100.05046159065816</v>
      </c>
      <c r="N50" s="33" t="s">
        <v>150</v>
      </c>
      <c r="O50" s="33">
        <f t="shared" si="12"/>
        <v>-113.39536389278032</v>
      </c>
      <c r="P50" s="33" t="s">
        <v>150</v>
      </c>
      <c r="Q50" s="33">
        <f t="shared" si="12"/>
        <v>-113.39536389278032</v>
      </c>
    </row>
    <row r="51" spans="1:17" ht="30">
      <c r="A51" s="23" t="s">
        <v>121</v>
      </c>
      <c r="B51" s="33">
        <f t="shared" ref="B51:H51" si="13">B44+B46+B47-B49</f>
        <v>-87.650461590658153</v>
      </c>
      <c r="C51" s="33" t="s">
        <v>142</v>
      </c>
      <c r="D51" s="33">
        <f t="shared" si="13"/>
        <v>-90.950461590658151</v>
      </c>
      <c r="E51" s="33" t="s">
        <v>142</v>
      </c>
      <c r="F51" s="33">
        <f t="shared" si="13"/>
        <v>-98.659898154414165</v>
      </c>
      <c r="G51" s="33" t="s">
        <v>142</v>
      </c>
      <c r="H51" s="33">
        <f t="shared" si="13"/>
        <v>-99.719898154414167</v>
      </c>
      <c r="I51" s="33" t="s">
        <v>142</v>
      </c>
      <c r="J51" s="33">
        <f t="shared" ref="J51:P51" si="14">J44+J46+J47-J49</f>
        <v>-91.750461590658162</v>
      </c>
      <c r="K51" s="33" t="s">
        <v>150</v>
      </c>
      <c r="L51" s="33">
        <f t="shared" si="14"/>
        <v>-93.350461590658156</v>
      </c>
      <c r="M51" s="33" t="s">
        <v>150</v>
      </c>
      <c r="N51" s="33">
        <f t="shared" si="14"/>
        <v>-102.14989815441417</v>
      </c>
      <c r="O51" s="33" t="s">
        <v>150</v>
      </c>
      <c r="P51" s="33">
        <f t="shared" si="14"/>
        <v>-102.24989815441417</v>
      </c>
      <c r="Q51" s="33" t="s">
        <v>150</v>
      </c>
    </row>
    <row r="52" spans="1:17" ht="30">
      <c r="A52" s="23" t="s">
        <v>122</v>
      </c>
      <c r="B52" s="33" t="s">
        <v>142</v>
      </c>
      <c r="C52" s="33">
        <f t="shared" ref="C52:I52" si="15">C27+C32+C33-C50</f>
        <v>169.04820396186665</v>
      </c>
      <c r="D52" s="33" t="s">
        <v>142</v>
      </c>
      <c r="E52" s="33">
        <f t="shared" si="15"/>
        <v>169.24820396186664</v>
      </c>
      <c r="F52" s="33" t="s">
        <v>142</v>
      </c>
      <c r="G52" s="33">
        <f t="shared" si="15"/>
        <v>160.07776354589882</v>
      </c>
      <c r="H52" s="33" t="s">
        <v>142</v>
      </c>
      <c r="I52" s="33">
        <f t="shared" si="15"/>
        <v>161.17776354589881</v>
      </c>
      <c r="J52" s="33" t="s">
        <v>150</v>
      </c>
      <c r="K52" s="33">
        <f t="shared" ref="K52:Q52" si="16">K27+K32+K33-K50</f>
        <v>173.21526089689516</v>
      </c>
      <c r="L52" s="33" t="s">
        <v>150</v>
      </c>
      <c r="M52" s="33">
        <f t="shared" si="16"/>
        <v>173.21526089689516</v>
      </c>
      <c r="N52" s="33" t="s">
        <v>150</v>
      </c>
      <c r="O52" s="33">
        <f t="shared" si="16"/>
        <v>164.47776354589882</v>
      </c>
      <c r="P52" s="33" t="s">
        <v>150</v>
      </c>
      <c r="Q52" s="33">
        <f t="shared" si="16"/>
        <v>164.47776354589882</v>
      </c>
    </row>
    <row r="53" spans="1:17" ht="30">
      <c r="A53" s="23" t="s">
        <v>123</v>
      </c>
      <c r="B53" s="33">
        <f t="shared" ref="B53:H53" si="17">B28+B32+B33-B51</f>
        <v>160.81526089689515</v>
      </c>
      <c r="C53" s="33" t="s">
        <v>142</v>
      </c>
      <c r="D53" s="33">
        <f t="shared" si="17"/>
        <v>164.11526089689517</v>
      </c>
      <c r="E53" s="33" t="s">
        <v>142</v>
      </c>
      <c r="F53" s="33">
        <f t="shared" si="17"/>
        <v>149.74229780753268</v>
      </c>
      <c r="G53" s="33" t="s">
        <v>142</v>
      </c>
      <c r="H53" s="33">
        <f t="shared" si="17"/>
        <v>150.80229780753268</v>
      </c>
      <c r="I53" s="33" t="s">
        <v>142</v>
      </c>
      <c r="J53" s="33">
        <f t="shared" ref="J53:P53" si="18">J28+J32+J33-J51</f>
        <v>164.91526089689518</v>
      </c>
      <c r="K53" s="33" t="s">
        <v>150</v>
      </c>
      <c r="L53" s="33">
        <f t="shared" si="18"/>
        <v>166.51526089689514</v>
      </c>
      <c r="M53" s="33" t="s">
        <v>150</v>
      </c>
      <c r="N53" s="33">
        <f t="shared" si="18"/>
        <v>153.23229780753269</v>
      </c>
      <c r="O53" s="33" t="s">
        <v>150</v>
      </c>
      <c r="P53" s="33">
        <f t="shared" si="18"/>
        <v>153.33229780753265</v>
      </c>
      <c r="Q53" s="33" t="s">
        <v>150</v>
      </c>
    </row>
    <row r="54" spans="1:17">
      <c r="A54" s="16" t="s">
        <v>34</v>
      </c>
      <c r="B54" s="28"/>
      <c r="C54" s="28"/>
      <c r="D54" s="28"/>
      <c r="E54" s="28"/>
      <c r="F54" s="28"/>
      <c r="G54" s="28"/>
      <c r="H54" s="28"/>
      <c r="I54" s="28"/>
      <c r="J54" s="28"/>
      <c r="K54" s="28"/>
      <c r="L54" s="28"/>
      <c r="M54" s="28"/>
      <c r="N54" s="28"/>
      <c r="O54" s="28"/>
      <c r="P54" s="28"/>
      <c r="Q54" s="28"/>
    </row>
    <row r="55" spans="1:17" ht="15">
      <c r="A55" s="17" t="s">
        <v>35</v>
      </c>
      <c r="B55" s="30">
        <v>6</v>
      </c>
      <c r="C55" s="30">
        <v>6</v>
      </c>
      <c r="D55" s="87">
        <v>7</v>
      </c>
      <c r="E55" s="87">
        <v>7</v>
      </c>
      <c r="F55" s="30">
        <v>6</v>
      </c>
      <c r="G55" s="30">
        <v>6</v>
      </c>
      <c r="H55" s="87">
        <v>7</v>
      </c>
      <c r="I55" s="87">
        <v>7</v>
      </c>
      <c r="J55" s="53">
        <v>4</v>
      </c>
      <c r="K55" s="53">
        <v>4</v>
      </c>
      <c r="L55" s="53">
        <v>7</v>
      </c>
      <c r="M55" s="53">
        <v>7</v>
      </c>
      <c r="N55" s="53">
        <v>4</v>
      </c>
      <c r="O55" s="53">
        <v>4</v>
      </c>
      <c r="P55" s="53">
        <v>7</v>
      </c>
      <c r="Q55" s="53">
        <v>7</v>
      </c>
    </row>
    <row r="56" spans="1:17" ht="30">
      <c r="A56" s="17" t="s">
        <v>36</v>
      </c>
      <c r="B56" s="29" t="s">
        <v>113</v>
      </c>
      <c r="C56" s="30">
        <v>8.07</v>
      </c>
      <c r="D56" s="73" t="s">
        <v>50</v>
      </c>
      <c r="E56" s="87">
        <f>(11.18+9.04)/2</f>
        <v>10.11</v>
      </c>
      <c r="F56" s="29" t="s">
        <v>113</v>
      </c>
      <c r="G56" s="30">
        <v>8.07</v>
      </c>
      <c r="H56" s="73" t="s">
        <v>50</v>
      </c>
      <c r="I56" s="87">
        <f>(11.18+9.04)/2</f>
        <v>10.11</v>
      </c>
      <c r="J56" s="73" t="s">
        <v>150</v>
      </c>
      <c r="K56" s="53">
        <v>6.11</v>
      </c>
      <c r="L56" s="73" t="s">
        <v>50</v>
      </c>
      <c r="M56" s="53">
        <v>10.75</v>
      </c>
      <c r="N56" s="73" t="s">
        <v>150</v>
      </c>
      <c r="O56" s="53">
        <v>6.11</v>
      </c>
      <c r="P56" s="73" t="s">
        <v>50</v>
      </c>
      <c r="Q56" s="53">
        <v>10.75</v>
      </c>
    </row>
    <row r="57" spans="1:17" ht="30">
      <c r="A57" s="17" t="s">
        <v>37</v>
      </c>
      <c r="B57" s="29">
        <v>4.8499999999999996</v>
      </c>
      <c r="C57" s="30" t="s">
        <v>113</v>
      </c>
      <c r="D57" s="87">
        <f>(7.22+5.6)/2</f>
        <v>6.41</v>
      </c>
      <c r="E57" s="73" t="s">
        <v>50</v>
      </c>
      <c r="F57" s="29">
        <v>4.8499999999999996</v>
      </c>
      <c r="G57" s="30" t="s">
        <v>113</v>
      </c>
      <c r="H57" s="87">
        <f>(7.22+5.6)/2</f>
        <v>6.41</v>
      </c>
      <c r="I57" s="73" t="s">
        <v>50</v>
      </c>
      <c r="J57" s="53">
        <v>3.36</v>
      </c>
      <c r="K57" s="73" t="s">
        <v>150</v>
      </c>
      <c r="L57" s="53">
        <v>7.43</v>
      </c>
      <c r="M57" s="73" t="s">
        <v>50</v>
      </c>
      <c r="N57" s="53">
        <v>3.36</v>
      </c>
      <c r="O57" s="73" t="s">
        <v>152</v>
      </c>
      <c r="P57" s="53">
        <v>7.43</v>
      </c>
      <c r="Q57" s="73" t="s">
        <v>50</v>
      </c>
    </row>
    <row r="58" spans="1:17" ht="15">
      <c r="A58" s="17" t="s">
        <v>38</v>
      </c>
      <c r="B58" s="30">
        <v>0</v>
      </c>
      <c r="C58" s="30">
        <v>0</v>
      </c>
      <c r="D58" s="30">
        <v>0</v>
      </c>
      <c r="E58" s="30">
        <v>0</v>
      </c>
      <c r="F58" s="30">
        <v>0</v>
      </c>
      <c r="G58" s="30">
        <v>0</v>
      </c>
      <c r="H58" s="30">
        <v>0</v>
      </c>
      <c r="I58" s="30">
        <v>0</v>
      </c>
      <c r="J58" s="53">
        <v>0</v>
      </c>
      <c r="K58" s="53">
        <v>0</v>
      </c>
      <c r="L58" s="53">
        <v>0</v>
      </c>
      <c r="M58" s="53">
        <v>0</v>
      </c>
      <c r="N58" s="53">
        <v>0</v>
      </c>
      <c r="O58" s="53">
        <v>0</v>
      </c>
      <c r="P58" s="53">
        <v>0</v>
      </c>
      <c r="Q58" s="53">
        <v>0</v>
      </c>
    </row>
    <row r="59" spans="1:17" ht="15">
      <c r="A59" s="17" t="s">
        <v>39</v>
      </c>
      <c r="B59" s="29">
        <v>9</v>
      </c>
      <c r="C59" s="29">
        <v>9</v>
      </c>
      <c r="D59" s="29">
        <v>17.98</v>
      </c>
      <c r="E59" s="29">
        <v>17.98</v>
      </c>
      <c r="F59" s="29">
        <v>9</v>
      </c>
      <c r="G59" s="29">
        <v>9</v>
      </c>
      <c r="H59" s="29">
        <v>17.98</v>
      </c>
      <c r="I59" s="29">
        <v>17.98</v>
      </c>
      <c r="J59" s="53">
        <v>9</v>
      </c>
      <c r="K59" s="53">
        <v>9</v>
      </c>
      <c r="L59" s="53">
        <v>20.059999999999999</v>
      </c>
      <c r="M59" s="53">
        <v>20.059999999999999</v>
      </c>
      <c r="N59" s="53">
        <v>9</v>
      </c>
      <c r="O59" s="53">
        <v>9</v>
      </c>
      <c r="P59" s="53">
        <v>20.059999999999999</v>
      </c>
      <c r="Q59" s="53">
        <v>20.059999999999999</v>
      </c>
    </row>
    <row r="60" spans="1:17" ht="15">
      <c r="A60" s="17" t="s">
        <v>40</v>
      </c>
      <c r="B60" s="30">
        <v>0</v>
      </c>
      <c r="C60" s="30">
        <v>0</v>
      </c>
      <c r="D60" s="30">
        <v>0</v>
      </c>
      <c r="E60" s="30">
        <v>0</v>
      </c>
      <c r="F60" s="30">
        <v>0</v>
      </c>
      <c r="G60" s="30">
        <v>0</v>
      </c>
      <c r="H60" s="30">
        <v>0</v>
      </c>
      <c r="I60" s="30">
        <v>0</v>
      </c>
      <c r="J60" s="30">
        <v>0</v>
      </c>
      <c r="K60" s="30">
        <v>0</v>
      </c>
      <c r="L60" s="30">
        <v>0</v>
      </c>
      <c r="M60" s="30">
        <v>0</v>
      </c>
      <c r="N60" s="30">
        <v>0</v>
      </c>
      <c r="O60" s="30">
        <v>0</v>
      </c>
      <c r="P60" s="30">
        <v>0</v>
      </c>
      <c r="Q60" s="30">
        <v>0</v>
      </c>
    </row>
    <row r="61" spans="1:17" ht="30">
      <c r="A61" s="23" t="s">
        <v>124</v>
      </c>
      <c r="B61" s="33" t="s">
        <v>142</v>
      </c>
      <c r="C61" s="33">
        <f>C52-C56+C58-C59+C60-C34</f>
        <v>150.97820396186665</v>
      </c>
      <c r="D61" s="33" t="s">
        <v>142</v>
      </c>
      <c r="E61" s="33">
        <f>E52-E56+E58-E59+E60-E34</f>
        <v>140.15820396186663</v>
      </c>
      <c r="F61" s="33" t="s">
        <v>142</v>
      </c>
      <c r="G61" s="33">
        <f>G52-G56+G58-G59+G60-G34</f>
        <v>140.00776354589883</v>
      </c>
      <c r="H61" s="33" t="s">
        <v>142</v>
      </c>
      <c r="I61" s="33">
        <f>I52-I56+I58-I59+I60-I34</f>
        <v>130.08776354589881</v>
      </c>
      <c r="J61" s="33" t="s">
        <v>150</v>
      </c>
      <c r="K61" s="33">
        <f t="shared" ref="K61:Q61" si="19">K52-K56+K58-K59+K60-K34</f>
        <v>157.10526089689515</v>
      </c>
      <c r="L61" s="33" t="s">
        <v>150</v>
      </c>
      <c r="M61" s="33">
        <f t="shared" si="19"/>
        <v>141.40526089689516</v>
      </c>
      <c r="N61" s="33" t="s">
        <v>150</v>
      </c>
      <c r="O61" s="33">
        <f t="shared" si="19"/>
        <v>146.36776354589881</v>
      </c>
      <c r="P61" s="33" t="s">
        <v>150</v>
      </c>
      <c r="Q61" s="33">
        <f t="shared" si="19"/>
        <v>130.66776354589882</v>
      </c>
    </row>
    <row r="62" spans="1:17" ht="30">
      <c r="A62" s="23" t="s">
        <v>46</v>
      </c>
      <c r="B62" s="33">
        <f>B53-B57+B58-B59+B60-B34</f>
        <v>145.96526089689516</v>
      </c>
      <c r="C62" s="33" t="s">
        <v>142</v>
      </c>
      <c r="D62" s="33">
        <f>D53-D57+D58-D59+D60-D34</f>
        <v>138.72526089689518</v>
      </c>
      <c r="E62" s="33" t="s">
        <v>142</v>
      </c>
      <c r="F62" s="33">
        <f>F53-F57+F58-F59+F60-F34</f>
        <v>132.89229780753269</v>
      </c>
      <c r="G62" s="33" t="s">
        <v>142</v>
      </c>
      <c r="H62" s="33">
        <f>H53-H57+H58-H59+H60-H34</f>
        <v>123.41229780753268</v>
      </c>
      <c r="I62" s="33" t="s">
        <v>142</v>
      </c>
      <c r="J62" s="33">
        <f t="shared" ref="J62:P62" si="20">J53-J57+J58-J59+J60-J34</f>
        <v>151.55526089689516</v>
      </c>
      <c r="K62" s="33" t="s">
        <v>150</v>
      </c>
      <c r="L62" s="33">
        <f t="shared" si="20"/>
        <v>138.02526089689513</v>
      </c>
      <c r="M62" s="33" t="s">
        <v>150</v>
      </c>
      <c r="N62" s="33">
        <f t="shared" si="20"/>
        <v>137.87229780753268</v>
      </c>
      <c r="O62" s="33" t="s">
        <v>150</v>
      </c>
      <c r="P62" s="33">
        <f t="shared" si="20"/>
        <v>122.84229780753265</v>
      </c>
      <c r="Q62" s="33" t="s">
        <v>150</v>
      </c>
    </row>
    <row r="63" spans="1:17">
      <c r="A63" s="16" t="s">
        <v>41</v>
      </c>
      <c r="B63" s="28"/>
      <c r="C63" s="28"/>
      <c r="D63" s="28"/>
      <c r="E63" s="28"/>
      <c r="F63" s="28"/>
      <c r="G63" s="28"/>
      <c r="H63" s="28"/>
      <c r="I63" s="28"/>
      <c r="J63" s="28"/>
      <c r="K63" s="28"/>
      <c r="L63" s="28"/>
      <c r="M63" s="28"/>
      <c r="N63" s="28"/>
      <c r="O63" s="28"/>
      <c r="P63" s="28"/>
      <c r="Q63" s="28"/>
    </row>
    <row r="64" spans="1:17" ht="30">
      <c r="A64" s="25" t="s">
        <v>42</v>
      </c>
      <c r="B64" s="30" t="s">
        <v>82</v>
      </c>
      <c r="C64" s="30">
        <f>10^((C61-13.54-20*LOG10(C$4)+0.6*(C$6-1.5))/39.08)</f>
        <v>1617.0587425144106</v>
      </c>
      <c r="D64" s="30" t="s">
        <v>82</v>
      </c>
      <c r="E64" s="30">
        <f>10^((E61-13.54-20*LOG10(E$4)+0.6*(E$6-1.5))/39.08)</f>
        <v>854.78685231569625</v>
      </c>
      <c r="F64" s="30" t="s">
        <v>82</v>
      </c>
      <c r="G64" s="30">
        <f>10^((G61-13.54-20*LOG10(G$4)+0.6*(G$6-1.5))/39.08)</f>
        <v>847.24357386393353</v>
      </c>
      <c r="H64" s="30" t="s">
        <v>82</v>
      </c>
      <c r="I64" s="30">
        <f>10^((I61-13.54-20*LOG10(I$4)+0.6*(I$6-1.5))/39.08)</f>
        <v>472.24786485949886</v>
      </c>
      <c r="J64" s="30" t="s">
        <v>150</v>
      </c>
      <c r="K64" s="30">
        <f>10^((K61-161.04+7.1*LOG10(20)-7.5*LOG10(20)+(24.37-3.7*(20/K5)^2)*LOG10(K5)-20*LOG10(K4)+(3.2*(LOG10(17.625))^2-4.97)+0.6*(K6-1.5))/(43.42-3.1*LOG10(K5))+3)</f>
        <v>2316.5313633999162</v>
      </c>
      <c r="L64" s="30" t="s">
        <v>150</v>
      </c>
      <c r="M64" s="30">
        <f>10^((M61-161.04+7.1*LOG10(20)-7.5*LOG10(20)+(24.37-3.7*(20/M5)^2)*LOG10(M5)-20*LOG10(M4)+(3.2*(LOG10(17.625))^2-4.97)+0.6*(M6-1.5))/(43.42-3.1*LOG10(M5))+3)</f>
        <v>918.67902474463278</v>
      </c>
      <c r="N64" s="30" t="s">
        <v>150</v>
      </c>
      <c r="O64" s="30">
        <f>10^((O61-161.04+7.1*LOG10(20)-7.5*LOG10(20)+(24.37-3.7*(20/O5)^2)*LOG10(O5)-20*LOG10(O4)+(3.2*(LOG10(17.625))^2-4.97)+0.6*(O6-1.5))/(43.42-3.1*LOG10(O5))+3)</f>
        <v>1230.6264165733896</v>
      </c>
      <c r="P64" s="30" t="s">
        <v>150</v>
      </c>
      <c r="Q64" s="30">
        <f>10^((Q61-161.04+7.1*LOG10(20)-7.5*LOG10(20)+(24.37-3.7*(20/Q5)^2)*LOG10(Q5)-20*LOG10(Q4)+(3.2*(LOG10(17.625))^2-4.97)+0.6*(Q6-1.5))/(43.42-3.1*LOG10(Q5))+3)</f>
        <v>488.03598952502125</v>
      </c>
    </row>
    <row r="65" spans="1:17" ht="30">
      <c r="A65" s="25" t="s">
        <v>43</v>
      </c>
      <c r="B65" s="30">
        <f>10^((B62-13.54-20*LOG10(B$4)+0.6*(B$6-1.5))/39.08)</f>
        <v>1203.5161458048462</v>
      </c>
      <c r="C65" s="30" t="s">
        <v>82</v>
      </c>
      <c r="D65" s="30">
        <f>10^((D62-13.54-20*LOG10(D$4)+0.6*(D$6-1.5))/39.08)</f>
        <v>785.5809037239751</v>
      </c>
      <c r="E65" s="30" t="s">
        <v>82</v>
      </c>
      <c r="F65" s="30">
        <f>10^((F62-13.54-20*LOG10(F$4)+0.6*(F$6-1.5))/39.08)</f>
        <v>557.10098959760546</v>
      </c>
      <c r="G65" s="30" t="s">
        <v>82</v>
      </c>
      <c r="H65" s="30">
        <f>10^((H62-13.54-20*LOG10(H$4)+0.6*(H$6-1.5))/39.08)</f>
        <v>318.67985100893037</v>
      </c>
      <c r="I65" s="30" t="s">
        <v>82</v>
      </c>
      <c r="J65" s="30">
        <f>10^((J62-161.04+7.1*LOG10(20)-7.5*LOG10(20)+(24.37-3.7*(20/J5)^2)*LOG10(J5)-20*LOG10(J4)+(3.2*(LOG10(17.625))^2-4.97)+0.6*(J6-1.5))/(43.42-3.1*LOG10(J5))+3)</f>
        <v>1670.4943480515597</v>
      </c>
      <c r="K65" s="30" t="s">
        <v>150</v>
      </c>
      <c r="L65" s="30">
        <f>10^((L62-161.04+7.1*LOG10(20)-7.5*LOG10(20)+(24.37-3.7*(20/L5)^2)*LOG10(L5)-20*LOG10(L4)+(3.2*(LOG10(17.625))^2-4.97)+0.6*(L6-1.5))/(43.42-3.1*LOG10(L5))+3)</f>
        <v>752.81571877852252</v>
      </c>
      <c r="M65" s="30" t="s">
        <v>150</v>
      </c>
      <c r="N65" s="30">
        <f>10^((N62-161.04+7.1*LOG10(20)-7.5*LOG10(20)+(24.37-3.7*(20/N5)^2)*LOG10(N5)-20*LOG10(N4)+(3.2*(LOG10(17.625))^2-4.97)+0.6*(N6-1.5))/(43.42-3.1*LOG10(N5))+3)</f>
        <v>746.06250907777996</v>
      </c>
      <c r="O65" s="30" t="s">
        <v>150</v>
      </c>
      <c r="P65" s="30">
        <f>10^((P62-161.04+7.1*LOG10(20)-7.5*LOG10(20)+(24.37-3.7*(20/P5)^2)*LOG10(P5)-20*LOG10(P4)+(3.2*(LOG10(17.625))^2-4.97)+0.6*(P6-1.5))/(43.42-3.1*LOG10(P5))+3)</f>
        <v>307.78138597866922</v>
      </c>
      <c r="Q65" s="30" t="s">
        <v>150</v>
      </c>
    </row>
    <row r="66" spans="1:17" ht="18">
      <c r="A66" s="25" t="s">
        <v>90</v>
      </c>
      <c r="B66" s="30" t="s">
        <v>144</v>
      </c>
      <c r="C66" s="30">
        <f>PI()*(C64)^2</f>
        <v>8214884.5833599633</v>
      </c>
      <c r="D66" s="30" t="s">
        <v>113</v>
      </c>
      <c r="E66" s="30">
        <f>PI()*(E64)^2</f>
        <v>2295437.8566485862</v>
      </c>
      <c r="F66" s="30" t="s">
        <v>113</v>
      </c>
      <c r="G66" s="30">
        <f>PI()*(G64)^2</f>
        <v>2255103.2959097717</v>
      </c>
      <c r="H66" s="30" t="s">
        <v>113</v>
      </c>
      <c r="I66" s="30">
        <f>PI()*(I64)^2</f>
        <v>700631.85450541077</v>
      </c>
      <c r="J66" s="30" t="s">
        <v>150</v>
      </c>
      <c r="K66" s="30">
        <f>PI()*(K64)^2</f>
        <v>16858783.815834697</v>
      </c>
      <c r="L66" s="30" t="s">
        <v>150</v>
      </c>
      <c r="M66" s="30">
        <f>PI()*(M64)^2</f>
        <v>2651413.5662705884</v>
      </c>
      <c r="N66" s="30" t="s">
        <v>150</v>
      </c>
      <c r="O66" s="30">
        <f>PI()*(O64)^2</f>
        <v>4757757.9048042204</v>
      </c>
      <c r="P66" s="30" t="s">
        <v>150</v>
      </c>
      <c r="Q66" s="30">
        <f>PI()*(Q64)^2</f>
        <v>748261.79584677774</v>
      </c>
    </row>
    <row r="67" spans="1:17" ht="18">
      <c r="A67" s="25" t="s">
        <v>91</v>
      </c>
      <c r="B67" s="30">
        <f>PI()*(B65)^2</f>
        <v>4550443.3763537677</v>
      </c>
      <c r="C67" s="30" t="s">
        <v>113</v>
      </c>
      <c r="D67" s="30">
        <f>PI()*(D65)^2</f>
        <v>1938794.1847946411</v>
      </c>
      <c r="E67" s="30" t="s">
        <v>113</v>
      </c>
      <c r="F67" s="30">
        <f>PI()*(F65)^2</f>
        <v>975029.44797457522</v>
      </c>
      <c r="G67" s="30" t="s">
        <v>113</v>
      </c>
      <c r="H67" s="30">
        <f>PI()*(H65)^2</f>
        <v>319050.24583633448</v>
      </c>
      <c r="I67" s="30" t="s">
        <v>113</v>
      </c>
      <c r="J67" s="30">
        <f>PI()*(J65)^2</f>
        <v>8766775.6736306753</v>
      </c>
      <c r="K67" s="30" t="s">
        <v>150</v>
      </c>
      <c r="L67" s="30">
        <f>PI()*(L65)^2</f>
        <v>1780439.5371898545</v>
      </c>
      <c r="M67" s="30" t="s">
        <v>150</v>
      </c>
      <c r="N67" s="30">
        <f>PI()*(N65)^2</f>
        <v>1748639.5855454167</v>
      </c>
      <c r="O67" s="30" t="s">
        <v>150</v>
      </c>
      <c r="P67" s="30">
        <f>PI()*(P65)^2</f>
        <v>297601.12917213718</v>
      </c>
      <c r="Q67" s="30" t="s">
        <v>150</v>
      </c>
    </row>
    <row r="72" spans="1:17" s="14" customFormat="1" ht="15">
      <c r="A72" s="39"/>
      <c r="B72" s="40"/>
      <c r="C72" s="40"/>
      <c r="D72" s="40"/>
      <c r="E72" s="40"/>
      <c r="F72" s="41"/>
      <c r="G72" s="41"/>
      <c r="H72" s="41"/>
      <c r="I72" s="41"/>
    </row>
  </sheetData>
  <mergeCells count="4">
    <mergeCell ref="B1:E1"/>
    <mergeCell ref="F1:I1"/>
    <mergeCell ref="J1:M1"/>
    <mergeCell ref="N1:Q1"/>
  </mergeCells>
  <phoneticPr fontId="1" type="noConversion"/>
  <dataValidations count="1">
    <dataValidation type="list" allowBlank="1" showInputMessage="1" showErrorMessage="1" sqref="F34:I34 B26:E26 N34:P34 J26:M26">
      <formula1>"0,3"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zoomScale="70" zoomScaleNormal="70" workbookViewId="0">
      <pane xSplit="1" ySplit="2" topLeftCell="B3" activePane="bottomRight" state="frozen"/>
      <selection pane="topRight" activeCell="B1" sqref="B1"/>
      <selection pane="bottomLeft" activeCell="A3" sqref="A3"/>
      <selection pane="bottomRight" activeCell="B42" sqref="B42"/>
    </sheetView>
  </sheetViews>
  <sheetFormatPr defaultColWidth="8.875" defaultRowHeight="14.25"/>
  <cols>
    <col min="1" max="1" width="69" style="26" customWidth="1"/>
    <col min="2" max="2" width="22.625" style="35" bestFit="1" customWidth="1"/>
    <col min="3" max="3" width="18.375" style="35" bestFit="1" customWidth="1"/>
    <col min="4" max="4" width="18.125" style="35" customWidth="1"/>
    <col min="5" max="5" width="18.625" style="35" customWidth="1"/>
    <col min="6" max="6" width="18.125" style="36" customWidth="1"/>
    <col min="7" max="7" width="18.625" style="36" customWidth="1"/>
    <col min="8" max="8" width="20" style="36" customWidth="1"/>
    <col min="9" max="9" width="18.375" style="36" customWidth="1"/>
  </cols>
  <sheetData>
    <row r="1" spans="1:9">
      <c r="A1" s="42" t="s">
        <v>148</v>
      </c>
      <c r="B1" s="136" t="s">
        <v>145</v>
      </c>
      <c r="C1" s="136"/>
      <c r="D1" s="136"/>
      <c r="E1" s="137"/>
      <c r="F1" s="138" t="s">
        <v>146</v>
      </c>
      <c r="G1" s="138"/>
      <c r="H1" s="138"/>
      <c r="I1" s="138"/>
    </row>
    <row r="2" spans="1:9" ht="28.5">
      <c r="A2" s="15"/>
      <c r="B2" s="27" t="s">
        <v>203</v>
      </c>
      <c r="C2" s="27" t="s">
        <v>211</v>
      </c>
      <c r="D2" s="27" t="s">
        <v>212</v>
      </c>
      <c r="E2" s="27" t="s">
        <v>213</v>
      </c>
      <c r="F2" s="27" t="s">
        <v>205</v>
      </c>
      <c r="G2" s="27" t="s">
        <v>206</v>
      </c>
      <c r="H2" s="27" t="s">
        <v>214</v>
      </c>
      <c r="I2" s="27" t="s">
        <v>215</v>
      </c>
    </row>
    <row r="3" spans="1:9">
      <c r="A3" s="16" t="s">
        <v>1</v>
      </c>
      <c r="B3" s="45"/>
      <c r="C3" s="45"/>
      <c r="D3" s="45"/>
      <c r="E3" s="45"/>
      <c r="F3" s="45"/>
      <c r="G3" s="45"/>
      <c r="H3" s="45"/>
      <c r="I3" s="45"/>
    </row>
    <row r="4" spans="1:9" ht="15">
      <c r="A4" s="17" t="s">
        <v>2</v>
      </c>
      <c r="B4" s="31">
        <v>0.7</v>
      </c>
      <c r="C4" s="46">
        <v>0.7</v>
      </c>
      <c r="D4" s="31">
        <v>0.7</v>
      </c>
      <c r="E4" s="46">
        <v>0.7</v>
      </c>
      <c r="F4" s="31">
        <v>0.7</v>
      </c>
      <c r="G4" s="46">
        <v>0.7</v>
      </c>
      <c r="H4" s="31">
        <v>0.7</v>
      </c>
      <c r="I4" s="46">
        <v>0.7</v>
      </c>
    </row>
    <row r="5" spans="1:9" ht="15">
      <c r="A5" s="17" t="s">
        <v>3</v>
      </c>
      <c r="B5" s="46">
        <v>35</v>
      </c>
      <c r="C5" s="46">
        <v>35</v>
      </c>
      <c r="D5" s="46">
        <v>35</v>
      </c>
      <c r="E5" s="46">
        <v>35</v>
      </c>
      <c r="F5" s="46">
        <v>35</v>
      </c>
      <c r="G5" s="46">
        <v>35</v>
      </c>
      <c r="H5" s="46">
        <v>35</v>
      </c>
      <c r="I5" s="46">
        <v>35</v>
      </c>
    </row>
    <row r="6" spans="1:9" ht="15">
      <c r="A6" s="17" t="s">
        <v>4</v>
      </c>
      <c r="B6" s="31">
        <v>1.5</v>
      </c>
      <c r="C6" s="46">
        <v>1.5</v>
      </c>
      <c r="D6" s="31">
        <v>1.5</v>
      </c>
      <c r="E6" s="46">
        <v>1.5</v>
      </c>
      <c r="F6" s="31">
        <v>1.5</v>
      </c>
      <c r="G6" s="46">
        <v>1.5</v>
      </c>
      <c r="H6" s="31">
        <v>1.5</v>
      </c>
      <c r="I6" s="46">
        <v>1.5</v>
      </c>
    </row>
    <row r="7" spans="1:9" ht="15">
      <c r="A7" s="17" t="s">
        <v>190</v>
      </c>
      <c r="B7" s="18" t="s">
        <v>108</v>
      </c>
      <c r="C7" s="43">
        <v>0.95</v>
      </c>
      <c r="D7" s="18" t="s">
        <v>108</v>
      </c>
      <c r="E7" s="43">
        <v>0.95</v>
      </c>
      <c r="F7" s="43" t="s">
        <v>108</v>
      </c>
      <c r="G7" s="19">
        <v>0.95</v>
      </c>
      <c r="H7" s="43" t="s">
        <v>108</v>
      </c>
      <c r="I7" s="19">
        <v>0.95</v>
      </c>
    </row>
    <row r="8" spans="1:9" ht="15">
      <c r="A8" s="17" t="s">
        <v>191</v>
      </c>
      <c r="B8" s="18">
        <v>0.9</v>
      </c>
      <c r="C8" s="43" t="s">
        <v>108</v>
      </c>
      <c r="D8" s="18">
        <v>0.9</v>
      </c>
      <c r="E8" s="43" t="s">
        <v>108</v>
      </c>
      <c r="F8" s="43">
        <v>0.9</v>
      </c>
      <c r="G8" s="19" t="s">
        <v>108</v>
      </c>
      <c r="H8" s="43">
        <v>0.9</v>
      </c>
      <c r="I8" s="19" t="s">
        <v>108</v>
      </c>
    </row>
    <row r="9" spans="1:9" ht="15">
      <c r="A9" s="17" t="s">
        <v>5</v>
      </c>
      <c r="B9" s="29" t="s">
        <v>108</v>
      </c>
      <c r="C9" s="30">
        <f>64/(0.001)</f>
        <v>64000</v>
      </c>
      <c r="D9" s="29" t="s">
        <v>108</v>
      </c>
      <c r="E9" s="30">
        <f>64/(0.001)</f>
        <v>64000</v>
      </c>
      <c r="F9" s="46" t="s">
        <v>108</v>
      </c>
      <c r="G9" s="30">
        <f>2/(0.001)</f>
        <v>2000</v>
      </c>
      <c r="H9" s="46" t="s">
        <v>108</v>
      </c>
      <c r="I9" s="30">
        <f>2/(0.001)</f>
        <v>2000</v>
      </c>
    </row>
    <row r="10" spans="1:9" ht="30" customHeight="1">
      <c r="A10" s="17" t="s">
        <v>6</v>
      </c>
      <c r="B10" s="29">
        <f>1994400*3</f>
        <v>5983200</v>
      </c>
      <c r="C10" s="46" t="s">
        <v>108</v>
      </c>
      <c r="D10" s="29">
        <f>1994400*3</f>
        <v>5983200</v>
      </c>
      <c r="E10" s="46" t="s">
        <v>108</v>
      </c>
      <c r="F10" s="46">
        <f>187200*3</f>
        <v>561600</v>
      </c>
      <c r="G10" s="30" t="s">
        <v>108</v>
      </c>
      <c r="H10" s="46">
        <f>187200*3</f>
        <v>561600</v>
      </c>
      <c r="I10" s="30" t="s">
        <v>108</v>
      </c>
    </row>
    <row r="11" spans="1:9" ht="15">
      <c r="A11" s="17" t="s">
        <v>7</v>
      </c>
      <c r="B11" s="18" t="s">
        <v>108</v>
      </c>
      <c r="C11" s="43">
        <v>0.01</v>
      </c>
      <c r="D11" s="18" t="s">
        <v>108</v>
      </c>
      <c r="E11" s="43">
        <v>0.01</v>
      </c>
      <c r="F11" s="43" t="s">
        <v>108</v>
      </c>
      <c r="G11" s="19">
        <v>0.01</v>
      </c>
      <c r="H11" s="43" t="s">
        <v>108</v>
      </c>
      <c r="I11" s="19">
        <v>0.01</v>
      </c>
    </row>
    <row r="12" spans="1:9" ht="15">
      <c r="A12" s="17" t="s">
        <v>8</v>
      </c>
      <c r="B12" s="18">
        <v>0.1</v>
      </c>
      <c r="C12" s="43" t="s">
        <v>108</v>
      </c>
      <c r="D12" s="18">
        <v>0.1</v>
      </c>
      <c r="E12" s="43" t="s">
        <v>108</v>
      </c>
      <c r="F12" s="43">
        <v>0.1</v>
      </c>
      <c r="G12" s="19" t="s">
        <v>108</v>
      </c>
      <c r="H12" s="43">
        <v>0.1</v>
      </c>
      <c r="I12" s="19" t="s">
        <v>108</v>
      </c>
    </row>
    <row r="13" spans="1:9" ht="16.5">
      <c r="A13" s="17" t="s">
        <v>85</v>
      </c>
      <c r="B13" s="29">
        <f>B10/B42</f>
        <v>0.63923076923076927</v>
      </c>
      <c r="C13" s="46" t="s">
        <v>108</v>
      </c>
      <c r="D13" s="29">
        <f>D10/D42</f>
        <v>0.63923076923076927</v>
      </c>
      <c r="E13" s="46" t="s">
        <v>108</v>
      </c>
      <c r="F13" s="29">
        <f>F10/F42</f>
        <v>0.78</v>
      </c>
      <c r="G13" s="30" t="s">
        <v>108</v>
      </c>
      <c r="H13" s="29">
        <f>H10/H42</f>
        <v>0.78</v>
      </c>
      <c r="I13" s="30" t="s">
        <v>108</v>
      </c>
    </row>
    <row r="14" spans="1:9" ht="16.5">
      <c r="A14" s="17" t="s">
        <v>86</v>
      </c>
      <c r="B14" s="46" t="s">
        <v>109</v>
      </c>
      <c r="C14" s="46" t="s">
        <v>109</v>
      </c>
      <c r="D14" s="46" t="s">
        <v>110</v>
      </c>
      <c r="E14" s="46" t="s">
        <v>110</v>
      </c>
      <c r="F14" s="46" t="s">
        <v>109</v>
      </c>
      <c r="G14" s="46" t="s">
        <v>109</v>
      </c>
      <c r="H14" s="46" t="s">
        <v>110</v>
      </c>
      <c r="I14" s="46" t="s">
        <v>110</v>
      </c>
    </row>
    <row r="15" spans="1:9" ht="15">
      <c r="A15" s="17" t="s">
        <v>92</v>
      </c>
      <c r="B15" s="29">
        <v>120</v>
      </c>
      <c r="C15" s="30">
        <v>120</v>
      </c>
      <c r="D15" s="29">
        <v>3</v>
      </c>
      <c r="E15" s="30">
        <v>3</v>
      </c>
      <c r="F15" s="29">
        <v>120</v>
      </c>
      <c r="G15" s="30">
        <v>120</v>
      </c>
      <c r="H15" s="30">
        <v>3</v>
      </c>
      <c r="I15" s="30">
        <v>3</v>
      </c>
    </row>
    <row r="16" spans="1:9" ht="15">
      <c r="A16" s="17" t="s">
        <v>9</v>
      </c>
      <c r="B16" s="29">
        <v>3</v>
      </c>
      <c r="C16" s="46">
        <v>3</v>
      </c>
      <c r="D16" s="29">
        <v>3</v>
      </c>
      <c r="E16" s="46">
        <v>3</v>
      </c>
      <c r="F16" s="46">
        <v>3</v>
      </c>
      <c r="G16" s="30">
        <v>3</v>
      </c>
      <c r="H16" s="46">
        <v>3</v>
      </c>
      <c r="I16" s="30">
        <v>3</v>
      </c>
    </row>
    <row r="17" spans="1:9">
      <c r="A17" s="16" t="s">
        <v>10</v>
      </c>
      <c r="B17" s="45"/>
      <c r="C17" s="45"/>
      <c r="D17" s="45"/>
      <c r="E17" s="45"/>
      <c r="F17" s="45"/>
      <c r="G17" s="45"/>
      <c r="H17" s="45"/>
      <c r="I17" s="45"/>
    </row>
    <row r="18" spans="1:9" ht="30">
      <c r="A18" s="17" t="s">
        <v>93</v>
      </c>
      <c r="B18" s="29">
        <v>64</v>
      </c>
      <c r="C18" s="46">
        <v>64</v>
      </c>
      <c r="D18" s="29">
        <v>64</v>
      </c>
      <c r="E18" s="46">
        <v>64</v>
      </c>
      <c r="F18" s="30">
        <v>1</v>
      </c>
      <c r="G18" s="46">
        <v>1</v>
      </c>
      <c r="H18" s="30">
        <v>1</v>
      </c>
      <c r="I18" s="46">
        <v>1</v>
      </c>
    </row>
    <row r="19" spans="1:9" ht="15">
      <c r="A19" s="17" t="s">
        <v>135</v>
      </c>
      <c r="B19" s="29">
        <v>2</v>
      </c>
      <c r="C19" s="46">
        <v>2</v>
      </c>
      <c r="D19" s="29">
        <v>2</v>
      </c>
      <c r="E19" s="46">
        <v>2</v>
      </c>
      <c r="F19" s="30">
        <v>1</v>
      </c>
      <c r="G19" s="46">
        <v>1</v>
      </c>
      <c r="H19" s="30">
        <v>1</v>
      </c>
      <c r="I19" s="46">
        <v>1</v>
      </c>
    </row>
    <row r="20" spans="1:9" ht="15">
      <c r="A20" s="17" t="s">
        <v>11</v>
      </c>
      <c r="B20" s="29">
        <v>28</v>
      </c>
      <c r="C20" s="46">
        <v>28</v>
      </c>
      <c r="D20" s="29">
        <v>28</v>
      </c>
      <c r="E20" s="46">
        <v>28</v>
      </c>
      <c r="F20" s="30">
        <v>23</v>
      </c>
      <c r="G20" s="46">
        <v>23</v>
      </c>
      <c r="H20" s="30">
        <v>23</v>
      </c>
      <c r="I20" s="46">
        <v>23</v>
      </c>
    </row>
    <row r="21" spans="1:9" ht="30">
      <c r="A21" s="37" t="s">
        <v>94</v>
      </c>
      <c r="B21" s="34">
        <f t="shared" ref="B21:I21" si="0">B20+10*LOG10(B18)</f>
        <v>46.061799739838875</v>
      </c>
      <c r="C21" s="34">
        <f t="shared" si="0"/>
        <v>46.061799739838875</v>
      </c>
      <c r="D21" s="34">
        <f t="shared" si="0"/>
        <v>46.061799739838875</v>
      </c>
      <c r="E21" s="34">
        <f t="shared" si="0"/>
        <v>46.061799739838875</v>
      </c>
      <c r="F21" s="34">
        <f t="shared" si="0"/>
        <v>23</v>
      </c>
      <c r="G21" s="34">
        <f t="shared" si="0"/>
        <v>23</v>
      </c>
      <c r="H21" s="34">
        <f t="shared" si="0"/>
        <v>23</v>
      </c>
      <c r="I21" s="34">
        <f t="shared" si="0"/>
        <v>23</v>
      </c>
    </row>
    <row r="22" spans="1:9" ht="45" customHeight="1">
      <c r="A22" s="17" t="s">
        <v>12</v>
      </c>
      <c r="B22" s="29">
        <v>8</v>
      </c>
      <c r="C22" s="46">
        <v>8</v>
      </c>
      <c r="D22" s="29">
        <v>8</v>
      </c>
      <c r="E22" s="46">
        <v>8</v>
      </c>
      <c r="F22" s="30">
        <v>0</v>
      </c>
      <c r="G22" s="46">
        <v>0</v>
      </c>
      <c r="H22" s="30">
        <v>0</v>
      </c>
      <c r="I22" s="46">
        <v>0</v>
      </c>
    </row>
    <row r="23" spans="1:9" ht="30">
      <c r="A23" s="38" t="s">
        <v>13</v>
      </c>
      <c r="B23" s="34">
        <f t="shared" ref="B23:I23" si="1">IF(B18&gt;=2, 10*LOG10(B18/2), 0)</f>
        <v>15.051499783199061</v>
      </c>
      <c r="C23" s="34">
        <f t="shared" si="1"/>
        <v>15.051499783199061</v>
      </c>
      <c r="D23" s="34">
        <f t="shared" si="1"/>
        <v>15.051499783199061</v>
      </c>
      <c r="E23" s="34">
        <f t="shared" si="1"/>
        <v>15.051499783199061</v>
      </c>
      <c r="F23" s="34">
        <f t="shared" si="1"/>
        <v>0</v>
      </c>
      <c r="G23" s="34">
        <f t="shared" si="1"/>
        <v>0</v>
      </c>
      <c r="H23" s="34">
        <f t="shared" si="1"/>
        <v>0</v>
      </c>
      <c r="I23" s="34">
        <f t="shared" si="1"/>
        <v>0</v>
      </c>
    </row>
    <row r="24" spans="1:9" ht="15">
      <c r="A24" s="17" t="s">
        <v>14</v>
      </c>
      <c r="B24" s="29">
        <v>0</v>
      </c>
      <c r="C24" s="30">
        <v>0</v>
      </c>
      <c r="D24" s="29">
        <v>0</v>
      </c>
      <c r="E24" s="30">
        <v>0</v>
      </c>
      <c r="F24" s="30">
        <v>0</v>
      </c>
      <c r="G24" s="30">
        <v>0</v>
      </c>
      <c r="H24" s="30">
        <v>0</v>
      </c>
      <c r="I24" s="30">
        <v>0</v>
      </c>
    </row>
    <row r="25" spans="1:9" ht="15">
      <c r="A25" s="17" t="s">
        <v>15</v>
      </c>
      <c r="B25" s="29">
        <v>0</v>
      </c>
      <c r="C25" s="30">
        <v>0</v>
      </c>
      <c r="D25" s="29">
        <v>0</v>
      </c>
      <c r="E25" s="30">
        <v>0</v>
      </c>
      <c r="F25" s="30">
        <v>0</v>
      </c>
      <c r="G25" s="30">
        <v>0</v>
      </c>
      <c r="H25" s="30">
        <v>0</v>
      </c>
      <c r="I25" s="30">
        <v>0</v>
      </c>
    </row>
    <row r="26" spans="1:9" ht="30">
      <c r="A26" s="17" t="s">
        <v>16</v>
      </c>
      <c r="B26" s="29">
        <v>3</v>
      </c>
      <c r="C26" s="30">
        <v>3</v>
      </c>
      <c r="D26" s="29">
        <v>3</v>
      </c>
      <c r="E26" s="30">
        <v>3</v>
      </c>
      <c r="F26" s="30">
        <v>1</v>
      </c>
      <c r="G26" s="30">
        <v>1</v>
      </c>
      <c r="H26" s="30">
        <v>1</v>
      </c>
      <c r="I26" s="30">
        <v>1</v>
      </c>
    </row>
    <row r="27" spans="1:9" ht="15">
      <c r="A27" s="21" t="s">
        <v>17</v>
      </c>
      <c r="B27" s="33">
        <f t="shared" ref="B27:I27" si="2">B21+B22+B23+B24-B26</f>
        <v>66.113299523037938</v>
      </c>
      <c r="C27" s="33">
        <f t="shared" si="2"/>
        <v>66.113299523037938</v>
      </c>
      <c r="D27" s="33">
        <f t="shared" si="2"/>
        <v>66.113299523037938</v>
      </c>
      <c r="E27" s="33">
        <f t="shared" si="2"/>
        <v>66.113299523037938</v>
      </c>
      <c r="F27" s="33">
        <f t="shared" si="2"/>
        <v>22</v>
      </c>
      <c r="G27" s="33">
        <f t="shared" si="2"/>
        <v>22</v>
      </c>
      <c r="H27" s="33">
        <f t="shared" si="2"/>
        <v>22</v>
      </c>
      <c r="I27" s="33">
        <f t="shared" si="2"/>
        <v>22</v>
      </c>
    </row>
    <row r="28" spans="1:9" ht="15">
      <c r="A28" s="21" t="s">
        <v>18</v>
      </c>
      <c r="B28" s="33">
        <f t="shared" ref="B28:I28" si="3">B21+B22+B23-B25-B26</f>
        <v>66.113299523037938</v>
      </c>
      <c r="C28" s="33">
        <f t="shared" si="3"/>
        <v>66.113299523037938</v>
      </c>
      <c r="D28" s="33">
        <f t="shared" si="3"/>
        <v>66.113299523037938</v>
      </c>
      <c r="E28" s="33">
        <f t="shared" si="3"/>
        <v>66.113299523037938</v>
      </c>
      <c r="F28" s="33">
        <f t="shared" si="3"/>
        <v>22</v>
      </c>
      <c r="G28" s="33">
        <f t="shared" si="3"/>
        <v>22</v>
      </c>
      <c r="H28" s="33">
        <f t="shared" si="3"/>
        <v>22</v>
      </c>
      <c r="I28" s="33">
        <f t="shared" si="3"/>
        <v>22</v>
      </c>
    </row>
    <row r="29" spans="1:9">
      <c r="A29" s="16" t="s">
        <v>19</v>
      </c>
      <c r="B29" s="45"/>
      <c r="C29" s="45"/>
      <c r="D29" s="45"/>
      <c r="E29" s="45"/>
      <c r="F29" s="45"/>
      <c r="G29" s="45"/>
      <c r="H29" s="45"/>
      <c r="I29" s="45"/>
    </row>
    <row r="30" spans="1:9" ht="30">
      <c r="A30" s="17" t="s">
        <v>95</v>
      </c>
      <c r="B30" s="29">
        <v>2</v>
      </c>
      <c r="C30" s="46">
        <v>2</v>
      </c>
      <c r="D30" s="29">
        <v>2</v>
      </c>
      <c r="E30" s="46">
        <v>2</v>
      </c>
      <c r="F30" s="46">
        <v>64</v>
      </c>
      <c r="G30" s="46">
        <v>64</v>
      </c>
      <c r="H30" s="46">
        <v>64</v>
      </c>
      <c r="I30" s="46">
        <v>64</v>
      </c>
    </row>
    <row r="31" spans="1:9" ht="15">
      <c r="A31" s="17" t="s">
        <v>139</v>
      </c>
      <c r="B31" s="29">
        <v>2</v>
      </c>
      <c r="C31" s="46">
        <v>2</v>
      </c>
      <c r="D31" s="29">
        <v>2</v>
      </c>
      <c r="E31" s="46">
        <v>2</v>
      </c>
      <c r="F31" s="46">
        <v>2</v>
      </c>
      <c r="G31" s="46">
        <v>2</v>
      </c>
      <c r="H31" s="46">
        <v>2</v>
      </c>
      <c r="I31" s="46">
        <v>2</v>
      </c>
    </row>
    <row r="32" spans="1:9" ht="15">
      <c r="A32" s="17" t="s">
        <v>20</v>
      </c>
      <c r="B32" s="29">
        <v>0</v>
      </c>
      <c r="C32" s="46">
        <v>0</v>
      </c>
      <c r="D32" s="29">
        <v>0</v>
      </c>
      <c r="E32" s="46">
        <v>0</v>
      </c>
      <c r="F32" s="46">
        <v>8</v>
      </c>
      <c r="G32" s="46">
        <v>8</v>
      </c>
      <c r="H32" s="46">
        <v>8</v>
      </c>
      <c r="I32" s="46">
        <v>8</v>
      </c>
    </row>
    <row r="33" spans="1:9" ht="28.5">
      <c r="A33" s="22" t="s">
        <v>79</v>
      </c>
      <c r="B33" s="34">
        <f t="shared" ref="B33:I33" si="4">IF(B30&gt;=2, 10*LOG10(B30/2), 0)</f>
        <v>0</v>
      </c>
      <c r="C33" s="34">
        <f t="shared" si="4"/>
        <v>0</v>
      </c>
      <c r="D33" s="34">
        <f t="shared" si="4"/>
        <v>0</v>
      </c>
      <c r="E33" s="34">
        <f t="shared" si="4"/>
        <v>0</v>
      </c>
      <c r="F33" s="34">
        <f t="shared" si="4"/>
        <v>15.051499783199061</v>
      </c>
      <c r="G33" s="34">
        <f t="shared" si="4"/>
        <v>15.051499783199061</v>
      </c>
      <c r="H33" s="34">
        <f t="shared" si="4"/>
        <v>15.051499783199061</v>
      </c>
      <c r="I33" s="34">
        <f t="shared" si="4"/>
        <v>15.051499783199061</v>
      </c>
    </row>
    <row r="34" spans="1:9" ht="30">
      <c r="A34" s="17" t="s">
        <v>21</v>
      </c>
      <c r="B34" s="29">
        <v>1</v>
      </c>
      <c r="C34" s="46">
        <v>1</v>
      </c>
      <c r="D34" s="29">
        <v>1</v>
      </c>
      <c r="E34" s="46">
        <v>1</v>
      </c>
      <c r="F34" s="30">
        <v>3</v>
      </c>
      <c r="G34" s="46">
        <v>3</v>
      </c>
      <c r="H34" s="30">
        <v>3</v>
      </c>
      <c r="I34" s="46">
        <v>3</v>
      </c>
    </row>
    <row r="35" spans="1:9" ht="15">
      <c r="A35" s="17" t="s">
        <v>22</v>
      </c>
      <c r="B35" s="30">
        <v>7</v>
      </c>
      <c r="C35" s="30">
        <v>7</v>
      </c>
      <c r="D35" s="30">
        <v>7</v>
      </c>
      <c r="E35" s="30">
        <v>7</v>
      </c>
      <c r="F35" s="30">
        <v>5</v>
      </c>
      <c r="G35" s="30">
        <v>5</v>
      </c>
      <c r="H35" s="30">
        <v>5</v>
      </c>
      <c r="I35" s="30">
        <v>5</v>
      </c>
    </row>
    <row r="36" spans="1:9" ht="15">
      <c r="A36" s="17" t="s">
        <v>23</v>
      </c>
      <c r="B36" s="30">
        <v>-174</v>
      </c>
      <c r="C36" s="30">
        <v>-174</v>
      </c>
      <c r="D36" s="30">
        <v>-174</v>
      </c>
      <c r="E36" s="30">
        <v>-174</v>
      </c>
      <c r="F36" s="29">
        <v>-174</v>
      </c>
      <c r="G36" s="30">
        <v>-174</v>
      </c>
      <c r="H36" s="29">
        <v>-174</v>
      </c>
      <c r="I36" s="30">
        <v>-174</v>
      </c>
    </row>
    <row r="37" spans="1:9" ht="15">
      <c r="A37" s="17" t="s">
        <v>192</v>
      </c>
      <c r="B37" s="29" t="s">
        <v>108</v>
      </c>
      <c r="C37" s="30">
        <v>-169.3</v>
      </c>
      <c r="D37" s="29" t="s">
        <v>108</v>
      </c>
      <c r="E37" s="30">
        <v>-169.3</v>
      </c>
      <c r="F37" s="30" t="s">
        <v>108</v>
      </c>
      <c r="G37" s="30">
        <v>-161.69999999999999</v>
      </c>
      <c r="H37" s="30" t="s">
        <v>108</v>
      </c>
      <c r="I37" s="30">
        <v>-161.69999999999999</v>
      </c>
    </row>
    <row r="38" spans="1:9" ht="15">
      <c r="A38" s="17" t="s">
        <v>24</v>
      </c>
      <c r="B38" s="29">
        <v>-169.3</v>
      </c>
      <c r="C38" s="30" t="s">
        <v>108</v>
      </c>
      <c r="D38" s="29">
        <v>-169.3</v>
      </c>
      <c r="E38" s="30" t="s">
        <v>108</v>
      </c>
      <c r="F38" s="30">
        <v>-165.7</v>
      </c>
      <c r="G38" s="30" t="s">
        <v>108</v>
      </c>
      <c r="H38" s="30">
        <v>-165.7</v>
      </c>
      <c r="I38" s="30" t="s">
        <v>108</v>
      </c>
    </row>
    <row r="39" spans="1:9" ht="30">
      <c r="A39" s="23" t="s">
        <v>193</v>
      </c>
      <c r="B39" s="33" t="s">
        <v>143</v>
      </c>
      <c r="C39" s="33">
        <f t="shared" ref="C39:I39" si="5">10*LOG10(10^((C35+C36)/10)+10^(C37/10))</f>
        <v>-164.98918835931039</v>
      </c>
      <c r="D39" s="33" t="s">
        <v>143</v>
      </c>
      <c r="E39" s="33">
        <f t="shared" si="5"/>
        <v>-164.98918835931039</v>
      </c>
      <c r="F39" s="33" t="s">
        <v>143</v>
      </c>
      <c r="G39" s="33">
        <f t="shared" si="5"/>
        <v>-160.9583889004532</v>
      </c>
      <c r="H39" s="33" t="s">
        <v>143</v>
      </c>
      <c r="I39" s="33">
        <f t="shared" si="5"/>
        <v>-160.9583889004532</v>
      </c>
    </row>
    <row r="40" spans="1:9" ht="30">
      <c r="A40" s="23" t="s">
        <v>194</v>
      </c>
      <c r="B40" s="33">
        <f t="shared" ref="B40:H40" si="6">10*LOG10(10^((B35+B36)/10)+10^(B38/10))</f>
        <v>-164.98918835931039</v>
      </c>
      <c r="C40" s="33" t="s">
        <v>143</v>
      </c>
      <c r="D40" s="33">
        <f t="shared" si="6"/>
        <v>-164.98918835931039</v>
      </c>
      <c r="E40" s="33" t="s">
        <v>143</v>
      </c>
      <c r="F40" s="33">
        <f t="shared" si="6"/>
        <v>-164.03352307536667</v>
      </c>
      <c r="G40" s="33" t="s">
        <v>143</v>
      </c>
      <c r="H40" s="33">
        <f t="shared" si="6"/>
        <v>-164.03352307536667</v>
      </c>
      <c r="I40" s="33" t="s">
        <v>143</v>
      </c>
    </row>
    <row r="41" spans="1:9" ht="30">
      <c r="A41" s="17" t="s">
        <v>25</v>
      </c>
      <c r="B41" s="29" t="s">
        <v>108</v>
      </c>
      <c r="C41" s="29">
        <f>MaxN_RB!$D$6*12*15*1000</f>
        <v>9360000</v>
      </c>
      <c r="D41" s="29" t="s">
        <v>108</v>
      </c>
      <c r="E41" s="29">
        <f>MaxN_RB!$D$6*12*15*1000</f>
        <v>9360000</v>
      </c>
      <c r="F41" s="46" t="s">
        <v>108</v>
      </c>
      <c r="G41" s="30">
        <f>1*12*15*1000</f>
        <v>180000</v>
      </c>
      <c r="H41" s="46" t="s">
        <v>108</v>
      </c>
      <c r="I41" s="30">
        <f>1*12*15*1000</f>
        <v>180000</v>
      </c>
    </row>
    <row r="42" spans="1:9" ht="30">
      <c r="A42" s="17" t="s">
        <v>26</v>
      </c>
      <c r="B42" s="29">
        <f>MaxN_RB!$D$6*12*15*1000</f>
        <v>9360000</v>
      </c>
      <c r="C42" s="46" t="s">
        <v>108</v>
      </c>
      <c r="D42" s="29">
        <f>MaxN_RB!$D$6*12*15*1000</f>
        <v>9360000</v>
      </c>
      <c r="E42" s="46" t="s">
        <v>108</v>
      </c>
      <c r="F42" s="29">
        <f>4*12*15*1000</f>
        <v>720000</v>
      </c>
      <c r="G42" s="30" t="s">
        <v>108</v>
      </c>
      <c r="H42" s="29">
        <f>4*12*15*1000</f>
        <v>720000</v>
      </c>
      <c r="I42" s="30" t="s">
        <v>108</v>
      </c>
    </row>
    <row r="43" spans="1:9" ht="15">
      <c r="A43" s="21" t="s">
        <v>27</v>
      </c>
      <c r="B43" s="33" t="s">
        <v>143</v>
      </c>
      <c r="C43" s="33">
        <f t="shared" ref="B43:I44" si="7">C39+10*LOG10(C41)</f>
        <v>-95.276429871929338</v>
      </c>
      <c r="D43" s="33" t="s">
        <v>143</v>
      </c>
      <c r="E43" s="33">
        <f t="shared" si="7"/>
        <v>-95.276429871929338</v>
      </c>
      <c r="F43" s="33" t="s">
        <v>143</v>
      </c>
      <c r="G43" s="33">
        <f t="shared" si="7"/>
        <v>-108.40566384942014</v>
      </c>
      <c r="H43" s="33" t="s">
        <v>143</v>
      </c>
      <c r="I43" s="33">
        <f t="shared" si="7"/>
        <v>-108.40566384942014</v>
      </c>
    </row>
    <row r="44" spans="1:9" ht="15">
      <c r="A44" s="21" t="s">
        <v>28</v>
      </c>
      <c r="B44" s="33">
        <f t="shared" si="7"/>
        <v>-95.276429871929338</v>
      </c>
      <c r="C44" s="33" t="s">
        <v>143</v>
      </c>
      <c r="D44" s="33">
        <f t="shared" si="7"/>
        <v>-95.276429871929338</v>
      </c>
      <c r="E44" s="33" t="s">
        <v>143</v>
      </c>
      <c r="F44" s="33">
        <f t="shared" si="7"/>
        <v>-105.46019811105398</v>
      </c>
      <c r="G44" s="33" t="s">
        <v>143</v>
      </c>
      <c r="H44" s="33">
        <f t="shared" si="7"/>
        <v>-105.46019811105398</v>
      </c>
      <c r="I44" s="33" t="s">
        <v>143</v>
      </c>
    </row>
    <row r="45" spans="1:9" ht="15">
      <c r="A45" s="17" t="s">
        <v>29</v>
      </c>
      <c r="B45" s="29" t="s">
        <v>108</v>
      </c>
      <c r="C45" s="30">
        <v>-7.4</v>
      </c>
      <c r="D45" s="29" t="s">
        <v>108</v>
      </c>
      <c r="E45" s="30">
        <v>-7.5</v>
      </c>
      <c r="F45" s="29" t="s">
        <v>108</v>
      </c>
      <c r="G45" s="54">
        <v>-6.3</v>
      </c>
      <c r="H45" s="53" t="s">
        <v>108</v>
      </c>
      <c r="I45" s="30">
        <v>-6.3</v>
      </c>
    </row>
    <row r="46" spans="1:9" ht="15">
      <c r="A46" s="17" t="s">
        <v>30</v>
      </c>
      <c r="B46" s="30">
        <v>4.0999999999999996</v>
      </c>
      <c r="C46" s="30" t="s">
        <v>108</v>
      </c>
      <c r="D46" s="30">
        <v>1.4</v>
      </c>
      <c r="E46" s="30" t="s">
        <v>108</v>
      </c>
      <c r="F46" s="30">
        <v>7.3</v>
      </c>
      <c r="G46" s="30" t="s">
        <v>108</v>
      </c>
      <c r="H46" s="30">
        <v>4.7</v>
      </c>
      <c r="I46" s="30" t="s">
        <v>108</v>
      </c>
    </row>
    <row r="47" spans="1:9" ht="15">
      <c r="A47" s="17" t="s">
        <v>31</v>
      </c>
      <c r="B47" s="29">
        <v>2</v>
      </c>
      <c r="C47" s="30">
        <v>2</v>
      </c>
      <c r="D47" s="29">
        <v>2</v>
      </c>
      <c r="E47" s="30">
        <v>2</v>
      </c>
      <c r="F47" s="46">
        <v>2</v>
      </c>
      <c r="G47" s="30">
        <v>2</v>
      </c>
      <c r="H47" s="46">
        <v>2</v>
      </c>
      <c r="I47" s="30">
        <v>2</v>
      </c>
    </row>
    <row r="48" spans="1:9" ht="15">
      <c r="A48" s="17" t="s">
        <v>32</v>
      </c>
      <c r="B48" s="29" t="s">
        <v>108</v>
      </c>
      <c r="C48" s="30">
        <v>0</v>
      </c>
      <c r="D48" s="29" t="s">
        <v>108</v>
      </c>
      <c r="E48" s="30">
        <v>0</v>
      </c>
      <c r="F48" s="46" t="s">
        <v>108</v>
      </c>
      <c r="G48" s="30">
        <v>0</v>
      </c>
      <c r="H48" s="46" t="s">
        <v>108</v>
      </c>
      <c r="I48" s="30">
        <v>0</v>
      </c>
    </row>
    <row r="49" spans="1:9" ht="15">
      <c r="A49" s="17" t="s">
        <v>33</v>
      </c>
      <c r="B49" s="29">
        <v>0.5</v>
      </c>
      <c r="C49" s="30" t="s">
        <v>108</v>
      </c>
      <c r="D49" s="29">
        <v>0.5</v>
      </c>
      <c r="E49" s="30" t="s">
        <v>108</v>
      </c>
      <c r="F49" s="46">
        <v>0.5</v>
      </c>
      <c r="G49" s="30" t="s">
        <v>108</v>
      </c>
      <c r="H49" s="46">
        <v>0.5</v>
      </c>
      <c r="I49" s="30" t="s">
        <v>108</v>
      </c>
    </row>
    <row r="50" spans="1:9" ht="15">
      <c r="A50" s="23" t="s">
        <v>44</v>
      </c>
      <c r="B50" s="33" t="s">
        <v>143</v>
      </c>
      <c r="C50" s="33">
        <f t="shared" ref="C50:I50" si="8">C43+C45+C47-C48</f>
        <v>-100.67642987192934</v>
      </c>
      <c r="D50" s="33" t="s">
        <v>143</v>
      </c>
      <c r="E50" s="33">
        <f t="shared" si="8"/>
        <v>-100.77642987192934</v>
      </c>
      <c r="F50" s="33" t="s">
        <v>143</v>
      </c>
      <c r="G50" s="33">
        <f t="shared" si="8"/>
        <v>-112.70566384942013</v>
      </c>
      <c r="H50" s="33" t="s">
        <v>143</v>
      </c>
      <c r="I50" s="33">
        <f t="shared" si="8"/>
        <v>-112.70566384942013</v>
      </c>
    </row>
    <row r="51" spans="1:9" ht="15">
      <c r="A51" s="23" t="s">
        <v>45</v>
      </c>
      <c r="B51" s="33">
        <f>B44+B46+B47-B49</f>
        <v>-89.676429871929344</v>
      </c>
      <c r="C51" s="33" t="s">
        <v>143</v>
      </c>
      <c r="D51" s="33">
        <f t="shared" ref="D51:H51" si="9">D44+D46+D47-D49</f>
        <v>-92.376429871929332</v>
      </c>
      <c r="E51" s="33" t="s">
        <v>143</v>
      </c>
      <c r="F51" s="33">
        <f t="shared" si="9"/>
        <v>-96.660198111053987</v>
      </c>
      <c r="G51" s="33" t="s">
        <v>143</v>
      </c>
      <c r="H51" s="33">
        <f t="shared" si="9"/>
        <v>-99.260198111053981</v>
      </c>
      <c r="I51" s="33" t="s">
        <v>143</v>
      </c>
    </row>
    <row r="52" spans="1:9" ht="15">
      <c r="A52" s="23" t="s">
        <v>96</v>
      </c>
      <c r="B52" s="33" t="s">
        <v>143</v>
      </c>
      <c r="C52" s="33">
        <f t="shared" ref="C52:I52" si="10">C27+C32+C33-C50</f>
        <v>166.78972939496728</v>
      </c>
      <c r="D52" s="33" t="s">
        <v>143</v>
      </c>
      <c r="E52" s="33">
        <f t="shared" si="10"/>
        <v>166.88972939496728</v>
      </c>
      <c r="F52" s="33" t="s">
        <v>143</v>
      </c>
      <c r="G52" s="33">
        <f t="shared" si="10"/>
        <v>157.75716363261921</v>
      </c>
      <c r="H52" s="33" t="s">
        <v>143</v>
      </c>
      <c r="I52" s="33">
        <f t="shared" si="10"/>
        <v>157.75716363261921</v>
      </c>
    </row>
    <row r="53" spans="1:9" ht="15">
      <c r="A53" s="23" t="s">
        <v>88</v>
      </c>
      <c r="B53" s="33">
        <f t="shared" ref="B53:H53" si="11">B28+B32+B33-B51</f>
        <v>155.78972939496728</v>
      </c>
      <c r="C53" s="33" t="s">
        <v>143</v>
      </c>
      <c r="D53" s="33">
        <f t="shared" si="11"/>
        <v>158.48972939496727</v>
      </c>
      <c r="E53" s="33" t="s">
        <v>143</v>
      </c>
      <c r="F53" s="33">
        <f t="shared" si="11"/>
        <v>141.71169789425306</v>
      </c>
      <c r="G53" s="33" t="s">
        <v>143</v>
      </c>
      <c r="H53" s="33">
        <f t="shared" si="11"/>
        <v>144.31169789425303</v>
      </c>
      <c r="I53" s="33" t="s">
        <v>143</v>
      </c>
    </row>
    <row r="54" spans="1:9">
      <c r="A54" s="16" t="s">
        <v>34</v>
      </c>
      <c r="B54" s="45"/>
      <c r="C54" s="45"/>
      <c r="D54" s="45"/>
      <c r="E54" s="45"/>
      <c r="F54" s="45"/>
      <c r="G54" s="45"/>
      <c r="H54" s="45"/>
      <c r="I54" s="45"/>
    </row>
    <row r="55" spans="1:9" ht="15">
      <c r="A55" s="17" t="s">
        <v>35</v>
      </c>
      <c r="B55" s="46">
        <v>8</v>
      </c>
      <c r="C55" s="46">
        <v>8</v>
      </c>
      <c r="D55" s="46">
        <v>8</v>
      </c>
      <c r="E55" s="46">
        <v>8</v>
      </c>
      <c r="F55" s="46">
        <v>8</v>
      </c>
      <c r="G55" s="46">
        <v>8</v>
      </c>
      <c r="H55" s="46">
        <v>8</v>
      </c>
      <c r="I55" s="46">
        <v>8</v>
      </c>
    </row>
    <row r="56" spans="1:9" ht="30">
      <c r="A56" s="17" t="s">
        <v>36</v>
      </c>
      <c r="B56" s="46" t="s">
        <v>108</v>
      </c>
      <c r="C56" s="46">
        <v>10.45</v>
      </c>
      <c r="D56" s="46" t="s">
        <v>84</v>
      </c>
      <c r="E56" s="46">
        <v>10</v>
      </c>
      <c r="F56" s="46" t="s">
        <v>108</v>
      </c>
      <c r="G56" s="46">
        <v>10.45</v>
      </c>
      <c r="H56" s="46" t="s">
        <v>83</v>
      </c>
      <c r="I56" s="46">
        <v>10</v>
      </c>
    </row>
    <row r="57" spans="1:9" ht="30">
      <c r="A57" s="17" t="s">
        <v>37</v>
      </c>
      <c r="B57" s="46">
        <v>6.61</v>
      </c>
      <c r="C57" s="46" t="s">
        <v>108</v>
      </c>
      <c r="D57" s="46">
        <v>6.3</v>
      </c>
      <c r="E57" s="46" t="s">
        <v>84</v>
      </c>
      <c r="F57" s="46">
        <v>6.61</v>
      </c>
      <c r="G57" s="46" t="s">
        <v>108</v>
      </c>
      <c r="H57" s="46">
        <v>6.3</v>
      </c>
      <c r="I57" s="46" t="s">
        <v>83</v>
      </c>
    </row>
    <row r="58" spans="1:9" ht="15">
      <c r="A58" s="17" t="s">
        <v>38</v>
      </c>
      <c r="B58" s="46">
        <v>0</v>
      </c>
      <c r="C58" s="46">
        <v>0</v>
      </c>
      <c r="D58" s="46">
        <v>0</v>
      </c>
      <c r="E58" s="46">
        <v>0</v>
      </c>
      <c r="F58" s="46">
        <v>0</v>
      </c>
      <c r="G58" s="46">
        <v>0</v>
      </c>
      <c r="H58" s="46">
        <v>0</v>
      </c>
      <c r="I58" s="46">
        <v>0</v>
      </c>
    </row>
    <row r="59" spans="1:9" ht="15">
      <c r="A59" s="17" t="s">
        <v>39</v>
      </c>
      <c r="B59" s="29">
        <f>9</f>
        <v>9</v>
      </c>
      <c r="C59" s="29">
        <f>9</f>
        <v>9</v>
      </c>
      <c r="D59" s="31">
        <f>10.2367+0.5*10/3</f>
        <v>11.903366666666667</v>
      </c>
      <c r="E59" s="31">
        <f>10.2367+0.5*10/3</f>
        <v>11.903366666666667</v>
      </c>
      <c r="F59" s="29">
        <f>9</f>
        <v>9</v>
      </c>
      <c r="G59" s="29">
        <f>9</f>
        <v>9</v>
      </c>
      <c r="H59" s="31">
        <f>10.2367+0.5*10/3</f>
        <v>11.903366666666667</v>
      </c>
      <c r="I59" s="31">
        <f>10.2367+0.5*10/3</f>
        <v>11.903366666666667</v>
      </c>
    </row>
    <row r="60" spans="1:9" ht="15">
      <c r="A60" s="17" t="s">
        <v>40</v>
      </c>
      <c r="B60" s="46">
        <v>0</v>
      </c>
      <c r="C60" s="46">
        <v>0</v>
      </c>
      <c r="D60" s="46">
        <v>0</v>
      </c>
      <c r="E60" s="46">
        <v>0</v>
      </c>
      <c r="F60" s="46">
        <v>0</v>
      </c>
      <c r="G60" s="46">
        <v>0</v>
      </c>
      <c r="H60" s="46">
        <v>0</v>
      </c>
      <c r="I60" s="46">
        <v>0</v>
      </c>
    </row>
    <row r="61" spans="1:9" ht="30">
      <c r="A61" s="23" t="s">
        <v>49</v>
      </c>
      <c r="B61" s="33" t="s">
        <v>143</v>
      </c>
      <c r="C61" s="33">
        <f t="shared" ref="C61:I61" si="12">C52-C56+C58-C59+C60-C34</f>
        <v>146.33972939496729</v>
      </c>
      <c r="D61" s="33" t="s">
        <v>143</v>
      </c>
      <c r="E61" s="33">
        <f t="shared" si="12"/>
        <v>143.98636272830061</v>
      </c>
      <c r="F61" s="33" t="s">
        <v>143</v>
      </c>
      <c r="G61" s="33">
        <f t="shared" si="12"/>
        <v>135.30716363261922</v>
      </c>
      <c r="H61" s="33" t="s">
        <v>143</v>
      </c>
      <c r="I61" s="33">
        <f t="shared" si="12"/>
        <v>132.85379696595254</v>
      </c>
    </row>
    <row r="62" spans="1:9" ht="30">
      <c r="A62" s="23" t="s">
        <v>46</v>
      </c>
      <c r="B62" s="33">
        <f t="shared" ref="B62:H62" si="13">B53-B57+B58-B59+B60-B34</f>
        <v>139.17972939496727</v>
      </c>
      <c r="C62" s="33" t="s">
        <v>143</v>
      </c>
      <c r="D62" s="33">
        <f t="shared" si="13"/>
        <v>139.28636272830059</v>
      </c>
      <c r="E62" s="33" t="s">
        <v>143</v>
      </c>
      <c r="F62" s="33">
        <f t="shared" si="13"/>
        <v>123.10169789425305</v>
      </c>
      <c r="G62" s="33" t="s">
        <v>143</v>
      </c>
      <c r="H62" s="33">
        <f t="shared" si="13"/>
        <v>123.10833122758635</v>
      </c>
      <c r="I62" s="33" t="s">
        <v>143</v>
      </c>
    </row>
    <row r="63" spans="1:9">
      <c r="A63" s="16" t="s">
        <v>41</v>
      </c>
      <c r="B63" s="45"/>
      <c r="C63" s="45"/>
      <c r="D63" s="45"/>
      <c r="E63" s="45"/>
      <c r="F63" s="45"/>
      <c r="G63" s="45"/>
      <c r="H63" s="45"/>
      <c r="I63" s="45"/>
    </row>
    <row r="64" spans="1:9" ht="30">
      <c r="A64" s="25" t="s">
        <v>97</v>
      </c>
      <c r="B64" s="30" t="s">
        <v>82</v>
      </c>
      <c r="C64" s="46">
        <f>10^(3+(C61-161.04+7.1*LOG10(20)-7.5*LOG10(5)+(24.37-3.7*(5/C$5)^2)*LOG10(C$5)-20*LOG10(C$4)+(3.2*(LOG10(11.75*C$6))^2-4.97))/(43.42-3.1*LOG10(C$5)))</f>
        <v>5943.6263858901375</v>
      </c>
      <c r="D64" s="30" t="s">
        <v>82</v>
      </c>
      <c r="E64" s="46">
        <f>10^(3+(E61-161.04+7.1*LOG10(20)-7.5*LOG10(5)+(24.37-3.7*(5/E$5)^2)*LOG10(E$5)-20*LOG10(E$4)+(3.2*(LOG10(11.75*E$6))^2-4.97))/(43.42-3.1*LOG10(E$5)))</f>
        <v>5165.7828431589714</v>
      </c>
      <c r="F64" s="30" t="s">
        <v>82</v>
      </c>
      <c r="G64" s="46">
        <f>10^(3+(G61-161.04+7.1*LOG10(20)-7.5*LOG10(5)+(24.37-3.7*(5/G$5)^2)*LOG10(G$5)-20*LOG10(G$4)+(3.2*(LOG10(11.75*G$6))^2-4.97))/(43.42-3.1*LOG10(G$5)))</f>
        <v>3079.5038779071147</v>
      </c>
      <c r="H64" s="30" t="s">
        <v>82</v>
      </c>
      <c r="I64" s="46">
        <f>10^(3+(I61-161.04+7.1*LOG10(20)-7.5*LOG10(5)+(24.37-3.7*(5/I$5)^2)*LOG10(I$5)-20*LOG10(I$4)+(3.2*(LOG10(11.75*I$6))^2-4.97))/(43.42-3.1*LOG10(I$5)))</f>
        <v>2660.583934058317</v>
      </c>
    </row>
    <row r="65" spans="1:9" ht="30">
      <c r="A65" s="25" t="s">
        <v>98</v>
      </c>
      <c r="B65" s="46">
        <f>10^(3+(B62-161.04+7.1*LOG10(20)-7.5*LOG10(5)+(24.37-3.7*(5/B$5)^2)*LOG10(B$5)-20*LOG10(B$4)+(3.2*(LOG10(11.75*B$6))^2-4.97))/(43.42-3.1*LOG10(B$5)))</f>
        <v>3878.9982748477769</v>
      </c>
      <c r="C65" s="30" t="s">
        <v>82</v>
      </c>
      <c r="D65" s="46">
        <f>10^(3+(D62-161.04+7.1*LOG10(20)-7.5*LOG10(5)+(24.37-3.7*(5/D$5)^2)*LOG10(D$5)-20*LOG10(D$4)+(3.2*(LOG10(11.75*D$6))^2-4.97))/(43.42-3.1*LOG10(D$5)))</f>
        <v>3903.7295352762949</v>
      </c>
      <c r="E65" s="30" t="s">
        <v>82</v>
      </c>
      <c r="F65" s="47">
        <f>10^(3+(F62-161.04+7.1*LOG10(20)-7.5*LOG10(5)+(24.37-3.7*(5/F$5)^2)*LOG10(F$5)-20*LOG10(F$4)+(3.2*(LOG10(11.75*F$6))^2-4.97))/(43.42-3.1*LOG10(F$5)))</f>
        <v>1487.8195467394987</v>
      </c>
      <c r="G65" s="30" t="s">
        <v>82</v>
      </c>
      <c r="H65" s="46">
        <f>10^(3+(H62-161.04+7.1*LOG10(20)-7.5*LOG10(5)+(24.37-3.7*(5/H$5)^2)*LOG10(H$5)-20*LOG10(H$4)+(3.2*(LOG10(11.75*H$6))^2-4.97))/(43.42-3.1*LOG10(H$5)))</f>
        <v>1488.4078764969288</v>
      </c>
      <c r="I65" s="30" t="s">
        <v>82</v>
      </c>
    </row>
    <row r="66" spans="1:9" ht="18">
      <c r="A66" s="25" t="s">
        <v>90</v>
      </c>
      <c r="B66" s="30" t="s">
        <v>50</v>
      </c>
      <c r="C66" s="30">
        <f>PI()*(C64)^2</f>
        <v>110982084.27824949</v>
      </c>
      <c r="D66" s="30" t="s">
        <v>50</v>
      </c>
      <c r="E66" s="30">
        <f>PI()*(E64)^2</f>
        <v>83834381.340162367</v>
      </c>
      <c r="F66" s="30" t="s">
        <v>50</v>
      </c>
      <c r="G66" s="30">
        <f>PI()*(G64)^2</f>
        <v>29792804.262979493</v>
      </c>
      <c r="H66" s="30" t="s">
        <v>50</v>
      </c>
      <c r="I66" s="30">
        <f>PI()*(I64)^2</f>
        <v>22238413.500239253</v>
      </c>
    </row>
    <row r="67" spans="1:9" ht="18">
      <c r="A67" s="25" t="s">
        <v>91</v>
      </c>
      <c r="B67" s="30">
        <f>PI()*(B65)^2</f>
        <v>47270374.780581504</v>
      </c>
      <c r="C67" s="30" t="s">
        <v>50</v>
      </c>
      <c r="D67" s="30">
        <f>PI()*(D65)^2</f>
        <v>47875058.067751899</v>
      </c>
      <c r="E67" s="30" t="s">
        <v>50</v>
      </c>
      <c r="F67" s="30">
        <f>PI()*(F65)^2</f>
        <v>6954251.5006335713</v>
      </c>
      <c r="G67" s="30" t="s">
        <v>50</v>
      </c>
      <c r="H67" s="30">
        <f>PI()*(H65)^2</f>
        <v>6959752.439291059</v>
      </c>
      <c r="I67" s="30" t="s">
        <v>50</v>
      </c>
    </row>
    <row r="69" spans="1:9">
      <c r="A69" s="44"/>
    </row>
    <row r="72" spans="1:9" ht="15">
      <c r="A72" s="39" t="s">
        <v>80</v>
      </c>
      <c r="B72" s="40"/>
      <c r="C72" s="40"/>
      <c r="D72" s="40"/>
      <c r="E72" s="40"/>
    </row>
    <row r="73" spans="1:9" ht="15">
      <c r="A73" s="39"/>
      <c r="B73" s="40"/>
      <c r="C73" s="40"/>
      <c r="D73" s="40"/>
      <c r="E73" s="40"/>
    </row>
    <row r="76" spans="1:9">
      <c r="F76" s="35"/>
    </row>
  </sheetData>
  <mergeCells count="2">
    <mergeCell ref="B1:E1"/>
    <mergeCell ref="F1:I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zoomScale="60" zoomScaleNormal="60" workbookViewId="0">
      <selection activeCell="F42" sqref="F42"/>
    </sheetView>
  </sheetViews>
  <sheetFormatPr defaultColWidth="8.875" defaultRowHeight="14.25"/>
  <cols>
    <col min="1" max="1" width="69" style="26" customWidth="1"/>
    <col min="2" max="2" width="22.625" style="35" bestFit="1" customWidth="1"/>
    <col min="3" max="3" width="18.375" style="35" bestFit="1" customWidth="1"/>
    <col min="4" max="4" width="18.125" style="35" customWidth="1"/>
    <col min="5" max="5" width="18.625" style="35" customWidth="1"/>
    <col min="6" max="6" width="18.125" style="36" customWidth="1"/>
    <col min="7" max="7" width="18.5" style="36" customWidth="1"/>
    <col min="8" max="8" width="20" style="36" customWidth="1"/>
    <col min="9" max="9" width="18.375" style="36" customWidth="1"/>
  </cols>
  <sheetData>
    <row r="1" spans="1:9">
      <c r="A1" s="42" t="s">
        <v>0</v>
      </c>
      <c r="B1" s="136" t="s">
        <v>47</v>
      </c>
      <c r="C1" s="136"/>
      <c r="D1" s="136"/>
      <c r="E1" s="137"/>
      <c r="F1" s="138" t="s">
        <v>48</v>
      </c>
      <c r="G1" s="138"/>
      <c r="H1" s="138"/>
      <c r="I1" s="138"/>
    </row>
    <row r="2" spans="1:9" ht="28.5">
      <c r="A2" s="15"/>
      <c r="B2" s="127" t="s">
        <v>203</v>
      </c>
      <c r="C2" s="127" t="s">
        <v>211</v>
      </c>
      <c r="D2" s="127" t="s">
        <v>212</v>
      </c>
      <c r="E2" s="127" t="s">
        <v>221</v>
      </c>
      <c r="F2" s="127" t="s">
        <v>205</v>
      </c>
      <c r="G2" s="127" t="s">
        <v>206</v>
      </c>
      <c r="H2" s="127" t="s">
        <v>214</v>
      </c>
      <c r="I2" s="127" t="s">
        <v>215</v>
      </c>
    </row>
    <row r="3" spans="1:9">
      <c r="A3" s="16" t="s">
        <v>1</v>
      </c>
      <c r="B3" s="129"/>
      <c r="C3" s="129"/>
      <c r="D3" s="129"/>
      <c r="E3" s="129"/>
      <c r="F3" s="129"/>
      <c r="G3" s="129"/>
      <c r="H3" s="129"/>
      <c r="I3" s="129"/>
    </row>
    <row r="4" spans="1:9" ht="15">
      <c r="A4" s="17" t="s">
        <v>2</v>
      </c>
      <c r="B4" s="46">
        <v>0.7</v>
      </c>
      <c r="C4" s="46">
        <v>0.7</v>
      </c>
      <c r="D4" s="46">
        <v>0.7</v>
      </c>
      <c r="E4" s="46">
        <v>0.7</v>
      </c>
      <c r="F4" s="46">
        <v>0.7</v>
      </c>
      <c r="G4" s="46">
        <v>0.7</v>
      </c>
      <c r="H4" s="46">
        <v>0.7</v>
      </c>
      <c r="I4" s="46">
        <v>0.7</v>
      </c>
    </row>
    <row r="5" spans="1:9" ht="15">
      <c r="A5" s="17" t="s">
        <v>3</v>
      </c>
      <c r="B5" s="46">
        <v>35</v>
      </c>
      <c r="C5" s="46">
        <v>35</v>
      </c>
      <c r="D5" s="46">
        <v>35</v>
      </c>
      <c r="E5" s="46">
        <v>35</v>
      </c>
      <c r="F5" s="46">
        <v>35</v>
      </c>
      <c r="G5" s="46">
        <v>35</v>
      </c>
      <c r="H5" s="46">
        <v>35</v>
      </c>
      <c r="I5" s="46">
        <v>35</v>
      </c>
    </row>
    <row r="6" spans="1:9" ht="15">
      <c r="A6" s="17" t="s">
        <v>4</v>
      </c>
      <c r="B6" s="46">
        <v>1.5</v>
      </c>
      <c r="C6" s="46">
        <v>1.5</v>
      </c>
      <c r="D6" s="46">
        <v>1.5</v>
      </c>
      <c r="E6" s="46">
        <v>1.5</v>
      </c>
      <c r="F6" s="46">
        <v>1.5</v>
      </c>
      <c r="G6" s="46">
        <v>1.5</v>
      </c>
      <c r="H6" s="46">
        <v>1.5</v>
      </c>
      <c r="I6" s="46">
        <v>1.5</v>
      </c>
    </row>
    <row r="7" spans="1:9" ht="15">
      <c r="A7" s="17" t="s">
        <v>196</v>
      </c>
      <c r="B7" s="19" t="s">
        <v>50</v>
      </c>
      <c r="C7" s="43">
        <v>0.95</v>
      </c>
      <c r="D7" s="19" t="s">
        <v>50</v>
      </c>
      <c r="E7" s="43">
        <v>0.95</v>
      </c>
      <c r="F7" s="43" t="s">
        <v>50</v>
      </c>
      <c r="G7" s="19">
        <v>0.95</v>
      </c>
      <c r="H7" s="43" t="s">
        <v>50</v>
      </c>
      <c r="I7" s="19">
        <v>0.95</v>
      </c>
    </row>
    <row r="8" spans="1:9" ht="15">
      <c r="A8" s="17" t="s">
        <v>197</v>
      </c>
      <c r="B8" s="19">
        <v>0.9</v>
      </c>
      <c r="C8" s="43" t="s">
        <v>50</v>
      </c>
      <c r="D8" s="19">
        <v>0.9</v>
      </c>
      <c r="E8" s="43" t="s">
        <v>50</v>
      </c>
      <c r="F8" s="43">
        <v>0.9</v>
      </c>
      <c r="G8" s="19" t="s">
        <v>50</v>
      </c>
      <c r="H8" s="43">
        <v>0.9</v>
      </c>
      <c r="I8" s="19" t="s">
        <v>50</v>
      </c>
    </row>
    <row r="9" spans="1:9" ht="15">
      <c r="A9" s="17" t="s">
        <v>5</v>
      </c>
      <c r="B9" s="30" t="s">
        <v>50</v>
      </c>
      <c r="C9" s="30">
        <f>64/(0.001)</f>
        <v>64000</v>
      </c>
      <c r="D9" s="30" t="s">
        <v>50</v>
      </c>
      <c r="E9" s="30">
        <f>64/(0.001)</f>
        <v>64000</v>
      </c>
      <c r="F9" s="46" t="s">
        <v>50</v>
      </c>
      <c r="G9" s="30">
        <f>2/(0.5*0.001)</f>
        <v>4000</v>
      </c>
      <c r="H9" s="46" t="s">
        <v>50</v>
      </c>
      <c r="I9" s="30">
        <f>2/(0.5*0.001)</f>
        <v>4000</v>
      </c>
    </row>
    <row r="10" spans="1:9" ht="15">
      <c r="A10" s="17" t="s">
        <v>6</v>
      </c>
      <c r="B10" s="30">
        <f>2248233*3</f>
        <v>6744699</v>
      </c>
      <c r="C10" s="46" t="s">
        <v>50</v>
      </c>
      <c r="D10" s="30">
        <f>2248233*3</f>
        <v>6744699</v>
      </c>
      <c r="E10" s="46" t="s">
        <v>50</v>
      </c>
      <c r="F10" s="46">
        <f>74880*3</f>
        <v>224640</v>
      </c>
      <c r="G10" s="30" t="s">
        <v>50</v>
      </c>
      <c r="H10" s="46">
        <f>74880*3</f>
        <v>224640</v>
      </c>
      <c r="I10" s="30" t="s">
        <v>50</v>
      </c>
    </row>
    <row r="11" spans="1:9" ht="15">
      <c r="A11" s="17" t="s">
        <v>7</v>
      </c>
      <c r="B11" s="19" t="s">
        <v>50</v>
      </c>
      <c r="C11" s="43">
        <v>0.01</v>
      </c>
      <c r="D11" s="19" t="s">
        <v>50</v>
      </c>
      <c r="E11" s="43">
        <v>0.01</v>
      </c>
      <c r="F11" s="43" t="s">
        <v>50</v>
      </c>
      <c r="G11" s="19">
        <v>0.01</v>
      </c>
      <c r="H11" s="43" t="s">
        <v>50</v>
      </c>
      <c r="I11" s="19">
        <v>0.01</v>
      </c>
    </row>
    <row r="12" spans="1:9" ht="15">
      <c r="A12" s="17" t="s">
        <v>8</v>
      </c>
      <c r="B12" s="19">
        <v>0.1</v>
      </c>
      <c r="C12" s="43" t="s">
        <v>50</v>
      </c>
      <c r="D12" s="19">
        <v>0.1</v>
      </c>
      <c r="E12" s="43" t="s">
        <v>50</v>
      </c>
      <c r="F12" s="43">
        <v>0.1</v>
      </c>
      <c r="G12" s="19" t="s">
        <v>50</v>
      </c>
      <c r="H12" s="43">
        <v>0.1</v>
      </c>
      <c r="I12" s="19" t="s">
        <v>50</v>
      </c>
    </row>
    <row r="13" spans="1:9" ht="16.5">
      <c r="A13" s="17" t="s">
        <v>85</v>
      </c>
      <c r="B13" s="30">
        <f>B10/(B42*(4+2*11/14+1/14)/10)</f>
        <v>0.65101476793248958</v>
      </c>
      <c r="C13" s="46" t="s">
        <v>50</v>
      </c>
      <c r="D13" s="30">
        <f>D10/(D42*(4+2*11/14+1/14)/10)</f>
        <v>0.65101476793248958</v>
      </c>
      <c r="E13" s="46" t="s">
        <v>50</v>
      </c>
      <c r="F13" s="30">
        <f>F10/(F42*(4+2*2/14+1/14)/10)</f>
        <v>0.35803278688524592</v>
      </c>
      <c r="G13" s="30" t="s">
        <v>50</v>
      </c>
      <c r="H13" s="30">
        <f>H10/(H42*(4+2*2/14+1/14)/10)</f>
        <v>0.35803278688524592</v>
      </c>
      <c r="I13" s="30" t="s">
        <v>50</v>
      </c>
    </row>
    <row r="14" spans="1:9" ht="16.5">
      <c r="A14" s="17" t="s">
        <v>86</v>
      </c>
      <c r="B14" s="46" t="s">
        <v>106</v>
      </c>
      <c r="C14" s="46" t="s">
        <v>106</v>
      </c>
      <c r="D14" s="46" t="s">
        <v>110</v>
      </c>
      <c r="E14" s="46" t="s">
        <v>110</v>
      </c>
      <c r="F14" s="46" t="s">
        <v>106</v>
      </c>
      <c r="G14" s="46" t="s">
        <v>106</v>
      </c>
      <c r="H14" s="46" t="s">
        <v>110</v>
      </c>
      <c r="I14" s="46" t="s">
        <v>110</v>
      </c>
    </row>
    <row r="15" spans="1:9" ht="15">
      <c r="A15" s="17" t="s">
        <v>78</v>
      </c>
      <c r="B15" s="30">
        <v>120</v>
      </c>
      <c r="C15" s="30">
        <v>120</v>
      </c>
      <c r="D15" s="30">
        <v>3</v>
      </c>
      <c r="E15" s="30">
        <v>3</v>
      </c>
      <c r="F15" s="30">
        <v>120</v>
      </c>
      <c r="G15" s="30">
        <v>120</v>
      </c>
      <c r="H15" s="30">
        <v>3</v>
      </c>
      <c r="I15" s="30">
        <v>3</v>
      </c>
    </row>
    <row r="16" spans="1:9" ht="15">
      <c r="A16" s="17" t="s">
        <v>9</v>
      </c>
      <c r="B16" s="30">
        <v>3</v>
      </c>
      <c r="C16" s="46">
        <v>3</v>
      </c>
      <c r="D16" s="30">
        <v>3</v>
      </c>
      <c r="E16" s="46">
        <v>3</v>
      </c>
      <c r="F16" s="46">
        <v>3</v>
      </c>
      <c r="G16" s="30">
        <v>3</v>
      </c>
      <c r="H16" s="46">
        <v>3</v>
      </c>
      <c r="I16" s="30">
        <v>3</v>
      </c>
    </row>
    <row r="17" spans="1:9">
      <c r="A17" s="16" t="s">
        <v>10</v>
      </c>
      <c r="B17" s="129"/>
      <c r="C17" s="129"/>
      <c r="D17" s="129"/>
      <c r="E17" s="129"/>
      <c r="F17" s="129"/>
      <c r="G17" s="129"/>
      <c r="H17" s="129"/>
      <c r="I17" s="129"/>
    </row>
    <row r="18" spans="1:9" ht="30">
      <c r="A18" s="17" t="s">
        <v>76</v>
      </c>
      <c r="B18" s="30">
        <v>64</v>
      </c>
      <c r="C18" s="46">
        <v>64</v>
      </c>
      <c r="D18" s="30">
        <v>64</v>
      </c>
      <c r="E18" s="46">
        <v>64</v>
      </c>
      <c r="F18" s="30">
        <v>1</v>
      </c>
      <c r="G18" s="46">
        <v>1</v>
      </c>
      <c r="H18" s="30">
        <v>1</v>
      </c>
      <c r="I18" s="46">
        <v>1</v>
      </c>
    </row>
    <row r="19" spans="1:9" ht="15">
      <c r="A19" s="17" t="s">
        <v>107</v>
      </c>
      <c r="B19" s="30">
        <v>2</v>
      </c>
      <c r="C19" s="46">
        <v>2</v>
      </c>
      <c r="D19" s="30">
        <v>2</v>
      </c>
      <c r="E19" s="46">
        <v>2</v>
      </c>
      <c r="F19" s="30">
        <v>1</v>
      </c>
      <c r="G19" s="46">
        <v>1</v>
      </c>
      <c r="H19" s="30">
        <v>1</v>
      </c>
      <c r="I19" s="46">
        <v>1</v>
      </c>
    </row>
    <row r="20" spans="1:9" ht="15">
      <c r="A20" s="17" t="s">
        <v>11</v>
      </c>
      <c r="B20" s="30">
        <v>31</v>
      </c>
      <c r="C20" s="46">
        <v>31</v>
      </c>
      <c r="D20" s="30">
        <v>31</v>
      </c>
      <c r="E20" s="46">
        <v>31</v>
      </c>
      <c r="F20" s="30">
        <v>23</v>
      </c>
      <c r="G20" s="46">
        <v>23</v>
      </c>
      <c r="H20" s="30">
        <v>23</v>
      </c>
      <c r="I20" s="46">
        <v>23</v>
      </c>
    </row>
    <row r="21" spans="1:9" ht="33">
      <c r="A21" s="37" t="s">
        <v>198</v>
      </c>
      <c r="B21" s="34">
        <f t="shared" ref="B21:I21" si="0">B20+10*LOG10(B18)</f>
        <v>49.061799739838875</v>
      </c>
      <c r="C21" s="34">
        <f t="shared" si="0"/>
        <v>49.061799739838875</v>
      </c>
      <c r="D21" s="34">
        <f t="shared" si="0"/>
        <v>49.061799739838875</v>
      </c>
      <c r="E21" s="34">
        <f t="shared" si="0"/>
        <v>49.061799739838875</v>
      </c>
      <c r="F21" s="34">
        <f t="shared" si="0"/>
        <v>23</v>
      </c>
      <c r="G21" s="34">
        <f t="shared" si="0"/>
        <v>23</v>
      </c>
      <c r="H21" s="34">
        <f t="shared" si="0"/>
        <v>23</v>
      </c>
      <c r="I21" s="34">
        <f t="shared" si="0"/>
        <v>23</v>
      </c>
    </row>
    <row r="22" spans="1:9" ht="15">
      <c r="A22" s="17" t="s">
        <v>12</v>
      </c>
      <c r="B22" s="30">
        <v>8</v>
      </c>
      <c r="C22" s="46">
        <v>8</v>
      </c>
      <c r="D22" s="30">
        <v>8</v>
      </c>
      <c r="E22" s="46">
        <v>8</v>
      </c>
      <c r="F22" s="30">
        <v>0</v>
      </c>
      <c r="G22" s="46">
        <v>0</v>
      </c>
      <c r="H22" s="30">
        <v>0</v>
      </c>
      <c r="I22" s="46">
        <v>0</v>
      </c>
    </row>
    <row r="23" spans="1:9" ht="30">
      <c r="A23" s="38" t="s">
        <v>13</v>
      </c>
      <c r="B23" s="34">
        <f t="shared" ref="B23:I23" si="1">IF(B18&gt;=2, 10*LOG10(B18/2), 0)</f>
        <v>15.051499783199061</v>
      </c>
      <c r="C23" s="34">
        <f t="shared" si="1"/>
        <v>15.051499783199061</v>
      </c>
      <c r="D23" s="34">
        <f t="shared" si="1"/>
        <v>15.051499783199061</v>
      </c>
      <c r="E23" s="34">
        <f t="shared" si="1"/>
        <v>15.051499783199061</v>
      </c>
      <c r="F23" s="34">
        <f t="shared" si="1"/>
        <v>0</v>
      </c>
      <c r="G23" s="34">
        <f t="shared" si="1"/>
        <v>0</v>
      </c>
      <c r="H23" s="34">
        <f t="shared" si="1"/>
        <v>0</v>
      </c>
      <c r="I23" s="34">
        <f t="shared" si="1"/>
        <v>0</v>
      </c>
    </row>
    <row r="24" spans="1:9" ht="15">
      <c r="A24" s="17" t="s">
        <v>14</v>
      </c>
      <c r="B24" s="30">
        <v>0</v>
      </c>
      <c r="C24" s="30">
        <v>0</v>
      </c>
      <c r="D24" s="30">
        <v>0</v>
      </c>
      <c r="E24" s="30">
        <v>0</v>
      </c>
      <c r="F24" s="30">
        <v>0</v>
      </c>
      <c r="G24" s="30">
        <v>0</v>
      </c>
      <c r="H24" s="30">
        <v>0</v>
      </c>
      <c r="I24" s="30">
        <v>0</v>
      </c>
    </row>
    <row r="25" spans="1:9" ht="15">
      <c r="A25" s="17" t="s">
        <v>15</v>
      </c>
      <c r="B25" s="30">
        <v>0</v>
      </c>
      <c r="C25" s="30">
        <v>0</v>
      </c>
      <c r="D25" s="30">
        <v>0</v>
      </c>
      <c r="E25" s="30">
        <v>0</v>
      </c>
      <c r="F25" s="30">
        <v>0</v>
      </c>
      <c r="G25" s="30">
        <v>0</v>
      </c>
      <c r="H25" s="30">
        <v>0</v>
      </c>
      <c r="I25" s="30">
        <v>0</v>
      </c>
    </row>
    <row r="26" spans="1:9" ht="30">
      <c r="A26" s="17" t="s">
        <v>16</v>
      </c>
      <c r="B26" s="30">
        <v>3</v>
      </c>
      <c r="C26" s="30">
        <v>3</v>
      </c>
      <c r="D26" s="30">
        <v>3</v>
      </c>
      <c r="E26" s="30">
        <v>3</v>
      </c>
      <c r="F26" s="30">
        <v>1</v>
      </c>
      <c r="G26" s="30">
        <v>1</v>
      </c>
      <c r="H26" s="30">
        <v>1</v>
      </c>
      <c r="I26" s="30">
        <v>1</v>
      </c>
    </row>
    <row r="27" spans="1:9" ht="15">
      <c r="A27" s="21" t="s">
        <v>17</v>
      </c>
      <c r="B27" s="33">
        <f t="shared" ref="B27:I27" si="2">B21+B22+B23+B24-B26</f>
        <v>69.113299523037938</v>
      </c>
      <c r="C27" s="33">
        <f t="shared" si="2"/>
        <v>69.113299523037938</v>
      </c>
      <c r="D27" s="33">
        <f t="shared" si="2"/>
        <v>69.113299523037938</v>
      </c>
      <c r="E27" s="33">
        <f t="shared" si="2"/>
        <v>69.113299523037938</v>
      </c>
      <c r="F27" s="33">
        <f t="shared" si="2"/>
        <v>22</v>
      </c>
      <c r="G27" s="33">
        <f t="shared" si="2"/>
        <v>22</v>
      </c>
      <c r="H27" s="33">
        <f t="shared" si="2"/>
        <v>22</v>
      </c>
      <c r="I27" s="33">
        <f t="shared" si="2"/>
        <v>22</v>
      </c>
    </row>
    <row r="28" spans="1:9" ht="15">
      <c r="A28" s="21" t="s">
        <v>18</v>
      </c>
      <c r="B28" s="33">
        <f t="shared" ref="B28:I28" si="3">B21+B22+B23-B25-B26</f>
        <v>69.113299523037938</v>
      </c>
      <c r="C28" s="33">
        <f t="shared" si="3"/>
        <v>69.113299523037938</v>
      </c>
      <c r="D28" s="33">
        <f t="shared" si="3"/>
        <v>69.113299523037938</v>
      </c>
      <c r="E28" s="33">
        <f t="shared" si="3"/>
        <v>69.113299523037938</v>
      </c>
      <c r="F28" s="33">
        <f t="shared" si="3"/>
        <v>22</v>
      </c>
      <c r="G28" s="33">
        <f t="shared" si="3"/>
        <v>22</v>
      </c>
      <c r="H28" s="33">
        <f t="shared" si="3"/>
        <v>22</v>
      </c>
      <c r="I28" s="33">
        <f t="shared" si="3"/>
        <v>22</v>
      </c>
    </row>
    <row r="29" spans="1:9">
      <c r="A29" s="16" t="s">
        <v>19</v>
      </c>
      <c r="B29" s="129"/>
      <c r="C29" s="129"/>
      <c r="D29" s="129"/>
      <c r="E29" s="129"/>
      <c r="F29" s="129"/>
      <c r="G29" s="129"/>
      <c r="H29" s="129"/>
      <c r="I29" s="129"/>
    </row>
    <row r="30" spans="1:9" ht="30">
      <c r="A30" s="17" t="s">
        <v>75</v>
      </c>
      <c r="B30" s="30">
        <v>2</v>
      </c>
      <c r="C30" s="46">
        <v>2</v>
      </c>
      <c r="D30" s="30">
        <v>2</v>
      </c>
      <c r="E30" s="46">
        <v>2</v>
      </c>
      <c r="F30" s="46">
        <v>64</v>
      </c>
      <c r="G30" s="46">
        <v>64</v>
      </c>
      <c r="H30" s="46">
        <v>64</v>
      </c>
      <c r="I30" s="46">
        <v>64</v>
      </c>
    </row>
    <row r="31" spans="1:9" ht="15">
      <c r="A31" s="17" t="s">
        <v>138</v>
      </c>
      <c r="B31" s="30">
        <v>2</v>
      </c>
      <c r="C31" s="46">
        <v>2</v>
      </c>
      <c r="D31" s="30">
        <v>2</v>
      </c>
      <c r="E31" s="46">
        <v>2</v>
      </c>
      <c r="F31" s="46">
        <v>2</v>
      </c>
      <c r="G31" s="46">
        <v>2</v>
      </c>
      <c r="H31" s="46">
        <v>2</v>
      </c>
      <c r="I31" s="46">
        <v>2</v>
      </c>
    </row>
    <row r="32" spans="1:9" ht="15">
      <c r="A32" s="17" t="s">
        <v>20</v>
      </c>
      <c r="B32" s="30">
        <v>0</v>
      </c>
      <c r="C32" s="46">
        <v>0</v>
      </c>
      <c r="D32" s="30">
        <v>0</v>
      </c>
      <c r="E32" s="46">
        <v>0</v>
      </c>
      <c r="F32" s="46">
        <v>8</v>
      </c>
      <c r="G32" s="46">
        <v>8</v>
      </c>
      <c r="H32" s="46">
        <v>8</v>
      </c>
      <c r="I32" s="46">
        <v>8</v>
      </c>
    </row>
    <row r="33" spans="1:9" ht="28.5">
      <c r="A33" s="22" t="s">
        <v>79</v>
      </c>
      <c r="B33" s="34">
        <f t="shared" ref="B33:I33" si="4">IF(B30&gt;=2, 10*LOG10(B30/2), 0)</f>
        <v>0</v>
      </c>
      <c r="C33" s="34">
        <f t="shared" si="4"/>
        <v>0</v>
      </c>
      <c r="D33" s="34">
        <f t="shared" si="4"/>
        <v>0</v>
      </c>
      <c r="E33" s="34">
        <f t="shared" si="4"/>
        <v>0</v>
      </c>
      <c r="F33" s="34">
        <f t="shared" si="4"/>
        <v>15.051499783199061</v>
      </c>
      <c r="G33" s="34">
        <f t="shared" si="4"/>
        <v>15.051499783199061</v>
      </c>
      <c r="H33" s="34">
        <f t="shared" si="4"/>
        <v>15.051499783199061</v>
      </c>
      <c r="I33" s="34">
        <f t="shared" si="4"/>
        <v>15.051499783199061</v>
      </c>
    </row>
    <row r="34" spans="1:9" ht="30">
      <c r="A34" s="17" t="s">
        <v>21</v>
      </c>
      <c r="B34" s="30">
        <v>1</v>
      </c>
      <c r="C34" s="46">
        <v>1</v>
      </c>
      <c r="D34" s="30">
        <v>1</v>
      </c>
      <c r="E34" s="46">
        <v>1</v>
      </c>
      <c r="F34" s="30">
        <v>3</v>
      </c>
      <c r="G34" s="30">
        <v>3</v>
      </c>
      <c r="H34" s="30">
        <v>3</v>
      </c>
      <c r="I34" s="30">
        <v>3</v>
      </c>
    </row>
    <row r="35" spans="1:9" ht="15">
      <c r="A35" s="17" t="s">
        <v>22</v>
      </c>
      <c r="B35" s="30">
        <v>7</v>
      </c>
      <c r="C35" s="30">
        <v>7</v>
      </c>
      <c r="D35" s="30">
        <v>7</v>
      </c>
      <c r="E35" s="30">
        <v>7</v>
      </c>
      <c r="F35" s="30">
        <v>5</v>
      </c>
      <c r="G35" s="30">
        <v>5</v>
      </c>
      <c r="H35" s="30">
        <v>5</v>
      </c>
      <c r="I35" s="30">
        <v>5</v>
      </c>
    </row>
    <row r="36" spans="1:9" ht="15">
      <c r="A36" s="17" t="s">
        <v>23</v>
      </c>
      <c r="B36" s="30">
        <v>-174</v>
      </c>
      <c r="C36" s="30">
        <v>-174</v>
      </c>
      <c r="D36" s="30">
        <v>-174</v>
      </c>
      <c r="E36" s="30">
        <v>-174</v>
      </c>
      <c r="F36" s="30">
        <v>-174</v>
      </c>
      <c r="G36" s="30">
        <v>-174</v>
      </c>
      <c r="H36" s="30">
        <v>-174</v>
      </c>
      <c r="I36" s="30">
        <v>-174</v>
      </c>
    </row>
    <row r="37" spans="1:9" ht="15">
      <c r="A37" s="17" t="s">
        <v>199</v>
      </c>
      <c r="B37" s="30" t="s">
        <v>50</v>
      </c>
      <c r="C37" s="30">
        <v>-169.3</v>
      </c>
      <c r="D37" s="30" t="s">
        <v>50</v>
      </c>
      <c r="E37" s="30">
        <v>-169.3</v>
      </c>
      <c r="F37" s="30" t="s">
        <v>50</v>
      </c>
      <c r="G37" s="30">
        <v>-161.69999999999999</v>
      </c>
      <c r="H37" s="30" t="s">
        <v>50</v>
      </c>
      <c r="I37" s="30">
        <v>-161.69999999999999</v>
      </c>
    </row>
    <row r="38" spans="1:9" ht="15">
      <c r="A38" s="17" t="s">
        <v>24</v>
      </c>
      <c r="B38" s="30">
        <v>-169.3</v>
      </c>
      <c r="C38" s="30" t="s">
        <v>50</v>
      </c>
      <c r="D38" s="30">
        <v>-169.3</v>
      </c>
      <c r="E38" s="30" t="s">
        <v>50</v>
      </c>
      <c r="F38" s="30">
        <v>-165.7</v>
      </c>
      <c r="G38" s="30" t="s">
        <v>50</v>
      </c>
      <c r="H38" s="30">
        <v>-165.7</v>
      </c>
      <c r="I38" s="30" t="s">
        <v>50</v>
      </c>
    </row>
    <row r="39" spans="1:9" ht="30">
      <c r="A39" s="23" t="s">
        <v>200</v>
      </c>
      <c r="B39" s="33" t="s">
        <v>50</v>
      </c>
      <c r="C39" s="33">
        <f t="shared" ref="C39:I39" si="5">10*LOG10(10^((C35+C36)/10)+10^(C37/10))</f>
        <v>-164.98918835931039</v>
      </c>
      <c r="D39" s="33" t="s">
        <v>50</v>
      </c>
      <c r="E39" s="33">
        <f t="shared" si="5"/>
        <v>-164.98918835931039</v>
      </c>
      <c r="F39" s="33" t="s">
        <v>50</v>
      </c>
      <c r="G39" s="33">
        <f t="shared" si="5"/>
        <v>-160.9583889004532</v>
      </c>
      <c r="H39" s="33" t="s">
        <v>50</v>
      </c>
      <c r="I39" s="33">
        <f t="shared" si="5"/>
        <v>-160.9583889004532</v>
      </c>
    </row>
    <row r="40" spans="1:9" ht="30">
      <c r="A40" s="23" t="s">
        <v>201</v>
      </c>
      <c r="B40" s="33">
        <f t="shared" ref="B40:H40" si="6">10*LOG10(10^((B35+B36)/10)+10^(B38/10))</f>
        <v>-164.98918835931039</v>
      </c>
      <c r="C40" s="33" t="s">
        <v>50</v>
      </c>
      <c r="D40" s="33">
        <f t="shared" si="6"/>
        <v>-164.98918835931039</v>
      </c>
      <c r="E40" s="33" t="s">
        <v>50</v>
      </c>
      <c r="F40" s="33">
        <f t="shared" si="6"/>
        <v>-164.03352307536667</v>
      </c>
      <c r="G40" s="33" t="s">
        <v>50</v>
      </c>
      <c r="H40" s="33">
        <f t="shared" si="6"/>
        <v>-164.03352307536667</v>
      </c>
      <c r="I40" s="33" t="s">
        <v>50</v>
      </c>
    </row>
    <row r="41" spans="1:9" ht="30">
      <c r="A41" s="17" t="s">
        <v>25</v>
      </c>
      <c r="B41" s="30" t="s">
        <v>50</v>
      </c>
      <c r="C41" s="30">
        <v>19080000</v>
      </c>
      <c r="D41" s="30" t="s">
        <v>50</v>
      </c>
      <c r="E41" s="30">
        <f>MaxN_RB!F6*12*15*1000</f>
        <v>19080000</v>
      </c>
      <c r="F41" s="46" t="s">
        <v>50</v>
      </c>
      <c r="G41" s="30">
        <f>1*12*30*1000</f>
        <v>360000</v>
      </c>
      <c r="H41" s="46" t="s">
        <v>50</v>
      </c>
      <c r="I41" s="30">
        <f>1*12*30*1000</f>
        <v>360000</v>
      </c>
    </row>
    <row r="42" spans="1:9" ht="30">
      <c r="A42" s="17" t="s">
        <v>26</v>
      </c>
      <c r="B42" s="30">
        <f>MaxN_RB!F7*12*30*1000</f>
        <v>18360000</v>
      </c>
      <c r="C42" s="46" t="s">
        <v>50</v>
      </c>
      <c r="D42" s="30">
        <f>MaxN_RB!F7*12*30*1000</f>
        <v>18360000</v>
      </c>
      <c r="E42" s="46" t="s">
        <v>50</v>
      </c>
      <c r="F42" s="30">
        <f>4*12*30*1000</f>
        <v>1440000</v>
      </c>
      <c r="G42" s="30" t="s">
        <v>50</v>
      </c>
      <c r="H42" s="30">
        <f>4*12*30*1000</f>
        <v>1440000</v>
      </c>
      <c r="I42" s="30" t="s">
        <v>50</v>
      </c>
    </row>
    <row r="43" spans="1:9" ht="15">
      <c r="A43" s="21" t="s">
        <v>27</v>
      </c>
      <c r="B43" s="33" t="s">
        <v>50</v>
      </c>
      <c r="C43" s="33">
        <f t="shared" ref="B43:I44" si="7">C39+10*LOG10(C41)</f>
        <v>-92.18340465562963</v>
      </c>
      <c r="D43" s="33" t="s">
        <v>50</v>
      </c>
      <c r="E43" s="33">
        <f t="shared" si="7"/>
        <v>-92.18340465562963</v>
      </c>
      <c r="F43" s="33" t="s">
        <v>50</v>
      </c>
      <c r="G43" s="33">
        <f t="shared" si="7"/>
        <v>-105.39536389278032</v>
      </c>
      <c r="H43" s="33" t="s">
        <v>50</v>
      </c>
      <c r="I43" s="33">
        <f t="shared" si="7"/>
        <v>-105.39536389278032</v>
      </c>
    </row>
    <row r="44" spans="1:9" ht="15">
      <c r="A44" s="21" t="s">
        <v>28</v>
      </c>
      <c r="B44" s="33">
        <f t="shared" si="7"/>
        <v>-92.350461590658156</v>
      </c>
      <c r="C44" s="33" t="s">
        <v>50</v>
      </c>
      <c r="D44" s="33">
        <f t="shared" si="7"/>
        <v>-92.350461590658156</v>
      </c>
      <c r="E44" s="33" t="s">
        <v>50</v>
      </c>
      <c r="F44" s="33">
        <f t="shared" si="7"/>
        <v>-102.44989815441417</v>
      </c>
      <c r="G44" s="33" t="s">
        <v>50</v>
      </c>
      <c r="H44" s="33">
        <f t="shared" si="7"/>
        <v>-102.44989815441417</v>
      </c>
      <c r="I44" s="33" t="s">
        <v>50</v>
      </c>
    </row>
    <row r="45" spans="1:9" ht="15">
      <c r="A45" s="17" t="s">
        <v>29</v>
      </c>
      <c r="B45" s="30" t="s">
        <v>50</v>
      </c>
      <c r="C45" s="54">
        <v>-4.5999999999999996</v>
      </c>
      <c r="D45" s="54" t="s">
        <v>50</v>
      </c>
      <c r="E45" s="54">
        <v>-4.5</v>
      </c>
      <c r="F45" s="30" t="s">
        <v>50</v>
      </c>
      <c r="G45" s="54">
        <v>-5</v>
      </c>
      <c r="H45" s="54" t="s">
        <v>50</v>
      </c>
      <c r="I45" s="54">
        <v>-7.5</v>
      </c>
    </row>
    <row r="46" spans="1:9" ht="15">
      <c r="A46" s="17" t="s">
        <v>30</v>
      </c>
      <c r="B46" s="30">
        <v>2.8</v>
      </c>
      <c r="C46" s="30" t="s">
        <v>50</v>
      </c>
      <c r="D46" s="30">
        <v>-0.5</v>
      </c>
      <c r="E46" s="30" t="s">
        <v>50</v>
      </c>
      <c r="F46" s="54">
        <v>1.28</v>
      </c>
      <c r="G46" s="30" t="s">
        <v>50</v>
      </c>
      <c r="H46" s="54">
        <v>0.45</v>
      </c>
      <c r="I46" s="30" t="s">
        <v>50</v>
      </c>
    </row>
    <row r="47" spans="1:9" ht="15">
      <c r="A47" s="17" t="s">
        <v>31</v>
      </c>
      <c r="B47" s="30">
        <v>2</v>
      </c>
      <c r="C47" s="30">
        <v>2</v>
      </c>
      <c r="D47" s="30">
        <v>2</v>
      </c>
      <c r="E47" s="30">
        <v>2</v>
      </c>
      <c r="F47" s="46">
        <v>2</v>
      </c>
      <c r="G47" s="30">
        <v>2</v>
      </c>
      <c r="H47" s="46">
        <v>2</v>
      </c>
      <c r="I47" s="30">
        <v>2</v>
      </c>
    </row>
    <row r="48" spans="1:9" ht="15">
      <c r="A48" s="17" t="s">
        <v>32</v>
      </c>
      <c r="B48" s="30" t="s">
        <v>50</v>
      </c>
      <c r="C48" s="30">
        <v>0</v>
      </c>
      <c r="D48" s="30" t="s">
        <v>50</v>
      </c>
      <c r="E48" s="30">
        <v>0</v>
      </c>
      <c r="F48" s="46" t="s">
        <v>50</v>
      </c>
      <c r="G48" s="30">
        <v>0</v>
      </c>
      <c r="H48" s="46" t="s">
        <v>50</v>
      </c>
      <c r="I48" s="30">
        <v>0</v>
      </c>
    </row>
    <row r="49" spans="1:9" ht="15">
      <c r="A49" s="17" t="s">
        <v>33</v>
      </c>
      <c r="B49" s="30">
        <v>0.5</v>
      </c>
      <c r="C49" s="30" t="s">
        <v>50</v>
      </c>
      <c r="D49" s="30">
        <v>0.5</v>
      </c>
      <c r="E49" s="30" t="s">
        <v>50</v>
      </c>
      <c r="F49" s="46">
        <v>0.5</v>
      </c>
      <c r="G49" s="30" t="s">
        <v>50</v>
      </c>
      <c r="H49" s="46">
        <v>0.5</v>
      </c>
      <c r="I49" s="30" t="s">
        <v>50</v>
      </c>
    </row>
    <row r="50" spans="1:9" ht="30">
      <c r="A50" s="23" t="s">
        <v>44</v>
      </c>
      <c r="B50" s="33" t="s">
        <v>50</v>
      </c>
      <c r="C50" s="33">
        <f t="shared" ref="C50:I50" si="8">C43+C45+C47-C48</f>
        <v>-94.783404655629624</v>
      </c>
      <c r="D50" s="33" t="s">
        <v>50</v>
      </c>
      <c r="E50" s="33">
        <f t="shared" si="8"/>
        <v>-94.68340465562963</v>
      </c>
      <c r="F50" s="33" t="s">
        <v>50</v>
      </c>
      <c r="G50" s="33">
        <f t="shared" si="8"/>
        <v>-108.39536389278032</v>
      </c>
      <c r="H50" s="33" t="s">
        <v>50</v>
      </c>
      <c r="I50" s="33">
        <f t="shared" si="8"/>
        <v>-110.89536389278032</v>
      </c>
    </row>
    <row r="51" spans="1:9" ht="15">
      <c r="A51" s="23" t="s">
        <v>45</v>
      </c>
      <c r="B51" s="33">
        <f>B44+B46+B47-B49</f>
        <v>-88.050461590658159</v>
      </c>
      <c r="C51" s="33" t="s">
        <v>50</v>
      </c>
      <c r="D51" s="33">
        <f t="shared" ref="D51:H51" si="9">D44+D46+D47-D49</f>
        <v>-91.350461590658156</v>
      </c>
      <c r="E51" s="33" t="s">
        <v>50</v>
      </c>
      <c r="F51" s="33">
        <f t="shared" si="9"/>
        <v>-99.66989815441417</v>
      </c>
      <c r="G51" s="33" t="s">
        <v>50</v>
      </c>
      <c r="H51" s="33">
        <f t="shared" si="9"/>
        <v>-100.49989815441417</v>
      </c>
      <c r="I51" s="33" t="s">
        <v>50</v>
      </c>
    </row>
    <row r="52" spans="1:9" ht="30">
      <c r="A52" s="23" t="s">
        <v>96</v>
      </c>
      <c r="B52" s="33" t="s">
        <v>50</v>
      </c>
      <c r="C52" s="33">
        <f t="shared" ref="C52:I52" si="10">C27+C32+C33-C50</f>
        <v>163.89670417866756</v>
      </c>
      <c r="D52" s="33" t="s">
        <v>50</v>
      </c>
      <c r="E52" s="33">
        <f t="shared" si="10"/>
        <v>163.79670417866757</v>
      </c>
      <c r="F52" s="33" t="s">
        <v>50</v>
      </c>
      <c r="G52" s="33">
        <f t="shared" si="10"/>
        <v>153.44686367597939</v>
      </c>
      <c r="H52" s="33" t="s">
        <v>50</v>
      </c>
      <c r="I52" s="33">
        <f t="shared" si="10"/>
        <v>155.94686367597939</v>
      </c>
    </row>
    <row r="53" spans="1:9" ht="15">
      <c r="A53" s="23" t="s">
        <v>88</v>
      </c>
      <c r="B53" s="33">
        <f t="shared" ref="B53:H53" si="11">B28+B32+B33-B51</f>
        <v>157.1637611136961</v>
      </c>
      <c r="C53" s="33" t="s">
        <v>50</v>
      </c>
      <c r="D53" s="33">
        <f t="shared" si="11"/>
        <v>160.46376111369608</v>
      </c>
      <c r="E53" s="33" t="s">
        <v>50</v>
      </c>
      <c r="F53" s="33">
        <f t="shared" si="11"/>
        <v>144.72139793761323</v>
      </c>
      <c r="G53" s="33" t="s">
        <v>50</v>
      </c>
      <c r="H53" s="33">
        <f t="shared" si="11"/>
        <v>145.55139793761322</v>
      </c>
      <c r="I53" s="33" t="s">
        <v>50</v>
      </c>
    </row>
    <row r="54" spans="1:9">
      <c r="A54" s="16" t="s">
        <v>34</v>
      </c>
      <c r="B54" s="129"/>
      <c r="C54" s="129"/>
      <c r="D54" s="129"/>
      <c r="E54" s="129"/>
      <c r="F54" s="129"/>
      <c r="G54" s="129"/>
      <c r="H54" s="129"/>
      <c r="I54" s="129"/>
    </row>
    <row r="55" spans="1:9" ht="15">
      <c r="A55" s="17" t="s">
        <v>35</v>
      </c>
      <c r="B55" s="46">
        <v>8</v>
      </c>
      <c r="C55" s="46">
        <v>8</v>
      </c>
      <c r="D55" s="46">
        <v>8</v>
      </c>
      <c r="E55" s="46">
        <v>8</v>
      </c>
      <c r="F55" s="46">
        <v>8</v>
      </c>
      <c r="G55" s="46">
        <v>8</v>
      </c>
      <c r="H55" s="46">
        <v>8</v>
      </c>
      <c r="I55" s="46">
        <v>8</v>
      </c>
    </row>
    <row r="56" spans="1:9" ht="18">
      <c r="A56" s="24" t="s">
        <v>89</v>
      </c>
      <c r="B56" s="46"/>
      <c r="C56" s="46"/>
      <c r="D56" s="46"/>
      <c r="E56" s="46"/>
      <c r="F56" s="46"/>
      <c r="G56" s="46"/>
      <c r="H56" s="46"/>
      <c r="I56" s="46"/>
    </row>
    <row r="57" spans="1:9" ht="30">
      <c r="A57" s="17" t="s">
        <v>36</v>
      </c>
      <c r="B57" s="46" t="s">
        <v>50</v>
      </c>
      <c r="C57" s="46">
        <v>10.45</v>
      </c>
      <c r="D57" s="46" t="s">
        <v>50</v>
      </c>
      <c r="E57" s="46">
        <v>10</v>
      </c>
      <c r="F57" s="46" t="s">
        <v>50</v>
      </c>
      <c r="G57" s="46">
        <v>10.45</v>
      </c>
      <c r="H57" s="46" t="s">
        <v>50</v>
      </c>
      <c r="I57" s="46">
        <v>10</v>
      </c>
    </row>
    <row r="58" spans="1:9" ht="30">
      <c r="A58" s="17" t="s">
        <v>37</v>
      </c>
      <c r="B58" s="46">
        <v>6.61</v>
      </c>
      <c r="C58" s="46" t="s">
        <v>50</v>
      </c>
      <c r="D58" s="46">
        <v>6.3</v>
      </c>
      <c r="E58" s="46" t="s">
        <v>50</v>
      </c>
      <c r="F58" s="46">
        <v>6.61</v>
      </c>
      <c r="G58" s="46" t="s">
        <v>50</v>
      </c>
      <c r="H58" s="46">
        <v>6.3</v>
      </c>
      <c r="I58" s="46" t="s">
        <v>50</v>
      </c>
    </row>
    <row r="59" spans="1:9" ht="15">
      <c r="A59" s="17" t="s">
        <v>38</v>
      </c>
      <c r="B59" s="46">
        <v>0</v>
      </c>
      <c r="C59" s="46">
        <v>0</v>
      </c>
      <c r="D59" s="46">
        <v>0</v>
      </c>
      <c r="E59" s="46">
        <v>0</v>
      </c>
      <c r="F59" s="46">
        <v>0</v>
      </c>
      <c r="G59" s="46">
        <v>0</v>
      </c>
      <c r="H59" s="46">
        <v>0</v>
      </c>
      <c r="I59" s="46">
        <v>0</v>
      </c>
    </row>
    <row r="60" spans="1:9" ht="15">
      <c r="A60" s="17" t="s">
        <v>39</v>
      </c>
      <c r="B60" s="30">
        <v>9</v>
      </c>
      <c r="C60" s="30">
        <v>9</v>
      </c>
      <c r="D60" s="46">
        <v>11.9</v>
      </c>
      <c r="E60" s="46">
        <v>11.9</v>
      </c>
      <c r="F60" s="30">
        <v>9</v>
      </c>
      <c r="G60" s="30">
        <v>9</v>
      </c>
      <c r="H60" s="46">
        <v>11.9</v>
      </c>
      <c r="I60" s="46">
        <v>11.9</v>
      </c>
    </row>
    <row r="61" spans="1:9" ht="15">
      <c r="A61" s="17" t="s">
        <v>40</v>
      </c>
      <c r="B61" s="46">
        <v>0</v>
      </c>
      <c r="C61" s="46">
        <v>0</v>
      </c>
      <c r="D61" s="46">
        <v>0</v>
      </c>
      <c r="E61" s="46">
        <v>0</v>
      </c>
      <c r="F61" s="46">
        <v>0</v>
      </c>
      <c r="G61" s="46">
        <v>0</v>
      </c>
      <c r="H61" s="46">
        <v>0</v>
      </c>
      <c r="I61" s="46">
        <v>0</v>
      </c>
    </row>
    <row r="62" spans="1:9" ht="30">
      <c r="A62" s="23" t="s">
        <v>49</v>
      </c>
      <c r="B62" s="33" t="s">
        <v>50</v>
      </c>
      <c r="C62" s="33">
        <f t="shared" ref="C62:I62" si="12">C52-C57+C59-C60+C61-C34</f>
        <v>143.44670417866757</v>
      </c>
      <c r="D62" s="33" t="s">
        <v>50</v>
      </c>
      <c r="E62" s="33">
        <f t="shared" si="12"/>
        <v>140.89670417866756</v>
      </c>
      <c r="F62" s="33" t="s">
        <v>50</v>
      </c>
      <c r="G62" s="33">
        <f t="shared" si="12"/>
        <v>130.9968636759794</v>
      </c>
      <c r="H62" s="33" t="s">
        <v>50</v>
      </c>
      <c r="I62" s="33">
        <f t="shared" si="12"/>
        <v>131.04686367597938</v>
      </c>
    </row>
    <row r="63" spans="1:9" ht="30">
      <c r="A63" s="23" t="s">
        <v>46</v>
      </c>
      <c r="B63" s="33">
        <f t="shared" ref="B63:H63" si="13">B53-B58+B59-B60+B61-B34</f>
        <v>140.55376111369608</v>
      </c>
      <c r="C63" s="33" t="s">
        <v>50</v>
      </c>
      <c r="D63" s="33">
        <f t="shared" si="13"/>
        <v>141.26376111369606</v>
      </c>
      <c r="E63" s="33" t="s">
        <v>50</v>
      </c>
      <c r="F63" s="33">
        <f t="shared" si="13"/>
        <v>126.11139793761322</v>
      </c>
      <c r="G63" s="33" t="s">
        <v>50</v>
      </c>
      <c r="H63" s="33">
        <f t="shared" si="13"/>
        <v>124.3513979376132</v>
      </c>
      <c r="I63" s="33" t="s">
        <v>50</v>
      </c>
    </row>
    <row r="64" spans="1:9">
      <c r="A64" s="16" t="s">
        <v>41</v>
      </c>
      <c r="B64" s="129"/>
      <c r="C64" s="129"/>
      <c r="D64" s="129"/>
      <c r="E64" s="129"/>
      <c r="F64" s="129"/>
      <c r="G64" s="129"/>
      <c r="H64" s="129"/>
      <c r="I64" s="129"/>
    </row>
    <row r="65" spans="1:9" ht="30">
      <c r="A65" s="25" t="s">
        <v>97</v>
      </c>
      <c r="B65" s="30" t="s">
        <v>82</v>
      </c>
      <c r="C65" s="46">
        <f>10^(3+(C62-161.04+12+7.1*LOG10(20)-7.5*LOG10(5)+(24.37-3.7*(5/C$5)^2)*LOG10(C$5)-20*LOG10(C$4)+(3.2*(LOG10(11.75*C$6))^2-4.97))/(43.42-3.1*LOG10(C$5)))</f>
        <v>10227.737805017665</v>
      </c>
      <c r="D65" s="30" t="s">
        <v>82</v>
      </c>
      <c r="E65" s="46">
        <f>10^(3+(E62-161.04+12+7.1*LOG10(20)-7.5*LOG10(5)+(24.37-3.7*(5/E$5)^2)*LOG10(E$5)-20*LOG10(E$4)+(3.2*(LOG10(11.75*E$6))^2-4.97))/(43.42-3.1*LOG10(E$5)))</f>
        <v>8785.6622676195493</v>
      </c>
      <c r="F65" s="30" t="s">
        <v>82</v>
      </c>
      <c r="G65" s="46">
        <f>10^(3+(G62-161.04+12+7.1*LOG10(20)-7.5*LOG10(5)+(24.37-3.7*(5/G$5)^2)*LOG10(G$5)-20*LOG10(G$4)+(3.2*(LOG10(11.75*G$6))^2-4.97))/(43.42-3.1*LOG10(G$5)))</f>
        <v>4869.9399935557531</v>
      </c>
      <c r="H65" s="30" t="s">
        <v>82</v>
      </c>
      <c r="I65" s="46">
        <f>10^(3+(I62-161.04+12+7.1*LOG10(20)-7.5*LOG10(5)+(24.37-3.7*(5/I$5)^2)*LOG10(I$5)-20*LOG10(I$4)+(3.2*(LOG10(11.75*I$6))^2-4.97))/(43.42-3.1*LOG10(I$5)))</f>
        <v>4884.4742816573844</v>
      </c>
    </row>
    <row r="66" spans="1:9" ht="33">
      <c r="A66" s="25" t="s">
        <v>202</v>
      </c>
      <c r="B66" s="46">
        <f>10^(3+(B63-161.04+12+7.1*LOG10(20)-7.5*LOG10(5)+(24.37-3.7*(5/B$5)^2)*LOG10(B$5)-20*LOG10(B$4)+(3.2*(LOG10(11.75*B$6))^2-4.97))/(43.42-3.1*LOG10(B$5)))</f>
        <v>8607.9086116583239</v>
      </c>
      <c r="C66" s="30" t="s">
        <v>82</v>
      </c>
      <c r="D66" s="46">
        <f>10^(3+(D63-161.04+12+7.1*LOG10(20)-7.5*LOG10(5)+(24.37-3.7*(5/D$5)^2)*LOG10(D$5)-20*LOG10(D$4)+(3.2*(LOG10(11.75*D$6))^2-4.97))/(43.42-3.1*LOG10(D$5)))</f>
        <v>8979.9833827662951</v>
      </c>
      <c r="E66" s="30" t="s">
        <v>82</v>
      </c>
      <c r="F66" s="47">
        <f>10^(3+(F63-161.04+12+7.1*LOG10(20)-7.5*LOG10(5)+(24.37-3.7*(5/F$5)^2)*LOG10(F$5)-20*LOG10(F$4)+(3.2*(LOG10(11.75*F$6))^2-4.97))/(43.42-3.1*LOG10(F$5)))</f>
        <v>3639.7078524107083</v>
      </c>
      <c r="G66" s="30" t="s">
        <v>82</v>
      </c>
      <c r="H66" s="46">
        <f>10^(3+(H63-161.04+12+7.1*LOG10(20)-7.5*LOG10(5)+(24.37-3.7*(5/H$5)^2)*LOG10(H$5)-20*LOG10(H$4)+(3.2*(LOG10(11.75*H$6))^2-4.97))/(43.42-3.1*LOG10(H$5)))</f>
        <v>3277.2538106311545</v>
      </c>
      <c r="I66" s="30" t="s">
        <v>82</v>
      </c>
    </row>
    <row r="67" spans="1:9" ht="18">
      <c r="A67" s="25" t="s">
        <v>90</v>
      </c>
      <c r="B67" s="30" t="s">
        <v>50</v>
      </c>
      <c r="C67" s="30">
        <f>PI()*(C65)^2</f>
        <v>328631390.81953669</v>
      </c>
      <c r="D67" s="30" t="s">
        <v>50</v>
      </c>
      <c r="E67" s="30">
        <f>PI()*(E65)^2</f>
        <v>242492818.57399163</v>
      </c>
      <c r="F67" s="30" t="s">
        <v>50</v>
      </c>
      <c r="G67" s="30">
        <f>PI()*(G65)^2</f>
        <v>74507002.673300937</v>
      </c>
      <c r="H67" s="30" t="s">
        <v>50</v>
      </c>
      <c r="I67" s="30">
        <f>PI()*(I65)^2</f>
        <v>74952397.156765878</v>
      </c>
    </row>
    <row r="68" spans="1:9" ht="18">
      <c r="A68" s="25" t="s">
        <v>91</v>
      </c>
      <c r="B68" s="30">
        <f>PI()*(B66)^2</f>
        <v>232779734.0981071</v>
      </c>
      <c r="C68" s="30" t="s">
        <v>50</v>
      </c>
      <c r="D68" s="30">
        <f>PI()*(D66)^2</f>
        <v>253338350.62916505</v>
      </c>
      <c r="E68" s="30" t="s">
        <v>50</v>
      </c>
      <c r="F68" s="30">
        <f>PI()*(F66)^2</f>
        <v>41618164.64365527</v>
      </c>
      <c r="G68" s="30" t="s">
        <v>50</v>
      </c>
      <c r="H68" s="30">
        <f>PI()*(H66)^2</f>
        <v>33741938.298124261</v>
      </c>
      <c r="I68" s="30" t="s">
        <v>50</v>
      </c>
    </row>
  </sheetData>
  <mergeCells count="2">
    <mergeCell ref="B1:E1"/>
    <mergeCell ref="F1:I1"/>
  </mergeCells>
  <dataValidations count="1">
    <dataValidation type="list" allowBlank="1" showInputMessage="1" showErrorMessage="1" sqref="F34:I34 B26:E26">
      <formula1>"0,3"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50" zoomScaleNormal="50" workbookViewId="0">
      <pane xSplit="1" ySplit="2" topLeftCell="B3" activePane="bottomRight" state="frozen"/>
      <selection pane="topRight" activeCell="B1" sqref="B1"/>
      <selection pane="bottomLeft" activeCell="A3" sqref="A3"/>
      <selection pane="bottomRight" activeCell="B42" sqref="B42"/>
    </sheetView>
  </sheetViews>
  <sheetFormatPr defaultColWidth="8.875" defaultRowHeight="14.25"/>
  <cols>
    <col min="1" max="1" width="69" style="26" customWidth="1"/>
    <col min="2" max="2" width="22.625" style="35" bestFit="1" customWidth="1"/>
    <col min="3" max="3" width="18.375" style="35" bestFit="1" customWidth="1"/>
    <col min="4" max="4" width="18.125" style="35" customWidth="1"/>
    <col min="5" max="5" width="18.625" style="35" customWidth="1"/>
    <col min="6" max="6" width="18.125" style="36" customWidth="1"/>
    <col min="7" max="7" width="18.625" style="36" customWidth="1"/>
    <col min="8" max="8" width="20" style="36" customWidth="1"/>
    <col min="9" max="9" width="18.375" style="36" customWidth="1"/>
    <col min="10" max="12" width="12.125" bestFit="1" customWidth="1"/>
    <col min="13" max="13" width="12.625" bestFit="1" customWidth="1"/>
    <col min="14" max="16" width="12.125" bestFit="1" customWidth="1"/>
    <col min="17" max="17" width="12.625" bestFit="1" customWidth="1"/>
  </cols>
  <sheetData>
    <row r="1" spans="1:17">
      <c r="A1" s="42" t="s">
        <v>0</v>
      </c>
      <c r="B1" s="133" t="s">
        <v>125</v>
      </c>
      <c r="C1" s="133"/>
      <c r="D1" s="133"/>
      <c r="E1" s="133"/>
      <c r="F1" s="133" t="s">
        <v>126</v>
      </c>
      <c r="G1" s="133"/>
      <c r="H1" s="133"/>
      <c r="I1" s="133"/>
      <c r="J1" s="133" t="s">
        <v>47</v>
      </c>
      <c r="K1" s="133"/>
      <c r="L1" s="133"/>
      <c r="M1" s="133"/>
      <c r="N1" s="133" t="s">
        <v>48</v>
      </c>
      <c r="O1" s="133"/>
      <c r="P1" s="133"/>
      <c r="Q1" s="133"/>
    </row>
    <row r="2" spans="1:17" ht="28.5">
      <c r="A2" s="15"/>
      <c r="B2" s="27" t="s">
        <v>203</v>
      </c>
      <c r="C2" s="27" t="s">
        <v>211</v>
      </c>
      <c r="D2" s="27" t="s">
        <v>212</v>
      </c>
      <c r="E2" s="27" t="s">
        <v>221</v>
      </c>
      <c r="F2" s="27" t="s">
        <v>205</v>
      </c>
      <c r="G2" s="27" t="s">
        <v>206</v>
      </c>
      <c r="H2" s="27" t="s">
        <v>214</v>
      </c>
      <c r="I2" s="27" t="s">
        <v>215</v>
      </c>
      <c r="J2" s="75" t="s">
        <v>222</v>
      </c>
      <c r="K2" s="75" t="s">
        <v>223</v>
      </c>
      <c r="L2" s="75" t="s">
        <v>224</v>
      </c>
      <c r="M2" s="75" t="s">
        <v>225</v>
      </c>
      <c r="N2" s="75" t="s">
        <v>226</v>
      </c>
      <c r="O2" s="75" t="s">
        <v>227</v>
      </c>
      <c r="P2" s="75" t="s">
        <v>228</v>
      </c>
      <c r="Q2" s="75" t="s">
        <v>229</v>
      </c>
    </row>
    <row r="3" spans="1:17">
      <c r="A3" s="16" t="s">
        <v>1</v>
      </c>
      <c r="B3" s="45"/>
      <c r="C3" s="45"/>
      <c r="D3" s="45"/>
      <c r="E3" s="45"/>
      <c r="F3" s="45"/>
      <c r="G3" s="45"/>
      <c r="H3" s="45"/>
      <c r="I3" s="45"/>
      <c r="J3" s="45"/>
      <c r="K3" s="45"/>
      <c r="L3" s="45"/>
      <c r="M3" s="45"/>
      <c r="N3" s="45"/>
      <c r="O3" s="45"/>
      <c r="P3" s="45"/>
      <c r="Q3" s="45"/>
    </row>
    <row r="4" spans="1:17" ht="15">
      <c r="A4" s="17" t="s">
        <v>2</v>
      </c>
      <c r="B4" s="31">
        <v>0.7</v>
      </c>
      <c r="C4" s="46">
        <v>0.7</v>
      </c>
      <c r="D4" s="31">
        <v>0.7</v>
      </c>
      <c r="E4" s="46">
        <v>0.7</v>
      </c>
      <c r="F4" s="31">
        <v>0.7</v>
      </c>
      <c r="G4" s="46">
        <v>0.7</v>
      </c>
      <c r="H4" s="31">
        <v>0.7</v>
      </c>
      <c r="I4" s="46">
        <v>0.7</v>
      </c>
      <c r="J4" s="31">
        <v>0.7</v>
      </c>
      <c r="K4" s="46">
        <v>0.7</v>
      </c>
      <c r="L4" s="31">
        <v>0.7</v>
      </c>
      <c r="M4" s="46">
        <v>0.7</v>
      </c>
      <c r="N4" s="31">
        <v>0.7</v>
      </c>
      <c r="O4" s="46">
        <v>0.7</v>
      </c>
      <c r="P4" s="31">
        <v>0.7</v>
      </c>
      <c r="Q4" s="46">
        <v>0.7</v>
      </c>
    </row>
    <row r="5" spans="1:17" ht="15">
      <c r="A5" s="17" t="s">
        <v>3</v>
      </c>
      <c r="B5" s="46">
        <v>35</v>
      </c>
      <c r="C5" s="46">
        <v>35</v>
      </c>
      <c r="D5" s="46">
        <v>35</v>
      </c>
      <c r="E5" s="46">
        <v>35</v>
      </c>
      <c r="F5" s="46">
        <v>35</v>
      </c>
      <c r="G5" s="46">
        <v>35</v>
      </c>
      <c r="H5" s="46">
        <v>35</v>
      </c>
      <c r="I5" s="46">
        <v>35</v>
      </c>
      <c r="J5" s="46">
        <v>35</v>
      </c>
      <c r="K5" s="46">
        <v>35</v>
      </c>
      <c r="L5" s="46">
        <v>35</v>
      </c>
      <c r="M5" s="46">
        <v>35</v>
      </c>
      <c r="N5" s="46">
        <v>35</v>
      </c>
      <c r="O5" s="46">
        <v>35</v>
      </c>
      <c r="P5" s="46">
        <v>35</v>
      </c>
      <c r="Q5" s="46">
        <v>35</v>
      </c>
    </row>
    <row r="6" spans="1:17" ht="15">
      <c r="A6" s="17" t="s">
        <v>4</v>
      </c>
      <c r="B6" s="31">
        <v>1.5</v>
      </c>
      <c r="C6" s="46">
        <v>1.5</v>
      </c>
      <c r="D6" s="31">
        <v>1.5</v>
      </c>
      <c r="E6" s="46">
        <v>1.5</v>
      </c>
      <c r="F6" s="31">
        <v>1.5</v>
      </c>
      <c r="G6" s="46">
        <v>1.5</v>
      </c>
      <c r="H6" s="31">
        <v>1.5</v>
      </c>
      <c r="I6" s="46">
        <v>1.5</v>
      </c>
      <c r="J6" s="31">
        <v>1.5</v>
      </c>
      <c r="K6" s="46">
        <v>1.5</v>
      </c>
      <c r="L6" s="31">
        <v>1.5</v>
      </c>
      <c r="M6" s="46">
        <v>1.5</v>
      </c>
      <c r="N6" s="31">
        <v>1.5</v>
      </c>
      <c r="O6" s="46">
        <v>1.5</v>
      </c>
      <c r="P6" s="31">
        <v>1.5</v>
      </c>
      <c r="Q6" s="46">
        <v>1.5</v>
      </c>
    </row>
    <row r="7" spans="1:17" ht="15">
      <c r="A7" s="17" t="s">
        <v>190</v>
      </c>
      <c r="B7" s="18" t="s">
        <v>108</v>
      </c>
      <c r="C7" s="43">
        <v>0.95</v>
      </c>
      <c r="D7" s="18" t="s">
        <v>108</v>
      </c>
      <c r="E7" s="43">
        <v>0.95</v>
      </c>
      <c r="F7" s="43" t="s">
        <v>108</v>
      </c>
      <c r="G7" s="19">
        <v>0.95</v>
      </c>
      <c r="H7" s="43" t="s">
        <v>108</v>
      </c>
      <c r="I7" s="19">
        <v>0.95</v>
      </c>
      <c r="J7" s="18" t="s">
        <v>50</v>
      </c>
      <c r="K7" s="43">
        <v>0.95</v>
      </c>
      <c r="L7" s="18" t="s">
        <v>50</v>
      </c>
      <c r="M7" s="43">
        <v>0.95</v>
      </c>
      <c r="N7" s="43" t="s">
        <v>149</v>
      </c>
      <c r="O7" s="19">
        <v>0.95</v>
      </c>
      <c r="P7" s="43" t="s">
        <v>149</v>
      </c>
      <c r="Q7" s="19">
        <v>0.95</v>
      </c>
    </row>
    <row r="8" spans="1:17" ht="15">
      <c r="A8" s="17" t="s">
        <v>191</v>
      </c>
      <c r="B8" s="18">
        <v>0.9</v>
      </c>
      <c r="C8" s="43" t="s">
        <v>108</v>
      </c>
      <c r="D8" s="18">
        <v>0.9</v>
      </c>
      <c r="E8" s="43" t="s">
        <v>108</v>
      </c>
      <c r="F8" s="43">
        <v>0.9</v>
      </c>
      <c r="G8" s="19" t="s">
        <v>108</v>
      </c>
      <c r="H8" s="43">
        <v>0.9</v>
      </c>
      <c r="I8" s="19" t="s">
        <v>108</v>
      </c>
      <c r="J8" s="18">
        <v>0.9</v>
      </c>
      <c r="K8" s="43" t="s">
        <v>149</v>
      </c>
      <c r="L8" s="18">
        <v>0.9</v>
      </c>
      <c r="M8" s="43" t="s">
        <v>149</v>
      </c>
      <c r="N8" s="43">
        <v>0.9</v>
      </c>
      <c r="O8" s="19" t="s">
        <v>149</v>
      </c>
      <c r="P8" s="43">
        <v>0.9</v>
      </c>
      <c r="Q8" s="19" t="s">
        <v>149</v>
      </c>
    </row>
    <row r="9" spans="1:17" ht="15">
      <c r="A9" s="17" t="s">
        <v>5</v>
      </c>
      <c r="B9" s="29" t="s">
        <v>108</v>
      </c>
      <c r="C9" s="30">
        <f>64/(0.001)</f>
        <v>64000</v>
      </c>
      <c r="D9" s="29" t="s">
        <v>108</v>
      </c>
      <c r="E9" s="30">
        <f>64/(0.001)</f>
        <v>64000</v>
      </c>
      <c r="F9" s="46" t="s">
        <v>108</v>
      </c>
      <c r="G9" s="30">
        <f>2/(0.5*0.001)</f>
        <v>4000</v>
      </c>
      <c r="H9" s="46" t="s">
        <v>108</v>
      </c>
      <c r="I9" s="30">
        <f>2/(0.5*0.001)</f>
        <v>4000</v>
      </c>
      <c r="J9" s="29" t="s">
        <v>150</v>
      </c>
      <c r="K9" s="30">
        <f>64/(0.001)</f>
        <v>64000</v>
      </c>
      <c r="L9" s="29" t="s">
        <v>149</v>
      </c>
      <c r="M9" s="30">
        <f>64/(0.001)</f>
        <v>64000</v>
      </c>
      <c r="N9" s="46" t="s">
        <v>150</v>
      </c>
      <c r="O9" s="30">
        <f>2/(0.5*0.001)</f>
        <v>4000</v>
      </c>
      <c r="P9" s="46" t="s">
        <v>150</v>
      </c>
      <c r="Q9" s="30">
        <f>2/(0.5*0.001)</f>
        <v>4000</v>
      </c>
    </row>
    <row r="10" spans="1:17" ht="15">
      <c r="A10" s="17" t="s">
        <v>6</v>
      </c>
      <c r="B10" s="29">
        <f>2248233*3</f>
        <v>6744699</v>
      </c>
      <c r="C10" s="46" t="s">
        <v>108</v>
      </c>
      <c r="D10" s="29">
        <f>2248233*3</f>
        <v>6744699</v>
      </c>
      <c r="E10" s="46" t="s">
        <v>108</v>
      </c>
      <c r="F10" s="46">
        <f>74880*3</f>
        <v>224640</v>
      </c>
      <c r="G10" s="30" t="s">
        <v>108</v>
      </c>
      <c r="H10" s="46">
        <f>74880*3</f>
        <v>224640</v>
      </c>
      <c r="I10" s="30" t="s">
        <v>108</v>
      </c>
      <c r="J10" s="29">
        <f>2248233*3</f>
        <v>6744699</v>
      </c>
      <c r="K10" s="46" t="s">
        <v>50</v>
      </c>
      <c r="L10" s="29">
        <f>2248233*3</f>
        <v>6744699</v>
      </c>
      <c r="M10" s="46" t="s">
        <v>150</v>
      </c>
      <c r="N10" s="46">
        <f>74880*3</f>
        <v>224640</v>
      </c>
      <c r="O10" s="30" t="s">
        <v>149</v>
      </c>
      <c r="P10" s="46">
        <f>74880*3</f>
        <v>224640</v>
      </c>
      <c r="Q10" s="30" t="s">
        <v>150</v>
      </c>
    </row>
    <row r="11" spans="1:17" ht="15">
      <c r="A11" s="17" t="s">
        <v>7</v>
      </c>
      <c r="B11" s="18" t="s">
        <v>108</v>
      </c>
      <c r="C11" s="43">
        <v>0.01</v>
      </c>
      <c r="D11" s="18" t="s">
        <v>108</v>
      </c>
      <c r="E11" s="43">
        <v>0.01</v>
      </c>
      <c r="F11" s="43" t="s">
        <v>108</v>
      </c>
      <c r="G11" s="19">
        <v>0.01</v>
      </c>
      <c r="H11" s="43" t="s">
        <v>108</v>
      </c>
      <c r="I11" s="19">
        <v>0.01</v>
      </c>
      <c r="J11" s="18" t="s">
        <v>150</v>
      </c>
      <c r="K11" s="43">
        <v>0.01</v>
      </c>
      <c r="L11" s="18" t="s">
        <v>150</v>
      </c>
      <c r="M11" s="43">
        <v>0.01</v>
      </c>
      <c r="N11" s="43" t="s">
        <v>149</v>
      </c>
      <c r="O11" s="19">
        <v>0.01</v>
      </c>
      <c r="P11" s="43" t="s">
        <v>150</v>
      </c>
      <c r="Q11" s="19">
        <v>0.01</v>
      </c>
    </row>
    <row r="12" spans="1:17" ht="15">
      <c r="A12" s="17" t="s">
        <v>8</v>
      </c>
      <c r="B12" s="18">
        <v>0.1</v>
      </c>
      <c r="C12" s="43" t="s">
        <v>108</v>
      </c>
      <c r="D12" s="18">
        <v>0.1</v>
      </c>
      <c r="E12" s="43" t="s">
        <v>108</v>
      </c>
      <c r="F12" s="43">
        <v>0.1</v>
      </c>
      <c r="G12" s="19" t="s">
        <v>108</v>
      </c>
      <c r="H12" s="43">
        <v>0.1</v>
      </c>
      <c r="I12" s="19" t="s">
        <v>108</v>
      </c>
      <c r="J12" s="18">
        <v>0.1</v>
      </c>
      <c r="K12" s="43" t="s">
        <v>150</v>
      </c>
      <c r="L12" s="18">
        <v>0.1</v>
      </c>
      <c r="M12" s="43" t="s">
        <v>150</v>
      </c>
      <c r="N12" s="43">
        <v>0.1</v>
      </c>
      <c r="O12" s="19" t="s">
        <v>150</v>
      </c>
      <c r="P12" s="43">
        <v>0.1</v>
      </c>
      <c r="Q12" s="19" t="s">
        <v>50</v>
      </c>
    </row>
    <row r="13" spans="1:17" ht="16.5">
      <c r="A13" s="17" t="s">
        <v>85</v>
      </c>
      <c r="B13" s="29">
        <f>B10/(B42*(4+2*11/14+1/14)/10)</f>
        <v>0.65101476793248958</v>
      </c>
      <c r="C13" s="46" t="s">
        <v>108</v>
      </c>
      <c r="D13" s="29">
        <f>D10/(D42*(4+2*11/14+1/14)/10)</f>
        <v>0.65101476793248958</v>
      </c>
      <c r="E13" s="46" t="s">
        <v>108</v>
      </c>
      <c r="F13" s="29">
        <f>F10/(F42*(4+2*2/14+1/14)/10)</f>
        <v>0.35803278688524592</v>
      </c>
      <c r="G13" s="30" t="s">
        <v>108</v>
      </c>
      <c r="H13" s="29">
        <f>H10/(H42*(4+2*2/14+1/14)/10)</f>
        <v>0.35803278688524592</v>
      </c>
      <c r="I13" s="30" t="s">
        <v>108</v>
      </c>
      <c r="J13" s="29">
        <f>J10/(J42*(4+2*11/14+1/14)/10)</f>
        <v>0.65101476793248958</v>
      </c>
      <c r="K13" s="46" t="s">
        <v>150</v>
      </c>
      <c r="L13" s="29">
        <f>L10/(L42*(4+2*11/14+1/14)/10)</f>
        <v>0.65101476793248958</v>
      </c>
      <c r="M13" s="46" t="s">
        <v>150</v>
      </c>
      <c r="N13" s="29">
        <f>N10/(N42*(4+2*2/14+1/14)/10)</f>
        <v>0.35803278688524592</v>
      </c>
      <c r="O13" s="30" t="s">
        <v>150</v>
      </c>
      <c r="P13" s="29">
        <f>P10/(P42*(4+2*2/14+1/14)/10)</f>
        <v>0.35803278688524592</v>
      </c>
      <c r="Q13" s="30" t="s">
        <v>149</v>
      </c>
    </row>
    <row r="14" spans="1:17" ht="16.5">
      <c r="A14" s="17" t="s">
        <v>86</v>
      </c>
      <c r="B14" s="46" t="s">
        <v>109</v>
      </c>
      <c r="C14" s="46" t="s">
        <v>109</v>
      </c>
      <c r="D14" s="46" t="s">
        <v>110</v>
      </c>
      <c r="E14" s="46" t="s">
        <v>110</v>
      </c>
      <c r="F14" s="46" t="s">
        <v>109</v>
      </c>
      <c r="G14" s="46" t="s">
        <v>109</v>
      </c>
      <c r="H14" s="46" t="s">
        <v>110</v>
      </c>
      <c r="I14" s="46" t="s">
        <v>110</v>
      </c>
      <c r="J14" s="46" t="s">
        <v>153</v>
      </c>
      <c r="K14" s="46" t="s">
        <v>153</v>
      </c>
      <c r="L14" s="46" t="s">
        <v>154</v>
      </c>
      <c r="M14" s="46" t="s">
        <v>154</v>
      </c>
      <c r="N14" s="46" t="s">
        <v>153</v>
      </c>
      <c r="O14" s="46" t="s">
        <v>153</v>
      </c>
      <c r="P14" s="46" t="s">
        <v>154</v>
      </c>
      <c r="Q14" s="46" t="s">
        <v>154</v>
      </c>
    </row>
    <row r="15" spans="1:17" ht="15">
      <c r="A15" s="17" t="s">
        <v>127</v>
      </c>
      <c r="B15" s="29">
        <v>120</v>
      </c>
      <c r="C15" s="30">
        <v>120</v>
      </c>
      <c r="D15" s="29">
        <v>3</v>
      </c>
      <c r="E15" s="30">
        <v>3</v>
      </c>
      <c r="F15" s="29">
        <v>120</v>
      </c>
      <c r="G15" s="30">
        <v>120</v>
      </c>
      <c r="H15" s="30">
        <v>3</v>
      </c>
      <c r="I15" s="30">
        <v>3</v>
      </c>
      <c r="J15" s="29">
        <v>120</v>
      </c>
      <c r="K15" s="30">
        <v>120</v>
      </c>
      <c r="L15" s="29">
        <v>3</v>
      </c>
      <c r="M15" s="30">
        <v>3</v>
      </c>
      <c r="N15" s="29">
        <v>120</v>
      </c>
      <c r="O15" s="30">
        <v>120</v>
      </c>
      <c r="P15" s="30">
        <v>3</v>
      </c>
      <c r="Q15" s="30">
        <v>3</v>
      </c>
    </row>
    <row r="16" spans="1:17" ht="15">
      <c r="A16" s="17" t="s">
        <v>9</v>
      </c>
      <c r="B16" s="29">
        <v>3</v>
      </c>
      <c r="C16" s="46">
        <v>3</v>
      </c>
      <c r="D16" s="29">
        <v>3</v>
      </c>
      <c r="E16" s="46">
        <v>3</v>
      </c>
      <c r="F16" s="46">
        <v>3</v>
      </c>
      <c r="G16" s="30">
        <v>3</v>
      </c>
      <c r="H16" s="46">
        <v>3</v>
      </c>
      <c r="I16" s="30">
        <v>3</v>
      </c>
      <c r="J16" s="29">
        <v>3</v>
      </c>
      <c r="K16" s="46">
        <v>3</v>
      </c>
      <c r="L16" s="29">
        <v>3</v>
      </c>
      <c r="M16" s="46">
        <v>3</v>
      </c>
      <c r="N16" s="46">
        <v>3</v>
      </c>
      <c r="O16" s="30">
        <v>3</v>
      </c>
      <c r="P16" s="46">
        <v>3</v>
      </c>
      <c r="Q16" s="30">
        <v>3</v>
      </c>
    </row>
    <row r="17" spans="1:17">
      <c r="A17" s="16" t="s">
        <v>10</v>
      </c>
      <c r="B17" s="45"/>
      <c r="C17" s="45"/>
      <c r="D17" s="45"/>
      <c r="E17" s="45"/>
      <c r="F17" s="45"/>
      <c r="G17" s="45"/>
      <c r="H17" s="45"/>
      <c r="I17" s="45"/>
      <c r="J17" s="45"/>
      <c r="K17" s="45"/>
      <c r="L17" s="45"/>
      <c r="M17" s="45"/>
      <c r="N17" s="45"/>
      <c r="O17" s="45"/>
      <c r="P17" s="45"/>
      <c r="Q17" s="45"/>
    </row>
    <row r="18" spans="1:17" ht="30">
      <c r="A18" s="17" t="s">
        <v>128</v>
      </c>
      <c r="B18" s="29">
        <v>64</v>
      </c>
      <c r="C18" s="46">
        <v>64</v>
      </c>
      <c r="D18" s="29">
        <v>64</v>
      </c>
      <c r="E18" s="46">
        <v>64</v>
      </c>
      <c r="F18" s="30">
        <v>1</v>
      </c>
      <c r="G18" s="46">
        <v>1</v>
      </c>
      <c r="H18" s="30">
        <v>1</v>
      </c>
      <c r="I18" s="46">
        <v>1</v>
      </c>
      <c r="J18" s="29">
        <v>64</v>
      </c>
      <c r="K18" s="46">
        <v>64</v>
      </c>
      <c r="L18" s="29">
        <v>64</v>
      </c>
      <c r="M18" s="46">
        <v>64</v>
      </c>
      <c r="N18" s="30">
        <v>1</v>
      </c>
      <c r="O18" s="46">
        <v>1</v>
      </c>
      <c r="P18" s="30">
        <v>1</v>
      </c>
      <c r="Q18" s="46">
        <v>1</v>
      </c>
    </row>
    <row r="19" spans="1:17" ht="15">
      <c r="A19" s="17" t="s">
        <v>107</v>
      </c>
      <c r="B19" s="29">
        <v>2</v>
      </c>
      <c r="C19" s="46">
        <v>2</v>
      </c>
      <c r="D19" s="29">
        <v>2</v>
      </c>
      <c r="E19" s="46">
        <v>2</v>
      </c>
      <c r="F19" s="30">
        <v>1</v>
      </c>
      <c r="G19" s="46">
        <v>1</v>
      </c>
      <c r="H19" s="30">
        <v>1</v>
      </c>
      <c r="I19" s="46">
        <v>1</v>
      </c>
      <c r="J19" s="29">
        <v>2</v>
      </c>
      <c r="K19" s="46">
        <v>2</v>
      </c>
      <c r="L19" s="29">
        <v>2</v>
      </c>
      <c r="M19" s="46">
        <v>2</v>
      </c>
      <c r="N19" s="30">
        <v>1</v>
      </c>
      <c r="O19" s="46">
        <v>1</v>
      </c>
      <c r="P19" s="30">
        <v>1</v>
      </c>
      <c r="Q19" s="46">
        <v>1</v>
      </c>
    </row>
    <row r="20" spans="1:17" ht="15">
      <c r="A20" s="17" t="s">
        <v>11</v>
      </c>
      <c r="B20" s="29">
        <v>31</v>
      </c>
      <c r="C20" s="46">
        <v>31</v>
      </c>
      <c r="D20" s="29">
        <v>31</v>
      </c>
      <c r="E20" s="46">
        <v>31</v>
      </c>
      <c r="F20" s="30">
        <v>23</v>
      </c>
      <c r="G20" s="46">
        <v>23</v>
      </c>
      <c r="H20" s="30">
        <v>23</v>
      </c>
      <c r="I20" s="46">
        <v>23</v>
      </c>
      <c r="J20" s="29">
        <v>31</v>
      </c>
      <c r="K20" s="46">
        <v>31</v>
      </c>
      <c r="L20" s="29">
        <v>31</v>
      </c>
      <c r="M20" s="46">
        <v>31</v>
      </c>
      <c r="N20" s="30">
        <v>23</v>
      </c>
      <c r="O20" s="46">
        <v>23</v>
      </c>
      <c r="P20" s="30">
        <v>23</v>
      </c>
      <c r="Q20" s="46">
        <v>23</v>
      </c>
    </row>
    <row r="21" spans="1:17" ht="30">
      <c r="A21" s="37" t="s">
        <v>129</v>
      </c>
      <c r="B21" s="34">
        <f t="shared" ref="B21:Q21" si="0">B20+10*LOG10(B18)</f>
        <v>49.061799739838875</v>
      </c>
      <c r="C21" s="34">
        <f t="shared" si="0"/>
        <v>49.061799739838875</v>
      </c>
      <c r="D21" s="34">
        <f t="shared" si="0"/>
        <v>49.061799739838875</v>
      </c>
      <c r="E21" s="34">
        <f t="shared" si="0"/>
        <v>49.061799739838875</v>
      </c>
      <c r="F21" s="34">
        <f t="shared" si="0"/>
        <v>23</v>
      </c>
      <c r="G21" s="34">
        <f t="shared" si="0"/>
        <v>23</v>
      </c>
      <c r="H21" s="34">
        <f t="shared" si="0"/>
        <v>23</v>
      </c>
      <c r="I21" s="34">
        <f t="shared" si="0"/>
        <v>23</v>
      </c>
      <c r="J21" s="34">
        <f t="shared" si="0"/>
        <v>49.061799739838875</v>
      </c>
      <c r="K21" s="34">
        <f t="shared" si="0"/>
        <v>49.061799739838875</v>
      </c>
      <c r="L21" s="34">
        <f t="shared" si="0"/>
        <v>49.061799739838875</v>
      </c>
      <c r="M21" s="34">
        <f t="shared" si="0"/>
        <v>49.061799739838875</v>
      </c>
      <c r="N21" s="34">
        <f t="shared" si="0"/>
        <v>23</v>
      </c>
      <c r="O21" s="34">
        <f t="shared" si="0"/>
        <v>23</v>
      </c>
      <c r="P21" s="34">
        <f t="shared" si="0"/>
        <v>23</v>
      </c>
      <c r="Q21" s="34">
        <f t="shared" si="0"/>
        <v>23</v>
      </c>
    </row>
    <row r="22" spans="1:17" ht="15">
      <c r="A22" s="17" t="s">
        <v>12</v>
      </c>
      <c r="B22" s="29">
        <v>8</v>
      </c>
      <c r="C22" s="46">
        <v>8</v>
      </c>
      <c r="D22" s="29">
        <v>8</v>
      </c>
      <c r="E22" s="46">
        <v>8</v>
      </c>
      <c r="F22" s="30">
        <v>0</v>
      </c>
      <c r="G22" s="46">
        <v>0</v>
      </c>
      <c r="H22" s="30">
        <v>0</v>
      </c>
      <c r="I22" s="46">
        <v>0</v>
      </c>
      <c r="J22" s="29">
        <v>8</v>
      </c>
      <c r="K22" s="46">
        <v>8</v>
      </c>
      <c r="L22" s="29">
        <v>8</v>
      </c>
      <c r="M22" s="46">
        <v>8</v>
      </c>
      <c r="N22" s="30">
        <v>0</v>
      </c>
      <c r="O22" s="46">
        <v>0</v>
      </c>
      <c r="P22" s="30">
        <v>0</v>
      </c>
      <c r="Q22" s="46">
        <v>0</v>
      </c>
    </row>
    <row r="23" spans="1:17" ht="30">
      <c r="A23" s="38" t="s">
        <v>13</v>
      </c>
      <c r="B23" s="34">
        <f t="shared" ref="B23:Q23" si="1">IF(B18&gt;=2, 10*LOG10(B18/2), 0)</f>
        <v>15.051499783199061</v>
      </c>
      <c r="C23" s="34">
        <f t="shared" si="1"/>
        <v>15.051499783199061</v>
      </c>
      <c r="D23" s="34">
        <f t="shared" si="1"/>
        <v>15.051499783199061</v>
      </c>
      <c r="E23" s="34">
        <f t="shared" si="1"/>
        <v>15.051499783199061</v>
      </c>
      <c r="F23" s="34">
        <f t="shared" si="1"/>
        <v>0</v>
      </c>
      <c r="G23" s="34">
        <f t="shared" si="1"/>
        <v>0</v>
      </c>
      <c r="H23" s="34">
        <f t="shared" si="1"/>
        <v>0</v>
      </c>
      <c r="I23" s="34">
        <f t="shared" si="1"/>
        <v>0</v>
      </c>
      <c r="J23" s="34">
        <f t="shared" si="1"/>
        <v>15.051499783199061</v>
      </c>
      <c r="K23" s="34">
        <f t="shared" si="1"/>
        <v>15.051499783199061</v>
      </c>
      <c r="L23" s="34">
        <f t="shared" si="1"/>
        <v>15.051499783199061</v>
      </c>
      <c r="M23" s="34">
        <f t="shared" si="1"/>
        <v>15.051499783199061</v>
      </c>
      <c r="N23" s="34">
        <f t="shared" si="1"/>
        <v>0</v>
      </c>
      <c r="O23" s="34">
        <f t="shared" si="1"/>
        <v>0</v>
      </c>
      <c r="P23" s="34">
        <f t="shared" si="1"/>
        <v>0</v>
      </c>
      <c r="Q23" s="34">
        <f t="shared" si="1"/>
        <v>0</v>
      </c>
    </row>
    <row r="24" spans="1:17" ht="15">
      <c r="A24" s="17" t="s">
        <v>14</v>
      </c>
      <c r="B24" s="29">
        <v>0</v>
      </c>
      <c r="C24" s="30">
        <v>0</v>
      </c>
      <c r="D24" s="29">
        <v>0</v>
      </c>
      <c r="E24" s="30">
        <v>0</v>
      </c>
      <c r="F24" s="30">
        <v>0</v>
      </c>
      <c r="G24" s="30">
        <v>0</v>
      </c>
      <c r="H24" s="30">
        <v>0</v>
      </c>
      <c r="I24" s="30">
        <v>0</v>
      </c>
      <c r="J24" s="29">
        <v>0</v>
      </c>
      <c r="K24" s="30">
        <v>0</v>
      </c>
      <c r="L24" s="29">
        <v>0</v>
      </c>
      <c r="M24" s="30">
        <v>0</v>
      </c>
      <c r="N24" s="30">
        <v>0</v>
      </c>
      <c r="O24" s="30">
        <v>0</v>
      </c>
      <c r="P24" s="30">
        <v>0</v>
      </c>
      <c r="Q24" s="30">
        <v>0</v>
      </c>
    </row>
    <row r="25" spans="1:17" ht="15">
      <c r="A25" s="17" t="s">
        <v>15</v>
      </c>
      <c r="B25" s="29">
        <v>0</v>
      </c>
      <c r="C25" s="30">
        <v>0</v>
      </c>
      <c r="D25" s="29">
        <v>0</v>
      </c>
      <c r="E25" s="30">
        <v>0</v>
      </c>
      <c r="F25" s="30">
        <v>0</v>
      </c>
      <c r="G25" s="30">
        <v>0</v>
      </c>
      <c r="H25" s="30">
        <v>0</v>
      </c>
      <c r="I25" s="30">
        <v>0</v>
      </c>
      <c r="J25" s="29">
        <v>0</v>
      </c>
      <c r="K25" s="30">
        <v>0</v>
      </c>
      <c r="L25" s="29">
        <v>0</v>
      </c>
      <c r="M25" s="30">
        <v>0</v>
      </c>
      <c r="N25" s="30">
        <v>0</v>
      </c>
      <c r="O25" s="30">
        <v>0</v>
      </c>
      <c r="P25" s="30">
        <v>0</v>
      </c>
      <c r="Q25" s="30">
        <v>0</v>
      </c>
    </row>
    <row r="26" spans="1:17" ht="30">
      <c r="A26" s="17" t="s">
        <v>16</v>
      </c>
      <c r="B26" s="29">
        <v>3</v>
      </c>
      <c r="C26" s="29">
        <v>3</v>
      </c>
      <c r="D26" s="29">
        <v>3</v>
      </c>
      <c r="E26" s="29">
        <v>3</v>
      </c>
      <c r="F26" s="29">
        <v>1</v>
      </c>
      <c r="G26" s="29">
        <v>1</v>
      </c>
      <c r="H26" s="29">
        <v>1</v>
      </c>
      <c r="I26" s="29">
        <v>1</v>
      </c>
      <c r="J26" s="29">
        <v>3</v>
      </c>
      <c r="K26" s="29">
        <v>3</v>
      </c>
      <c r="L26" s="29">
        <v>3</v>
      </c>
      <c r="M26" s="29">
        <v>3</v>
      </c>
      <c r="N26" s="29">
        <v>1</v>
      </c>
      <c r="O26" s="29">
        <v>1</v>
      </c>
      <c r="P26" s="29">
        <v>1</v>
      </c>
      <c r="Q26" s="29">
        <v>1</v>
      </c>
    </row>
    <row r="27" spans="1:17" ht="15">
      <c r="A27" s="21" t="s">
        <v>17</v>
      </c>
      <c r="B27" s="33">
        <f t="shared" ref="B27:Q27" si="2">B21+B22+B23+B24-B26</f>
        <v>69.113299523037938</v>
      </c>
      <c r="C27" s="33">
        <f t="shared" si="2"/>
        <v>69.113299523037938</v>
      </c>
      <c r="D27" s="33">
        <f t="shared" si="2"/>
        <v>69.113299523037938</v>
      </c>
      <c r="E27" s="33">
        <f t="shared" si="2"/>
        <v>69.113299523037938</v>
      </c>
      <c r="F27" s="33">
        <f t="shared" si="2"/>
        <v>22</v>
      </c>
      <c r="G27" s="33">
        <f t="shared" si="2"/>
        <v>22</v>
      </c>
      <c r="H27" s="33">
        <f t="shared" si="2"/>
        <v>22</v>
      </c>
      <c r="I27" s="33">
        <f t="shared" si="2"/>
        <v>22</v>
      </c>
      <c r="J27" s="33">
        <f t="shared" si="2"/>
        <v>69.113299523037938</v>
      </c>
      <c r="K27" s="33">
        <f t="shared" si="2"/>
        <v>69.113299523037938</v>
      </c>
      <c r="L27" s="33">
        <f t="shared" si="2"/>
        <v>69.113299523037938</v>
      </c>
      <c r="M27" s="33">
        <f t="shared" si="2"/>
        <v>69.113299523037938</v>
      </c>
      <c r="N27" s="33">
        <f t="shared" si="2"/>
        <v>22</v>
      </c>
      <c r="O27" s="33">
        <f t="shared" si="2"/>
        <v>22</v>
      </c>
      <c r="P27" s="33">
        <f t="shared" si="2"/>
        <v>22</v>
      </c>
      <c r="Q27" s="33">
        <f t="shared" si="2"/>
        <v>22</v>
      </c>
    </row>
    <row r="28" spans="1:17" ht="15">
      <c r="A28" s="21" t="s">
        <v>18</v>
      </c>
      <c r="B28" s="33">
        <f t="shared" ref="B28:Q28" si="3">B21+B22+B23-B25-B26</f>
        <v>69.113299523037938</v>
      </c>
      <c r="C28" s="33">
        <f t="shared" si="3"/>
        <v>69.113299523037938</v>
      </c>
      <c r="D28" s="33">
        <f t="shared" si="3"/>
        <v>69.113299523037938</v>
      </c>
      <c r="E28" s="33">
        <f t="shared" si="3"/>
        <v>69.113299523037938</v>
      </c>
      <c r="F28" s="33">
        <f t="shared" si="3"/>
        <v>22</v>
      </c>
      <c r="G28" s="33">
        <f t="shared" si="3"/>
        <v>22</v>
      </c>
      <c r="H28" s="33">
        <f t="shared" si="3"/>
        <v>22</v>
      </c>
      <c r="I28" s="33">
        <f t="shared" si="3"/>
        <v>22</v>
      </c>
      <c r="J28" s="33">
        <f t="shared" si="3"/>
        <v>69.113299523037938</v>
      </c>
      <c r="K28" s="33">
        <f t="shared" si="3"/>
        <v>69.113299523037938</v>
      </c>
      <c r="L28" s="33">
        <f t="shared" si="3"/>
        <v>69.113299523037938</v>
      </c>
      <c r="M28" s="33">
        <f t="shared" si="3"/>
        <v>69.113299523037938</v>
      </c>
      <c r="N28" s="33">
        <f t="shared" si="3"/>
        <v>22</v>
      </c>
      <c r="O28" s="33">
        <f t="shared" si="3"/>
        <v>22</v>
      </c>
      <c r="P28" s="33">
        <f t="shared" si="3"/>
        <v>22</v>
      </c>
      <c r="Q28" s="33">
        <f t="shared" si="3"/>
        <v>22</v>
      </c>
    </row>
    <row r="29" spans="1:17">
      <c r="A29" s="16" t="s">
        <v>19</v>
      </c>
      <c r="B29" s="45"/>
      <c r="C29" s="45"/>
      <c r="D29" s="45"/>
      <c r="E29" s="45"/>
      <c r="F29" s="45"/>
      <c r="G29" s="45"/>
      <c r="H29" s="45"/>
      <c r="I29" s="45"/>
      <c r="J29" s="45"/>
      <c r="K29" s="45"/>
      <c r="L29" s="45"/>
      <c r="M29" s="45"/>
      <c r="N29" s="45"/>
      <c r="O29" s="45"/>
      <c r="P29" s="45"/>
      <c r="Q29" s="45"/>
    </row>
    <row r="30" spans="1:17" ht="30">
      <c r="A30" s="17" t="s">
        <v>130</v>
      </c>
      <c r="B30" s="29">
        <v>2</v>
      </c>
      <c r="C30" s="46">
        <v>2</v>
      </c>
      <c r="D30" s="29">
        <v>2</v>
      </c>
      <c r="E30" s="46">
        <v>2</v>
      </c>
      <c r="F30" s="46">
        <v>64</v>
      </c>
      <c r="G30" s="46">
        <v>64</v>
      </c>
      <c r="H30" s="46">
        <v>64</v>
      </c>
      <c r="I30" s="46">
        <v>64</v>
      </c>
      <c r="J30" s="29">
        <v>2</v>
      </c>
      <c r="K30" s="46">
        <v>2</v>
      </c>
      <c r="L30" s="29">
        <v>2</v>
      </c>
      <c r="M30" s="46">
        <v>2</v>
      </c>
      <c r="N30" s="46">
        <v>64</v>
      </c>
      <c r="O30" s="46">
        <v>64</v>
      </c>
      <c r="P30" s="46">
        <v>64</v>
      </c>
      <c r="Q30" s="46">
        <v>64</v>
      </c>
    </row>
    <row r="31" spans="1:17" ht="15">
      <c r="A31" s="17" t="s">
        <v>138</v>
      </c>
      <c r="B31" s="29">
        <v>2</v>
      </c>
      <c r="C31" s="46">
        <v>2</v>
      </c>
      <c r="D31" s="29">
        <v>2</v>
      </c>
      <c r="E31" s="46">
        <v>2</v>
      </c>
      <c r="F31" s="46">
        <v>2</v>
      </c>
      <c r="G31" s="46">
        <v>2</v>
      </c>
      <c r="H31" s="46">
        <v>2</v>
      </c>
      <c r="I31" s="46">
        <v>2</v>
      </c>
      <c r="J31" s="29">
        <v>2</v>
      </c>
      <c r="K31" s="46">
        <v>2</v>
      </c>
      <c r="L31" s="29">
        <v>2</v>
      </c>
      <c r="M31" s="46">
        <v>2</v>
      </c>
      <c r="N31" s="46">
        <v>2</v>
      </c>
      <c r="O31" s="46">
        <v>2</v>
      </c>
      <c r="P31" s="46">
        <v>2</v>
      </c>
      <c r="Q31" s="46">
        <v>2</v>
      </c>
    </row>
    <row r="32" spans="1:17" ht="15">
      <c r="A32" s="17" t="s">
        <v>20</v>
      </c>
      <c r="B32" s="29">
        <v>0</v>
      </c>
      <c r="C32" s="46">
        <v>0</v>
      </c>
      <c r="D32" s="29">
        <v>0</v>
      </c>
      <c r="E32" s="46">
        <v>0</v>
      </c>
      <c r="F32" s="46">
        <v>8</v>
      </c>
      <c r="G32" s="46">
        <v>8</v>
      </c>
      <c r="H32" s="46">
        <v>8</v>
      </c>
      <c r="I32" s="46">
        <v>8</v>
      </c>
      <c r="J32" s="29">
        <v>0</v>
      </c>
      <c r="K32" s="46">
        <v>0</v>
      </c>
      <c r="L32" s="29">
        <v>0</v>
      </c>
      <c r="M32" s="46">
        <v>0</v>
      </c>
      <c r="N32" s="46">
        <v>8</v>
      </c>
      <c r="O32" s="46">
        <v>8</v>
      </c>
      <c r="P32" s="46">
        <v>8</v>
      </c>
      <c r="Q32" s="46">
        <v>8</v>
      </c>
    </row>
    <row r="33" spans="1:17" ht="28.5">
      <c r="A33" s="22" t="s">
        <v>131</v>
      </c>
      <c r="B33" s="34">
        <f t="shared" ref="B33:Q33" si="4">IF(B30&gt;=2, 10*LOG10(B30/2), 0)</f>
        <v>0</v>
      </c>
      <c r="C33" s="34">
        <f t="shared" si="4"/>
        <v>0</v>
      </c>
      <c r="D33" s="34">
        <f t="shared" si="4"/>
        <v>0</v>
      </c>
      <c r="E33" s="34">
        <f t="shared" si="4"/>
        <v>0</v>
      </c>
      <c r="F33" s="34">
        <f t="shared" si="4"/>
        <v>15.051499783199061</v>
      </c>
      <c r="G33" s="34">
        <f t="shared" si="4"/>
        <v>15.051499783199061</v>
      </c>
      <c r="H33" s="34">
        <f t="shared" si="4"/>
        <v>15.051499783199061</v>
      </c>
      <c r="I33" s="34">
        <f t="shared" si="4"/>
        <v>15.051499783199061</v>
      </c>
      <c r="J33" s="34">
        <f t="shared" si="4"/>
        <v>0</v>
      </c>
      <c r="K33" s="34">
        <f t="shared" si="4"/>
        <v>0</v>
      </c>
      <c r="L33" s="34">
        <f t="shared" si="4"/>
        <v>0</v>
      </c>
      <c r="M33" s="34">
        <f t="shared" si="4"/>
        <v>0</v>
      </c>
      <c r="N33" s="34">
        <f t="shared" si="4"/>
        <v>15.051499783199061</v>
      </c>
      <c r="O33" s="34">
        <f t="shared" si="4"/>
        <v>15.051499783199061</v>
      </c>
      <c r="P33" s="34">
        <f t="shared" si="4"/>
        <v>15.051499783199061</v>
      </c>
      <c r="Q33" s="34">
        <f t="shared" si="4"/>
        <v>15.051499783199061</v>
      </c>
    </row>
    <row r="34" spans="1:17" ht="30">
      <c r="A34" s="17" t="s">
        <v>21</v>
      </c>
      <c r="B34" s="29">
        <v>1</v>
      </c>
      <c r="C34" s="31">
        <v>1</v>
      </c>
      <c r="D34" s="29">
        <v>1</v>
      </c>
      <c r="E34" s="31">
        <v>1</v>
      </c>
      <c r="F34" s="29">
        <v>3</v>
      </c>
      <c r="G34" s="29">
        <v>3</v>
      </c>
      <c r="H34" s="29">
        <v>3</v>
      </c>
      <c r="I34" s="29">
        <v>3</v>
      </c>
      <c r="J34" s="29">
        <v>1</v>
      </c>
      <c r="K34" s="31">
        <v>1</v>
      </c>
      <c r="L34" s="29">
        <v>1</v>
      </c>
      <c r="M34" s="31">
        <v>1</v>
      </c>
      <c r="N34" s="29">
        <v>3</v>
      </c>
      <c r="O34" s="29">
        <v>3</v>
      </c>
      <c r="P34" s="29">
        <v>3</v>
      </c>
      <c r="Q34" s="29">
        <v>3</v>
      </c>
    </row>
    <row r="35" spans="1:17" ht="15">
      <c r="A35" s="17" t="s">
        <v>22</v>
      </c>
      <c r="B35" s="30">
        <v>7</v>
      </c>
      <c r="C35" s="30">
        <v>7</v>
      </c>
      <c r="D35" s="30">
        <v>7</v>
      </c>
      <c r="E35" s="30">
        <v>7</v>
      </c>
      <c r="F35" s="30">
        <v>5</v>
      </c>
      <c r="G35" s="30">
        <v>5</v>
      </c>
      <c r="H35" s="30">
        <v>5</v>
      </c>
      <c r="I35" s="30">
        <v>5</v>
      </c>
      <c r="J35" s="30">
        <v>7</v>
      </c>
      <c r="K35" s="30">
        <v>7</v>
      </c>
      <c r="L35" s="30">
        <v>7</v>
      </c>
      <c r="M35" s="30">
        <v>7</v>
      </c>
      <c r="N35" s="30">
        <v>5</v>
      </c>
      <c r="O35" s="30">
        <v>5</v>
      </c>
      <c r="P35" s="30">
        <v>5</v>
      </c>
      <c r="Q35" s="30">
        <v>5</v>
      </c>
    </row>
    <row r="36" spans="1:17" ht="15">
      <c r="A36" s="17" t="s">
        <v>23</v>
      </c>
      <c r="B36" s="30">
        <v>-174</v>
      </c>
      <c r="C36" s="30">
        <v>-174</v>
      </c>
      <c r="D36" s="30">
        <v>-174</v>
      </c>
      <c r="E36" s="30">
        <v>-174</v>
      </c>
      <c r="F36" s="29">
        <v>-174</v>
      </c>
      <c r="G36" s="30">
        <v>-174</v>
      </c>
      <c r="H36" s="29">
        <v>-174</v>
      </c>
      <c r="I36" s="30">
        <v>-174</v>
      </c>
      <c r="J36" s="30">
        <v>-174</v>
      </c>
      <c r="K36" s="30">
        <v>-174</v>
      </c>
      <c r="L36" s="30">
        <v>-174</v>
      </c>
      <c r="M36" s="30">
        <v>-174</v>
      </c>
      <c r="N36" s="29">
        <v>-174</v>
      </c>
      <c r="O36" s="30">
        <v>-174</v>
      </c>
      <c r="P36" s="29">
        <v>-174</v>
      </c>
      <c r="Q36" s="30">
        <v>-174</v>
      </c>
    </row>
    <row r="37" spans="1:17" ht="15">
      <c r="A37" s="17" t="s">
        <v>192</v>
      </c>
      <c r="B37" s="29" t="s">
        <v>108</v>
      </c>
      <c r="C37" s="30">
        <v>-169.3</v>
      </c>
      <c r="D37" s="29" t="s">
        <v>108</v>
      </c>
      <c r="E37" s="30">
        <v>-169.3</v>
      </c>
      <c r="F37" s="30" t="s">
        <v>108</v>
      </c>
      <c r="G37" s="30">
        <v>-161.69999999999999</v>
      </c>
      <c r="H37" s="30" t="s">
        <v>108</v>
      </c>
      <c r="I37" s="30">
        <v>-161.69999999999999</v>
      </c>
      <c r="J37" s="29" t="s">
        <v>150</v>
      </c>
      <c r="K37" s="30">
        <v>-169.3</v>
      </c>
      <c r="L37" s="29" t="s">
        <v>150</v>
      </c>
      <c r="M37" s="30">
        <v>-169.3</v>
      </c>
      <c r="N37" s="30" t="s">
        <v>149</v>
      </c>
      <c r="O37" s="30">
        <v>-161.69999999999999</v>
      </c>
      <c r="P37" s="30" t="s">
        <v>150</v>
      </c>
      <c r="Q37" s="30">
        <v>-161.69999999999999</v>
      </c>
    </row>
    <row r="38" spans="1:17" ht="15">
      <c r="A38" s="17" t="s">
        <v>24</v>
      </c>
      <c r="B38" s="29">
        <v>-169.3</v>
      </c>
      <c r="C38" s="30" t="s">
        <v>108</v>
      </c>
      <c r="D38" s="29">
        <v>-169.3</v>
      </c>
      <c r="E38" s="30" t="s">
        <v>108</v>
      </c>
      <c r="F38" s="30">
        <v>-165.7</v>
      </c>
      <c r="G38" s="30" t="s">
        <v>108</v>
      </c>
      <c r="H38" s="30">
        <v>-165.7</v>
      </c>
      <c r="I38" s="30" t="s">
        <v>108</v>
      </c>
      <c r="J38" s="29">
        <v>-169.3</v>
      </c>
      <c r="K38" s="30" t="s">
        <v>149</v>
      </c>
      <c r="L38" s="29">
        <v>-169.3</v>
      </c>
      <c r="M38" s="30" t="s">
        <v>150</v>
      </c>
      <c r="N38" s="30">
        <v>-165.7</v>
      </c>
      <c r="O38" s="30" t="s">
        <v>150</v>
      </c>
      <c r="P38" s="30">
        <v>-165.7</v>
      </c>
      <c r="Q38" s="30" t="s">
        <v>50</v>
      </c>
    </row>
    <row r="39" spans="1:17" ht="30">
      <c r="A39" s="23" t="s">
        <v>193</v>
      </c>
      <c r="B39" s="33" t="s">
        <v>142</v>
      </c>
      <c r="C39" s="33">
        <f t="shared" ref="C39:I39" si="5">10*LOG10(10^((C35+C36)/10)+10^(C37/10))</f>
        <v>-164.98918835931039</v>
      </c>
      <c r="D39" s="33" t="s">
        <v>142</v>
      </c>
      <c r="E39" s="33">
        <f t="shared" si="5"/>
        <v>-164.98918835931039</v>
      </c>
      <c r="F39" s="33" t="s">
        <v>142</v>
      </c>
      <c r="G39" s="33">
        <f t="shared" si="5"/>
        <v>-160.9583889004532</v>
      </c>
      <c r="H39" s="33" t="s">
        <v>142</v>
      </c>
      <c r="I39" s="33">
        <f t="shared" si="5"/>
        <v>-160.9583889004532</v>
      </c>
      <c r="J39" s="33" t="s">
        <v>150</v>
      </c>
      <c r="K39" s="33">
        <f t="shared" ref="K39:Q39" si="6">10*LOG10(10^((K35+K36)/10)+10^(K37/10))</f>
        <v>-164.98918835931039</v>
      </c>
      <c r="L39" s="33" t="s">
        <v>149</v>
      </c>
      <c r="M39" s="33">
        <f t="shared" si="6"/>
        <v>-164.98918835931039</v>
      </c>
      <c r="N39" s="33" t="s">
        <v>150</v>
      </c>
      <c r="O39" s="33">
        <f t="shared" si="6"/>
        <v>-160.9583889004532</v>
      </c>
      <c r="P39" s="33" t="s">
        <v>149</v>
      </c>
      <c r="Q39" s="33">
        <f t="shared" si="6"/>
        <v>-160.9583889004532</v>
      </c>
    </row>
    <row r="40" spans="1:17" ht="30">
      <c r="A40" s="23" t="s">
        <v>194</v>
      </c>
      <c r="B40" s="33">
        <f t="shared" ref="B40:H40" si="7">10*LOG10(10^((B35+B36)/10)+10^(B38/10))</f>
        <v>-164.98918835931039</v>
      </c>
      <c r="C40" s="33" t="s">
        <v>142</v>
      </c>
      <c r="D40" s="33">
        <f t="shared" si="7"/>
        <v>-164.98918835931039</v>
      </c>
      <c r="E40" s="33" t="s">
        <v>142</v>
      </c>
      <c r="F40" s="33">
        <f t="shared" si="7"/>
        <v>-164.03352307536667</v>
      </c>
      <c r="G40" s="33" t="s">
        <v>142</v>
      </c>
      <c r="H40" s="33">
        <f t="shared" si="7"/>
        <v>-164.03352307536667</v>
      </c>
      <c r="I40" s="33" t="s">
        <v>142</v>
      </c>
      <c r="J40" s="33">
        <f t="shared" ref="J40:P40" si="8">10*LOG10(10^((J35+J36)/10)+10^(J38/10))</f>
        <v>-164.98918835931039</v>
      </c>
      <c r="K40" s="33" t="s">
        <v>149</v>
      </c>
      <c r="L40" s="33">
        <f t="shared" si="8"/>
        <v>-164.98918835931039</v>
      </c>
      <c r="M40" s="33" t="s">
        <v>150</v>
      </c>
      <c r="N40" s="33">
        <f t="shared" si="8"/>
        <v>-164.03352307536667</v>
      </c>
      <c r="O40" s="33" t="s">
        <v>150</v>
      </c>
      <c r="P40" s="33">
        <f t="shared" si="8"/>
        <v>-164.03352307536667</v>
      </c>
      <c r="Q40" s="33" t="s">
        <v>50</v>
      </c>
    </row>
    <row r="41" spans="1:17" ht="30">
      <c r="A41" s="17" t="s">
        <v>25</v>
      </c>
      <c r="B41" s="29" t="s">
        <v>108</v>
      </c>
      <c r="C41" s="29">
        <f>MaxN_RB!F6*12*15*1000</f>
        <v>19080000</v>
      </c>
      <c r="D41" s="29" t="s">
        <v>108</v>
      </c>
      <c r="E41" s="29">
        <f>MaxN_RB!F6*12*15*1000</f>
        <v>19080000</v>
      </c>
      <c r="F41" s="46" t="s">
        <v>108</v>
      </c>
      <c r="G41" s="30">
        <f>1*12*30*1000</f>
        <v>360000</v>
      </c>
      <c r="H41" s="46" t="s">
        <v>108</v>
      </c>
      <c r="I41" s="30">
        <f>1*12*30*1000</f>
        <v>360000</v>
      </c>
      <c r="J41" s="29" t="s">
        <v>150</v>
      </c>
      <c r="K41" s="29">
        <f>MaxN_RB!F7*12*30*1000</f>
        <v>18360000</v>
      </c>
      <c r="L41" s="29" t="s">
        <v>150</v>
      </c>
      <c r="M41" s="29">
        <f>MaxN_RB!F7*12*30*1000</f>
        <v>18360000</v>
      </c>
      <c r="N41" s="46" t="s">
        <v>150</v>
      </c>
      <c r="O41" s="30">
        <f>1*12*30*1000</f>
        <v>360000</v>
      </c>
      <c r="P41" s="46" t="s">
        <v>150</v>
      </c>
      <c r="Q41" s="30">
        <f>1*12*30*1000</f>
        <v>360000</v>
      </c>
    </row>
    <row r="42" spans="1:17" ht="30">
      <c r="A42" s="17" t="s">
        <v>26</v>
      </c>
      <c r="B42" s="29">
        <f>MaxN_RB!F7*12*30*1000</f>
        <v>18360000</v>
      </c>
      <c r="C42" s="46" t="s">
        <v>108</v>
      </c>
      <c r="D42" s="29">
        <f>MaxN_RB!F7*12*30*1000</f>
        <v>18360000</v>
      </c>
      <c r="E42" s="46" t="s">
        <v>108</v>
      </c>
      <c r="F42" s="29">
        <f>4*12*30*1000</f>
        <v>1440000</v>
      </c>
      <c r="G42" s="30" t="s">
        <v>108</v>
      </c>
      <c r="H42" s="29">
        <f>4*12*30*1000</f>
        <v>1440000</v>
      </c>
      <c r="I42" s="30" t="s">
        <v>108</v>
      </c>
      <c r="J42" s="29">
        <f>MaxN_RB!F7*12*30*1000</f>
        <v>18360000</v>
      </c>
      <c r="K42" s="46" t="s">
        <v>150</v>
      </c>
      <c r="L42" s="29">
        <f>MaxN_RB!F7*12*30*1000</f>
        <v>18360000</v>
      </c>
      <c r="M42" s="46" t="s">
        <v>149</v>
      </c>
      <c r="N42" s="29">
        <f>4*12*30*1000</f>
        <v>1440000</v>
      </c>
      <c r="O42" s="30" t="s">
        <v>149</v>
      </c>
      <c r="P42" s="29">
        <f>4*12*30*1000</f>
        <v>1440000</v>
      </c>
      <c r="Q42" s="30" t="s">
        <v>150</v>
      </c>
    </row>
    <row r="43" spans="1:17" ht="15">
      <c r="A43" s="21" t="s">
        <v>27</v>
      </c>
      <c r="B43" s="33" t="s">
        <v>142</v>
      </c>
      <c r="C43" s="33">
        <f t="shared" ref="B43:I44" si="9">C39+10*LOG10(C41)</f>
        <v>-92.18340465562963</v>
      </c>
      <c r="D43" s="33" t="s">
        <v>142</v>
      </c>
      <c r="E43" s="33">
        <f t="shared" si="9"/>
        <v>-92.18340465562963</v>
      </c>
      <c r="F43" s="33" t="s">
        <v>142</v>
      </c>
      <c r="G43" s="33">
        <f t="shared" si="9"/>
        <v>-105.39536389278032</v>
      </c>
      <c r="H43" s="33" t="s">
        <v>142</v>
      </c>
      <c r="I43" s="33">
        <f t="shared" si="9"/>
        <v>-105.39536389278032</v>
      </c>
      <c r="J43" s="33" t="s">
        <v>150</v>
      </c>
      <c r="K43" s="33">
        <f t="shared" ref="J43:Q44" si="10">K39+10*LOG10(K41)</f>
        <v>-92.350461590658156</v>
      </c>
      <c r="L43" s="33" t="s">
        <v>149</v>
      </c>
      <c r="M43" s="33">
        <f t="shared" si="10"/>
        <v>-92.350461590658156</v>
      </c>
      <c r="N43" s="33" t="s">
        <v>150</v>
      </c>
      <c r="O43" s="33">
        <f t="shared" si="10"/>
        <v>-105.39536389278032</v>
      </c>
      <c r="P43" s="33" t="s">
        <v>150</v>
      </c>
      <c r="Q43" s="33">
        <f t="shared" si="10"/>
        <v>-105.39536389278032</v>
      </c>
    </row>
    <row r="44" spans="1:17" ht="15">
      <c r="A44" s="21" t="s">
        <v>28</v>
      </c>
      <c r="B44" s="33">
        <f t="shared" si="9"/>
        <v>-92.350461590658156</v>
      </c>
      <c r="C44" s="33" t="s">
        <v>142</v>
      </c>
      <c r="D44" s="33">
        <f t="shared" si="9"/>
        <v>-92.350461590658156</v>
      </c>
      <c r="E44" s="33" t="s">
        <v>142</v>
      </c>
      <c r="F44" s="33">
        <f t="shared" si="9"/>
        <v>-102.44989815441417</v>
      </c>
      <c r="G44" s="33" t="s">
        <v>142</v>
      </c>
      <c r="H44" s="33">
        <f t="shared" si="9"/>
        <v>-102.44989815441417</v>
      </c>
      <c r="I44" s="33" t="s">
        <v>142</v>
      </c>
      <c r="J44" s="33">
        <f t="shared" si="10"/>
        <v>-92.350461590658156</v>
      </c>
      <c r="K44" s="33" t="s">
        <v>150</v>
      </c>
      <c r="L44" s="33">
        <f t="shared" si="10"/>
        <v>-92.350461590658156</v>
      </c>
      <c r="M44" s="33" t="s">
        <v>150</v>
      </c>
      <c r="N44" s="33">
        <f t="shared" si="10"/>
        <v>-102.44989815441417</v>
      </c>
      <c r="O44" s="33" t="s">
        <v>149</v>
      </c>
      <c r="P44" s="33">
        <f t="shared" si="10"/>
        <v>-102.44989815441417</v>
      </c>
      <c r="Q44" s="33" t="s">
        <v>150</v>
      </c>
    </row>
    <row r="45" spans="1:17" ht="15">
      <c r="A45" s="17" t="s">
        <v>29</v>
      </c>
      <c r="B45" s="29" t="s">
        <v>108</v>
      </c>
      <c r="C45" s="53">
        <v>-4.5999999999999996</v>
      </c>
      <c r="D45" s="53" t="s">
        <v>108</v>
      </c>
      <c r="E45" s="53">
        <v>-4.5</v>
      </c>
      <c r="F45" s="29" t="s">
        <v>108</v>
      </c>
      <c r="G45" s="53">
        <v>-5</v>
      </c>
      <c r="H45" s="53" t="s">
        <v>108</v>
      </c>
      <c r="I45" s="53">
        <v>-7.5</v>
      </c>
      <c r="J45" s="53" t="s">
        <v>150</v>
      </c>
      <c r="K45" s="53">
        <v>-9.4</v>
      </c>
      <c r="L45" s="53" t="s">
        <v>150</v>
      </c>
      <c r="M45" s="53">
        <v>-9.6999999999999993</v>
      </c>
      <c r="N45" s="53" t="s">
        <v>150</v>
      </c>
      <c r="O45" s="53">
        <v>-9.4</v>
      </c>
      <c r="P45" s="53" t="s">
        <v>150</v>
      </c>
      <c r="Q45" s="53">
        <v>-10</v>
      </c>
    </row>
    <row r="46" spans="1:17" ht="15">
      <c r="A46" s="17" t="s">
        <v>30</v>
      </c>
      <c r="B46" s="29">
        <v>2.8</v>
      </c>
      <c r="C46" s="29" t="s">
        <v>108</v>
      </c>
      <c r="D46" s="29">
        <v>-0.5</v>
      </c>
      <c r="E46" s="29" t="s">
        <v>108</v>
      </c>
      <c r="F46" s="53">
        <v>1.28</v>
      </c>
      <c r="G46" s="29" t="s">
        <v>108</v>
      </c>
      <c r="H46" s="53">
        <v>0.45</v>
      </c>
      <c r="I46" s="29" t="s">
        <v>108</v>
      </c>
      <c r="J46" s="53">
        <v>0.2</v>
      </c>
      <c r="K46" s="53" t="s">
        <v>150</v>
      </c>
      <c r="L46" s="53">
        <v>-0.8</v>
      </c>
      <c r="M46" s="53" t="s">
        <v>150</v>
      </c>
      <c r="N46" s="53">
        <v>-2</v>
      </c>
      <c r="O46" s="53" t="s">
        <v>150</v>
      </c>
      <c r="P46" s="53">
        <v>-2</v>
      </c>
      <c r="Q46" s="53" t="s">
        <v>150</v>
      </c>
    </row>
    <row r="47" spans="1:17" ht="15">
      <c r="A47" s="17" t="s">
        <v>31</v>
      </c>
      <c r="B47" s="29">
        <v>2</v>
      </c>
      <c r="C47" s="30">
        <v>2</v>
      </c>
      <c r="D47" s="29">
        <v>2</v>
      </c>
      <c r="E47" s="30">
        <v>2</v>
      </c>
      <c r="F47" s="46">
        <v>2</v>
      </c>
      <c r="G47" s="30">
        <v>2</v>
      </c>
      <c r="H47" s="46">
        <v>2</v>
      </c>
      <c r="I47" s="30">
        <v>2</v>
      </c>
      <c r="J47" s="29">
        <v>2</v>
      </c>
      <c r="K47" s="30">
        <v>2</v>
      </c>
      <c r="L47" s="29">
        <v>2</v>
      </c>
      <c r="M47" s="30">
        <v>2</v>
      </c>
      <c r="N47" s="46">
        <v>2</v>
      </c>
      <c r="O47" s="30">
        <v>2</v>
      </c>
      <c r="P47" s="46">
        <v>2</v>
      </c>
      <c r="Q47" s="30">
        <v>2</v>
      </c>
    </row>
    <row r="48" spans="1:17" ht="15">
      <c r="A48" s="17" t="s">
        <v>32</v>
      </c>
      <c r="B48" s="29" t="s">
        <v>108</v>
      </c>
      <c r="C48" s="30">
        <v>0</v>
      </c>
      <c r="D48" s="29" t="s">
        <v>108</v>
      </c>
      <c r="E48" s="30">
        <v>0</v>
      </c>
      <c r="F48" s="46" t="s">
        <v>108</v>
      </c>
      <c r="G48" s="30">
        <v>0</v>
      </c>
      <c r="H48" s="46" t="s">
        <v>108</v>
      </c>
      <c r="I48" s="30">
        <v>0</v>
      </c>
      <c r="J48" s="29" t="s">
        <v>150</v>
      </c>
      <c r="K48" s="30">
        <v>0</v>
      </c>
      <c r="L48" s="29" t="s">
        <v>150</v>
      </c>
      <c r="M48" s="30">
        <v>0</v>
      </c>
      <c r="N48" s="46" t="s">
        <v>150</v>
      </c>
      <c r="O48" s="30">
        <v>0</v>
      </c>
      <c r="P48" s="46" t="s">
        <v>150</v>
      </c>
      <c r="Q48" s="30">
        <v>0</v>
      </c>
    </row>
    <row r="49" spans="1:17" ht="15">
      <c r="A49" s="17" t="s">
        <v>33</v>
      </c>
      <c r="B49" s="29">
        <v>0.5</v>
      </c>
      <c r="C49" s="30" t="s">
        <v>108</v>
      </c>
      <c r="D49" s="29">
        <v>0.5</v>
      </c>
      <c r="E49" s="30" t="s">
        <v>108</v>
      </c>
      <c r="F49" s="46">
        <v>0.5</v>
      </c>
      <c r="G49" s="30" t="s">
        <v>108</v>
      </c>
      <c r="H49" s="46">
        <v>0.5</v>
      </c>
      <c r="I49" s="30" t="s">
        <v>108</v>
      </c>
      <c r="J49" s="29">
        <v>0.5</v>
      </c>
      <c r="K49" s="30" t="s">
        <v>150</v>
      </c>
      <c r="L49" s="29">
        <v>0.5</v>
      </c>
      <c r="M49" s="30" t="s">
        <v>150</v>
      </c>
      <c r="N49" s="46">
        <v>0.5</v>
      </c>
      <c r="O49" s="30" t="s">
        <v>149</v>
      </c>
      <c r="P49" s="46">
        <v>0.5</v>
      </c>
      <c r="Q49" s="30" t="s">
        <v>150</v>
      </c>
    </row>
    <row r="50" spans="1:17" ht="30">
      <c r="A50" s="23" t="s">
        <v>44</v>
      </c>
      <c r="B50" s="33" t="s">
        <v>142</v>
      </c>
      <c r="C50" s="33">
        <f t="shared" ref="C50:I50" si="11">C43+C45+C47-C48</f>
        <v>-94.783404655629624</v>
      </c>
      <c r="D50" s="33" t="s">
        <v>142</v>
      </c>
      <c r="E50" s="33">
        <f t="shared" si="11"/>
        <v>-94.68340465562963</v>
      </c>
      <c r="F50" s="33" t="s">
        <v>142</v>
      </c>
      <c r="G50" s="33">
        <f t="shared" si="11"/>
        <v>-108.39536389278032</v>
      </c>
      <c r="H50" s="33" t="s">
        <v>142</v>
      </c>
      <c r="I50" s="33">
        <f t="shared" si="11"/>
        <v>-110.89536389278032</v>
      </c>
      <c r="J50" s="33" t="s">
        <v>150</v>
      </c>
      <c r="K50" s="33">
        <f t="shared" ref="K50:Q50" si="12">K43+K45+K47-K48</f>
        <v>-99.750461590658162</v>
      </c>
      <c r="L50" s="33" t="s">
        <v>150</v>
      </c>
      <c r="M50" s="33">
        <f t="shared" si="12"/>
        <v>-100.05046159065816</v>
      </c>
      <c r="N50" s="33" t="s">
        <v>150</v>
      </c>
      <c r="O50" s="33">
        <f t="shared" si="12"/>
        <v>-112.79536389278033</v>
      </c>
      <c r="P50" s="33" t="s">
        <v>150</v>
      </c>
      <c r="Q50" s="33">
        <f t="shared" si="12"/>
        <v>-113.39536389278032</v>
      </c>
    </row>
    <row r="51" spans="1:17" ht="15">
      <c r="A51" s="23" t="s">
        <v>45</v>
      </c>
      <c r="B51" s="33">
        <f>B44+B46+B47-B49</f>
        <v>-88.050461590658159</v>
      </c>
      <c r="C51" s="33" t="s">
        <v>142</v>
      </c>
      <c r="D51" s="33">
        <f t="shared" ref="D51:H51" si="13">D44+D46+D47-D49</f>
        <v>-91.350461590658156</v>
      </c>
      <c r="E51" s="33" t="s">
        <v>142</v>
      </c>
      <c r="F51" s="33">
        <f t="shared" si="13"/>
        <v>-99.66989815441417</v>
      </c>
      <c r="G51" s="33" t="s">
        <v>142</v>
      </c>
      <c r="H51" s="33">
        <f t="shared" si="13"/>
        <v>-100.49989815441417</v>
      </c>
      <c r="I51" s="33" t="s">
        <v>142</v>
      </c>
      <c r="J51" s="33">
        <f>J44+J46+J47-J49</f>
        <v>-90.650461590658153</v>
      </c>
      <c r="K51" s="33" t="s">
        <v>150</v>
      </c>
      <c r="L51" s="33">
        <f t="shared" ref="L51:P51" si="14">L44+L46+L47-L49</f>
        <v>-91.650461590658153</v>
      </c>
      <c r="M51" s="33" t="s">
        <v>150</v>
      </c>
      <c r="N51" s="33">
        <f t="shared" si="14"/>
        <v>-102.94989815441417</v>
      </c>
      <c r="O51" s="33" t="s">
        <v>150</v>
      </c>
      <c r="P51" s="33">
        <f t="shared" si="14"/>
        <v>-102.94989815441417</v>
      </c>
      <c r="Q51" s="33" t="s">
        <v>150</v>
      </c>
    </row>
    <row r="52" spans="1:17" ht="30">
      <c r="A52" s="23" t="s">
        <v>96</v>
      </c>
      <c r="B52" s="33" t="s">
        <v>142</v>
      </c>
      <c r="C52" s="33">
        <f t="shared" ref="C52:I52" si="15">C27+C32+C33-C50</f>
        <v>163.89670417866756</v>
      </c>
      <c r="D52" s="33" t="s">
        <v>142</v>
      </c>
      <c r="E52" s="33">
        <f t="shared" si="15"/>
        <v>163.79670417866757</v>
      </c>
      <c r="F52" s="33" t="s">
        <v>142</v>
      </c>
      <c r="G52" s="33">
        <f t="shared" si="15"/>
        <v>153.44686367597939</v>
      </c>
      <c r="H52" s="33" t="s">
        <v>142</v>
      </c>
      <c r="I52" s="33">
        <f t="shared" si="15"/>
        <v>155.94686367597939</v>
      </c>
      <c r="J52" s="33" t="s">
        <v>150</v>
      </c>
      <c r="K52" s="33">
        <f t="shared" ref="K52:Q52" si="16">K27+K32+K33-K50</f>
        <v>168.86376111369611</v>
      </c>
      <c r="L52" s="33" t="s">
        <v>150</v>
      </c>
      <c r="M52" s="33">
        <f t="shared" si="16"/>
        <v>169.1637611136961</v>
      </c>
      <c r="N52" s="33" t="s">
        <v>150</v>
      </c>
      <c r="O52" s="33">
        <f t="shared" si="16"/>
        <v>157.84686367597939</v>
      </c>
      <c r="P52" s="33" t="s">
        <v>150</v>
      </c>
      <c r="Q52" s="33">
        <f t="shared" si="16"/>
        <v>158.44686367597939</v>
      </c>
    </row>
    <row r="53" spans="1:17" ht="15">
      <c r="A53" s="23" t="s">
        <v>88</v>
      </c>
      <c r="B53" s="33">
        <f t="shared" ref="B53:H53" si="17">B28+B32+B33-B51</f>
        <v>157.1637611136961</v>
      </c>
      <c r="C53" s="33" t="s">
        <v>142</v>
      </c>
      <c r="D53" s="33">
        <f t="shared" si="17"/>
        <v>160.46376111369608</v>
      </c>
      <c r="E53" s="33" t="s">
        <v>142</v>
      </c>
      <c r="F53" s="33">
        <f t="shared" si="17"/>
        <v>144.72139793761323</v>
      </c>
      <c r="G53" s="33" t="s">
        <v>142</v>
      </c>
      <c r="H53" s="33">
        <f t="shared" si="17"/>
        <v>145.55139793761322</v>
      </c>
      <c r="I53" s="33" t="s">
        <v>142</v>
      </c>
      <c r="J53" s="33">
        <f t="shared" ref="J53:P53" si="18">J28+J32+J33-J51</f>
        <v>159.76376111369609</v>
      </c>
      <c r="K53" s="33" t="s">
        <v>150</v>
      </c>
      <c r="L53" s="33">
        <f t="shared" si="18"/>
        <v>160.76376111369609</v>
      </c>
      <c r="M53" s="33" t="s">
        <v>150</v>
      </c>
      <c r="N53" s="33">
        <f t="shared" si="18"/>
        <v>148.00139793761323</v>
      </c>
      <c r="O53" s="33" t="s">
        <v>150</v>
      </c>
      <c r="P53" s="33">
        <f t="shared" si="18"/>
        <v>148.00139793761323</v>
      </c>
      <c r="Q53" s="33" t="s">
        <v>150</v>
      </c>
    </row>
    <row r="54" spans="1:17">
      <c r="A54" s="16" t="s">
        <v>34</v>
      </c>
      <c r="B54" s="45"/>
      <c r="C54" s="45"/>
      <c r="D54" s="45"/>
      <c r="E54" s="45"/>
      <c r="F54" s="45"/>
      <c r="G54" s="45"/>
      <c r="H54" s="45"/>
      <c r="I54" s="45"/>
      <c r="J54" s="45"/>
      <c r="K54" s="45"/>
      <c r="L54" s="45"/>
      <c r="M54" s="45"/>
      <c r="N54" s="45"/>
      <c r="O54" s="45"/>
      <c r="P54" s="45"/>
      <c r="Q54" s="45"/>
    </row>
    <row r="55" spans="1:17" ht="15">
      <c r="A55" s="17" t="s">
        <v>35</v>
      </c>
      <c r="B55" s="46">
        <v>8</v>
      </c>
      <c r="C55" s="46">
        <v>8</v>
      </c>
      <c r="D55" s="46">
        <v>8</v>
      </c>
      <c r="E55" s="46">
        <v>8</v>
      </c>
      <c r="F55" s="46">
        <v>8</v>
      </c>
      <c r="G55" s="46">
        <v>8</v>
      </c>
      <c r="H55" s="46">
        <v>8</v>
      </c>
      <c r="I55" s="46">
        <v>8</v>
      </c>
      <c r="J55" s="51">
        <v>6</v>
      </c>
      <c r="K55" s="51">
        <v>6</v>
      </c>
      <c r="L55" s="51">
        <v>8</v>
      </c>
      <c r="M55" s="51">
        <v>8</v>
      </c>
      <c r="N55" s="51">
        <v>6</v>
      </c>
      <c r="O55" s="51">
        <v>6</v>
      </c>
      <c r="P55" s="51">
        <v>8</v>
      </c>
      <c r="Q55" s="51">
        <v>8</v>
      </c>
    </row>
    <row r="56" spans="1:17" ht="18">
      <c r="A56" s="24" t="s">
        <v>89</v>
      </c>
      <c r="B56" s="46"/>
      <c r="C56" s="46"/>
      <c r="D56" s="46"/>
      <c r="E56" s="46"/>
      <c r="F56" s="46"/>
      <c r="G56" s="46"/>
      <c r="H56" s="46"/>
      <c r="I56" s="46"/>
      <c r="J56" s="78"/>
      <c r="K56" s="51"/>
      <c r="L56" s="51"/>
      <c r="M56" s="51"/>
      <c r="N56" s="78"/>
      <c r="O56" s="51"/>
      <c r="P56" s="51"/>
      <c r="Q56" s="51"/>
    </row>
    <row r="57" spans="1:17" ht="30">
      <c r="A57" s="17" t="s">
        <v>36</v>
      </c>
      <c r="B57" s="46" t="s">
        <v>108</v>
      </c>
      <c r="C57" s="46">
        <v>10.45</v>
      </c>
      <c r="D57" s="46" t="s">
        <v>108</v>
      </c>
      <c r="E57" s="46">
        <v>10</v>
      </c>
      <c r="F57" s="46" t="s">
        <v>108</v>
      </c>
      <c r="G57" s="46">
        <v>10.45</v>
      </c>
      <c r="H57" s="46" t="s">
        <v>83</v>
      </c>
      <c r="I57" s="46">
        <v>10</v>
      </c>
      <c r="J57" s="73" t="s">
        <v>149</v>
      </c>
      <c r="K57" s="51">
        <v>8.06</v>
      </c>
      <c r="L57" s="51" t="s">
        <v>150</v>
      </c>
      <c r="M57" s="51">
        <v>8.2899999999999991</v>
      </c>
      <c r="N57" s="73" t="s">
        <v>150</v>
      </c>
      <c r="O57" s="51">
        <v>8.06</v>
      </c>
      <c r="P57" s="51" t="s">
        <v>149</v>
      </c>
      <c r="Q57" s="51">
        <v>8.2899999999999991</v>
      </c>
    </row>
    <row r="58" spans="1:17" ht="30">
      <c r="A58" s="17" t="s">
        <v>37</v>
      </c>
      <c r="B58" s="46">
        <v>6.61</v>
      </c>
      <c r="C58" s="46" t="s">
        <v>108</v>
      </c>
      <c r="D58" s="46">
        <v>6.3</v>
      </c>
      <c r="E58" s="46" t="s">
        <v>108</v>
      </c>
      <c r="F58" s="46">
        <v>6.61</v>
      </c>
      <c r="G58" s="46" t="s">
        <v>108</v>
      </c>
      <c r="H58" s="46">
        <v>6.3</v>
      </c>
      <c r="I58" s="46" t="s">
        <v>83</v>
      </c>
      <c r="J58" s="51">
        <v>4.79</v>
      </c>
      <c r="K58" s="73" t="s">
        <v>150</v>
      </c>
      <c r="L58" s="51">
        <v>5.0199999999999996</v>
      </c>
      <c r="M58" s="73" t="s">
        <v>150</v>
      </c>
      <c r="N58" s="51">
        <v>4.79</v>
      </c>
      <c r="O58" s="73" t="s">
        <v>150</v>
      </c>
      <c r="P58" s="51">
        <v>5.0199999999999996</v>
      </c>
      <c r="Q58" s="73" t="s">
        <v>150</v>
      </c>
    </row>
    <row r="59" spans="1:17" ht="15">
      <c r="A59" s="17" t="s">
        <v>38</v>
      </c>
      <c r="B59" s="46">
        <v>0</v>
      </c>
      <c r="C59" s="46">
        <v>0</v>
      </c>
      <c r="D59" s="46">
        <v>0</v>
      </c>
      <c r="E59" s="46">
        <v>0</v>
      </c>
      <c r="F59" s="46">
        <v>0</v>
      </c>
      <c r="G59" s="46">
        <v>0</v>
      </c>
      <c r="H59" s="46">
        <v>0</v>
      </c>
      <c r="I59" s="46">
        <v>0</v>
      </c>
      <c r="J59" s="51">
        <v>0</v>
      </c>
      <c r="K59" s="51">
        <v>0</v>
      </c>
      <c r="L59" s="51">
        <v>0</v>
      </c>
      <c r="M59" s="51">
        <v>0</v>
      </c>
      <c r="N59" s="51">
        <v>0</v>
      </c>
      <c r="O59" s="51">
        <v>0</v>
      </c>
      <c r="P59" s="51">
        <v>0</v>
      </c>
      <c r="Q59" s="51">
        <v>0</v>
      </c>
    </row>
    <row r="60" spans="1:17" ht="15">
      <c r="A60" s="17" t="s">
        <v>39</v>
      </c>
      <c r="B60" s="29">
        <v>9</v>
      </c>
      <c r="C60" s="29">
        <v>9</v>
      </c>
      <c r="D60" s="31">
        <v>11.9</v>
      </c>
      <c r="E60" s="31">
        <v>11.9</v>
      </c>
      <c r="F60" s="29">
        <v>9</v>
      </c>
      <c r="G60" s="29">
        <v>9</v>
      </c>
      <c r="H60" s="31">
        <v>11.9</v>
      </c>
      <c r="I60" s="31">
        <v>11.9</v>
      </c>
      <c r="J60" s="51">
        <v>9</v>
      </c>
      <c r="K60" s="51">
        <v>9</v>
      </c>
      <c r="L60" s="51">
        <v>11.9</v>
      </c>
      <c r="M60" s="51">
        <v>11.9</v>
      </c>
      <c r="N60" s="51">
        <v>9</v>
      </c>
      <c r="O60" s="51">
        <v>9</v>
      </c>
      <c r="P60" s="51">
        <v>11.9</v>
      </c>
      <c r="Q60" s="51">
        <v>11.9</v>
      </c>
    </row>
    <row r="61" spans="1:17" ht="15">
      <c r="A61" s="17" t="s">
        <v>40</v>
      </c>
      <c r="B61" s="46">
        <v>0</v>
      </c>
      <c r="C61" s="46">
        <v>0</v>
      </c>
      <c r="D61" s="46">
        <v>0</v>
      </c>
      <c r="E61" s="46">
        <v>0</v>
      </c>
      <c r="F61" s="46">
        <v>0</v>
      </c>
      <c r="G61" s="46">
        <v>0</v>
      </c>
      <c r="H61" s="46">
        <v>0</v>
      </c>
      <c r="I61" s="46">
        <v>0</v>
      </c>
      <c r="J61" s="46">
        <v>0</v>
      </c>
      <c r="K61" s="46">
        <v>0</v>
      </c>
      <c r="L61" s="46">
        <v>0</v>
      </c>
      <c r="M61" s="46">
        <v>0</v>
      </c>
      <c r="N61" s="46">
        <v>0</v>
      </c>
      <c r="O61" s="46">
        <v>0</v>
      </c>
      <c r="P61" s="46">
        <v>0</v>
      </c>
      <c r="Q61" s="46">
        <v>0</v>
      </c>
    </row>
    <row r="62" spans="1:17" ht="30">
      <c r="A62" s="23" t="s">
        <v>132</v>
      </c>
      <c r="B62" s="33" t="s">
        <v>142</v>
      </c>
      <c r="C62" s="33">
        <f t="shared" ref="C62:I62" si="19">C52-C57+C59-C60+C61-C34</f>
        <v>143.44670417866757</v>
      </c>
      <c r="D62" s="33" t="s">
        <v>142</v>
      </c>
      <c r="E62" s="33">
        <f t="shared" si="19"/>
        <v>140.89670417866756</v>
      </c>
      <c r="F62" s="33" t="s">
        <v>142</v>
      </c>
      <c r="G62" s="33">
        <f t="shared" si="19"/>
        <v>130.9968636759794</v>
      </c>
      <c r="H62" s="33" t="s">
        <v>142</v>
      </c>
      <c r="I62" s="33">
        <f t="shared" si="19"/>
        <v>131.04686367597938</v>
      </c>
      <c r="J62" s="33" t="s">
        <v>150</v>
      </c>
      <c r="K62" s="33">
        <f>K52-K57+K59-K60+K61-K34</f>
        <v>150.80376111369611</v>
      </c>
      <c r="L62" s="33" t="s">
        <v>150</v>
      </c>
      <c r="M62" s="33">
        <f>M52-M57+M59-M60+M61-M34</f>
        <v>147.9737611136961</v>
      </c>
      <c r="N62" s="33" t="s">
        <v>150</v>
      </c>
      <c r="O62" s="33">
        <f>O52-O57+O59-O60+O61-O34</f>
        <v>137.78686367597939</v>
      </c>
      <c r="P62" s="33" t="s">
        <v>150</v>
      </c>
      <c r="Q62" s="33">
        <f>Q52-Q57+Q59-Q60+Q61-Q34</f>
        <v>135.25686367597939</v>
      </c>
    </row>
    <row r="63" spans="1:17" ht="30">
      <c r="A63" s="23" t="s">
        <v>46</v>
      </c>
      <c r="B63" s="33">
        <f t="shared" ref="B63:H63" si="20">B53-B58+B59-B60+B61-B34</f>
        <v>140.55376111369608</v>
      </c>
      <c r="C63" s="33" t="s">
        <v>142</v>
      </c>
      <c r="D63" s="33">
        <f t="shared" si="20"/>
        <v>141.26376111369606</v>
      </c>
      <c r="E63" s="33" t="s">
        <v>142</v>
      </c>
      <c r="F63" s="33">
        <f t="shared" si="20"/>
        <v>126.11139793761322</v>
      </c>
      <c r="G63" s="33" t="s">
        <v>142</v>
      </c>
      <c r="H63" s="33">
        <f t="shared" si="20"/>
        <v>124.3513979376132</v>
      </c>
      <c r="I63" s="33" t="s">
        <v>142</v>
      </c>
      <c r="J63" s="33">
        <f>J53-J58+J59-J60+J61-J34</f>
        <v>144.9737611136961</v>
      </c>
      <c r="K63" s="33" t="s">
        <v>150</v>
      </c>
      <c r="L63" s="33">
        <f>L53-L58+L59-L60+L61-L34</f>
        <v>142.84376111369608</v>
      </c>
      <c r="M63" s="33" t="s">
        <v>150</v>
      </c>
      <c r="N63" s="33">
        <f>N53-N58+N59-N60+N61-N34</f>
        <v>131.21139793761324</v>
      </c>
      <c r="O63" s="33" t="s">
        <v>150</v>
      </c>
      <c r="P63" s="33">
        <f>P53-P58+P59-P60+P61-P34</f>
        <v>128.08139793761322</v>
      </c>
      <c r="Q63" s="33" t="s">
        <v>150</v>
      </c>
    </row>
    <row r="64" spans="1:17">
      <c r="A64" s="16" t="s">
        <v>41</v>
      </c>
      <c r="B64" s="45"/>
      <c r="C64" s="45"/>
      <c r="D64" s="45"/>
      <c r="E64" s="45"/>
      <c r="F64" s="45"/>
      <c r="G64" s="45"/>
      <c r="H64" s="45"/>
      <c r="I64" s="45"/>
      <c r="J64" s="45"/>
      <c r="K64" s="45"/>
      <c r="L64" s="45"/>
      <c r="M64" s="45"/>
      <c r="N64" s="45"/>
      <c r="O64" s="45"/>
      <c r="P64" s="45"/>
      <c r="Q64" s="45"/>
    </row>
    <row r="65" spans="1:17" ht="30">
      <c r="A65" s="25" t="s">
        <v>133</v>
      </c>
      <c r="B65" s="30" t="s">
        <v>82</v>
      </c>
      <c r="C65" s="46">
        <f>10^(3+(C62-161.04+7.1*LOG10(20)-7.5*LOG10(5)+(24.37-3.7*(5/C$5)^2)*LOG10(C$5)-20*LOG10(C$4)+(3.2*(LOG10(11.75*C$6))^2-4.97))/(43.42-3.1*LOG10(C$5)))</f>
        <v>5002.2735449836473</v>
      </c>
      <c r="D65" s="30" t="s">
        <v>82</v>
      </c>
      <c r="E65" s="46">
        <f>10^(3+(E62-161.04+7.1*LOG10(20)-7.5*LOG10(5)+(24.37-3.7*(5/E$5)^2)*LOG10(E$5)-20*LOG10(E$4)+(3.2*(LOG10(11.75*E$6))^2-4.97))/(43.42-3.1*LOG10(E$5)))</f>
        <v>4296.9703344285608</v>
      </c>
      <c r="F65" s="30" t="s">
        <v>82</v>
      </c>
      <c r="G65" s="46">
        <f>10^(3+(G62-161.04+7.1*LOG10(20)-7.5*LOG10(5)+(24.37-3.7*(5/G$5)^2)*LOG10(G$5)-20*LOG10(G$4)+(3.2*(LOG10(11.75*G$6))^2-4.97))/(43.42-3.1*LOG10(G$5)))</f>
        <v>2381.8338385122202</v>
      </c>
      <c r="H65" s="30" t="s">
        <v>82</v>
      </c>
      <c r="I65" s="46">
        <f>10^(3+(I62-161.04+7.1*LOG10(20)-7.5*LOG10(5)+(24.37-3.7*(5/I$5)^2)*LOG10(I$5)-20*LOG10(I$4)+(3.2*(LOG10(11.75*I$6))^2-4.97))/(43.42-3.1*LOG10(I$5)))</f>
        <v>2388.9423982203398</v>
      </c>
      <c r="J65" s="30" t="s">
        <v>149</v>
      </c>
      <c r="K65" s="46">
        <f>10^((K62-161.04+7.1*LOG10(20)-7.5*LOG10(5)+(24.37-3.7*(5/K$5)^2)*LOG10(K$5)-20*LOG10(K$4)+(3.2*(LOG10(11.75*K$6)^2)-4.97))/(43.42-3.1*LOG10(K$5))+3)</f>
        <v>7755.3257160081284</v>
      </c>
      <c r="L65" s="30" t="s">
        <v>149</v>
      </c>
      <c r="M65" s="46">
        <f>10^((M62-161.04+7.1*LOG10(20)-7.5*LOG10(5)+(24.37-3.7*(5/M$5)^2)*LOG10(M$5)-20*LOG10(M$4)+(3.2*(LOG10(11.75*M$6)^2)-4.97))/(43.42-3.1*LOG10(M$5))+3)</f>
        <v>6551.5995438044029</v>
      </c>
      <c r="N65" s="30" t="s">
        <v>149</v>
      </c>
      <c r="O65" s="46">
        <f>10^((O62-161.04+7.1*LOG10(20)-7.5*LOG10(5)+(24.37-3.7*(5/O$5)^2)*LOG10(O$5)-20*LOG10(O$4)+(3.2*(LOG10(11.75*O$6)^2)-4.97))/(43.42-3.1*LOG10(O$5))+3)</f>
        <v>3569.9831689981334</v>
      </c>
      <c r="P65" s="30" t="s">
        <v>150</v>
      </c>
      <c r="Q65" s="46">
        <f>10^((Q62-161.04+7.1*LOG10(20)-7.5*LOG10(5)+(24.37-3.7*(5/Q$5)^2)*LOG10(Q$5)-20*LOG10(Q$4)+(3.2*(LOG10(11.75*Q$6)^2)-4.97))/(43.42-3.1*LOG10(Q$5))+3)</f>
        <v>3070.28558679659</v>
      </c>
    </row>
    <row r="66" spans="1:17" ht="30">
      <c r="A66" s="25" t="s">
        <v>134</v>
      </c>
      <c r="B66" s="46">
        <f>10^(3+(B63-161.04+7.1*LOG10(20)-7.5*LOG10(5)+(24.37-3.7*(5/B$5)^2)*LOG10(B$5)-20*LOG10(B$4)+(3.2*(LOG10(11.75*B$6))^2-4.97))/(43.42-3.1*LOG10(B$5)))</f>
        <v>4210.0329854575284</v>
      </c>
      <c r="C66" s="30" t="s">
        <v>82</v>
      </c>
      <c r="D66" s="46">
        <f>10^(3+(D63-161.04+7.1*LOG10(20)-7.5*LOG10(5)+(24.37-3.7*(5/D$5)^2)*LOG10(D$5)-20*LOG10(D$4)+(3.2*(LOG10(11.75*D$6))^2-4.97))/(43.42-3.1*LOG10(D$5)))</f>
        <v>4392.0106446185036</v>
      </c>
      <c r="E66" s="30" t="s">
        <v>82</v>
      </c>
      <c r="F66" s="47">
        <f>10^(3+(F63-161.04+7.1*LOG10(20)-7.5*LOG10(5)+(24.37-3.7*(5/F$5)^2)*LOG10(F$5)-20*LOG10(F$4)+(3.2*(LOG10(11.75*F$6))^2-4.97))/(43.42-3.1*LOG10(F$5)))</f>
        <v>1780.1408922167677</v>
      </c>
      <c r="G66" s="30" t="s">
        <v>82</v>
      </c>
      <c r="H66" s="46">
        <f>10^(3+(H63-161.04+7.1*LOG10(20)-7.5*LOG10(5)+(24.37-3.7*(5/H$5)^2)*LOG10(H$5)-20*LOG10(H$4)+(3.2*(LOG10(11.75*H$6))^2-4.97))/(43.42-3.1*LOG10(H$5)))</f>
        <v>1602.8686254622612</v>
      </c>
      <c r="I66" s="30" t="s">
        <v>82</v>
      </c>
      <c r="J66" s="46">
        <f>10^((J63-161.04+7.1*LOG10(20)-7.5*LOG10(5)+(24.37-3.7*(5/J$5)^2)*LOG10(J$5)-20*LOG10(J$4)+(3.2*(LOG10(11.75*J$6)^2)-4.97))/(43.42-3.1*LOG10(J$5))+3)</f>
        <v>5478.911769299667</v>
      </c>
      <c r="K66" s="30" t="s">
        <v>150</v>
      </c>
      <c r="L66" s="46">
        <f>10^((L63-161.04+7.1*LOG10(20)-7.5*LOG10(5)+(24.37-3.7*(5/L$5)^2)*LOG10(L$5)-20*LOG10(L$4)+(3.2*(LOG10(11.75*L$6)^2)-4.97))/(43.42-3.1*LOG10(L$5))+3)</f>
        <v>4825.7036749993667</v>
      </c>
      <c r="M66" s="30" t="s">
        <v>150</v>
      </c>
      <c r="N66" s="46">
        <f>10^((N63-161.04+7.1*LOG10(20)-7.5*LOG10(5)+(24.37-3.7*(5/N$5)^2)*LOG10(N$5)-20*LOG10(N$4)+(3.2*(LOG10(11.75*N$6)^2)-4.97))/(43.42-3.1*LOG10(N$5))+3)</f>
        <v>2412.484545745107</v>
      </c>
      <c r="O66" s="30" t="s">
        <v>150</v>
      </c>
      <c r="P66" s="46">
        <f>10^((P63-161.04+7.1*LOG10(20)-7.5*LOG10(5)+(24.37-3.7*(5/P$5)^2)*LOG10(P$5)-20*LOG10(P$4)+(3.2*(LOG10(11.75*P$6)^2)-4.97))/(43.42-3.1*LOG10(P$5))+3)</f>
        <v>2001.9191674432566</v>
      </c>
      <c r="Q66" s="30" t="s">
        <v>150</v>
      </c>
    </row>
    <row r="67" spans="1:17" ht="18">
      <c r="A67" s="25" t="s">
        <v>90</v>
      </c>
      <c r="B67" s="30" t="s">
        <v>108</v>
      </c>
      <c r="C67" s="30">
        <f>PI()*(C65)^2</f>
        <v>78611258.100840911</v>
      </c>
      <c r="D67" s="30" t="s">
        <v>108</v>
      </c>
      <c r="E67" s="30">
        <f>PI()*(E65)^2</f>
        <v>58006222.415278964</v>
      </c>
      <c r="F67" s="30" t="s">
        <v>108</v>
      </c>
      <c r="G67" s="30">
        <f>PI()*(G65)^2</f>
        <v>17822671.17838186</v>
      </c>
      <c r="H67" s="30" t="s">
        <v>108</v>
      </c>
      <c r="I67" s="30">
        <f>PI()*(I65)^2</f>
        <v>17929213.10247815</v>
      </c>
      <c r="J67" s="30" t="s">
        <v>150</v>
      </c>
      <c r="K67" s="30">
        <f>PI()*(K65)^2</f>
        <v>188951331.93145466</v>
      </c>
      <c r="L67" s="30" t="s">
        <v>150</v>
      </c>
      <c r="M67" s="30">
        <f>PI()*(M65)^2</f>
        <v>134848015.86587936</v>
      </c>
      <c r="N67" s="30" t="s">
        <v>150</v>
      </c>
      <c r="O67" s="30">
        <f>PI()*(O65)^2</f>
        <v>40038906.675902538</v>
      </c>
      <c r="P67" s="30" t="s">
        <v>150</v>
      </c>
      <c r="Q67" s="30">
        <f>PI()*(Q65)^2</f>
        <v>29614705.648972441</v>
      </c>
    </row>
    <row r="68" spans="1:17" ht="18">
      <c r="A68" s="25" t="s">
        <v>91</v>
      </c>
      <c r="B68" s="30">
        <f>PI()*(B66)^2</f>
        <v>55682774.893163249</v>
      </c>
      <c r="C68" s="30" t="s">
        <v>108</v>
      </c>
      <c r="D68" s="30">
        <f>PI()*(D66)^2</f>
        <v>60600560.45920115</v>
      </c>
      <c r="E68" s="30" t="s">
        <v>108</v>
      </c>
      <c r="F68" s="30">
        <f>PI()*(F66)^2</f>
        <v>9955397.9743896499</v>
      </c>
      <c r="G68" s="30" t="s">
        <v>108</v>
      </c>
      <c r="H68" s="30">
        <f>PI()*(H66)^2</f>
        <v>8071341.6139636999</v>
      </c>
      <c r="I68" s="30" t="s">
        <v>108</v>
      </c>
      <c r="J68" s="30">
        <f>PI()*(J66)^2</f>
        <v>94305817.942575231</v>
      </c>
      <c r="K68" s="30" t="s">
        <v>150</v>
      </c>
      <c r="L68" s="30">
        <f>PI()*(L66)^2</f>
        <v>73159574.897577465</v>
      </c>
      <c r="M68" s="30" t="s">
        <v>150</v>
      </c>
      <c r="N68" s="30">
        <f>PI()*(N66)^2</f>
        <v>18284325.860047232</v>
      </c>
      <c r="O68" s="30" t="s">
        <v>149</v>
      </c>
      <c r="P68" s="30">
        <f>PI()*(P66)^2</f>
        <v>12590499.154847754</v>
      </c>
      <c r="Q68" s="30" t="s">
        <v>149</v>
      </c>
    </row>
    <row r="70" spans="1:17">
      <c r="A70" s="44"/>
      <c r="C70" s="35" t="s">
        <v>147</v>
      </c>
    </row>
  </sheetData>
  <mergeCells count="4">
    <mergeCell ref="B1:E1"/>
    <mergeCell ref="F1:I1"/>
    <mergeCell ref="J1:M1"/>
    <mergeCell ref="N1:Q1"/>
  </mergeCells>
  <phoneticPr fontId="1" type="noConversion"/>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zoomScale="50" zoomScaleNormal="50" workbookViewId="0">
      <pane xSplit="1" ySplit="2" topLeftCell="B3" activePane="bottomRight" state="frozen"/>
      <selection pane="topRight" activeCell="B1" sqref="B1"/>
      <selection pane="bottomLeft" activeCell="A3" sqref="A3"/>
      <selection pane="bottomRight" activeCell="A42" sqref="A42"/>
    </sheetView>
  </sheetViews>
  <sheetFormatPr defaultColWidth="8.875" defaultRowHeight="14.25"/>
  <cols>
    <col min="1" max="1" width="69" style="26" customWidth="1"/>
    <col min="2" max="2" width="22.625" style="35" bestFit="1" customWidth="1"/>
    <col min="3" max="3" width="18.375" style="35" bestFit="1" customWidth="1"/>
    <col min="4" max="4" width="18.125" style="35" customWidth="1"/>
    <col min="5" max="5" width="18.625" style="35" customWidth="1"/>
    <col min="6" max="6" width="18.125" style="36" customWidth="1"/>
    <col min="7" max="7" width="18.625" style="36" customWidth="1"/>
    <col min="8" max="8" width="20" style="36" customWidth="1"/>
    <col min="9" max="9" width="18.375" style="36" customWidth="1"/>
    <col min="10" max="12" width="12.125" bestFit="1" customWidth="1"/>
    <col min="13" max="13" width="12.625" bestFit="1" customWidth="1"/>
    <col min="14" max="16" width="12.125" bestFit="1" customWidth="1"/>
    <col min="17" max="17" width="12.625" bestFit="1" customWidth="1"/>
  </cols>
  <sheetData>
    <row r="1" spans="1:17">
      <c r="A1" s="42" t="s">
        <v>0</v>
      </c>
      <c r="B1" s="133" t="s">
        <v>47</v>
      </c>
      <c r="C1" s="133"/>
      <c r="D1" s="133"/>
      <c r="E1" s="133"/>
      <c r="F1" s="133" t="s">
        <v>48</v>
      </c>
      <c r="G1" s="133"/>
      <c r="H1" s="133"/>
      <c r="I1" s="133"/>
      <c r="J1" s="133" t="s">
        <v>47</v>
      </c>
      <c r="K1" s="133"/>
      <c r="L1" s="133"/>
      <c r="M1" s="133"/>
      <c r="N1" s="133" t="s">
        <v>48</v>
      </c>
      <c r="O1" s="133"/>
      <c r="P1" s="133"/>
      <c r="Q1" s="133"/>
    </row>
    <row r="2" spans="1:17" ht="28.5">
      <c r="A2" s="15"/>
      <c r="B2" s="128" t="s">
        <v>203</v>
      </c>
      <c r="C2" s="128" t="s">
        <v>211</v>
      </c>
      <c r="D2" s="128" t="s">
        <v>212</v>
      </c>
      <c r="E2" s="128" t="s">
        <v>221</v>
      </c>
      <c r="F2" s="128" t="s">
        <v>205</v>
      </c>
      <c r="G2" s="128" t="s">
        <v>206</v>
      </c>
      <c r="H2" s="128" t="s">
        <v>214</v>
      </c>
      <c r="I2" s="128" t="s">
        <v>215</v>
      </c>
      <c r="J2" s="75" t="s">
        <v>222</v>
      </c>
      <c r="K2" s="75" t="s">
        <v>223</v>
      </c>
      <c r="L2" s="75" t="s">
        <v>224</v>
      </c>
      <c r="M2" s="75" t="s">
        <v>225</v>
      </c>
      <c r="N2" s="75" t="s">
        <v>226</v>
      </c>
      <c r="O2" s="75" t="s">
        <v>227</v>
      </c>
      <c r="P2" s="75" t="s">
        <v>228</v>
      </c>
      <c r="Q2" s="75" t="s">
        <v>229</v>
      </c>
    </row>
    <row r="3" spans="1:17">
      <c r="A3" s="16" t="s">
        <v>1</v>
      </c>
      <c r="B3" s="45"/>
      <c r="C3" s="45"/>
      <c r="D3" s="45"/>
      <c r="E3" s="45"/>
      <c r="F3" s="45"/>
      <c r="G3" s="45"/>
      <c r="H3" s="45"/>
      <c r="I3" s="45"/>
      <c r="J3" s="45"/>
      <c r="K3" s="45"/>
      <c r="L3" s="45"/>
      <c r="M3" s="45"/>
      <c r="N3" s="45"/>
      <c r="O3" s="45"/>
      <c r="P3" s="45"/>
      <c r="Q3" s="45"/>
    </row>
    <row r="4" spans="1:17" ht="15">
      <c r="A4" s="17" t="s">
        <v>2</v>
      </c>
      <c r="B4" s="31">
        <v>4</v>
      </c>
      <c r="C4" s="46">
        <v>4</v>
      </c>
      <c r="D4" s="31">
        <v>4</v>
      </c>
      <c r="E4" s="46">
        <v>4</v>
      </c>
      <c r="F4" s="31">
        <v>4</v>
      </c>
      <c r="G4" s="46">
        <v>4</v>
      </c>
      <c r="H4" s="31">
        <v>4</v>
      </c>
      <c r="I4" s="46">
        <v>4</v>
      </c>
      <c r="J4" s="31">
        <v>4</v>
      </c>
      <c r="K4" s="46">
        <v>4</v>
      </c>
      <c r="L4" s="31">
        <v>4</v>
      </c>
      <c r="M4" s="46">
        <v>4</v>
      </c>
      <c r="N4" s="31">
        <v>4</v>
      </c>
      <c r="O4" s="46">
        <v>4</v>
      </c>
      <c r="P4" s="31">
        <v>4</v>
      </c>
      <c r="Q4" s="46">
        <v>4</v>
      </c>
    </row>
    <row r="5" spans="1:17" ht="15">
      <c r="A5" s="17" t="s">
        <v>3</v>
      </c>
      <c r="B5" s="46">
        <v>35</v>
      </c>
      <c r="C5" s="46">
        <v>35</v>
      </c>
      <c r="D5" s="46">
        <v>35</v>
      </c>
      <c r="E5" s="46">
        <v>35</v>
      </c>
      <c r="F5" s="46">
        <v>35</v>
      </c>
      <c r="G5" s="46">
        <v>35</v>
      </c>
      <c r="H5" s="46">
        <v>35</v>
      </c>
      <c r="I5" s="46">
        <v>35</v>
      </c>
      <c r="J5" s="46">
        <v>35</v>
      </c>
      <c r="K5" s="46">
        <v>35</v>
      </c>
      <c r="L5" s="46">
        <v>35</v>
      </c>
      <c r="M5" s="46">
        <v>35</v>
      </c>
      <c r="N5" s="46">
        <v>35</v>
      </c>
      <c r="O5" s="46">
        <v>35</v>
      </c>
      <c r="P5" s="46">
        <v>35</v>
      </c>
      <c r="Q5" s="46">
        <v>35</v>
      </c>
    </row>
    <row r="6" spans="1:17" ht="15">
      <c r="A6" s="17" t="s">
        <v>4</v>
      </c>
      <c r="B6" s="31">
        <v>1.5</v>
      </c>
      <c r="C6" s="46">
        <v>1.5</v>
      </c>
      <c r="D6" s="31">
        <v>1.5</v>
      </c>
      <c r="E6" s="46">
        <v>1.5</v>
      </c>
      <c r="F6" s="31">
        <v>1.5</v>
      </c>
      <c r="G6" s="46">
        <v>1.5</v>
      </c>
      <c r="H6" s="31">
        <v>1.5</v>
      </c>
      <c r="I6" s="46">
        <v>1.5</v>
      </c>
      <c r="J6" s="31">
        <v>1.5</v>
      </c>
      <c r="K6" s="46">
        <v>1.5</v>
      </c>
      <c r="L6" s="31">
        <v>1.5</v>
      </c>
      <c r="M6" s="46">
        <v>1.5</v>
      </c>
      <c r="N6" s="31">
        <v>1.5</v>
      </c>
      <c r="O6" s="46">
        <v>1.5</v>
      </c>
      <c r="P6" s="31">
        <v>1.5</v>
      </c>
      <c r="Q6" s="46">
        <v>1.5</v>
      </c>
    </row>
    <row r="7" spans="1:17" ht="15">
      <c r="A7" s="17" t="s">
        <v>190</v>
      </c>
      <c r="B7" s="18" t="s">
        <v>50</v>
      </c>
      <c r="C7" s="43">
        <v>0.95</v>
      </c>
      <c r="D7" s="18" t="s">
        <v>50</v>
      </c>
      <c r="E7" s="43">
        <v>0.95</v>
      </c>
      <c r="F7" s="43" t="s">
        <v>50</v>
      </c>
      <c r="G7" s="19">
        <v>0.95</v>
      </c>
      <c r="H7" s="43" t="s">
        <v>50</v>
      </c>
      <c r="I7" s="19">
        <v>0.95</v>
      </c>
      <c r="J7" s="18" t="s">
        <v>50</v>
      </c>
      <c r="K7" s="43">
        <v>0.95</v>
      </c>
      <c r="L7" s="18" t="s">
        <v>50</v>
      </c>
      <c r="M7" s="43">
        <v>0.95</v>
      </c>
      <c r="N7" s="43" t="s">
        <v>50</v>
      </c>
      <c r="O7" s="19">
        <v>0.95</v>
      </c>
      <c r="P7" s="43" t="s">
        <v>50</v>
      </c>
      <c r="Q7" s="19">
        <v>0.95</v>
      </c>
    </row>
    <row r="8" spans="1:17" ht="15">
      <c r="A8" s="17" t="s">
        <v>191</v>
      </c>
      <c r="B8" s="18">
        <v>0.9</v>
      </c>
      <c r="C8" s="43" t="s">
        <v>50</v>
      </c>
      <c r="D8" s="18">
        <v>0.9</v>
      </c>
      <c r="E8" s="43" t="s">
        <v>50</v>
      </c>
      <c r="F8" s="43">
        <v>0.9</v>
      </c>
      <c r="G8" s="19" t="s">
        <v>50</v>
      </c>
      <c r="H8" s="43">
        <v>0.9</v>
      </c>
      <c r="I8" s="19" t="s">
        <v>50</v>
      </c>
      <c r="J8" s="18">
        <v>0.9</v>
      </c>
      <c r="K8" s="43" t="s">
        <v>50</v>
      </c>
      <c r="L8" s="18">
        <v>0.9</v>
      </c>
      <c r="M8" s="43" t="s">
        <v>50</v>
      </c>
      <c r="N8" s="43">
        <v>0.9</v>
      </c>
      <c r="O8" s="19" t="s">
        <v>50</v>
      </c>
      <c r="P8" s="43">
        <v>0.9</v>
      </c>
      <c r="Q8" s="19" t="s">
        <v>50</v>
      </c>
    </row>
    <row r="9" spans="1:17" ht="15">
      <c r="A9" s="17" t="s">
        <v>5</v>
      </c>
      <c r="B9" s="29" t="s">
        <v>50</v>
      </c>
      <c r="C9" s="30">
        <f>64/(0.001)</f>
        <v>64000</v>
      </c>
      <c r="D9" s="29" t="s">
        <v>50</v>
      </c>
      <c r="E9" s="30">
        <f>64/(0.001)</f>
        <v>64000</v>
      </c>
      <c r="F9" s="46" t="s">
        <v>50</v>
      </c>
      <c r="G9" s="30">
        <f>2/(0.5*0.001)</f>
        <v>4000</v>
      </c>
      <c r="H9" s="46" t="s">
        <v>50</v>
      </c>
      <c r="I9" s="30">
        <f>2/(0.5*0.001)</f>
        <v>4000</v>
      </c>
      <c r="J9" s="29" t="s">
        <v>50</v>
      </c>
      <c r="K9" s="30">
        <f>64/(0.001)</f>
        <v>64000</v>
      </c>
      <c r="L9" s="29" t="s">
        <v>50</v>
      </c>
      <c r="M9" s="30">
        <f>64/(0.001)</f>
        <v>64000</v>
      </c>
      <c r="N9" s="46" t="s">
        <v>50</v>
      </c>
      <c r="O9" s="30">
        <f>2/(0.5*0.001)</f>
        <v>4000</v>
      </c>
      <c r="P9" s="46" t="s">
        <v>50</v>
      </c>
      <c r="Q9" s="30">
        <f>2/(0.5*0.001)</f>
        <v>4000</v>
      </c>
    </row>
    <row r="10" spans="1:17" ht="15">
      <c r="A10" s="17" t="s">
        <v>6</v>
      </c>
      <c r="B10" s="29">
        <f>2248233*3</f>
        <v>6744699</v>
      </c>
      <c r="C10" s="46" t="s">
        <v>50</v>
      </c>
      <c r="D10" s="29">
        <f>2248233*3</f>
        <v>6744699</v>
      </c>
      <c r="E10" s="46" t="s">
        <v>50</v>
      </c>
      <c r="F10" s="46">
        <f>74880*3</f>
        <v>224640</v>
      </c>
      <c r="G10" s="30" t="s">
        <v>50</v>
      </c>
      <c r="H10" s="46">
        <f>74880*3</f>
        <v>224640</v>
      </c>
      <c r="I10" s="30" t="s">
        <v>50</v>
      </c>
      <c r="J10" s="29">
        <f>2248233*3</f>
        <v>6744699</v>
      </c>
      <c r="K10" s="46" t="s">
        <v>50</v>
      </c>
      <c r="L10" s="29">
        <f>2248233*3</f>
        <v>6744699</v>
      </c>
      <c r="M10" s="46" t="s">
        <v>50</v>
      </c>
      <c r="N10" s="46">
        <f>74880*3</f>
        <v>224640</v>
      </c>
      <c r="O10" s="30" t="s">
        <v>50</v>
      </c>
      <c r="P10" s="46">
        <f>74880*3</f>
        <v>224640</v>
      </c>
      <c r="Q10" s="30" t="s">
        <v>50</v>
      </c>
    </row>
    <row r="11" spans="1:17" ht="15">
      <c r="A11" s="17" t="s">
        <v>7</v>
      </c>
      <c r="B11" s="18" t="s">
        <v>50</v>
      </c>
      <c r="C11" s="43">
        <v>0.01</v>
      </c>
      <c r="D11" s="18" t="s">
        <v>50</v>
      </c>
      <c r="E11" s="43">
        <v>0.01</v>
      </c>
      <c r="F11" s="43" t="s">
        <v>50</v>
      </c>
      <c r="G11" s="19">
        <v>0.01</v>
      </c>
      <c r="H11" s="43" t="s">
        <v>50</v>
      </c>
      <c r="I11" s="19">
        <v>0.01</v>
      </c>
      <c r="J11" s="18" t="s">
        <v>50</v>
      </c>
      <c r="K11" s="43">
        <v>0.01</v>
      </c>
      <c r="L11" s="18" t="s">
        <v>50</v>
      </c>
      <c r="M11" s="43">
        <v>0.01</v>
      </c>
      <c r="N11" s="43" t="s">
        <v>50</v>
      </c>
      <c r="O11" s="19">
        <v>0.01</v>
      </c>
      <c r="P11" s="43" t="s">
        <v>50</v>
      </c>
      <c r="Q11" s="19">
        <v>0.01</v>
      </c>
    </row>
    <row r="12" spans="1:17" ht="15">
      <c r="A12" s="17" t="s">
        <v>8</v>
      </c>
      <c r="B12" s="18">
        <v>0.1</v>
      </c>
      <c r="C12" s="43" t="s">
        <v>50</v>
      </c>
      <c r="D12" s="18">
        <v>0.1</v>
      </c>
      <c r="E12" s="43" t="s">
        <v>50</v>
      </c>
      <c r="F12" s="43">
        <v>0.1</v>
      </c>
      <c r="G12" s="19" t="s">
        <v>50</v>
      </c>
      <c r="H12" s="43">
        <v>0.1</v>
      </c>
      <c r="I12" s="19" t="s">
        <v>50</v>
      </c>
      <c r="J12" s="18">
        <v>0.1</v>
      </c>
      <c r="K12" s="43" t="s">
        <v>50</v>
      </c>
      <c r="L12" s="18">
        <v>0.1</v>
      </c>
      <c r="M12" s="43" t="s">
        <v>50</v>
      </c>
      <c r="N12" s="43">
        <v>0.1</v>
      </c>
      <c r="O12" s="19" t="s">
        <v>50</v>
      </c>
      <c r="P12" s="43">
        <v>0.1</v>
      </c>
      <c r="Q12" s="19" t="s">
        <v>50</v>
      </c>
    </row>
    <row r="13" spans="1:17" ht="16.5">
      <c r="A13" s="17" t="s">
        <v>85</v>
      </c>
      <c r="B13" s="29">
        <f>B10/(B42*(4+2*11/14+1/14)/10)</f>
        <v>0.65101476793248958</v>
      </c>
      <c r="C13" s="46" t="s">
        <v>50</v>
      </c>
      <c r="D13" s="29">
        <f>D10/(D42*(4+2*11/14+1/14)/10)</f>
        <v>0.65101476793248958</v>
      </c>
      <c r="E13" s="46" t="s">
        <v>50</v>
      </c>
      <c r="F13" s="29">
        <f>F10/(F42*(4+2*2/14+1/14)/10)</f>
        <v>0.35803278688524592</v>
      </c>
      <c r="G13" s="30" t="s">
        <v>50</v>
      </c>
      <c r="H13" s="29">
        <f>H10/(H42*(4+2*2/14+1/14)/10)</f>
        <v>0.35803278688524592</v>
      </c>
      <c r="I13" s="30" t="s">
        <v>50</v>
      </c>
      <c r="J13" s="29">
        <f>J10/(J42*(4+2*11/14+1/14)/10)</f>
        <v>0.65101476793248958</v>
      </c>
      <c r="K13" s="46" t="s">
        <v>50</v>
      </c>
      <c r="L13" s="29">
        <f>L10/(L42*(4+2*11/14+1/14)/10)</f>
        <v>0.65101476793248958</v>
      </c>
      <c r="M13" s="46" t="s">
        <v>50</v>
      </c>
      <c r="N13" s="29">
        <f>N10/(N42*(4+2*2/14+1/14)/10)</f>
        <v>0.35803278688524592</v>
      </c>
      <c r="O13" s="30" t="s">
        <v>50</v>
      </c>
      <c r="P13" s="29">
        <f>P10/(P42*(4+2*2/14+1/14)/10)</f>
        <v>0.35803278688524592</v>
      </c>
      <c r="Q13" s="30" t="s">
        <v>50</v>
      </c>
    </row>
    <row r="14" spans="1:17" ht="16.5">
      <c r="A14" s="17" t="s">
        <v>86</v>
      </c>
      <c r="B14" s="46" t="s">
        <v>106</v>
      </c>
      <c r="C14" s="46" t="s">
        <v>106</v>
      </c>
      <c r="D14" s="46" t="s">
        <v>110</v>
      </c>
      <c r="E14" s="46" t="s">
        <v>110</v>
      </c>
      <c r="F14" s="46" t="s">
        <v>106</v>
      </c>
      <c r="G14" s="46" t="s">
        <v>106</v>
      </c>
      <c r="H14" s="46" t="s">
        <v>110</v>
      </c>
      <c r="I14" s="46" t="s">
        <v>110</v>
      </c>
      <c r="J14" s="46" t="s">
        <v>153</v>
      </c>
      <c r="K14" s="46" t="s">
        <v>153</v>
      </c>
      <c r="L14" s="46" t="s">
        <v>154</v>
      </c>
      <c r="M14" s="46" t="s">
        <v>154</v>
      </c>
      <c r="N14" s="46" t="s">
        <v>153</v>
      </c>
      <c r="O14" s="46" t="s">
        <v>153</v>
      </c>
      <c r="P14" s="46" t="s">
        <v>154</v>
      </c>
      <c r="Q14" s="46" t="s">
        <v>154</v>
      </c>
    </row>
    <row r="15" spans="1:17" ht="15">
      <c r="A15" s="17" t="s">
        <v>78</v>
      </c>
      <c r="B15" s="29">
        <v>120</v>
      </c>
      <c r="C15" s="30">
        <v>120</v>
      </c>
      <c r="D15" s="29">
        <v>3</v>
      </c>
      <c r="E15" s="30">
        <v>3</v>
      </c>
      <c r="F15" s="29">
        <v>120</v>
      </c>
      <c r="G15" s="30">
        <v>120</v>
      </c>
      <c r="H15" s="30">
        <v>3</v>
      </c>
      <c r="I15" s="30">
        <v>3</v>
      </c>
      <c r="J15" s="29">
        <v>120</v>
      </c>
      <c r="K15" s="30">
        <v>120</v>
      </c>
      <c r="L15" s="29">
        <v>3</v>
      </c>
      <c r="M15" s="30">
        <v>3</v>
      </c>
      <c r="N15" s="29">
        <v>120</v>
      </c>
      <c r="O15" s="30">
        <v>120</v>
      </c>
      <c r="P15" s="30">
        <v>3</v>
      </c>
      <c r="Q15" s="30">
        <v>3</v>
      </c>
    </row>
    <row r="16" spans="1:17" ht="15">
      <c r="A16" s="17" t="s">
        <v>9</v>
      </c>
      <c r="B16" s="29">
        <v>3</v>
      </c>
      <c r="C16" s="46">
        <v>3</v>
      </c>
      <c r="D16" s="29">
        <v>3</v>
      </c>
      <c r="E16" s="46">
        <v>3</v>
      </c>
      <c r="F16" s="46">
        <v>3</v>
      </c>
      <c r="G16" s="30">
        <v>3</v>
      </c>
      <c r="H16" s="46">
        <v>3</v>
      </c>
      <c r="I16" s="30">
        <v>3</v>
      </c>
      <c r="J16" s="29">
        <v>3</v>
      </c>
      <c r="K16" s="46">
        <v>3</v>
      </c>
      <c r="L16" s="29">
        <v>3</v>
      </c>
      <c r="M16" s="46">
        <v>3</v>
      </c>
      <c r="N16" s="46">
        <v>3</v>
      </c>
      <c r="O16" s="30">
        <v>3</v>
      </c>
      <c r="P16" s="46">
        <v>3</v>
      </c>
      <c r="Q16" s="30">
        <v>3</v>
      </c>
    </row>
    <row r="17" spans="1:17">
      <c r="A17" s="16" t="s">
        <v>10</v>
      </c>
      <c r="B17" s="45"/>
      <c r="C17" s="45"/>
      <c r="D17" s="45"/>
      <c r="E17" s="45"/>
      <c r="F17" s="45"/>
      <c r="G17" s="45"/>
      <c r="H17" s="45"/>
      <c r="I17" s="45"/>
      <c r="J17" s="45"/>
      <c r="K17" s="45"/>
      <c r="L17" s="45"/>
      <c r="M17" s="45"/>
      <c r="N17" s="45"/>
      <c r="O17" s="45"/>
      <c r="P17" s="45"/>
      <c r="Q17" s="45"/>
    </row>
    <row r="18" spans="1:17" ht="30">
      <c r="A18" s="17" t="s">
        <v>76</v>
      </c>
      <c r="B18" s="29">
        <v>64</v>
      </c>
      <c r="C18" s="46">
        <v>64</v>
      </c>
      <c r="D18" s="29">
        <v>64</v>
      </c>
      <c r="E18" s="46">
        <v>64</v>
      </c>
      <c r="F18" s="30">
        <v>1</v>
      </c>
      <c r="G18" s="46">
        <v>1</v>
      </c>
      <c r="H18" s="30">
        <v>1</v>
      </c>
      <c r="I18" s="46">
        <v>1</v>
      </c>
      <c r="J18" s="29">
        <v>64</v>
      </c>
      <c r="K18" s="46">
        <v>64</v>
      </c>
      <c r="L18" s="29">
        <v>64</v>
      </c>
      <c r="M18" s="46">
        <v>64</v>
      </c>
      <c r="N18" s="30">
        <v>1</v>
      </c>
      <c r="O18" s="46">
        <v>1</v>
      </c>
      <c r="P18" s="30">
        <v>1</v>
      </c>
      <c r="Q18" s="46">
        <v>1</v>
      </c>
    </row>
    <row r="19" spans="1:17" ht="15">
      <c r="A19" s="17" t="s">
        <v>107</v>
      </c>
      <c r="B19" s="29">
        <v>2</v>
      </c>
      <c r="C19" s="46">
        <v>2</v>
      </c>
      <c r="D19" s="29">
        <v>2</v>
      </c>
      <c r="E19" s="46">
        <v>2</v>
      </c>
      <c r="F19" s="30">
        <v>1</v>
      </c>
      <c r="G19" s="46">
        <v>1</v>
      </c>
      <c r="H19" s="30">
        <v>1</v>
      </c>
      <c r="I19" s="46">
        <v>1</v>
      </c>
      <c r="J19" s="29">
        <v>2</v>
      </c>
      <c r="K19" s="46">
        <v>2</v>
      </c>
      <c r="L19" s="29">
        <v>2</v>
      </c>
      <c r="M19" s="46">
        <v>2</v>
      </c>
      <c r="N19" s="30">
        <v>1</v>
      </c>
      <c r="O19" s="46">
        <v>1</v>
      </c>
      <c r="P19" s="30">
        <v>1</v>
      </c>
      <c r="Q19" s="46">
        <v>1</v>
      </c>
    </row>
    <row r="20" spans="1:17" ht="15">
      <c r="A20" s="17" t="s">
        <v>11</v>
      </c>
      <c r="B20" s="29">
        <v>31</v>
      </c>
      <c r="C20" s="46">
        <v>31</v>
      </c>
      <c r="D20" s="29">
        <v>31</v>
      </c>
      <c r="E20" s="46">
        <v>31</v>
      </c>
      <c r="F20" s="30">
        <v>23</v>
      </c>
      <c r="G20" s="46">
        <v>23</v>
      </c>
      <c r="H20" s="30">
        <v>23</v>
      </c>
      <c r="I20" s="46">
        <v>23</v>
      </c>
      <c r="J20" s="29">
        <v>31</v>
      </c>
      <c r="K20" s="46">
        <v>31</v>
      </c>
      <c r="L20" s="29">
        <v>31</v>
      </c>
      <c r="M20" s="46">
        <v>31</v>
      </c>
      <c r="N20" s="30">
        <v>23</v>
      </c>
      <c r="O20" s="46">
        <v>23</v>
      </c>
      <c r="P20" s="30">
        <v>23</v>
      </c>
      <c r="Q20" s="46">
        <v>23</v>
      </c>
    </row>
    <row r="21" spans="1:17" ht="30">
      <c r="A21" s="37" t="s">
        <v>77</v>
      </c>
      <c r="B21" s="34">
        <f t="shared" ref="B21:Q21" si="0">B20+10*LOG10(B18)</f>
        <v>49.061799739838875</v>
      </c>
      <c r="C21" s="34">
        <f t="shared" si="0"/>
        <v>49.061799739838875</v>
      </c>
      <c r="D21" s="34">
        <f t="shared" si="0"/>
        <v>49.061799739838875</v>
      </c>
      <c r="E21" s="34">
        <f t="shared" si="0"/>
        <v>49.061799739838875</v>
      </c>
      <c r="F21" s="34">
        <f t="shared" si="0"/>
        <v>23</v>
      </c>
      <c r="G21" s="34">
        <f t="shared" si="0"/>
        <v>23</v>
      </c>
      <c r="H21" s="34">
        <f t="shared" si="0"/>
        <v>23</v>
      </c>
      <c r="I21" s="34">
        <f t="shared" si="0"/>
        <v>23</v>
      </c>
      <c r="J21" s="34">
        <f t="shared" si="0"/>
        <v>49.061799739838875</v>
      </c>
      <c r="K21" s="34">
        <f t="shared" si="0"/>
        <v>49.061799739838875</v>
      </c>
      <c r="L21" s="34">
        <f t="shared" si="0"/>
        <v>49.061799739838875</v>
      </c>
      <c r="M21" s="34">
        <f t="shared" si="0"/>
        <v>49.061799739838875</v>
      </c>
      <c r="N21" s="34">
        <f t="shared" si="0"/>
        <v>23</v>
      </c>
      <c r="O21" s="34">
        <f t="shared" si="0"/>
        <v>23</v>
      </c>
      <c r="P21" s="34">
        <f t="shared" si="0"/>
        <v>23</v>
      </c>
      <c r="Q21" s="34">
        <f t="shared" si="0"/>
        <v>23</v>
      </c>
    </row>
    <row r="22" spans="1:17" ht="15">
      <c r="A22" s="17" t="s">
        <v>12</v>
      </c>
      <c r="B22" s="29">
        <v>8</v>
      </c>
      <c r="C22" s="46">
        <v>8</v>
      </c>
      <c r="D22" s="29">
        <v>8</v>
      </c>
      <c r="E22" s="46">
        <v>8</v>
      </c>
      <c r="F22" s="30">
        <v>0</v>
      </c>
      <c r="G22" s="46">
        <v>0</v>
      </c>
      <c r="H22" s="30">
        <v>0</v>
      </c>
      <c r="I22" s="46">
        <v>0</v>
      </c>
      <c r="J22" s="29">
        <v>8</v>
      </c>
      <c r="K22" s="46">
        <v>8</v>
      </c>
      <c r="L22" s="29">
        <v>8</v>
      </c>
      <c r="M22" s="46">
        <v>8</v>
      </c>
      <c r="N22" s="30">
        <v>0</v>
      </c>
      <c r="O22" s="46">
        <v>0</v>
      </c>
      <c r="P22" s="30">
        <v>0</v>
      </c>
      <c r="Q22" s="46">
        <v>0</v>
      </c>
    </row>
    <row r="23" spans="1:17" ht="30">
      <c r="A23" s="38" t="s">
        <v>13</v>
      </c>
      <c r="B23" s="34">
        <f t="shared" ref="B23:Q23" si="1">IF(B18&gt;=2, 10*LOG10(B18/2), 0)</f>
        <v>15.051499783199061</v>
      </c>
      <c r="C23" s="34">
        <f t="shared" si="1"/>
        <v>15.051499783199061</v>
      </c>
      <c r="D23" s="34">
        <f t="shared" si="1"/>
        <v>15.051499783199061</v>
      </c>
      <c r="E23" s="34">
        <f t="shared" si="1"/>
        <v>15.051499783199061</v>
      </c>
      <c r="F23" s="34">
        <f t="shared" si="1"/>
        <v>0</v>
      </c>
      <c r="G23" s="34">
        <f t="shared" si="1"/>
        <v>0</v>
      </c>
      <c r="H23" s="34">
        <f t="shared" si="1"/>
        <v>0</v>
      </c>
      <c r="I23" s="34">
        <f t="shared" si="1"/>
        <v>0</v>
      </c>
      <c r="J23" s="34">
        <f t="shared" si="1"/>
        <v>15.051499783199061</v>
      </c>
      <c r="K23" s="34">
        <f t="shared" si="1"/>
        <v>15.051499783199061</v>
      </c>
      <c r="L23" s="34">
        <f t="shared" si="1"/>
        <v>15.051499783199061</v>
      </c>
      <c r="M23" s="34">
        <f t="shared" si="1"/>
        <v>15.051499783199061</v>
      </c>
      <c r="N23" s="34">
        <f t="shared" si="1"/>
        <v>0</v>
      </c>
      <c r="O23" s="34">
        <f t="shared" si="1"/>
        <v>0</v>
      </c>
      <c r="P23" s="34">
        <f t="shared" si="1"/>
        <v>0</v>
      </c>
      <c r="Q23" s="34">
        <f t="shared" si="1"/>
        <v>0</v>
      </c>
    </row>
    <row r="24" spans="1:17" ht="15">
      <c r="A24" s="17" t="s">
        <v>14</v>
      </c>
      <c r="B24" s="29">
        <v>0</v>
      </c>
      <c r="C24" s="30">
        <v>0</v>
      </c>
      <c r="D24" s="29">
        <v>0</v>
      </c>
      <c r="E24" s="30">
        <v>0</v>
      </c>
      <c r="F24" s="30">
        <v>0</v>
      </c>
      <c r="G24" s="30">
        <v>0</v>
      </c>
      <c r="H24" s="30">
        <v>0</v>
      </c>
      <c r="I24" s="30">
        <v>0</v>
      </c>
      <c r="J24" s="29">
        <v>0</v>
      </c>
      <c r="K24" s="30">
        <v>0</v>
      </c>
      <c r="L24" s="29">
        <v>0</v>
      </c>
      <c r="M24" s="30">
        <v>0</v>
      </c>
      <c r="N24" s="30">
        <v>0</v>
      </c>
      <c r="O24" s="30">
        <v>0</v>
      </c>
      <c r="P24" s="30">
        <v>0</v>
      </c>
      <c r="Q24" s="30">
        <v>0</v>
      </c>
    </row>
    <row r="25" spans="1:17" ht="15">
      <c r="A25" s="17" t="s">
        <v>15</v>
      </c>
      <c r="B25" s="29">
        <v>0</v>
      </c>
      <c r="C25" s="30">
        <v>0</v>
      </c>
      <c r="D25" s="29">
        <v>0</v>
      </c>
      <c r="E25" s="30">
        <v>0</v>
      </c>
      <c r="F25" s="30">
        <v>0</v>
      </c>
      <c r="G25" s="30">
        <v>0</v>
      </c>
      <c r="H25" s="30">
        <v>0</v>
      </c>
      <c r="I25" s="30">
        <v>0</v>
      </c>
      <c r="J25" s="29">
        <v>0</v>
      </c>
      <c r="K25" s="30">
        <v>0</v>
      </c>
      <c r="L25" s="29">
        <v>0</v>
      </c>
      <c r="M25" s="30">
        <v>0</v>
      </c>
      <c r="N25" s="30">
        <v>0</v>
      </c>
      <c r="O25" s="30">
        <v>0</v>
      </c>
      <c r="P25" s="30">
        <v>0</v>
      </c>
      <c r="Q25" s="30">
        <v>0</v>
      </c>
    </row>
    <row r="26" spans="1:17" ht="30">
      <c r="A26" s="17" t="s">
        <v>16</v>
      </c>
      <c r="B26" s="29">
        <v>3</v>
      </c>
      <c r="C26" s="29">
        <v>3</v>
      </c>
      <c r="D26" s="29">
        <v>3</v>
      </c>
      <c r="E26" s="29">
        <v>3</v>
      </c>
      <c r="F26" s="29">
        <v>1</v>
      </c>
      <c r="G26" s="29">
        <v>1</v>
      </c>
      <c r="H26" s="29">
        <v>1</v>
      </c>
      <c r="I26" s="29">
        <v>1</v>
      </c>
      <c r="J26" s="29">
        <v>3</v>
      </c>
      <c r="K26" s="29">
        <v>3</v>
      </c>
      <c r="L26" s="29">
        <v>3</v>
      </c>
      <c r="M26" s="29">
        <v>3</v>
      </c>
      <c r="N26" s="29">
        <v>1</v>
      </c>
      <c r="O26" s="29">
        <v>1</v>
      </c>
      <c r="P26" s="29">
        <v>1</v>
      </c>
      <c r="Q26" s="29">
        <v>1</v>
      </c>
    </row>
    <row r="27" spans="1:17" ht="15">
      <c r="A27" s="21" t="s">
        <v>17</v>
      </c>
      <c r="B27" s="33">
        <f t="shared" ref="B27:Q27" si="2">B21+B22+B23+B24-B26</f>
        <v>69.113299523037938</v>
      </c>
      <c r="C27" s="33">
        <f t="shared" si="2"/>
        <v>69.113299523037938</v>
      </c>
      <c r="D27" s="33">
        <f t="shared" si="2"/>
        <v>69.113299523037938</v>
      </c>
      <c r="E27" s="33">
        <f t="shared" si="2"/>
        <v>69.113299523037938</v>
      </c>
      <c r="F27" s="33">
        <f t="shared" si="2"/>
        <v>22</v>
      </c>
      <c r="G27" s="33">
        <f t="shared" si="2"/>
        <v>22</v>
      </c>
      <c r="H27" s="33">
        <f t="shared" si="2"/>
        <v>22</v>
      </c>
      <c r="I27" s="33">
        <f t="shared" si="2"/>
        <v>22</v>
      </c>
      <c r="J27" s="33">
        <f t="shared" si="2"/>
        <v>69.113299523037938</v>
      </c>
      <c r="K27" s="33">
        <f t="shared" si="2"/>
        <v>69.113299523037938</v>
      </c>
      <c r="L27" s="33">
        <f t="shared" si="2"/>
        <v>69.113299523037938</v>
      </c>
      <c r="M27" s="33">
        <f t="shared" si="2"/>
        <v>69.113299523037938</v>
      </c>
      <c r="N27" s="33">
        <f t="shared" si="2"/>
        <v>22</v>
      </c>
      <c r="O27" s="33">
        <f t="shared" si="2"/>
        <v>22</v>
      </c>
      <c r="P27" s="33">
        <f t="shared" si="2"/>
        <v>22</v>
      </c>
      <c r="Q27" s="33">
        <f t="shared" si="2"/>
        <v>22</v>
      </c>
    </row>
    <row r="28" spans="1:17" ht="15">
      <c r="A28" s="21" t="s">
        <v>18</v>
      </c>
      <c r="B28" s="33">
        <f t="shared" ref="B28:Q28" si="3">B21+B22+B23-B25-B26</f>
        <v>69.113299523037938</v>
      </c>
      <c r="C28" s="33">
        <f t="shared" si="3"/>
        <v>69.113299523037938</v>
      </c>
      <c r="D28" s="33">
        <f t="shared" si="3"/>
        <v>69.113299523037938</v>
      </c>
      <c r="E28" s="33">
        <f t="shared" si="3"/>
        <v>69.113299523037938</v>
      </c>
      <c r="F28" s="33">
        <f t="shared" si="3"/>
        <v>22</v>
      </c>
      <c r="G28" s="33">
        <f t="shared" si="3"/>
        <v>22</v>
      </c>
      <c r="H28" s="33">
        <f t="shared" si="3"/>
        <v>22</v>
      </c>
      <c r="I28" s="33">
        <f t="shared" si="3"/>
        <v>22</v>
      </c>
      <c r="J28" s="33">
        <f t="shared" si="3"/>
        <v>69.113299523037938</v>
      </c>
      <c r="K28" s="33">
        <f t="shared" si="3"/>
        <v>69.113299523037938</v>
      </c>
      <c r="L28" s="33">
        <f t="shared" si="3"/>
        <v>69.113299523037938</v>
      </c>
      <c r="M28" s="33">
        <f t="shared" si="3"/>
        <v>69.113299523037938</v>
      </c>
      <c r="N28" s="33">
        <f t="shared" si="3"/>
        <v>22</v>
      </c>
      <c r="O28" s="33">
        <f t="shared" si="3"/>
        <v>22</v>
      </c>
      <c r="P28" s="33">
        <f t="shared" si="3"/>
        <v>22</v>
      </c>
      <c r="Q28" s="33">
        <f t="shared" si="3"/>
        <v>22</v>
      </c>
    </row>
    <row r="29" spans="1:17">
      <c r="A29" s="16" t="s">
        <v>19</v>
      </c>
      <c r="B29" s="45"/>
      <c r="C29" s="45"/>
      <c r="D29" s="45"/>
      <c r="E29" s="45"/>
      <c r="F29" s="45"/>
      <c r="G29" s="45"/>
      <c r="H29" s="45"/>
      <c r="I29" s="45"/>
      <c r="J29" s="45"/>
      <c r="K29" s="45"/>
      <c r="L29" s="45"/>
      <c r="M29" s="45"/>
      <c r="N29" s="45"/>
      <c r="O29" s="45"/>
      <c r="P29" s="45"/>
      <c r="Q29" s="45"/>
    </row>
    <row r="30" spans="1:17" ht="30">
      <c r="A30" s="17" t="s">
        <v>75</v>
      </c>
      <c r="B30" s="29">
        <v>2</v>
      </c>
      <c r="C30" s="46">
        <v>2</v>
      </c>
      <c r="D30" s="29">
        <v>2</v>
      </c>
      <c r="E30" s="46">
        <v>2</v>
      </c>
      <c r="F30" s="46">
        <v>64</v>
      </c>
      <c r="G30" s="46">
        <v>64</v>
      </c>
      <c r="H30" s="46">
        <v>64</v>
      </c>
      <c r="I30" s="46">
        <v>64</v>
      </c>
      <c r="J30" s="29">
        <v>2</v>
      </c>
      <c r="K30" s="46">
        <v>2</v>
      </c>
      <c r="L30" s="29">
        <v>2</v>
      </c>
      <c r="M30" s="46">
        <v>2</v>
      </c>
      <c r="N30" s="46">
        <v>64</v>
      </c>
      <c r="O30" s="46">
        <v>64</v>
      </c>
      <c r="P30" s="46">
        <v>64</v>
      </c>
      <c r="Q30" s="46">
        <v>64</v>
      </c>
    </row>
    <row r="31" spans="1:17" ht="15">
      <c r="A31" s="17" t="s">
        <v>138</v>
      </c>
      <c r="B31" s="29">
        <v>2</v>
      </c>
      <c r="C31" s="46">
        <v>2</v>
      </c>
      <c r="D31" s="29">
        <v>2</v>
      </c>
      <c r="E31" s="46">
        <v>2</v>
      </c>
      <c r="F31" s="46">
        <v>2</v>
      </c>
      <c r="G31" s="46">
        <v>2</v>
      </c>
      <c r="H31" s="46">
        <v>2</v>
      </c>
      <c r="I31" s="46">
        <v>2</v>
      </c>
      <c r="J31" s="29">
        <v>2</v>
      </c>
      <c r="K31" s="46">
        <v>2</v>
      </c>
      <c r="L31" s="29">
        <v>2</v>
      </c>
      <c r="M31" s="46">
        <v>2</v>
      </c>
      <c r="N31" s="46">
        <v>2</v>
      </c>
      <c r="O31" s="46">
        <v>2</v>
      </c>
      <c r="P31" s="46">
        <v>2</v>
      </c>
      <c r="Q31" s="46">
        <v>2</v>
      </c>
    </row>
    <row r="32" spans="1:17" ht="15">
      <c r="A32" s="17" t="s">
        <v>20</v>
      </c>
      <c r="B32" s="29">
        <v>0</v>
      </c>
      <c r="C32" s="46">
        <v>0</v>
      </c>
      <c r="D32" s="29">
        <v>0</v>
      </c>
      <c r="E32" s="46">
        <v>0</v>
      </c>
      <c r="F32" s="46">
        <v>8</v>
      </c>
      <c r="G32" s="46">
        <v>8</v>
      </c>
      <c r="H32" s="46">
        <v>8</v>
      </c>
      <c r="I32" s="46">
        <v>8</v>
      </c>
      <c r="J32" s="29">
        <v>0</v>
      </c>
      <c r="K32" s="46">
        <v>0</v>
      </c>
      <c r="L32" s="29">
        <v>0</v>
      </c>
      <c r="M32" s="46">
        <v>0</v>
      </c>
      <c r="N32" s="46">
        <v>8</v>
      </c>
      <c r="O32" s="46">
        <v>8</v>
      </c>
      <c r="P32" s="46">
        <v>8</v>
      </c>
      <c r="Q32" s="46">
        <v>8</v>
      </c>
    </row>
    <row r="33" spans="1:17" ht="28.5">
      <c r="A33" s="22" t="s">
        <v>79</v>
      </c>
      <c r="B33" s="34">
        <f t="shared" ref="B33:Q33" si="4">IF(B30&gt;=2, 10*LOG10(B30/2), 0)</f>
        <v>0</v>
      </c>
      <c r="C33" s="34">
        <f t="shared" si="4"/>
        <v>0</v>
      </c>
      <c r="D33" s="34">
        <f t="shared" si="4"/>
        <v>0</v>
      </c>
      <c r="E33" s="34">
        <f t="shared" si="4"/>
        <v>0</v>
      </c>
      <c r="F33" s="34">
        <f t="shared" si="4"/>
        <v>15.051499783199061</v>
      </c>
      <c r="G33" s="34">
        <f t="shared" si="4"/>
        <v>15.051499783199061</v>
      </c>
      <c r="H33" s="34">
        <f t="shared" si="4"/>
        <v>15.051499783199061</v>
      </c>
      <c r="I33" s="34">
        <f t="shared" si="4"/>
        <v>15.051499783199061</v>
      </c>
      <c r="J33" s="34">
        <f t="shared" si="4"/>
        <v>0</v>
      </c>
      <c r="K33" s="34">
        <f t="shared" si="4"/>
        <v>0</v>
      </c>
      <c r="L33" s="34">
        <f t="shared" si="4"/>
        <v>0</v>
      </c>
      <c r="M33" s="34">
        <f t="shared" si="4"/>
        <v>0</v>
      </c>
      <c r="N33" s="34">
        <f t="shared" si="4"/>
        <v>15.051499783199061</v>
      </c>
      <c r="O33" s="34">
        <f t="shared" si="4"/>
        <v>15.051499783199061</v>
      </c>
      <c r="P33" s="34">
        <f t="shared" si="4"/>
        <v>15.051499783199061</v>
      </c>
      <c r="Q33" s="34">
        <f t="shared" si="4"/>
        <v>15.051499783199061</v>
      </c>
    </row>
    <row r="34" spans="1:17" ht="30">
      <c r="A34" s="17" t="s">
        <v>21</v>
      </c>
      <c r="B34" s="29">
        <v>1</v>
      </c>
      <c r="C34" s="31">
        <v>1</v>
      </c>
      <c r="D34" s="29">
        <v>1</v>
      </c>
      <c r="E34" s="31">
        <v>1</v>
      </c>
      <c r="F34" s="29">
        <v>3</v>
      </c>
      <c r="G34" s="29">
        <v>3</v>
      </c>
      <c r="H34" s="29">
        <v>3</v>
      </c>
      <c r="I34" s="29">
        <v>3</v>
      </c>
      <c r="J34" s="29">
        <v>1</v>
      </c>
      <c r="K34" s="31">
        <v>1</v>
      </c>
      <c r="L34" s="29">
        <v>1</v>
      </c>
      <c r="M34" s="31">
        <v>1</v>
      </c>
      <c r="N34" s="29">
        <v>3</v>
      </c>
      <c r="O34" s="29">
        <v>3</v>
      </c>
      <c r="P34" s="29">
        <v>3</v>
      </c>
      <c r="Q34" s="29">
        <v>3</v>
      </c>
    </row>
    <row r="35" spans="1:17" ht="15">
      <c r="A35" s="17" t="s">
        <v>22</v>
      </c>
      <c r="B35" s="30">
        <v>7</v>
      </c>
      <c r="C35" s="30">
        <v>7</v>
      </c>
      <c r="D35" s="30">
        <v>7</v>
      </c>
      <c r="E35" s="30">
        <v>7</v>
      </c>
      <c r="F35" s="30">
        <v>5</v>
      </c>
      <c r="G35" s="30">
        <v>5</v>
      </c>
      <c r="H35" s="30">
        <v>5</v>
      </c>
      <c r="I35" s="30">
        <v>5</v>
      </c>
      <c r="J35" s="30">
        <v>7</v>
      </c>
      <c r="K35" s="30">
        <v>7</v>
      </c>
      <c r="L35" s="30">
        <v>7</v>
      </c>
      <c r="M35" s="30">
        <v>7</v>
      </c>
      <c r="N35" s="30">
        <v>5</v>
      </c>
      <c r="O35" s="30">
        <v>5</v>
      </c>
      <c r="P35" s="30">
        <v>5</v>
      </c>
      <c r="Q35" s="30">
        <v>5</v>
      </c>
    </row>
    <row r="36" spans="1:17" ht="15">
      <c r="A36" s="17" t="s">
        <v>23</v>
      </c>
      <c r="B36" s="30">
        <v>-174</v>
      </c>
      <c r="C36" s="30">
        <v>-174</v>
      </c>
      <c r="D36" s="30">
        <v>-174</v>
      </c>
      <c r="E36" s="30">
        <v>-174</v>
      </c>
      <c r="F36" s="29">
        <v>-174</v>
      </c>
      <c r="G36" s="30">
        <v>-174</v>
      </c>
      <c r="H36" s="29">
        <v>-174</v>
      </c>
      <c r="I36" s="30">
        <v>-174</v>
      </c>
      <c r="J36" s="30">
        <v>-174</v>
      </c>
      <c r="K36" s="30">
        <v>-174</v>
      </c>
      <c r="L36" s="30">
        <v>-174</v>
      </c>
      <c r="M36" s="30">
        <v>-174</v>
      </c>
      <c r="N36" s="29">
        <v>-174</v>
      </c>
      <c r="O36" s="30">
        <v>-174</v>
      </c>
      <c r="P36" s="29">
        <v>-174</v>
      </c>
      <c r="Q36" s="30">
        <v>-174</v>
      </c>
    </row>
    <row r="37" spans="1:17" ht="15">
      <c r="A37" s="17" t="s">
        <v>192</v>
      </c>
      <c r="B37" s="29" t="s">
        <v>50</v>
      </c>
      <c r="C37" s="30">
        <v>-169.3</v>
      </c>
      <c r="D37" s="29" t="s">
        <v>50</v>
      </c>
      <c r="E37" s="30">
        <v>-169.3</v>
      </c>
      <c r="F37" s="30" t="s">
        <v>50</v>
      </c>
      <c r="G37" s="30">
        <v>-161.69999999999999</v>
      </c>
      <c r="H37" s="30" t="s">
        <v>50</v>
      </c>
      <c r="I37" s="30">
        <v>-161.69999999999999</v>
      </c>
      <c r="J37" s="29" t="s">
        <v>50</v>
      </c>
      <c r="K37" s="30">
        <v>-169.3</v>
      </c>
      <c r="L37" s="29" t="s">
        <v>50</v>
      </c>
      <c r="M37" s="30">
        <v>-169.3</v>
      </c>
      <c r="N37" s="30" t="s">
        <v>50</v>
      </c>
      <c r="O37" s="30">
        <v>-161.69999999999999</v>
      </c>
      <c r="P37" s="30" t="s">
        <v>50</v>
      </c>
      <c r="Q37" s="30">
        <v>-161.69999999999999</v>
      </c>
    </row>
    <row r="38" spans="1:17" ht="15">
      <c r="A38" s="17" t="s">
        <v>24</v>
      </c>
      <c r="B38" s="29">
        <v>-169.3</v>
      </c>
      <c r="C38" s="30" t="s">
        <v>50</v>
      </c>
      <c r="D38" s="29">
        <v>-169.3</v>
      </c>
      <c r="E38" s="30" t="s">
        <v>50</v>
      </c>
      <c r="F38" s="30">
        <v>-165.7</v>
      </c>
      <c r="G38" s="30" t="s">
        <v>50</v>
      </c>
      <c r="H38" s="30">
        <v>-165.7</v>
      </c>
      <c r="I38" s="30" t="s">
        <v>50</v>
      </c>
      <c r="J38" s="29">
        <v>-169.3</v>
      </c>
      <c r="K38" s="30" t="s">
        <v>50</v>
      </c>
      <c r="L38" s="29">
        <v>-169.3</v>
      </c>
      <c r="M38" s="30" t="s">
        <v>50</v>
      </c>
      <c r="N38" s="30">
        <v>-165.7</v>
      </c>
      <c r="O38" s="30" t="s">
        <v>50</v>
      </c>
      <c r="P38" s="30">
        <v>-165.7</v>
      </c>
      <c r="Q38" s="30" t="s">
        <v>50</v>
      </c>
    </row>
    <row r="39" spans="1:17" ht="30">
      <c r="A39" s="23" t="s">
        <v>193</v>
      </c>
      <c r="B39" s="33" t="s">
        <v>50</v>
      </c>
      <c r="C39" s="33">
        <f t="shared" ref="C39:I39" si="5">10*LOG10(10^((C35+C36)/10)+10^(C37/10))</f>
        <v>-164.98918835931039</v>
      </c>
      <c r="D39" s="33" t="s">
        <v>50</v>
      </c>
      <c r="E39" s="33">
        <f t="shared" si="5"/>
        <v>-164.98918835931039</v>
      </c>
      <c r="F39" s="33" t="s">
        <v>50</v>
      </c>
      <c r="G39" s="33">
        <f t="shared" si="5"/>
        <v>-160.9583889004532</v>
      </c>
      <c r="H39" s="33" t="s">
        <v>50</v>
      </c>
      <c r="I39" s="33">
        <f t="shared" si="5"/>
        <v>-160.9583889004532</v>
      </c>
      <c r="J39" s="33" t="s">
        <v>50</v>
      </c>
      <c r="K39" s="33">
        <f t="shared" ref="K39:Q39" si="6">10*LOG10(10^((K35+K36)/10)+10^(K37/10))</f>
        <v>-164.98918835931039</v>
      </c>
      <c r="L39" s="33" t="s">
        <v>50</v>
      </c>
      <c r="M39" s="33">
        <f t="shared" si="6"/>
        <v>-164.98918835931039</v>
      </c>
      <c r="N39" s="33" t="s">
        <v>50</v>
      </c>
      <c r="O39" s="33">
        <f t="shared" si="6"/>
        <v>-160.9583889004532</v>
      </c>
      <c r="P39" s="33" t="s">
        <v>50</v>
      </c>
      <c r="Q39" s="33">
        <f t="shared" si="6"/>
        <v>-160.9583889004532</v>
      </c>
    </row>
    <row r="40" spans="1:17" ht="30">
      <c r="A40" s="23" t="s">
        <v>194</v>
      </c>
      <c r="B40" s="33">
        <f t="shared" ref="B40:H40" si="7">10*LOG10(10^((B35+B36)/10)+10^(B38/10))</f>
        <v>-164.98918835931039</v>
      </c>
      <c r="C40" s="33" t="s">
        <v>50</v>
      </c>
      <c r="D40" s="33">
        <f t="shared" si="7"/>
        <v>-164.98918835931039</v>
      </c>
      <c r="E40" s="33" t="s">
        <v>50</v>
      </c>
      <c r="F40" s="33">
        <f t="shared" si="7"/>
        <v>-164.03352307536667</v>
      </c>
      <c r="G40" s="33" t="s">
        <v>50</v>
      </c>
      <c r="H40" s="33">
        <f t="shared" si="7"/>
        <v>-164.03352307536667</v>
      </c>
      <c r="I40" s="33" t="s">
        <v>50</v>
      </c>
      <c r="J40" s="33">
        <f t="shared" ref="J40:P40" si="8">10*LOG10(10^((J35+J36)/10)+10^(J38/10))</f>
        <v>-164.98918835931039</v>
      </c>
      <c r="K40" s="33" t="s">
        <v>50</v>
      </c>
      <c r="L40" s="33">
        <f t="shared" si="8"/>
        <v>-164.98918835931039</v>
      </c>
      <c r="M40" s="33" t="s">
        <v>50</v>
      </c>
      <c r="N40" s="33">
        <f t="shared" si="8"/>
        <v>-164.03352307536667</v>
      </c>
      <c r="O40" s="33" t="s">
        <v>50</v>
      </c>
      <c r="P40" s="33">
        <f t="shared" si="8"/>
        <v>-164.03352307536667</v>
      </c>
      <c r="Q40" s="33" t="s">
        <v>50</v>
      </c>
    </row>
    <row r="41" spans="1:17" ht="30">
      <c r="A41" s="17" t="s">
        <v>25</v>
      </c>
      <c r="B41" s="29" t="s">
        <v>50</v>
      </c>
      <c r="C41" s="29">
        <f>MaxN_RB!F6*12*15*1000</f>
        <v>19080000</v>
      </c>
      <c r="D41" s="29" t="s">
        <v>50</v>
      </c>
      <c r="E41" s="29">
        <f>MaxN_RB!F6*12*15*1000</f>
        <v>19080000</v>
      </c>
      <c r="F41" s="46" t="s">
        <v>50</v>
      </c>
      <c r="G41" s="30">
        <f>1*12*30*1000</f>
        <v>360000</v>
      </c>
      <c r="H41" s="46" t="s">
        <v>50</v>
      </c>
      <c r="I41" s="30">
        <f>1*12*30*1000</f>
        <v>360000</v>
      </c>
      <c r="J41" s="29" t="s">
        <v>50</v>
      </c>
      <c r="K41" s="29">
        <f>MaxN_RB!F7*12*30*1000</f>
        <v>18360000</v>
      </c>
      <c r="L41" s="29" t="s">
        <v>50</v>
      </c>
      <c r="M41" s="29">
        <f>MaxN_RB!F7*12*30*1000</f>
        <v>18360000</v>
      </c>
      <c r="N41" s="46" t="s">
        <v>50</v>
      </c>
      <c r="O41" s="30">
        <f>1*12*30*1000</f>
        <v>360000</v>
      </c>
      <c r="P41" s="46" t="s">
        <v>50</v>
      </c>
      <c r="Q41" s="30">
        <f>1*12*30*1000</f>
        <v>360000</v>
      </c>
    </row>
    <row r="42" spans="1:17" ht="30">
      <c r="A42" s="17" t="s">
        <v>26</v>
      </c>
      <c r="B42" s="29">
        <f>MaxN_RB!F7*12*30*1000</f>
        <v>18360000</v>
      </c>
      <c r="C42" s="46" t="s">
        <v>50</v>
      </c>
      <c r="D42" s="29">
        <f>MaxN_RB!F7*12*30*1000</f>
        <v>18360000</v>
      </c>
      <c r="E42" s="46" t="s">
        <v>50</v>
      </c>
      <c r="F42" s="29">
        <f>4*12*30*1000</f>
        <v>1440000</v>
      </c>
      <c r="G42" s="30" t="s">
        <v>50</v>
      </c>
      <c r="H42" s="29">
        <f>4*12*30*1000</f>
        <v>1440000</v>
      </c>
      <c r="I42" s="30" t="s">
        <v>50</v>
      </c>
      <c r="J42" s="29">
        <f>MaxN_RB!F7*12*30*1000</f>
        <v>18360000</v>
      </c>
      <c r="K42" s="46" t="s">
        <v>50</v>
      </c>
      <c r="L42" s="29">
        <f>MaxN_RB!F7*12*30*1000</f>
        <v>18360000</v>
      </c>
      <c r="M42" s="46" t="s">
        <v>50</v>
      </c>
      <c r="N42" s="29">
        <f>4*12*30*1000</f>
        <v>1440000</v>
      </c>
      <c r="O42" s="30" t="s">
        <v>50</v>
      </c>
      <c r="P42" s="29">
        <f>4*12*30*1000</f>
        <v>1440000</v>
      </c>
      <c r="Q42" s="30" t="s">
        <v>50</v>
      </c>
    </row>
    <row r="43" spans="1:17" ht="15">
      <c r="A43" s="21" t="s">
        <v>27</v>
      </c>
      <c r="B43" s="33" t="s">
        <v>50</v>
      </c>
      <c r="C43" s="33">
        <f t="shared" ref="B43:I44" si="9">C39+10*LOG10(C41)</f>
        <v>-92.18340465562963</v>
      </c>
      <c r="D43" s="33" t="s">
        <v>50</v>
      </c>
      <c r="E43" s="33">
        <f t="shared" si="9"/>
        <v>-92.18340465562963</v>
      </c>
      <c r="F43" s="33" t="s">
        <v>50</v>
      </c>
      <c r="G43" s="33">
        <f t="shared" si="9"/>
        <v>-105.39536389278032</v>
      </c>
      <c r="H43" s="33" t="s">
        <v>50</v>
      </c>
      <c r="I43" s="33">
        <f t="shared" si="9"/>
        <v>-105.39536389278032</v>
      </c>
      <c r="J43" s="33" t="s">
        <v>50</v>
      </c>
      <c r="K43" s="33">
        <f t="shared" ref="J43:Q44" si="10">K39+10*LOG10(K41)</f>
        <v>-92.350461590658156</v>
      </c>
      <c r="L43" s="33" t="s">
        <v>50</v>
      </c>
      <c r="M43" s="33">
        <f t="shared" si="10"/>
        <v>-92.350461590658156</v>
      </c>
      <c r="N43" s="33" t="s">
        <v>50</v>
      </c>
      <c r="O43" s="33">
        <f t="shared" si="10"/>
        <v>-105.39536389278032</v>
      </c>
      <c r="P43" s="33" t="s">
        <v>50</v>
      </c>
      <c r="Q43" s="33">
        <f t="shared" si="10"/>
        <v>-105.39536389278032</v>
      </c>
    </row>
    <row r="44" spans="1:17" ht="15">
      <c r="A44" s="21" t="s">
        <v>28</v>
      </c>
      <c r="B44" s="33">
        <f t="shared" si="9"/>
        <v>-92.350461590658156</v>
      </c>
      <c r="C44" s="33" t="s">
        <v>50</v>
      </c>
      <c r="D44" s="33">
        <f t="shared" si="9"/>
        <v>-92.350461590658156</v>
      </c>
      <c r="E44" s="33" t="s">
        <v>50</v>
      </c>
      <c r="F44" s="33">
        <f t="shared" si="9"/>
        <v>-102.44989815441417</v>
      </c>
      <c r="G44" s="33" t="s">
        <v>50</v>
      </c>
      <c r="H44" s="33">
        <f t="shared" si="9"/>
        <v>-102.44989815441417</v>
      </c>
      <c r="I44" s="33" t="s">
        <v>50</v>
      </c>
      <c r="J44" s="33">
        <f t="shared" si="10"/>
        <v>-92.350461590658156</v>
      </c>
      <c r="K44" s="33" t="s">
        <v>50</v>
      </c>
      <c r="L44" s="33">
        <f t="shared" si="10"/>
        <v>-92.350461590658156</v>
      </c>
      <c r="M44" s="33" t="s">
        <v>50</v>
      </c>
      <c r="N44" s="33">
        <f t="shared" si="10"/>
        <v>-102.44989815441417</v>
      </c>
      <c r="O44" s="33" t="s">
        <v>50</v>
      </c>
      <c r="P44" s="33">
        <f t="shared" si="10"/>
        <v>-102.44989815441417</v>
      </c>
      <c r="Q44" s="33" t="s">
        <v>50</v>
      </c>
    </row>
    <row r="45" spans="1:17" ht="15">
      <c r="A45" s="17" t="s">
        <v>29</v>
      </c>
      <c r="B45" s="29" t="s">
        <v>50</v>
      </c>
      <c r="C45" s="53">
        <v>-4.5999999999999996</v>
      </c>
      <c r="D45" s="53" t="s">
        <v>50</v>
      </c>
      <c r="E45" s="53">
        <v>-4.5</v>
      </c>
      <c r="F45" s="29" t="s">
        <v>50</v>
      </c>
      <c r="G45" s="53">
        <v>-5</v>
      </c>
      <c r="H45" s="53" t="s">
        <v>50</v>
      </c>
      <c r="I45" s="53">
        <v>-7.5</v>
      </c>
      <c r="J45" s="53" t="s">
        <v>50</v>
      </c>
      <c r="K45" s="53">
        <v>-9.4</v>
      </c>
      <c r="L45" s="53" t="s">
        <v>50</v>
      </c>
      <c r="M45" s="53">
        <v>-9.6999999999999993</v>
      </c>
      <c r="N45" s="53" t="s">
        <v>50</v>
      </c>
      <c r="O45" s="53">
        <v>-9.4</v>
      </c>
      <c r="P45" s="53" t="s">
        <v>50</v>
      </c>
      <c r="Q45" s="53">
        <v>-10</v>
      </c>
    </row>
    <row r="46" spans="1:17" ht="15">
      <c r="A46" s="17" t="s">
        <v>30</v>
      </c>
      <c r="B46" s="29">
        <v>2.8</v>
      </c>
      <c r="C46" s="29" t="s">
        <v>50</v>
      </c>
      <c r="D46" s="29">
        <v>-0.5</v>
      </c>
      <c r="E46" s="29" t="s">
        <v>50</v>
      </c>
      <c r="F46" s="53">
        <v>1.28</v>
      </c>
      <c r="G46" s="29" t="s">
        <v>50</v>
      </c>
      <c r="H46" s="53">
        <v>0.45</v>
      </c>
      <c r="I46" s="29" t="s">
        <v>50</v>
      </c>
      <c r="J46" s="53">
        <v>0.2</v>
      </c>
      <c r="K46" s="53" t="s">
        <v>50</v>
      </c>
      <c r="L46" s="53">
        <v>-0.8</v>
      </c>
      <c r="M46" s="53" t="s">
        <v>50</v>
      </c>
      <c r="N46" s="53">
        <v>-2</v>
      </c>
      <c r="O46" s="53" t="s">
        <v>50</v>
      </c>
      <c r="P46" s="53">
        <v>-2</v>
      </c>
      <c r="Q46" s="53" t="s">
        <v>50</v>
      </c>
    </row>
    <row r="47" spans="1:17" ht="15">
      <c r="A47" s="17" t="s">
        <v>31</v>
      </c>
      <c r="B47" s="29">
        <v>2</v>
      </c>
      <c r="C47" s="30">
        <v>2</v>
      </c>
      <c r="D47" s="29">
        <v>2</v>
      </c>
      <c r="E47" s="30">
        <v>2</v>
      </c>
      <c r="F47" s="46">
        <v>2</v>
      </c>
      <c r="G47" s="30">
        <v>2</v>
      </c>
      <c r="H47" s="46">
        <v>2</v>
      </c>
      <c r="I47" s="30">
        <v>2</v>
      </c>
      <c r="J47" s="29">
        <v>2</v>
      </c>
      <c r="K47" s="30">
        <v>2</v>
      </c>
      <c r="L47" s="29">
        <v>2</v>
      </c>
      <c r="M47" s="30">
        <v>2</v>
      </c>
      <c r="N47" s="46">
        <v>2</v>
      </c>
      <c r="O47" s="30">
        <v>2</v>
      </c>
      <c r="P47" s="46">
        <v>2</v>
      </c>
      <c r="Q47" s="30">
        <v>2</v>
      </c>
    </row>
    <row r="48" spans="1:17" ht="15">
      <c r="A48" s="17" t="s">
        <v>32</v>
      </c>
      <c r="B48" s="29" t="s">
        <v>50</v>
      </c>
      <c r="C48" s="30">
        <v>0</v>
      </c>
      <c r="D48" s="29" t="s">
        <v>50</v>
      </c>
      <c r="E48" s="30">
        <v>0</v>
      </c>
      <c r="F48" s="46" t="s">
        <v>50</v>
      </c>
      <c r="G48" s="30">
        <v>0</v>
      </c>
      <c r="H48" s="46" t="s">
        <v>50</v>
      </c>
      <c r="I48" s="30">
        <v>0</v>
      </c>
      <c r="J48" s="29" t="s">
        <v>50</v>
      </c>
      <c r="K48" s="30">
        <v>0</v>
      </c>
      <c r="L48" s="29" t="s">
        <v>50</v>
      </c>
      <c r="M48" s="30">
        <v>0</v>
      </c>
      <c r="N48" s="46" t="s">
        <v>50</v>
      </c>
      <c r="O48" s="30">
        <v>0</v>
      </c>
      <c r="P48" s="46" t="s">
        <v>50</v>
      </c>
      <c r="Q48" s="30">
        <v>0</v>
      </c>
    </row>
    <row r="49" spans="1:17" ht="15">
      <c r="A49" s="17" t="s">
        <v>33</v>
      </c>
      <c r="B49" s="29">
        <v>0.5</v>
      </c>
      <c r="C49" s="30" t="s">
        <v>50</v>
      </c>
      <c r="D49" s="29">
        <v>0.5</v>
      </c>
      <c r="E49" s="30" t="s">
        <v>50</v>
      </c>
      <c r="F49" s="46">
        <v>0.5</v>
      </c>
      <c r="G49" s="30" t="s">
        <v>50</v>
      </c>
      <c r="H49" s="46">
        <v>0.5</v>
      </c>
      <c r="I49" s="30" t="s">
        <v>50</v>
      </c>
      <c r="J49" s="29">
        <v>0.5</v>
      </c>
      <c r="K49" s="30" t="s">
        <v>50</v>
      </c>
      <c r="L49" s="29">
        <v>0.5</v>
      </c>
      <c r="M49" s="30" t="s">
        <v>50</v>
      </c>
      <c r="N49" s="46">
        <v>0.5</v>
      </c>
      <c r="O49" s="30" t="s">
        <v>50</v>
      </c>
      <c r="P49" s="46">
        <v>0.5</v>
      </c>
      <c r="Q49" s="30" t="s">
        <v>50</v>
      </c>
    </row>
    <row r="50" spans="1:17" ht="30">
      <c r="A50" s="23" t="s">
        <v>44</v>
      </c>
      <c r="B50" s="33" t="s">
        <v>50</v>
      </c>
      <c r="C50" s="33">
        <f t="shared" ref="C50:I50" si="11">C43+C45+C47-C48</f>
        <v>-94.783404655629624</v>
      </c>
      <c r="D50" s="33" t="s">
        <v>50</v>
      </c>
      <c r="E50" s="33">
        <f t="shared" si="11"/>
        <v>-94.68340465562963</v>
      </c>
      <c r="F50" s="33" t="s">
        <v>50</v>
      </c>
      <c r="G50" s="33">
        <f t="shared" si="11"/>
        <v>-108.39536389278032</v>
      </c>
      <c r="H50" s="33" t="s">
        <v>50</v>
      </c>
      <c r="I50" s="33">
        <f t="shared" si="11"/>
        <v>-110.89536389278032</v>
      </c>
      <c r="J50" s="33" t="s">
        <v>50</v>
      </c>
      <c r="K50" s="33">
        <f t="shared" ref="K50:Q50" si="12">K43+K45+K47-K48</f>
        <v>-99.750461590658162</v>
      </c>
      <c r="L50" s="33" t="s">
        <v>50</v>
      </c>
      <c r="M50" s="33">
        <f t="shared" si="12"/>
        <v>-100.05046159065816</v>
      </c>
      <c r="N50" s="33" t="s">
        <v>50</v>
      </c>
      <c r="O50" s="33">
        <f t="shared" si="12"/>
        <v>-112.79536389278033</v>
      </c>
      <c r="P50" s="33" t="s">
        <v>50</v>
      </c>
      <c r="Q50" s="33">
        <f t="shared" si="12"/>
        <v>-113.39536389278032</v>
      </c>
    </row>
    <row r="51" spans="1:17" ht="15">
      <c r="A51" s="23" t="s">
        <v>45</v>
      </c>
      <c r="B51" s="33">
        <f>B44+B46+B47-B49</f>
        <v>-88.050461590658159</v>
      </c>
      <c r="C51" s="33" t="s">
        <v>50</v>
      </c>
      <c r="D51" s="33">
        <f t="shared" ref="D51:H51" si="13">D44+D46+D47-D49</f>
        <v>-91.350461590658156</v>
      </c>
      <c r="E51" s="33" t="s">
        <v>50</v>
      </c>
      <c r="F51" s="33">
        <f t="shared" si="13"/>
        <v>-99.66989815441417</v>
      </c>
      <c r="G51" s="33" t="s">
        <v>50</v>
      </c>
      <c r="H51" s="33">
        <f t="shared" si="13"/>
        <v>-100.49989815441417</v>
      </c>
      <c r="I51" s="33" t="s">
        <v>50</v>
      </c>
      <c r="J51" s="33">
        <f>J44+J46+J47-J49</f>
        <v>-90.650461590658153</v>
      </c>
      <c r="K51" s="33" t="s">
        <v>50</v>
      </c>
      <c r="L51" s="33">
        <f t="shared" ref="L51:P51" si="14">L44+L46+L47-L49</f>
        <v>-91.650461590658153</v>
      </c>
      <c r="M51" s="33" t="s">
        <v>50</v>
      </c>
      <c r="N51" s="33">
        <f t="shared" si="14"/>
        <v>-102.94989815441417</v>
      </c>
      <c r="O51" s="33" t="s">
        <v>50</v>
      </c>
      <c r="P51" s="33">
        <f t="shared" si="14"/>
        <v>-102.94989815441417</v>
      </c>
      <c r="Q51" s="33" t="s">
        <v>50</v>
      </c>
    </row>
    <row r="52" spans="1:17" ht="30">
      <c r="A52" s="23" t="s">
        <v>96</v>
      </c>
      <c r="B52" s="33" t="s">
        <v>50</v>
      </c>
      <c r="C52" s="33">
        <f t="shared" ref="C52:I52" si="15">C27+C32+C33-C50</f>
        <v>163.89670417866756</v>
      </c>
      <c r="D52" s="33" t="s">
        <v>50</v>
      </c>
      <c r="E52" s="33">
        <f t="shared" si="15"/>
        <v>163.79670417866757</v>
      </c>
      <c r="F52" s="33" t="s">
        <v>50</v>
      </c>
      <c r="G52" s="33">
        <f t="shared" si="15"/>
        <v>153.44686367597939</v>
      </c>
      <c r="H52" s="33" t="s">
        <v>50</v>
      </c>
      <c r="I52" s="33">
        <f t="shared" si="15"/>
        <v>155.94686367597939</v>
      </c>
      <c r="J52" s="33" t="s">
        <v>50</v>
      </c>
      <c r="K52" s="33">
        <f t="shared" ref="K52:Q52" si="16">K27+K32+K33-K50</f>
        <v>168.86376111369611</v>
      </c>
      <c r="L52" s="33" t="s">
        <v>50</v>
      </c>
      <c r="M52" s="33">
        <f t="shared" si="16"/>
        <v>169.1637611136961</v>
      </c>
      <c r="N52" s="33" t="s">
        <v>50</v>
      </c>
      <c r="O52" s="33">
        <f t="shared" si="16"/>
        <v>157.84686367597939</v>
      </c>
      <c r="P52" s="33" t="s">
        <v>50</v>
      </c>
      <c r="Q52" s="33">
        <f t="shared" si="16"/>
        <v>158.44686367597939</v>
      </c>
    </row>
    <row r="53" spans="1:17" ht="15">
      <c r="A53" s="23" t="s">
        <v>88</v>
      </c>
      <c r="B53" s="33">
        <f t="shared" ref="B53:H53" si="17">B28+B32+B33-B51</f>
        <v>157.1637611136961</v>
      </c>
      <c r="C53" s="33" t="s">
        <v>50</v>
      </c>
      <c r="D53" s="33">
        <f t="shared" si="17"/>
        <v>160.46376111369608</v>
      </c>
      <c r="E53" s="33" t="s">
        <v>50</v>
      </c>
      <c r="F53" s="33">
        <f t="shared" si="17"/>
        <v>144.72139793761323</v>
      </c>
      <c r="G53" s="33" t="s">
        <v>50</v>
      </c>
      <c r="H53" s="33">
        <f t="shared" si="17"/>
        <v>145.55139793761322</v>
      </c>
      <c r="I53" s="33" t="s">
        <v>50</v>
      </c>
      <c r="J53" s="33">
        <f t="shared" ref="J53:P53" si="18">J28+J32+J33-J51</f>
        <v>159.76376111369609</v>
      </c>
      <c r="K53" s="33" t="s">
        <v>50</v>
      </c>
      <c r="L53" s="33">
        <f t="shared" si="18"/>
        <v>160.76376111369609</v>
      </c>
      <c r="M53" s="33" t="s">
        <v>50</v>
      </c>
      <c r="N53" s="33">
        <f t="shared" si="18"/>
        <v>148.00139793761323</v>
      </c>
      <c r="O53" s="33" t="s">
        <v>50</v>
      </c>
      <c r="P53" s="33">
        <f t="shared" si="18"/>
        <v>148.00139793761323</v>
      </c>
      <c r="Q53" s="33" t="s">
        <v>50</v>
      </c>
    </row>
    <row r="54" spans="1:17">
      <c r="A54" s="16" t="s">
        <v>34</v>
      </c>
      <c r="B54" s="45"/>
      <c r="C54" s="45"/>
      <c r="D54" s="45"/>
      <c r="E54" s="45"/>
      <c r="F54" s="45"/>
      <c r="G54" s="45"/>
      <c r="H54" s="45"/>
      <c r="I54" s="45"/>
      <c r="J54" s="45"/>
      <c r="K54" s="45"/>
      <c r="L54" s="45"/>
      <c r="M54" s="45"/>
      <c r="N54" s="45"/>
      <c r="O54" s="45"/>
      <c r="P54" s="45"/>
      <c r="Q54" s="45"/>
    </row>
    <row r="55" spans="1:17" ht="15">
      <c r="A55" s="17" t="s">
        <v>35</v>
      </c>
      <c r="B55" s="46">
        <v>8</v>
      </c>
      <c r="C55" s="46">
        <v>8</v>
      </c>
      <c r="D55" s="46">
        <v>8</v>
      </c>
      <c r="E55" s="46">
        <v>8</v>
      </c>
      <c r="F55" s="46">
        <v>8</v>
      </c>
      <c r="G55" s="46">
        <v>8</v>
      </c>
      <c r="H55" s="46">
        <v>8</v>
      </c>
      <c r="I55" s="46">
        <v>8</v>
      </c>
      <c r="J55" s="51">
        <v>6</v>
      </c>
      <c r="K55" s="51">
        <v>6</v>
      </c>
      <c r="L55" s="51">
        <v>8</v>
      </c>
      <c r="M55" s="51">
        <v>8</v>
      </c>
      <c r="N55" s="51">
        <v>6</v>
      </c>
      <c r="O55" s="51">
        <v>6</v>
      </c>
      <c r="P55" s="51">
        <v>8</v>
      </c>
      <c r="Q55" s="51">
        <v>8</v>
      </c>
    </row>
    <row r="56" spans="1:17" ht="18">
      <c r="A56" s="24" t="s">
        <v>89</v>
      </c>
      <c r="B56" s="46"/>
      <c r="C56" s="46"/>
      <c r="D56" s="46"/>
      <c r="E56" s="46"/>
      <c r="F56" s="46"/>
      <c r="G56" s="46"/>
      <c r="H56" s="46"/>
      <c r="I56" s="46"/>
      <c r="J56" s="78"/>
      <c r="K56" s="51"/>
      <c r="L56" s="51"/>
      <c r="M56" s="51"/>
      <c r="N56" s="78"/>
      <c r="O56" s="51"/>
      <c r="P56" s="51"/>
      <c r="Q56" s="51"/>
    </row>
    <row r="57" spans="1:17" ht="30">
      <c r="A57" s="17" t="s">
        <v>36</v>
      </c>
      <c r="B57" s="46" t="s">
        <v>50</v>
      </c>
      <c r="C57" s="46">
        <v>10.45</v>
      </c>
      <c r="D57" s="46" t="s">
        <v>50</v>
      </c>
      <c r="E57" s="46">
        <v>10</v>
      </c>
      <c r="F57" s="46" t="s">
        <v>50</v>
      </c>
      <c r="G57" s="46">
        <v>10.45</v>
      </c>
      <c r="H57" s="46" t="s">
        <v>50</v>
      </c>
      <c r="I57" s="46">
        <v>10</v>
      </c>
      <c r="J57" s="73" t="s">
        <v>50</v>
      </c>
      <c r="K57" s="51">
        <v>8.06</v>
      </c>
      <c r="L57" s="51" t="s">
        <v>50</v>
      </c>
      <c r="M57" s="51">
        <v>8.2899999999999991</v>
      </c>
      <c r="N57" s="73" t="s">
        <v>50</v>
      </c>
      <c r="O57" s="51">
        <v>8.06</v>
      </c>
      <c r="P57" s="51" t="s">
        <v>50</v>
      </c>
      <c r="Q57" s="51">
        <v>8.2899999999999991</v>
      </c>
    </row>
    <row r="58" spans="1:17" ht="30">
      <c r="A58" s="17" t="s">
        <v>37</v>
      </c>
      <c r="B58" s="46">
        <v>6.61</v>
      </c>
      <c r="C58" s="46" t="s">
        <v>50</v>
      </c>
      <c r="D58" s="46">
        <v>6.3</v>
      </c>
      <c r="E58" s="46" t="s">
        <v>50</v>
      </c>
      <c r="F58" s="46">
        <v>6.61</v>
      </c>
      <c r="G58" s="46" t="s">
        <v>50</v>
      </c>
      <c r="H58" s="46">
        <v>6.3</v>
      </c>
      <c r="I58" s="46" t="s">
        <v>50</v>
      </c>
      <c r="J58" s="51">
        <v>4.79</v>
      </c>
      <c r="K58" s="73" t="s">
        <v>50</v>
      </c>
      <c r="L58" s="51">
        <v>5.0199999999999996</v>
      </c>
      <c r="M58" s="73" t="s">
        <v>50</v>
      </c>
      <c r="N58" s="51">
        <v>4.79</v>
      </c>
      <c r="O58" s="73" t="s">
        <v>50</v>
      </c>
      <c r="P58" s="51">
        <v>5.0199999999999996</v>
      </c>
      <c r="Q58" s="73" t="s">
        <v>50</v>
      </c>
    </row>
    <row r="59" spans="1:17" ht="15">
      <c r="A59" s="17" t="s">
        <v>38</v>
      </c>
      <c r="B59" s="46">
        <v>0</v>
      </c>
      <c r="C59" s="46">
        <v>0</v>
      </c>
      <c r="D59" s="46">
        <v>0</v>
      </c>
      <c r="E59" s="46">
        <v>0</v>
      </c>
      <c r="F59" s="46">
        <v>0</v>
      </c>
      <c r="G59" s="46">
        <v>0</v>
      </c>
      <c r="H59" s="46">
        <v>0</v>
      </c>
      <c r="I59" s="46">
        <v>0</v>
      </c>
      <c r="J59" s="51">
        <v>0</v>
      </c>
      <c r="K59" s="51">
        <v>0</v>
      </c>
      <c r="L59" s="51">
        <v>0</v>
      </c>
      <c r="M59" s="51">
        <v>0</v>
      </c>
      <c r="N59" s="51">
        <v>0</v>
      </c>
      <c r="O59" s="51">
        <v>0</v>
      </c>
      <c r="P59" s="51">
        <v>0</v>
      </c>
      <c r="Q59" s="51">
        <v>0</v>
      </c>
    </row>
    <row r="60" spans="1:17" ht="15">
      <c r="A60" s="17" t="s">
        <v>39</v>
      </c>
      <c r="B60" s="29">
        <v>9</v>
      </c>
      <c r="C60" s="29">
        <v>9</v>
      </c>
      <c r="D60" s="31">
        <v>11.9</v>
      </c>
      <c r="E60" s="31">
        <v>11.9</v>
      </c>
      <c r="F60" s="29">
        <v>9</v>
      </c>
      <c r="G60" s="29">
        <v>9</v>
      </c>
      <c r="H60" s="31">
        <v>11.9</v>
      </c>
      <c r="I60" s="31">
        <v>11.9</v>
      </c>
      <c r="J60" s="51">
        <v>9</v>
      </c>
      <c r="K60" s="51">
        <v>9</v>
      </c>
      <c r="L60" s="51">
        <v>11.9</v>
      </c>
      <c r="M60" s="51">
        <v>11.9</v>
      </c>
      <c r="N60" s="51">
        <v>9</v>
      </c>
      <c r="O60" s="51">
        <v>9</v>
      </c>
      <c r="P60" s="51">
        <v>11.9</v>
      </c>
      <c r="Q60" s="51">
        <v>11.9</v>
      </c>
    </row>
    <row r="61" spans="1:17" ht="15">
      <c r="A61" s="17" t="s">
        <v>40</v>
      </c>
      <c r="B61" s="46">
        <v>0</v>
      </c>
      <c r="C61" s="46">
        <v>0</v>
      </c>
      <c r="D61" s="46">
        <v>0</v>
      </c>
      <c r="E61" s="46">
        <v>0</v>
      </c>
      <c r="F61" s="46">
        <v>0</v>
      </c>
      <c r="G61" s="46">
        <v>0</v>
      </c>
      <c r="H61" s="46">
        <v>0</v>
      </c>
      <c r="I61" s="46">
        <v>0</v>
      </c>
      <c r="J61" s="46">
        <v>0</v>
      </c>
      <c r="K61" s="46">
        <v>0</v>
      </c>
      <c r="L61" s="46">
        <v>0</v>
      </c>
      <c r="M61" s="46">
        <v>0</v>
      </c>
      <c r="N61" s="46">
        <v>0</v>
      </c>
      <c r="O61" s="46">
        <v>0</v>
      </c>
      <c r="P61" s="46">
        <v>0</v>
      </c>
      <c r="Q61" s="46">
        <v>0</v>
      </c>
    </row>
    <row r="62" spans="1:17" ht="30">
      <c r="A62" s="23" t="s">
        <v>49</v>
      </c>
      <c r="B62" s="33" t="s">
        <v>50</v>
      </c>
      <c r="C62" s="33">
        <f t="shared" ref="C62:I62" si="19">C52-C57+C59-C60+C61-C34</f>
        <v>143.44670417866757</v>
      </c>
      <c r="D62" s="33" t="s">
        <v>50</v>
      </c>
      <c r="E62" s="33">
        <f t="shared" si="19"/>
        <v>140.89670417866756</v>
      </c>
      <c r="F62" s="33" t="s">
        <v>50</v>
      </c>
      <c r="G62" s="33">
        <f t="shared" si="19"/>
        <v>130.9968636759794</v>
      </c>
      <c r="H62" s="33" t="s">
        <v>50</v>
      </c>
      <c r="I62" s="33">
        <f t="shared" si="19"/>
        <v>131.04686367597938</v>
      </c>
      <c r="J62" s="33" t="s">
        <v>50</v>
      </c>
      <c r="K62" s="33">
        <f>K52-K57+K59-K60+K61-K34</f>
        <v>150.80376111369611</v>
      </c>
      <c r="L62" s="33" t="s">
        <v>50</v>
      </c>
      <c r="M62" s="33">
        <f>M52-M57+M59-M60+M61-M34</f>
        <v>147.9737611136961</v>
      </c>
      <c r="N62" s="33" t="s">
        <v>50</v>
      </c>
      <c r="O62" s="33">
        <f>O52-O57+O59-O60+O61-O34</f>
        <v>137.78686367597939</v>
      </c>
      <c r="P62" s="33" t="s">
        <v>50</v>
      </c>
      <c r="Q62" s="33">
        <f>Q52-Q57+Q59-Q60+Q61-Q34</f>
        <v>135.25686367597939</v>
      </c>
    </row>
    <row r="63" spans="1:17" ht="30">
      <c r="A63" s="23" t="s">
        <v>46</v>
      </c>
      <c r="B63" s="33">
        <f t="shared" ref="B63:H63" si="20">B53-B58+B59-B60+B61-B34</f>
        <v>140.55376111369608</v>
      </c>
      <c r="C63" s="33" t="s">
        <v>50</v>
      </c>
      <c r="D63" s="33">
        <f t="shared" si="20"/>
        <v>141.26376111369606</v>
      </c>
      <c r="E63" s="33" t="s">
        <v>50</v>
      </c>
      <c r="F63" s="33">
        <f t="shared" si="20"/>
        <v>126.11139793761322</v>
      </c>
      <c r="G63" s="33" t="s">
        <v>50</v>
      </c>
      <c r="H63" s="33">
        <f t="shared" si="20"/>
        <v>124.3513979376132</v>
      </c>
      <c r="I63" s="33" t="s">
        <v>50</v>
      </c>
      <c r="J63" s="33">
        <f>J53-J58+J59-J60+J61-J34</f>
        <v>144.9737611136961</v>
      </c>
      <c r="K63" s="33" t="s">
        <v>50</v>
      </c>
      <c r="L63" s="33">
        <f>L53-L58+L59-L60+L61-L34</f>
        <v>142.84376111369608</v>
      </c>
      <c r="M63" s="33" t="s">
        <v>50</v>
      </c>
      <c r="N63" s="33">
        <f>N53-N58+N59-N60+N61-N34</f>
        <v>131.21139793761324</v>
      </c>
      <c r="O63" s="33" t="s">
        <v>50</v>
      </c>
      <c r="P63" s="33">
        <f>P53-P58+P59-P60+P61-P34</f>
        <v>128.08139793761322</v>
      </c>
      <c r="Q63" s="33" t="s">
        <v>50</v>
      </c>
    </row>
    <row r="64" spans="1:17">
      <c r="A64" s="16" t="s">
        <v>41</v>
      </c>
      <c r="B64" s="45"/>
      <c r="C64" s="45"/>
      <c r="D64" s="45"/>
      <c r="E64" s="45"/>
      <c r="F64" s="45"/>
      <c r="G64" s="45"/>
      <c r="H64" s="45"/>
      <c r="I64" s="45"/>
      <c r="J64" s="45"/>
      <c r="K64" s="45"/>
      <c r="L64" s="45"/>
      <c r="M64" s="45"/>
      <c r="N64" s="45"/>
      <c r="O64" s="45"/>
      <c r="P64" s="45"/>
      <c r="Q64" s="45"/>
    </row>
    <row r="65" spans="1:17" ht="30">
      <c r="A65" s="25" t="s">
        <v>97</v>
      </c>
      <c r="B65" s="30" t="s">
        <v>82</v>
      </c>
      <c r="C65" s="46">
        <f>10^(3+(C62-161.04+7.1*LOG10(20)-7.5*LOG10(5)+(24.37-3.7*(5/C$5)^2)*LOG10(C$5)-20*LOG10(C$4)+(3.2*(LOG10(11.75*C$6))^2-4.97))/(43.42-3.1*LOG10(C$5)))</f>
        <v>2029.0751854855425</v>
      </c>
      <c r="D65" s="30" t="s">
        <v>82</v>
      </c>
      <c r="E65" s="46">
        <f>10^(3+(E62-161.04+7.1*LOG10(20)-7.5*LOG10(5)+(24.37-3.7*(5/E$5)^2)*LOG10(E$5)-20*LOG10(E$4)+(3.2*(LOG10(11.75*E$6))^2-4.97))/(43.42-3.1*LOG10(E$5)))</f>
        <v>1742.9826257902098</v>
      </c>
      <c r="F65" s="30" t="s">
        <v>82</v>
      </c>
      <c r="G65" s="46">
        <f>10^(3+(G62-161.04+7.1*LOG10(20)-7.5*LOG10(5)+(24.37-3.7*(5/G$5)^2)*LOG10(G$5)-20*LOG10(G$4)+(3.2*(LOG10(11.75*G$6))^2-4.97))/(43.42-3.1*LOG10(G$5)))</f>
        <v>966.14467286009335</v>
      </c>
      <c r="H65" s="30" t="s">
        <v>82</v>
      </c>
      <c r="I65" s="46">
        <f>10^(3+(I62-161.04+7.1*LOG10(20)-7.5*LOG10(5)+(24.37-3.7*(5/I$5)^2)*LOG10(I$5)-20*LOG10(I$4)+(3.2*(LOG10(11.75*I$6))^2-4.97))/(43.42-3.1*LOG10(I$5)))</f>
        <v>969.0281221514158</v>
      </c>
      <c r="J65" s="30" t="s">
        <v>50</v>
      </c>
      <c r="K65" s="46">
        <f>10^((K62-161.04+7.1*LOG10(20)-7.5*LOG10(5)+(24.37-3.7*(5/K$5)^2)*LOG10(K$5)-20*LOG10(K$4)+(3.2*(LOG10(11.75*K$6)^2)-4.97))/(43.42-3.1*LOG10(K$5))+3)</f>
        <v>3145.7973707756164</v>
      </c>
      <c r="L65" s="30" t="s">
        <v>50</v>
      </c>
      <c r="M65" s="46">
        <f>10^((M62-161.04+7.1*LOG10(20)-7.5*LOG10(5)+(24.37-3.7*(5/M$5)^2)*LOG10(M$5)-20*LOG10(M$4)+(3.2*(LOG10(11.75*M$6)^2)-4.97))/(43.42-3.1*LOG10(M$5))+3)</f>
        <v>2657.529209473762</v>
      </c>
      <c r="N65" s="30" t="s">
        <v>50</v>
      </c>
      <c r="O65" s="46">
        <f>10^((O62-161.04+7.1*LOG10(20)-7.5*LOG10(5)+(24.37-3.7*(5/O$5)^2)*LOG10(O$5)-20*LOG10(O$4)+(3.2*(LOG10(11.75*O$6)^2)-4.97))/(43.42-3.1*LOG10(O$5))+3)</f>
        <v>1448.0943906155044</v>
      </c>
      <c r="P65" s="30" t="s">
        <v>50</v>
      </c>
      <c r="Q65" s="46">
        <f>10^((Q62-161.04+7.1*LOG10(20)-7.5*LOG10(5)+(24.37-3.7*(5/Q$5)^2)*LOG10(Q$5)-20*LOG10(Q$4)+(3.2*(LOG10(11.75*Q$6)^2)-4.97))/(43.42-3.1*LOG10(Q$5))+3)</f>
        <v>1245.4017639179797</v>
      </c>
    </row>
    <row r="66" spans="1:17" ht="30">
      <c r="A66" s="25" t="s">
        <v>98</v>
      </c>
      <c r="B66" s="46">
        <f>10^(3+(B63-161.04+7.1*LOG10(20)-7.5*LOG10(5)+(24.37-3.7*(5/B$5)^2)*LOG10(B$5)-20*LOG10(B$4)+(3.2*(LOG10(11.75*B$6))^2-4.97))/(43.42-3.1*LOG10(B$5)))</f>
        <v>1707.7181773543762</v>
      </c>
      <c r="C66" s="30" t="s">
        <v>82</v>
      </c>
      <c r="D66" s="46">
        <f>10^(3+(D63-161.04+7.1*LOG10(20)-7.5*LOG10(5)+(24.37-3.7*(5/D$5)^2)*LOG10(D$5)-20*LOG10(D$4)+(3.2*(LOG10(11.75*D$6))^2-4.97))/(43.42-3.1*LOG10(D$5)))</f>
        <v>1781.5338831920863</v>
      </c>
      <c r="E66" s="30" t="s">
        <v>82</v>
      </c>
      <c r="F66" s="47">
        <f>10^(3+(F63-161.04+7.1*LOG10(20)-7.5*LOG10(5)+(24.37-3.7*(5/F$5)^2)*LOG10(F$5)-20*LOG10(F$4)+(3.2*(LOG10(11.75*F$6))^2-4.97))/(43.42-3.1*LOG10(F$5)))</f>
        <v>722.07960611977001</v>
      </c>
      <c r="G66" s="30" t="s">
        <v>82</v>
      </c>
      <c r="H66" s="46">
        <f>10^(3+(H63-161.04+7.1*LOG10(20)-7.5*LOG10(5)+(24.37-3.7*(5/H$5)^2)*LOG10(H$5)-20*LOG10(H$4)+(3.2*(LOG10(11.75*H$6))^2-4.97))/(43.42-3.1*LOG10(H$5)))</f>
        <v>650.17255139521296</v>
      </c>
      <c r="I66" s="30" t="s">
        <v>82</v>
      </c>
      <c r="J66" s="46">
        <f>10^((J63-161.04+7.1*LOG10(20)-7.5*LOG10(5)+(24.37-3.7*(5/J$5)^2)*LOG10(J$5)-20*LOG10(J$4)+(3.2*(LOG10(11.75*J$6)^2)-4.97))/(43.42-3.1*LOG10(J$5))+3)</f>
        <v>2222.4142311647547</v>
      </c>
      <c r="K66" s="30" t="s">
        <v>50</v>
      </c>
      <c r="L66" s="46">
        <f>10^((L63-161.04+7.1*LOG10(20)-7.5*LOG10(5)+(24.37-3.7*(5/L$5)^2)*LOG10(L$5)-20*LOG10(L$4)+(3.2*(LOG10(11.75*L$6)^2)-4.97))/(43.42-3.1*LOG10(L$5))+3)</f>
        <v>1957.4530443795645</v>
      </c>
      <c r="M66" s="30" t="s">
        <v>50</v>
      </c>
      <c r="N66" s="46">
        <f>10^((N63-161.04+7.1*LOG10(20)-7.5*LOG10(5)+(24.37-3.7*(5/N$5)^2)*LOG10(N$5)-20*LOG10(N$4)+(3.2*(LOG10(11.75*N$6)^2)-4.97))/(43.42-3.1*LOG10(N$5))+3)</f>
        <v>978.57753741748968</v>
      </c>
      <c r="O66" s="30" t="s">
        <v>50</v>
      </c>
      <c r="P66" s="46">
        <f>10^((P63-161.04+7.1*LOG10(20)-7.5*LOG10(5)+(24.37-3.7*(5/P$5)^2)*LOG10(P$5)-20*LOG10(P$4)+(3.2*(LOG10(11.75*P$6)^2)-4.97))/(43.42-3.1*LOG10(P$5))+3)</f>
        <v>812.03965946253845</v>
      </c>
      <c r="Q66" s="30" t="s">
        <v>50</v>
      </c>
    </row>
    <row r="67" spans="1:17" ht="18">
      <c r="A67" s="25" t="s">
        <v>90</v>
      </c>
      <c r="B67" s="30" t="s">
        <v>50</v>
      </c>
      <c r="C67" s="30">
        <f>PI()*(C65)^2</f>
        <v>12934395.967758184</v>
      </c>
      <c r="D67" s="30" t="s">
        <v>50</v>
      </c>
      <c r="E67" s="30">
        <f>PI()*(E65)^2</f>
        <v>9544122.1453373693</v>
      </c>
      <c r="F67" s="30" t="s">
        <v>50</v>
      </c>
      <c r="G67" s="30">
        <f>PI()*(G65)^2</f>
        <v>2932474.2001791783</v>
      </c>
      <c r="H67" s="30" t="s">
        <v>50</v>
      </c>
      <c r="I67" s="30">
        <f>PI()*(I65)^2</f>
        <v>2950004.2011831072</v>
      </c>
      <c r="J67" s="30" t="s">
        <v>50</v>
      </c>
      <c r="K67" s="30">
        <f>PI()*(K65)^2</f>
        <v>31089330.013032805</v>
      </c>
      <c r="L67" s="30" t="s">
        <v>50</v>
      </c>
      <c r="M67" s="30">
        <f>PI()*(M65)^2</f>
        <v>22187377.162167076</v>
      </c>
      <c r="N67" s="30" t="s">
        <v>50</v>
      </c>
      <c r="O67" s="30">
        <f>PI()*(O65)^2</f>
        <v>6587848.6819014596</v>
      </c>
      <c r="P67" s="30" t="s">
        <v>50</v>
      </c>
      <c r="Q67" s="30">
        <f>PI()*(Q65)^2</f>
        <v>4872690.4846256012</v>
      </c>
    </row>
    <row r="68" spans="1:17" ht="18">
      <c r="A68" s="25" t="s">
        <v>91</v>
      </c>
      <c r="B68" s="30">
        <f>PI()*(B66)^2</f>
        <v>9161830.969908027</v>
      </c>
      <c r="C68" s="30" t="s">
        <v>50</v>
      </c>
      <c r="D68" s="30">
        <f>PI()*(D66)^2</f>
        <v>9970984.6119227968</v>
      </c>
      <c r="E68" s="30" t="s">
        <v>50</v>
      </c>
      <c r="F68" s="30">
        <f>PI()*(F66)^2</f>
        <v>1638023.1347041128</v>
      </c>
      <c r="G68" s="30" t="s">
        <v>50</v>
      </c>
      <c r="H68" s="30">
        <f>PI()*(H66)^2</f>
        <v>1328027.7017336551</v>
      </c>
      <c r="I68" s="30" t="s">
        <v>50</v>
      </c>
      <c r="J68" s="30">
        <f>PI()*(J66)^2</f>
        <v>15516718.861919984</v>
      </c>
      <c r="K68" s="30" t="s">
        <v>50</v>
      </c>
      <c r="L68" s="30">
        <f>PI()*(L66)^2</f>
        <v>12037396.848989051</v>
      </c>
      <c r="M68" s="30" t="s">
        <v>50</v>
      </c>
      <c r="N68" s="30">
        <f>PI()*(N66)^2</f>
        <v>3008433.0971271074</v>
      </c>
      <c r="O68" s="30" t="s">
        <v>50</v>
      </c>
      <c r="P68" s="30">
        <f>PI()*(P66)^2</f>
        <v>2071592.6119847121</v>
      </c>
      <c r="Q68" s="30" t="s">
        <v>50</v>
      </c>
    </row>
    <row r="70" spans="1:17">
      <c r="A70" s="44"/>
      <c r="C70" s="35" t="s">
        <v>144</v>
      </c>
    </row>
  </sheetData>
  <mergeCells count="4">
    <mergeCell ref="B1:E1"/>
    <mergeCell ref="F1:I1"/>
    <mergeCell ref="J1:M1"/>
    <mergeCell ref="N1:Q1"/>
  </mergeCells>
  <dataValidations count="1">
    <dataValidation type="list" allowBlank="1" showInputMessage="1" showErrorMessage="1" sqref="F34:I34 B26:E26 N34:Q34 J26:M26">
      <formula1>"0,3"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zoomScale="60" zoomScaleNormal="60" workbookViewId="0">
      <pane xSplit="1" ySplit="2" topLeftCell="B3" activePane="bottomRight" state="frozen"/>
      <selection pane="topRight" activeCell="B1" sqref="B1"/>
      <selection pane="bottomLeft" activeCell="A4" sqref="A4"/>
      <selection pane="bottomRight" activeCell="A42" sqref="A42"/>
    </sheetView>
  </sheetViews>
  <sheetFormatPr defaultColWidth="9" defaultRowHeight="14.25"/>
  <cols>
    <col min="1" max="1" width="69" style="48" customWidth="1"/>
    <col min="2" max="2" width="11.5" bestFit="1" customWidth="1"/>
    <col min="3" max="3" width="14.625" style="49" bestFit="1" customWidth="1"/>
    <col min="4" max="4" width="12.625" style="50" customWidth="1"/>
    <col min="5" max="5" width="12.125" customWidth="1"/>
    <col min="6" max="6" width="12.625" customWidth="1"/>
    <col min="7" max="7" width="13.375" style="50" bestFit="1" customWidth="1"/>
    <col min="8" max="8" width="12" style="50" customWidth="1"/>
    <col min="9" max="9" width="15.875" customWidth="1"/>
    <col min="10" max="10" width="14.625" bestFit="1" customWidth="1"/>
    <col min="11" max="11" width="12.625" customWidth="1"/>
    <col min="12" max="12" width="11.5" customWidth="1"/>
    <col min="13" max="13" width="12" customWidth="1"/>
    <col min="14" max="16384" width="9" style="1"/>
  </cols>
  <sheetData>
    <row r="1" spans="1:13">
      <c r="A1" s="15" t="s">
        <v>0</v>
      </c>
      <c r="B1" s="97" t="s">
        <v>174</v>
      </c>
      <c r="C1" s="140" t="s">
        <v>177</v>
      </c>
      <c r="D1" s="140"/>
      <c r="E1" s="139" t="s">
        <v>174</v>
      </c>
      <c r="F1" s="139"/>
      <c r="G1" s="139" t="s">
        <v>177</v>
      </c>
      <c r="H1" s="139"/>
      <c r="I1" s="96" t="s">
        <v>178</v>
      </c>
      <c r="J1" s="139" t="s">
        <v>177</v>
      </c>
      <c r="K1" s="139"/>
      <c r="L1" s="139" t="s">
        <v>177</v>
      </c>
      <c r="M1" s="139"/>
    </row>
    <row r="2" spans="1:13" ht="42.75">
      <c r="A2" s="15"/>
      <c r="B2" s="88" t="s">
        <v>205</v>
      </c>
      <c r="C2" s="75" t="s">
        <v>211</v>
      </c>
      <c r="D2" s="75" t="s">
        <v>203</v>
      </c>
      <c r="E2" s="88" t="s">
        <v>206</v>
      </c>
      <c r="F2" s="88" t="s">
        <v>214</v>
      </c>
      <c r="G2" s="75" t="s">
        <v>213</v>
      </c>
      <c r="H2" s="75" t="s">
        <v>212</v>
      </c>
      <c r="I2" s="88" t="s">
        <v>215</v>
      </c>
      <c r="J2" s="85" t="s">
        <v>208</v>
      </c>
      <c r="K2" s="85" t="s">
        <v>207</v>
      </c>
      <c r="L2" s="85" t="s">
        <v>230</v>
      </c>
      <c r="M2" s="85" t="s">
        <v>217</v>
      </c>
    </row>
    <row r="3" spans="1:13">
      <c r="A3" s="16" t="s">
        <v>1</v>
      </c>
      <c r="B3" s="28"/>
      <c r="C3" s="28"/>
      <c r="D3" s="28"/>
      <c r="E3" s="28"/>
      <c r="F3" s="28"/>
      <c r="G3" s="28"/>
      <c r="H3" s="28"/>
      <c r="I3" s="28"/>
      <c r="J3" s="16"/>
      <c r="K3" s="16"/>
      <c r="L3" s="16"/>
      <c r="M3" s="16"/>
    </row>
    <row r="4" spans="1:13" ht="15">
      <c r="A4" s="17" t="s">
        <v>2</v>
      </c>
      <c r="B4" s="29">
        <v>0.7</v>
      </c>
      <c r="C4" s="30">
        <v>0.7</v>
      </c>
      <c r="D4" s="29">
        <v>0.7</v>
      </c>
      <c r="E4" s="30">
        <v>0.7</v>
      </c>
      <c r="F4" s="29">
        <v>0.7</v>
      </c>
      <c r="G4" s="30">
        <v>0.7</v>
      </c>
      <c r="H4" s="29">
        <v>0.7</v>
      </c>
      <c r="I4" s="30">
        <v>0.7</v>
      </c>
      <c r="J4" s="30">
        <v>0.7</v>
      </c>
      <c r="K4" s="29">
        <v>0.7</v>
      </c>
      <c r="L4" s="30">
        <v>0.7</v>
      </c>
      <c r="M4" s="29">
        <v>0.7</v>
      </c>
    </row>
    <row r="5" spans="1:13" ht="15">
      <c r="A5" s="17" t="s">
        <v>3</v>
      </c>
      <c r="B5" s="29">
        <v>25</v>
      </c>
      <c r="C5" s="30">
        <v>25</v>
      </c>
      <c r="D5" s="30">
        <v>25</v>
      </c>
      <c r="E5" s="30">
        <v>25</v>
      </c>
      <c r="F5" s="29">
        <v>25</v>
      </c>
      <c r="G5" s="30">
        <v>25</v>
      </c>
      <c r="H5" s="30">
        <v>25</v>
      </c>
      <c r="I5" s="30">
        <v>25</v>
      </c>
      <c r="J5" s="30">
        <v>25</v>
      </c>
      <c r="K5" s="30">
        <v>25</v>
      </c>
      <c r="L5" s="30">
        <v>25</v>
      </c>
      <c r="M5" s="30">
        <v>25</v>
      </c>
    </row>
    <row r="6" spans="1:13" ht="15">
      <c r="A6" s="17" t="s">
        <v>4</v>
      </c>
      <c r="B6" s="29">
        <v>1.5</v>
      </c>
      <c r="C6" s="30">
        <v>1.5</v>
      </c>
      <c r="D6" s="29">
        <v>1.5</v>
      </c>
      <c r="E6" s="30">
        <v>1.5</v>
      </c>
      <c r="F6" s="29">
        <v>1.5</v>
      </c>
      <c r="G6" s="30">
        <v>1.5</v>
      </c>
      <c r="H6" s="29">
        <v>1.5</v>
      </c>
      <c r="I6" s="30">
        <v>1.5</v>
      </c>
      <c r="J6" s="30">
        <v>1.5</v>
      </c>
      <c r="K6" s="29">
        <v>1.5</v>
      </c>
      <c r="L6" s="30">
        <v>1.5</v>
      </c>
      <c r="M6" s="29">
        <v>1.5</v>
      </c>
    </row>
    <row r="7" spans="1:13" ht="15">
      <c r="A7" s="17" t="s">
        <v>190</v>
      </c>
      <c r="B7" s="18" t="s">
        <v>165</v>
      </c>
      <c r="C7" s="18">
        <v>0.95</v>
      </c>
      <c r="D7" s="18" t="s">
        <v>108</v>
      </c>
      <c r="E7" s="18">
        <v>0.95</v>
      </c>
      <c r="F7" s="18" t="s">
        <v>169</v>
      </c>
      <c r="G7" s="18">
        <v>0.95</v>
      </c>
      <c r="H7" s="18" t="s">
        <v>108</v>
      </c>
      <c r="I7" s="18">
        <v>0.95</v>
      </c>
      <c r="J7" s="18">
        <v>0.95</v>
      </c>
      <c r="K7" s="18" t="s">
        <v>157</v>
      </c>
      <c r="L7" s="18">
        <v>0.95</v>
      </c>
      <c r="M7" s="18" t="s">
        <v>157</v>
      </c>
    </row>
    <row r="8" spans="1:13" ht="15">
      <c r="A8" s="17" t="s">
        <v>191</v>
      </c>
      <c r="B8" s="18">
        <v>0.9</v>
      </c>
      <c r="C8" s="18" t="s">
        <v>108</v>
      </c>
      <c r="D8" s="18">
        <v>0.9</v>
      </c>
      <c r="E8" s="18" t="s">
        <v>169</v>
      </c>
      <c r="F8" s="18">
        <v>0.9</v>
      </c>
      <c r="G8" s="18" t="s">
        <v>108</v>
      </c>
      <c r="H8" s="18">
        <v>0.9</v>
      </c>
      <c r="I8" s="18" t="s">
        <v>169</v>
      </c>
      <c r="J8" s="18" t="s">
        <v>155</v>
      </c>
      <c r="K8" s="18">
        <v>0.9</v>
      </c>
      <c r="L8" s="18" t="s">
        <v>157</v>
      </c>
      <c r="M8" s="18">
        <v>0.9</v>
      </c>
    </row>
    <row r="9" spans="1:13" ht="15">
      <c r="A9" s="17" t="s">
        <v>5</v>
      </c>
      <c r="B9" s="29" t="s">
        <v>166</v>
      </c>
      <c r="C9" s="30"/>
      <c r="D9" s="29" t="s">
        <v>108</v>
      </c>
      <c r="E9" s="30"/>
      <c r="F9" s="29" t="s">
        <v>169</v>
      </c>
      <c r="G9" s="30"/>
      <c r="H9" s="29" t="s">
        <v>108</v>
      </c>
      <c r="I9" s="30"/>
      <c r="J9" s="30"/>
      <c r="K9" s="29" t="s">
        <v>157</v>
      </c>
      <c r="L9" s="30"/>
      <c r="M9" s="29" t="s">
        <v>156</v>
      </c>
    </row>
    <row r="10" spans="1:13" ht="15">
      <c r="A10" s="17" t="s">
        <v>6</v>
      </c>
      <c r="B10" s="57">
        <f>32*8/0.001</f>
        <v>256000</v>
      </c>
      <c r="C10" s="58" t="s">
        <v>108</v>
      </c>
      <c r="D10" s="57">
        <f>32*8/0.001</f>
        <v>256000</v>
      </c>
      <c r="E10" s="58" t="s">
        <v>169</v>
      </c>
      <c r="F10" s="57">
        <f>32*8/0.001</f>
        <v>256000</v>
      </c>
      <c r="G10" s="58" t="s">
        <v>108</v>
      </c>
      <c r="H10" s="57">
        <f>32*8/0.001</f>
        <v>256000</v>
      </c>
      <c r="I10" s="58" t="s">
        <v>169</v>
      </c>
      <c r="J10" s="30" t="s">
        <v>157</v>
      </c>
      <c r="K10" s="29">
        <f>32*8/0.001</f>
        <v>256000</v>
      </c>
      <c r="L10" s="30" t="s">
        <v>156</v>
      </c>
      <c r="M10" s="29">
        <f>32*8/0.001</f>
        <v>256000</v>
      </c>
    </row>
    <row r="11" spans="1:13" ht="30" customHeight="1">
      <c r="A11" s="17" t="s">
        <v>7</v>
      </c>
      <c r="B11" s="57" t="s">
        <v>167</v>
      </c>
      <c r="C11" s="57">
        <v>1.0000000000000001E-5</v>
      </c>
      <c r="D11" s="57" t="s">
        <v>108</v>
      </c>
      <c r="E11" s="57">
        <v>1.0000000000000001E-5</v>
      </c>
      <c r="F11" s="57" t="s">
        <v>50</v>
      </c>
      <c r="G11" s="57">
        <v>1.0000000000000001E-5</v>
      </c>
      <c r="H11" s="57" t="s">
        <v>108</v>
      </c>
      <c r="I11" s="57">
        <v>1.0000000000000001E-5</v>
      </c>
      <c r="J11" s="79">
        <v>1.0000000000000001E-5</v>
      </c>
      <c r="K11" s="79" t="s">
        <v>157</v>
      </c>
      <c r="L11" s="79">
        <v>1.0000000000000001E-5</v>
      </c>
      <c r="M11" s="79" t="s">
        <v>156</v>
      </c>
    </row>
    <row r="12" spans="1:13" ht="15">
      <c r="A12" s="17" t="s">
        <v>8</v>
      </c>
      <c r="B12" s="57">
        <v>1.0000000000000001E-5</v>
      </c>
      <c r="C12" s="58" t="s">
        <v>108</v>
      </c>
      <c r="D12" s="57">
        <v>1.0000000000000001E-5</v>
      </c>
      <c r="E12" s="58" t="s">
        <v>50</v>
      </c>
      <c r="F12" s="57">
        <v>1.0000000000000001E-5</v>
      </c>
      <c r="G12" s="58" t="s">
        <v>108</v>
      </c>
      <c r="H12" s="57">
        <v>1.0000000000000001E-5</v>
      </c>
      <c r="I12" s="58" t="s">
        <v>169</v>
      </c>
      <c r="J12" s="80" t="s">
        <v>157</v>
      </c>
      <c r="K12" s="79">
        <v>1.0000000000000001E-5</v>
      </c>
      <c r="L12" s="80" t="s">
        <v>157</v>
      </c>
      <c r="M12" s="79">
        <v>1.0000000000000001E-5</v>
      </c>
    </row>
    <row r="13" spans="1:13" ht="16.5">
      <c r="A13" s="17" t="s">
        <v>85</v>
      </c>
      <c r="B13" s="57">
        <f>B10/B42</f>
        <v>4.4444444444444446E-2</v>
      </c>
      <c r="C13" s="58" t="s">
        <v>108</v>
      </c>
      <c r="D13" s="57">
        <f>D10/D42</f>
        <v>1.3943355119825708E-2</v>
      </c>
      <c r="E13" s="58" t="s">
        <v>169</v>
      </c>
      <c r="F13" s="57">
        <f>F10/F42</f>
        <v>4.4444444444444446E-2</v>
      </c>
      <c r="G13" s="58" t="s">
        <v>108</v>
      </c>
      <c r="H13" s="57">
        <f>H10/H42</f>
        <v>1.3943355119825708E-2</v>
      </c>
      <c r="I13" s="58" t="s">
        <v>169</v>
      </c>
      <c r="J13" s="80" t="s">
        <v>156</v>
      </c>
      <c r="K13" s="29">
        <f t="shared" ref="K13" si="0">K10/(K42*(4+2*11/14+1/14)/10)</f>
        <v>2.4709743250324042E-2</v>
      </c>
      <c r="L13" s="30" t="s">
        <v>156</v>
      </c>
      <c r="M13" s="29">
        <f>M10/M42</f>
        <v>1.3943355119825708E-2</v>
      </c>
    </row>
    <row r="14" spans="1:13" ht="16.5">
      <c r="A14" s="17" t="s">
        <v>86</v>
      </c>
      <c r="B14" s="58" t="s">
        <v>168</v>
      </c>
      <c r="C14" s="58" t="s">
        <v>109</v>
      </c>
      <c r="D14" s="57" t="s">
        <v>109</v>
      </c>
      <c r="E14" s="58" t="s">
        <v>170</v>
      </c>
      <c r="F14" s="58" t="s">
        <v>171</v>
      </c>
      <c r="G14" s="58" t="s">
        <v>110</v>
      </c>
      <c r="H14" s="58" t="s">
        <v>110</v>
      </c>
      <c r="I14" s="58" t="s">
        <v>172</v>
      </c>
      <c r="J14" s="30" t="s">
        <v>105</v>
      </c>
      <c r="K14" s="29" t="s">
        <v>158</v>
      </c>
      <c r="L14" s="30" t="s">
        <v>159</v>
      </c>
      <c r="M14" s="30" t="s">
        <v>160</v>
      </c>
    </row>
    <row r="15" spans="1:13" ht="15">
      <c r="A15" s="17" t="s">
        <v>99</v>
      </c>
      <c r="B15" s="57">
        <v>30</v>
      </c>
      <c r="C15" s="58">
        <v>30</v>
      </c>
      <c r="D15" s="58">
        <v>30</v>
      </c>
      <c r="E15" s="58">
        <v>30</v>
      </c>
      <c r="F15" s="58">
        <v>3</v>
      </c>
      <c r="G15" s="58">
        <v>3</v>
      </c>
      <c r="H15" s="58">
        <v>3</v>
      </c>
      <c r="I15" s="58">
        <v>3</v>
      </c>
      <c r="J15" s="30">
        <v>30</v>
      </c>
      <c r="K15" s="30">
        <v>30</v>
      </c>
      <c r="L15" s="30">
        <v>3</v>
      </c>
      <c r="M15" s="30">
        <v>3</v>
      </c>
    </row>
    <row r="16" spans="1:13" ht="15">
      <c r="A16" s="17" t="s">
        <v>9</v>
      </c>
      <c r="B16" s="58">
        <v>3</v>
      </c>
      <c r="C16" s="58">
        <v>3</v>
      </c>
      <c r="D16" s="57">
        <v>3</v>
      </c>
      <c r="E16" s="58">
        <v>3</v>
      </c>
      <c r="F16" s="58">
        <v>3</v>
      </c>
      <c r="G16" s="58">
        <v>3</v>
      </c>
      <c r="H16" s="58">
        <v>3</v>
      </c>
      <c r="I16" s="58">
        <v>3</v>
      </c>
      <c r="J16" s="30">
        <v>3</v>
      </c>
      <c r="K16" s="29">
        <v>3</v>
      </c>
      <c r="L16" s="30">
        <v>3</v>
      </c>
      <c r="M16" s="30">
        <v>3</v>
      </c>
    </row>
    <row r="17" spans="1:13">
      <c r="A17" s="16" t="s">
        <v>10</v>
      </c>
      <c r="B17" s="56"/>
      <c r="C17" s="56"/>
      <c r="D17" s="56"/>
      <c r="E17" s="56"/>
      <c r="F17" s="56"/>
      <c r="G17" s="56"/>
      <c r="H17" s="56"/>
      <c r="I17" s="56"/>
      <c r="J17" s="28"/>
      <c r="K17" s="28"/>
      <c r="L17" s="28"/>
      <c r="M17" s="28"/>
    </row>
    <row r="18" spans="1:13" ht="30">
      <c r="A18" s="17" t="s">
        <v>100</v>
      </c>
      <c r="B18" s="57">
        <v>1</v>
      </c>
      <c r="C18" s="57">
        <v>64</v>
      </c>
      <c r="D18" s="57">
        <v>64</v>
      </c>
      <c r="E18" s="58">
        <v>1</v>
      </c>
      <c r="F18" s="57">
        <v>1</v>
      </c>
      <c r="G18" s="57">
        <v>64</v>
      </c>
      <c r="H18" s="57">
        <v>64</v>
      </c>
      <c r="I18" s="58">
        <v>1</v>
      </c>
      <c r="J18" s="29">
        <v>64</v>
      </c>
      <c r="K18" s="29">
        <v>64</v>
      </c>
      <c r="L18" s="29">
        <v>64</v>
      </c>
      <c r="M18" s="29">
        <v>64</v>
      </c>
    </row>
    <row r="19" spans="1:13" ht="15">
      <c r="A19" s="17" t="s">
        <v>140</v>
      </c>
      <c r="B19" s="57">
        <v>1</v>
      </c>
      <c r="C19" s="57">
        <v>2</v>
      </c>
      <c r="D19" s="57">
        <v>2</v>
      </c>
      <c r="E19" s="58">
        <v>1</v>
      </c>
      <c r="F19" s="57">
        <v>1</v>
      </c>
      <c r="G19" s="57">
        <v>2</v>
      </c>
      <c r="H19" s="57">
        <v>2</v>
      </c>
      <c r="I19" s="58">
        <v>1</v>
      </c>
      <c r="J19" s="29">
        <v>2</v>
      </c>
      <c r="K19" s="29">
        <v>2</v>
      </c>
      <c r="L19" s="29">
        <v>2</v>
      </c>
      <c r="M19" s="29">
        <v>2</v>
      </c>
    </row>
    <row r="20" spans="1:13" ht="15">
      <c r="A20" s="17" t="s">
        <v>11</v>
      </c>
      <c r="B20" s="57">
        <v>23</v>
      </c>
      <c r="C20" s="57">
        <v>28</v>
      </c>
      <c r="D20" s="57">
        <v>28</v>
      </c>
      <c r="E20" s="58">
        <v>23</v>
      </c>
      <c r="F20" s="57">
        <v>23</v>
      </c>
      <c r="G20" s="57">
        <v>28</v>
      </c>
      <c r="H20" s="57">
        <v>28</v>
      </c>
      <c r="I20" s="58">
        <v>23</v>
      </c>
      <c r="J20" s="29">
        <v>28</v>
      </c>
      <c r="K20" s="29">
        <v>28</v>
      </c>
      <c r="L20" s="29">
        <v>28</v>
      </c>
      <c r="M20" s="29">
        <v>28</v>
      </c>
    </row>
    <row r="21" spans="1:13" ht="30">
      <c r="A21" s="37" t="s">
        <v>101</v>
      </c>
      <c r="B21" s="59">
        <f t="shared" ref="B21" si="1">B20+10*LOG10(B18)</f>
        <v>23</v>
      </c>
      <c r="C21" s="59">
        <f t="shared" ref="C21:I21" si="2">C20+10*LOG10(C18)</f>
        <v>46.061799739838875</v>
      </c>
      <c r="D21" s="59">
        <f t="shared" si="2"/>
        <v>46.061799739838875</v>
      </c>
      <c r="E21" s="59">
        <f t="shared" si="2"/>
        <v>23</v>
      </c>
      <c r="F21" s="59">
        <f t="shared" si="2"/>
        <v>23</v>
      </c>
      <c r="G21" s="59">
        <f t="shared" si="2"/>
        <v>46.061799739838875</v>
      </c>
      <c r="H21" s="59">
        <f t="shared" si="2"/>
        <v>46.061799739838875</v>
      </c>
      <c r="I21" s="59">
        <f t="shared" si="2"/>
        <v>23</v>
      </c>
      <c r="J21" s="34">
        <f t="shared" ref="J21:M21" si="3">J20+10*LOG10(J18)</f>
        <v>46.061799739838875</v>
      </c>
      <c r="K21" s="34">
        <f t="shared" si="3"/>
        <v>46.061799739838875</v>
      </c>
      <c r="L21" s="34">
        <f t="shared" si="3"/>
        <v>46.061799739838875</v>
      </c>
      <c r="M21" s="34">
        <f t="shared" si="3"/>
        <v>46.061799739838875</v>
      </c>
    </row>
    <row r="22" spans="1:13" ht="15">
      <c r="A22" s="17" t="s">
        <v>12</v>
      </c>
      <c r="B22" s="57">
        <v>0</v>
      </c>
      <c r="C22" s="57">
        <v>8</v>
      </c>
      <c r="D22" s="57">
        <v>8</v>
      </c>
      <c r="E22" s="58">
        <v>0</v>
      </c>
      <c r="F22" s="57">
        <v>0</v>
      </c>
      <c r="G22" s="57">
        <v>8</v>
      </c>
      <c r="H22" s="57">
        <v>8</v>
      </c>
      <c r="I22" s="58">
        <v>0</v>
      </c>
      <c r="J22" s="29">
        <v>8</v>
      </c>
      <c r="K22" s="29">
        <v>8</v>
      </c>
      <c r="L22" s="29">
        <v>8</v>
      </c>
      <c r="M22" s="29">
        <v>8</v>
      </c>
    </row>
    <row r="23" spans="1:13" ht="45" customHeight="1">
      <c r="A23" s="38" t="s">
        <v>13</v>
      </c>
      <c r="B23" s="59">
        <f t="shared" ref="B23" si="4">IF(B18&gt;=2, 10*LOG10(B18/2), 0)</f>
        <v>0</v>
      </c>
      <c r="C23" s="59">
        <f t="shared" ref="C23:I23" si="5">IF(C18&gt;=2, 10*LOG10(C18/2), 0)</f>
        <v>15.051499783199061</v>
      </c>
      <c r="D23" s="59">
        <f t="shared" si="5"/>
        <v>15.051499783199061</v>
      </c>
      <c r="E23" s="59">
        <f t="shared" si="5"/>
        <v>0</v>
      </c>
      <c r="F23" s="59">
        <f t="shared" si="5"/>
        <v>0</v>
      </c>
      <c r="G23" s="59">
        <f t="shared" si="5"/>
        <v>15.051499783199061</v>
      </c>
      <c r="H23" s="59">
        <f t="shared" si="5"/>
        <v>15.051499783199061</v>
      </c>
      <c r="I23" s="59">
        <f t="shared" si="5"/>
        <v>0</v>
      </c>
      <c r="J23" s="34">
        <f t="shared" ref="J23:M23" si="6">IF(J18&gt;=2, 10*LOG10(J18/2), 0)</f>
        <v>15.051499783199061</v>
      </c>
      <c r="K23" s="34">
        <f t="shared" si="6"/>
        <v>15.051499783199061</v>
      </c>
      <c r="L23" s="34">
        <f t="shared" si="6"/>
        <v>15.051499783199061</v>
      </c>
      <c r="M23" s="34">
        <f t="shared" si="6"/>
        <v>15.051499783199061</v>
      </c>
    </row>
    <row r="24" spans="1:13" ht="15">
      <c r="A24" s="17" t="s">
        <v>14</v>
      </c>
      <c r="B24" s="58">
        <v>0</v>
      </c>
      <c r="C24" s="57">
        <v>0</v>
      </c>
      <c r="D24" s="57">
        <v>0</v>
      </c>
      <c r="E24" s="58">
        <v>0</v>
      </c>
      <c r="F24" s="58">
        <v>0</v>
      </c>
      <c r="G24" s="57">
        <v>0</v>
      </c>
      <c r="H24" s="57">
        <v>0</v>
      </c>
      <c r="I24" s="58">
        <v>0</v>
      </c>
      <c r="J24" s="29">
        <v>0</v>
      </c>
      <c r="K24" s="29">
        <v>0</v>
      </c>
      <c r="L24" s="29">
        <v>0</v>
      </c>
      <c r="M24" s="29">
        <v>0</v>
      </c>
    </row>
    <row r="25" spans="1:13" ht="15">
      <c r="A25" s="17" t="s">
        <v>15</v>
      </c>
      <c r="B25" s="58">
        <v>0</v>
      </c>
      <c r="C25" s="57">
        <v>0</v>
      </c>
      <c r="D25" s="57">
        <v>0</v>
      </c>
      <c r="E25" s="58">
        <v>0</v>
      </c>
      <c r="F25" s="58">
        <v>0</v>
      </c>
      <c r="G25" s="57">
        <v>0</v>
      </c>
      <c r="H25" s="57">
        <v>0</v>
      </c>
      <c r="I25" s="58">
        <v>0</v>
      </c>
      <c r="J25" s="29">
        <v>0</v>
      </c>
      <c r="K25" s="29">
        <v>0</v>
      </c>
      <c r="L25" s="29">
        <v>0</v>
      </c>
      <c r="M25" s="29">
        <v>0</v>
      </c>
    </row>
    <row r="26" spans="1:13" ht="30">
      <c r="A26" s="17" t="s">
        <v>16</v>
      </c>
      <c r="B26" s="58">
        <v>1</v>
      </c>
      <c r="C26" s="57">
        <v>3</v>
      </c>
      <c r="D26" s="57">
        <v>3</v>
      </c>
      <c r="E26" s="58">
        <v>1</v>
      </c>
      <c r="F26" s="58">
        <v>1</v>
      </c>
      <c r="G26" s="57">
        <v>3</v>
      </c>
      <c r="H26" s="57">
        <v>3</v>
      </c>
      <c r="I26" s="58">
        <v>1</v>
      </c>
      <c r="J26" s="29">
        <v>3</v>
      </c>
      <c r="K26" s="29">
        <v>3</v>
      </c>
      <c r="L26" s="29">
        <v>3</v>
      </c>
      <c r="M26" s="29">
        <v>3</v>
      </c>
    </row>
    <row r="27" spans="1:13" ht="15">
      <c r="A27" s="21" t="s">
        <v>17</v>
      </c>
      <c r="B27" s="60">
        <f t="shared" ref="B27" si="7">B21+B22+B23+B24-B26</f>
        <v>22</v>
      </c>
      <c r="C27" s="60">
        <f t="shared" ref="C27:I27" si="8">C21+C22+C23+C24-C26</f>
        <v>66.113299523037938</v>
      </c>
      <c r="D27" s="60">
        <f t="shared" si="8"/>
        <v>66.113299523037938</v>
      </c>
      <c r="E27" s="60">
        <f t="shared" si="8"/>
        <v>22</v>
      </c>
      <c r="F27" s="60">
        <f t="shared" si="8"/>
        <v>22</v>
      </c>
      <c r="G27" s="60">
        <f t="shared" si="8"/>
        <v>66.113299523037938</v>
      </c>
      <c r="H27" s="60">
        <f t="shared" si="8"/>
        <v>66.113299523037938</v>
      </c>
      <c r="I27" s="60">
        <f t="shared" si="8"/>
        <v>22</v>
      </c>
      <c r="J27" s="69">
        <f t="shared" ref="J27:M27" si="9">J21+J22+J23+J24-J26</f>
        <v>66.113299523037938</v>
      </c>
      <c r="K27" s="69">
        <f t="shared" si="9"/>
        <v>66.113299523037938</v>
      </c>
      <c r="L27" s="69">
        <f t="shared" si="9"/>
        <v>66.113299523037938</v>
      </c>
      <c r="M27" s="69">
        <f t="shared" si="9"/>
        <v>66.113299523037938</v>
      </c>
    </row>
    <row r="28" spans="1:13" ht="15">
      <c r="A28" s="21" t="s">
        <v>18</v>
      </c>
      <c r="B28" s="60">
        <f t="shared" ref="B28" si="10">B21+B22+B23-B25-B26</f>
        <v>22</v>
      </c>
      <c r="C28" s="60">
        <f t="shared" ref="C28:I28" si="11">C21+C22+C23-C25-C26</f>
        <v>66.113299523037938</v>
      </c>
      <c r="D28" s="60">
        <f t="shared" si="11"/>
        <v>66.113299523037938</v>
      </c>
      <c r="E28" s="60">
        <f t="shared" si="11"/>
        <v>22</v>
      </c>
      <c r="F28" s="60">
        <f t="shared" si="11"/>
        <v>22</v>
      </c>
      <c r="G28" s="60">
        <f t="shared" si="11"/>
        <v>66.113299523037938</v>
      </c>
      <c r="H28" s="60">
        <f t="shared" si="11"/>
        <v>66.113299523037938</v>
      </c>
      <c r="I28" s="60">
        <f t="shared" si="11"/>
        <v>22</v>
      </c>
      <c r="J28" s="69">
        <f t="shared" ref="J28:M28" si="12">J21+J22+J23-J25-J26</f>
        <v>66.113299523037938</v>
      </c>
      <c r="K28" s="69">
        <f t="shared" si="12"/>
        <v>66.113299523037938</v>
      </c>
      <c r="L28" s="69">
        <f t="shared" si="12"/>
        <v>66.113299523037938</v>
      </c>
      <c r="M28" s="69">
        <f t="shared" si="12"/>
        <v>66.113299523037938</v>
      </c>
    </row>
    <row r="29" spans="1:13">
      <c r="A29" s="16" t="s">
        <v>19</v>
      </c>
      <c r="B29" s="56"/>
      <c r="C29" s="56"/>
      <c r="D29" s="56"/>
      <c r="E29" s="56"/>
      <c r="F29" s="56"/>
      <c r="G29" s="56"/>
      <c r="H29" s="56"/>
      <c r="I29" s="56"/>
      <c r="J29" s="28"/>
      <c r="K29" s="28"/>
      <c r="L29" s="28"/>
      <c r="M29" s="28"/>
    </row>
    <row r="30" spans="1:13" ht="30">
      <c r="A30" s="17" t="s">
        <v>102</v>
      </c>
      <c r="B30" s="57">
        <v>64</v>
      </c>
      <c r="C30" s="57">
        <v>2</v>
      </c>
      <c r="D30" s="57">
        <v>2</v>
      </c>
      <c r="E30" s="58">
        <v>64</v>
      </c>
      <c r="F30" s="57">
        <v>64</v>
      </c>
      <c r="G30" s="57">
        <v>2</v>
      </c>
      <c r="H30" s="57">
        <v>2</v>
      </c>
      <c r="I30" s="58">
        <v>64</v>
      </c>
      <c r="J30" s="29">
        <v>2</v>
      </c>
      <c r="K30" s="29">
        <v>2</v>
      </c>
      <c r="L30" s="29">
        <v>2</v>
      </c>
      <c r="M30" s="29">
        <v>2</v>
      </c>
    </row>
    <row r="31" spans="1:13" ht="15">
      <c r="A31" s="17" t="s">
        <v>141</v>
      </c>
      <c r="B31" s="57">
        <v>2</v>
      </c>
      <c r="C31" s="57">
        <v>2</v>
      </c>
      <c r="D31" s="57">
        <v>2</v>
      </c>
      <c r="E31" s="58">
        <v>2</v>
      </c>
      <c r="F31" s="57">
        <v>2</v>
      </c>
      <c r="G31" s="57">
        <v>2</v>
      </c>
      <c r="H31" s="57">
        <v>2</v>
      </c>
      <c r="I31" s="58">
        <v>2</v>
      </c>
      <c r="J31" s="29">
        <v>2</v>
      </c>
      <c r="K31" s="29">
        <v>2</v>
      </c>
      <c r="L31" s="29">
        <v>2</v>
      </c>
      <c r="M31" s="29">
        <v>2</v>
      </c>
    </row>
    <row r="32" spans="1:13" ht="15">
      <c r="A32" s="17" t="s">
        <v>20</v>
      </c>
      <c r="B32" s="57">
        <v>8</v>
      </c>
      <c r="C32" s="57">
        <v>0</v>
      </c>
      <c r="D32" s="57">
        <v>0</v>
      </c>
      <c r="E32" s="58">
        <v>8</v>
      </c>
      <c r="F32" s="57">
        <v>8</v>
      </c>
      <c r="G32" s="57">
        <v>0</v>
      </c>
      <c r="H32" s="57">
        <v>0</v>
      </c>
      <c r="I32" s="58">
        <v>8</v>
      </c>
      <c r="J32" s="29">
        <v>0</v>
      </c>
      <c r="K32" s="29">
        <v>0</v>
      </c>
      <c r="L32" s="29">
        <v>0</v>
      </c>
      <c r="M32" s="29">
        <v>0</v>
      </c>
    </row>
    <row r="33" spans="1:13" ht="28.5">
      <c r="A33" s="22" t="s">
        <v>81</v>
      </c>
      <c r="B33" s="59">
        <f t="shared" ref="B33" si="13">IF(B30&gt;=2, 10*LOG10(B30/2), 0)</f>
        <v>15.051499783199061</v>
      </c>
      <c r="C33" s="59">
        <f t="shared" ref="C33:I33" si="14">IF(C30&gt;=2, 10*LOG10(C30/2), 0)</f>
        <v>0</v>
      </c>
      <c r="D33" s="59">
        <f t="shared" si="14"/>
        <v>0</v>
      </c>
      <c r="E33" s="59">
        <f t="shared" si="14"/>
        <v>15.051499783199061</v>
      </c>
      <c r="F33" s="59">
        <f t="shared" si="14"/>
        <v>15.051499783199061</v>
      </c>
      <c r="G33" s="59">
        <f t="shared" si="14"/>
        <v>0</v>
      </c>
      <c r="H33" s="59">
        <f t="shared" si="14"/>
        <v>0</v>
      </c>
      <c r="I33" s="59">
        <f t="shared" si="14"/>
        <v>15.051499783199061</v>
      </c>
      <c r="J33" s="34">
        <f t="shared" ref="J33:M33" si="15">IF(J30&gt;=2, 10*LOG10(J30/2), 0)</f>
        <v>0</v>
      </c>
      <c r="K33" s="34">
        <f t="shared" si="15"/>
        <v>0</v>
      </c>
      <c r="L33" s="34">
        <f t="shared" si="15"/>
        <v>0</v>
      </c>
      <c r="M33" s="34">
        <f t="shared" si="15"/>
        <v>0</v>
      </c>
    </row>
    <row r="34" spans="1:13" ht="30">
      <c r="A34" s="17" t="s">
        <v>21</v>
      </c>
      <c r="B34" s="58">
        <v>3</v>
      </c>
      <c r="C34" s="57">
        <v>1</v>
      </c>
      <c r="D34" s="57">
        <v>1</v>
      </c>
      <c r="E34" s="61">
        <v>3</v>
      </c>
      <c r="F34" s="58">
        <v>3</v>
      </c>
      <c r="G34" s="57">
        <v>1</v>
      </c>
      <c r="H34" s="57">
        <v>1</v>
      </c>
      <c r="I34" s="61">
        <v>3</v>
      </c>
      <c r="J34" s="29">
        <v>1</v>
      </c>
      <c r="K34" s="29">
        <v>1</v>
      </c>
      <c r="L34" s="29">
        <v>1</v>
      </c>
      <c r="M34" s="29">
        <v>1</v>
      </c>
    </row>
    <row r="35" spans="1:13" ht="15">
      <c r="A35" s="17" t="s">
        <v>22</v>
      </c>
      <c r="B35" s="58">
        <v>5</v>
      </c>
      <c r="C35" s="57">
        <v>7</v>
      </c>
      <c r="D35" s="57">
        <v>7</v>
      </c>
      <c r="E35" s="58">
        <v>5</v>
      </c>
      <c r="F35" s="58">
        <v>5</v>
      </c>
      <c r="G35" s="57">
        <v>7</v>
      </c>
      <c r="H35" s="57">
        <v>7</v>
      </c>
      <c r="I35" s="58">
        <v>5</v>
      </c>
      <c r="J35" s="29">
        <v>7</v>
      </c>
      <c r="K35" s="29">
        <v>7</v>
      </c>
      <c r="L35" s="29">
        <v>7</v>
      </c>
      <c r="M35" s="29">
        <v>7</v>
      </c>
    </row>
    <row r="36" spans="1:13" ht="15">
      <c r="A36" s="17" t="s">
        <v>23</v>
      </c>
      <c r="B36" s="29">
        <v>-174</v>
      </c>
      <c r="C36" s="29">
        <v>-174</v>
      </c>
      <c r="D36" s="29">
        <v>-174</v>
      </c>
      <c r="E36" s="30">
        <v>-174</v>
      </c>
      <c r="F36" s="29">
        <v>-174</v>
      </c>
      <c r="G36" s="29">
        <v>-174</v>
      </c>
      <c r="H36" s="29">
        <v>-174</v>
      </c>
      <c r="I36" s="30">
        <v>-174</v>
      </c>
      <c r="J36" s="29">
        <v>-174</v>
      </c>
      <c r="K36" s="29">
        <v>-174</v>
      </c>
      <c r="L36" s="29">
        <v>-174</v>
      </c>
      <c r="M36" s="29">
        <v>-174</v>
      </c>
    </row>
    <row r="37" spans="1:13" ht="15">
      <c r="A37" s="17" t="s">
        <v>192</v>
      </c>
      <c r="B37" s="30" t="s">
        <v>50</v>
      </c>
      <c r="C37" s="29">
        <v>-169.3</v>
      </c>
      <c r="D37" s="29" t="s">
        <v>108</v>
      </c>
      <c r="E37" s="30">
        <v>-161.69999999999999</v>
      </c>
      <c r="F37" s="30" t="s">
        <v>169</v>
      </c>
      <c r="G37" s="29">
        <v>-169.3</v>
      </c>
      <c r="H37" s="29" t="s">
        <v>108</v>
      </c>
      <c r="I37" s="30">
        <v>-161.69999999999999</v>
      </c>
      <c r="J37" s="29">
        <v>-169.3</v>
      </c>
      <c r="K37" s="29" t="s">
        <v>157</v>
      </c>
      <c r="L37" s="29">
        <v>-169.3</v>
      </c>
      <c r="M37" s="29" t="s">
        <v>156</v>
      </c>
    </row>
    <row r="38" spans="1:13" ht="15">
      <c r="A38" s="17" t="s">
        <v>24</v>
      </c>
      <c r="B38" s="30">
        <v>-165.7</v>
      </c>
      <c r="C38" s="29" t="s">
        <v>108</v>
      </c>
      <c r="D38" s="29">
        <v>-169.3</v>
      </c>
      <c r="E38" s="30" t="s">
        <v>169</v>
      </c>
      <c r="F38" s="30">
        <v>-165.7</v>
      </c>
      <c r="G38" s="29" t="s">
        <v>108</v>
      </c>
      <c r="H38" s="29">
        <v>-169.3</v>
      </c>
      <c r="I38" s="30" t="s">
        <v>169</v>
      </c>
      <c r="J38" s="29" t="s">
        <v>161</v>
      </c>
      <c r="K38" s="29">
        <v>-169.3</v>
      </c>
      <c r="L38" s="29" t="s">
        <v>156</v>
      </c>
      <c r="M38" s="29">
        <v>-169.3</v>
      </c>
    </row>
    <row r="39" spans="1:13" ht="30">
      <c r="A39" s="21" t="s">
        <v>193</v>
      </c>
      <c r="B39" s="69" t="s">
        <v>50</v>
      </c>
      <c r="C39" s="69">
        <f t="shared" ref="C39:G39" si="16">10*LOG10(10^((C35+C36)/10)+10^(C37/10))</f>
        <v>-164.98918835931039</v>
      </c>
      <c r="D39" s="69" t="s">
        <v>143</v>
      </c>
      <c r="E39" s="69">
        <f t="shared" ref="E39" si="17">10*LOG10(10^((E35+E36)/10)+10^(E37/10))</f>
        <v>-160.9583889004532</v>
      </c>
      <c r="F39" s="69" t="s">
        <v>169</v>
      </c>
      <c r="G39" s="69">
        <f t="shared" si="16"/>
        <v>-164.98918835931039</v>
      </c>
      <c r="H39" s="69" t="s">
        <v>143</v>
      </c>
      <c r="I39" s="69">
        <f t="shared" ref="I39" si="18">10*LOG10(10^((I35+I36)/10)+10^(I37/10))</f>
        <v>-160.9583889004532</v>
      </c>
      <c r="J39" s="69">
        <f t="shared" ref="J39" si="19">10*LOG10(10^((J35+J36)/10)+10^(J37/10))</f>
        <v>-164.98918835931039</v>
      </c>
      <c r="K39" s="69" t="s">
        <v>156</v>
      </c>
      <c r="L39" s="69">
        <f t="shared" ref="L39" si="20">10*LOG10(10^((L35+L36)/10)+10^(L37/10))</f>
        <v>-164.98918835931039</v>
      </c>
      <c r="M39" s="69" t="s">
        <v>155</v>
      </c>
    </row>
    <row r="40" spans="1:13" ht="30">
      <c r="A40" s="21" t="s">
        <v>194</v>
      </c>
      <c r="B40" s="69">
        <f t="shared" ref="B40" si="21">10*LOG10(10^((B35+B36)/10)+10^(B38/10))</f>
        <v>-164.03352307536667</v>
      </c>
      <c r="C40" s="69" t="s">
        <v>143</v>
      </c>
      <c r="D40" s="69">
        <f t="shared" ref="D40:H40" si="22">10*LOG10(10^((D35+D36)/10)+10^(D38/10))</f>
        <v>-164.98918835931039</v>
      </c>
      <c r="E40" s="69" t="s">
        <v>169</v>
      </c>
      <c r="F40" s="69">
        <f t="shared" ref="F40" si="23">10*LOG10(10^((F35+F36)/10)+10^(F38/10))</f>
        <v>-164.03352307536667</v>
      </c>
      <c r="G40" s="69" t="s">
        <v>143</v>
      </c>
      <c r="H40" s="69">
        <f t="shared" si="22"/>
        <v>-164.98918835931039</v>
      </c>
      <c r="I40" s="69" t="s">
        <v>169</v>
      </c>
      <c r="J40" s="69" t="s">
        <v>156</v>
      </c>
      <c r="K40" s="69">
        <f t="shared" ref="K40" si="24">10*LOG10(10^((K35+K36)/10)+10^(K38/10))</f>
        <v>-164.98918835931039</v>
      </c>
      <c r="L40" s="69" t="s">
        <v>157</v>
      </c>
      <c r="M40" s="69">
        <f t="shared" ref="M40" si="25">10*LOG10(10^((M35+M36)/10)+10^(M38/10))</f>
        <v>-164.98918835931039</v>
      </c>
    </row>
    <row r="41" spans="1:13" ht="30">
      <c r="A41" s="17" t="s">
        <v>25</v>
      </c>
      <c r="B41" s="29" t="s">
        <v>50</v>
      </c>
      <c r="C41" s="29">
        <f>MaxN_RB!$F$7*12*30*1000</f>
        <v>18360000</v>
      </c>
      <c r="D41" s="29" t="s">
        <v>108</v>
      </c>
      <c r="E41" s="29">
        <f>1*12*30*1000</f>
        <v>360000</v>
      </c>
      <c r="F41" s="29" t="s">
        <v>167</v>
      </c>
      <c r="G41" s="29">
        <f>MaxN_RB!$F$7*12*30*1000</f>
        <v>18360000</v>
      </c>
      <c r="H41" s="29" t="s">
        <v>108</v>
      </c>
      <c r="I41" s="29">
        <f>1*12*30*1000</f>
        <v>360000</v>
      </c>
      <c r="J41" s="29">
        <f>MaxN_RB!$F$7*12*30*1000</f>
        <v>18360000</v>
      </c>
      <c r="K41" s="29" t="s">
        <v>156</v>
      </c>
      <c r="L41" s="29">
        <f>MaxN_RB!$F$7*12*30*1000</f>
        <v>18360000</v>
      </c>
      <c r="M41" s="29" t="s">
        <v>155</v>
      </c>
    </row>
    <row r="42" spans="1:13" ht="30">
      <c r="A42" s="17" t="s">
        <v>26</v>
      </c>
      <c r="B42" s="29">
        <f>16*12*30*1000</f>
        <v>5760000</v>
      </c>
      <c r="C42" s="29" t="s">
        <v>108</v>
      </c>
      <c r="D42" s="29">
        <f>MaxN_RB!$F$7*12*30*1000</f>
        <v>18360000</v>
      </c>
      <c r="E42" s="29" t="s">
        <v>167</v>
      </c>
      <c r="F42" s="29">
        <f>16*12*30*1000</f>
        <v>5760000</v>
      </c>
      <c r="G42" s="29" t="s">
        <v>108</v>
      </c>
      <c r="H42" s="29">
        <f>MaxN_RB!$F$7*12*30*1000</f>
        <v>18360000</v>
      </c>
      <c r="I42" s="29" t="s">
        <v>173</v>
      </c>
      <c r="J42" s="29" t="s">
        <v>156</v>
      </c>
      <c r="K42" s="29">
        <f>MaxN_RB!$F$7*12*30*1000</f>
        <v>18360000</v>
      </c>
      <c r="L42" s="29" t="s">
        <v>155</v>
      </c>
      <c r="M42" s="29">
        <f>MaxN_RB!$F$7*12*30*1000</f>
        <v>18360000</v>
      </c>
    </row>
    <row r="43" spans="1:13" ht="15">
      <c r="A43" s="21" t="s">
        <v>27</v>
      </c>
      <c r="B43" s="69" t="s">
        <v>165</v>
      </c>
      <c r="C43" s="69">
        <f t="shared" ref="C43" si="26">C39+10*LOG10(C41)</f>
        <v>-92.350461590658156</v>
      </c>
      <c r="D43" s="69" t="s">
        <v>143</v>
      </c>
      <c r="E43" s="69">
        <f t="shared" ref="E43:F44" si="27">E39+10*LOG10(E41)</f>
        <v>-105.39536389278032</v>
      </c>
      <c r="F43" s="69" t="s">
        <v>167</v>
      </c>
      <c r="G43" s="69">
        <f t="shared" ref="G43:H44" si="28">G39+10*LOG10(G41)</f>
        <v>-92.350461590658156</v>
      </c>
      <c r="H43" s="69" t="s">
        <v>143</v>
      </c>
      <c r="I43" s="69">
        <f t="shared" ref="I43" si="29">I39+10*LOG10(I41)</f>
        <v>-105.39536389278032</v>
      </c>
      <c r="J43" s="69">
        <f t="shared" ref="J43" si="30">J39+10*LOG10(J41)</f>
        <v>-92.350461590658156</v>
      </c>
      <c r="K43" s="69" t="s">
        <v>156</v>
      </c>
      <c r="L43" s="69">
        <f t="shared" ref="L43" si="31">L39+10*LOG10(L41)</f>
        <v>-92.350461590658156</v>
      </c>
      <c r="M43" s="69" t="s">
        <v>156</v>
      </c>
    </row>
    <row r="44" spans="1:13" ht="15">
      <c r="A44" s="21" t="s">
        <v>28</v>
      </c>
      <c r="B44" s="69">
        <f t="shared" ref="B44" si="32">B40+10*LOG10(B42)</f>
        <v>-96.42929824113456</v>
      </c>
      <c r="C44" s="69" t="s">
        <v>143</v>
      </c>
      <c r="D44" s="69">
        <f>D40+10*LOG10(D42)</f>
        <v>-92.350461590658156</v>
      </c>
      <c r="E44" s="69" t="s">
        <v>167</v>
      </c>
      <c r="F44" s="69">
        <f t="shared" si="27"/>
        <v>-96.42929824113456</v>
      </c>
      <c r="G44" s="69" t="s">
        <v>143</v>
      </c>
      <c r="H44" s="69">
        <f t="shared" si="28"/>
        <v>-92.350461590658156</v>
      </c>
      <c r="I44" s="69" t="s">
        <v>173</v>
      </c>
      <c r="J44" s="69" t="s">
        <v>50</v>
      </c>
      <c r="K44" s="69">
        <f>K40+10*LOG10(K42)</f>
        <v>-92.350461590658156</v>
      </c>
      <c r="L44" s="69" t="s">
        <v>156</v>
      </c>
      <c r="M44" s="69">
        <f t="shared" ref="M44" si="33">M40+10*LOG10(M42)</f>
        <v>-92.350461590658156</v>
      </c>
    </row>
    <row r="45" spans="1:13" ht="15">
      <c r="A45" s="17" t="s">
        <v>29</v>
      </c>
      <c r="B45" s="51" t="s">
        <v>165</v>
      </c>
      <c r="C45" s="82">
        <f>(-2.7-3.7)/2</f>
        <v>-3.2</v>
      </c>
      <c r="D45" s="83" t="s">
        <v>108</v>
      </c>
      <c r="E45" s="51">
        <v>4.2</v>
      </c>
      <c r="F45" s="52" t="s">
        <v>167</v>
      </c>
      <c r="G45" s="84">
        <f>(-2.7-3.8)/2</f>
        <v>-3.25</v>
      </c>
      <c r="H45" s="83" t="s">
        <v>108</v>
      </c>
      <c r="I45" s="52">
        <v>4.2</v>
      </c>
      <c r="J45" s="51">
        <v>-8.8000000000000007</v>
      </c>
      <c r="K45" s="53" t="s">
        <v>156</v>
      </c>
      <c r="L45" s="51">
        <v>-9</v>
      </c>
      <c r="M45" s="53" t="s">
        <v>156</v>
      </c>
    </row>
    <row r="46" spans="1:13" ht="15">
      <c r="A46" s="17" t="s">
        <v>30</v>
      </c>
      <c r="B46" s="51">
        <v>-2</v>
      </c>
      <c r="C46" s="83" t="s">
        <v>108</v>
      </c>
      <c r="D46" s="82">
        <f>(-2.5-2.7)/2</f>
        <v>-2.6</v>
      </c>
      <c r="E46" s="53" t="s">
        <v>167</v>
      </c>
      <c r="F46" s="52">
        <v>-1.9</v>
      </c>
      <c r="G46" s="83" t="s">
        <v>108</v>
      </c>
      <c r="H46" s="84">
        <f>(-2.4-2.7)/2</f>
        <v>-2.5499999999999998</v>
      </c>
      <c r="I46" s="53" t="s">
        <v>173</v>
      </c>
      <c r="J46" s="53" t="s">
        <v>156</v>
      </c>
      <c r="K46" s="51">
        <v>-6.5</v>
      </c>
      <c r="L46" s="53" t="s">
        <v>156</v>
      </c>
      <c r="M46" s="51">
        <v>-6.7</v>
      </c>
    </row>
    <row r="47" spans="1:13" ht="15">
      <c r="A47" s="17" t="s">
        <v>31</v>
      </c>
      <c r="B47" s="46">
        <v>2</v>
      </c>
      <c r="C47" s="29">
        <v>2</v>
      </c>
      <c r="D47" s="29">
        <v>2</v>
      </c>
      <c r="E47" s="29">
        <v>2</v>
      </c>
      <c r="F47" s="46">
        <v>2</v>
      </c>
      <c r="G47" s="29">
        <v>2</v>
      </c>
      <c r="H47" s="29">
        <v>2</v>
      </c>
      <c r="I47" s="29">
        <v>2</v>
      </c>
      <c r="J47" s="29">
        <v>2</v>
      </c>
      <c r="K47" s="29">
        <v>2</v>
      </c>
      <c r="L47" s="29">
        <v>2</v>
      </c>
      <c r="M47" s="29">
        <v>2</v>
      </c>
    </row>
    <row r="48" spans="1:13" ht="15">
      <c r="A48" s="17" t="s">
        <v>32</v>
      </c>
      <c r="B48" s="46" t="s">
        <v>165</v>
      </c>
      <c r="C48" s="29">
        <v>0</v>
      </c>
      <c r="D48" s="29" t="s">
        <v>108</v>
      </c>
      <c r="E48" s="29">
        <v>0</v>
      </c>
      <c r="F48" s="46" t="s">
        <v>167</v>
      </c>
      <c r="G48" s="29">
        <v>0</v>
      </c>
      <c r="H48" s="29" t="s">
        <v>108</v>
      </c>
      <c r="I48" s="29">
        <v>0</v>
      </c>
      <c r="J48" s="29">
        <v>0</v>
      </c>
      <c r="K48" s="29" t="s">
        <v>156</v>
      </c>
      <c r="L48" s="29">
        <v>0</v>
      </c>
      <c r="M48" s="29" t="s">
        <v>156</v>
      </c>
    </row>
    <row r="49" spans="1:13" ht="15">
      <c r="A49" s="17" t="s">
        <v>33</v>
      </c>
      <c r="B49" s="46">
        <v>0.5</v>
      </c>
      <c r="C49" s="29" t="s">
        <v>108</v>
      </c>
      <c r="D49" s="29">
        <v>0.5</v>
      </c>
      <c r="E49" s="29" t="s">
        <v>167</v>
      </c>
      <c r="F49" s="46">
        <v>0.5</v>
      </c>
      <c r="G49" s="29" t="s">
        <v>108</v>
      </c>
      <c r="H49" s="29">
        <v>0.5</v>
      </c>
      <c r="I49" s="29" t="s">
        <v>173</v>
      </c>
      <c r="J49" s="29" t="s">
        <v>156</v>
      </c>
      <c r="K49" s="29">
        <v>0.5</v>
      </c>
      <c r="L49" s="29" t="s">
        <v>156</v>
      </c>
      <c r="M49" s="29">
        <v>0.5</v>
      </c>
    </row>
    <row r="50" spans="1:13" ht="30">
      <c r="A50" s="21" t="s">
        <v>44</v>
      </c>
      <c r="B50" s="69" t="s">
        <v>165</v>
      </c>
      <c r="C50" s="69">
        <f t="shared" ref="C50:G50" si="34">C43+C45+C47-C48</f>
        <v>-93.550461590658159</v>
      </c>
      <c r="D50" s="69" t="s">
        <v>143</v>
      </c>
      <c r="E50" s="69">
        <f t="shared" ref="E50" si="35">E43+E45+E47-E48</f>
        <v>-99.195363892780321</v>
      </c>
      <c r="F50" s="69" t="s">
        <v>167</v>
      </c>
      <c r="G50" s="69">
        <f t="shared" si="34"/>
        <v>-93.600461590658156</v>
      </c>
      <c r="H50" s="69" t="s">
        <v>143</v>
      </c>
      <c r="I50" s="69">
        <f t="shared" ref="I50" si="36">I43+I45+I47-I48</f>
        <v>-99.195363892780321</v>
      </c>
      <c r="J50" s="69">
        <f t="shared" ref="J50" si="37">J43+J45+J47-J48</f>
        <v>-99.150461590658153</v>
      </c>
      <c r="K50" s="69" t="s">
        <v>156</v>
      </c>
      <c r="L50" s="69">
        <f t="shared" ref="L50" si="38">L43+L45+L47-L48</f>
        <v>-99.350461590658156</v>
      </c>
      <c r="M50" s="69" t="s">
        <v>155</v>
      </c>
    </row>
    <row r="51" spans="1:13" ht="15">
      <c r="A51" s="21" t="s">
        <v>45</v>
      </c>
      <c r="B51" s="69">
        <f t="shared" ref="B51" si="39">B44+B46+B47-B49</f>
        <v>-96.92929824113456</v>
      </c>
      <c r="C51" s="69" t="s">
        <v>143</v>
      </c>
      <c r="D51" s="69">
        <f t="shared" ref="D51:H51" si="40">D44+D46+D47-D49</f>
        <v>-93.450461590658151</v>
      </c>
      <c r="E51" s="69" t="s">
        <v>167</v>
      </c>
      <c r="F51" s="69">
        <f t="shared" ref="F51" si="41">F44+F46+F47-F49</f>
        <v>-96.829298241134566</v>
      </c>
      <c r="G51" s="69" t="s">
        <v>143</v>
      </c>
      <c r="H51" s="69">
        <f t="shared" si="40"/>
        <v>-93.400461590658153</v>
      </c>
      <c r="I51" s="69" t="s">
        <v>173</v>
      </c>
      <c r="J51" s="69" t="s">
        <v>156</v>
      </c>
      <c r="K51" s="69">
        <f t="shared" ref="K51" si="42">K44+K46+K47-K49</f>
        <v>-97.350461590658156</v>
      </c>
      <c r="L51" s="69" t="s">
        <v>162</v>
      </c>
      <c r="M51" s="69">
        <f t="shared" ref="M51" si="43">M44+M46+M47-M49</f>
        <v>-97.550461590658159</v>
      </c>
    </row>
    <row r="52" spans="1:13" ht="30">
      <c r="A52" s="23" t="s">
        <v>87</v>
      </c>
      <c r="B52" s="69" t="s">
        <v>165</v>
      </c>
      <c r="C52" s="69">
        <f t="shared" ref="C52:G52" si="44">C27+C32+C33-C50</f>
        <v>159.6637611136961</v>
      </c>
      <c r="D52" s="69" t="s">
        <v>143</v>
      </c>
      <c r="E52" s="69">
        <f t="shared" ref="E52" si="45">E27+E32+E33-E50</f>
        <v>144.2468636759794</v>
      </c>
      <c r="F52" s="69" t="s">
        <v>167</v>
      </c>
      <c r="G52" s="69">
        <f t="shared" si="44"/>
        <v>159.71376111369608</v>
      </c>
      <c r="H52" s="69" t="s">
        <v>143</v>
      </c>
      <c r="I52" s="69">
        <f t="shared" ref="I52" si="46">I27+I32+I33-I50</f>
        <v>144.2468636759794</v>
      </c>
      <c r="J52" s="69">
        <f t="shared" ref="J52" si="47">J27+J32+J33-J50</f>
        <v>165.26376111369609</v>
      </c>
      <c r="K52" s="69" t="s">
        <v>156</v>
      </c>
      <c r="L52" s="69">
        <f t="shared" ref="L52" si="48">L27+L32+L33-L50</f>
        <v>165.46376111369608</v>
      </c>
      <c r="M52" s="69" t="s">
        <v>161</v>
      </c>
    </row>
    <row r="53" spans="1:13" ht="15">
      <c r="A53" s="23" t="s">
        <v>88</v>
      </c>
      <c r="B53" s="69">
        <f t="shared" ref="B53" si="49">B28+B32+B33-B51</f>
        <v>141.98079802433364</v>
      </c>
      <c r="C53" s="69" t="s">
        <v>143</v>
      </c>
      <c r="D53" s="69">
        <f t="shared" ref="D53:H53" si="50">D28+D32+D33-D51</f>
        <v>159.5637611136961</v>
      </c>
      <c r="E53" s="69" t="s">
        <v>167</v>
      </c>
      <c r="F53" s="69">
        <f t="shared" ref="F53" si="51">F28+F32+F33-F51</f>
        <v>141.88079802433361</v>
      </c>
      <c r="G53" s="69" t="s">
        <v>143</v>
      </c>
      <c r="H53" s="69">
        <f t="shared" si="50"/>
        <v>159.51376111369609</v>
      </c>
      <c r="I53" s="69" t="s">
        <v>173</v>
      </c>
      <c r="J53" s="69" t="s">
        <v>156</v>
      </c>
      <c r="K53" s="69">
        <f t="shared" ref="K53" si="52">K28+K32+K33-K51</f>
        <v>163.46376111369608</v>
      </c>
      <c r="L53" s="69" t="s">
        <v>156</v>
      </c>
      <c r="M53" s="69">
        <f t="shared" ref="M53" si="53">M28+M32+M33-M51</f>
        <v>163.6637611136961</v>
      </c>
    </row>
    <row r="54" spans="1:13">
      <c r="A54" s="16" t="s">
        <v>34</v>
      </c>
      <c r="B54" s="28"/>
      <c r="C54" s="28"/>
      <c r="D54" s="28"/>
      <c r="E54" s="28"/>
      <c r="F54" s="28"/>
      <c r="G54" s="28"/>
      <c r="H54" s="28"/>
      <c r="I54" s="28"/>
      <c r="J54" s="28"/>
      <c r="K54" s="28"/>
      <c r="L54" s="28"/>
      <c r="M54" s="28"/>
    </row>
    <row r="55" spans="1:13" ht="15">
      <c r="A55" s="17" t="s">
        <v>35</v>
      </c>
      <c r="B55" s="30">
        <v>6</v>
      </c>
      <c r="C55" s="54">
        <v>6</v>
      </c>
      <c r="D55" s="53">
        <v>6</v>
      </c>
      <c r="E55" s="30">
        <v>6</v>
      </c>
      <c r="F55" s="83">
        <v>7</v>
      </c>
      <c r="G55" s="83">
        <v>7</v>
      </c>
      <c r="H55" s="83">
        <v>7</v>
      </c>
      <c r="I55" s="83">
        <v>7</v>
      </c>
      <c r="J55" s="53">
        <v>4</v>
      </c>
      <c r="K55" s="53">
        <v>4</v>
      </c>
      <c r="L55" s="53">
        <v>7</v>
      </c>
      <c r="M55" s="53">
        <v>7</v>
      </c>
    </row>
    <row r="56" spans="1:13" ht="30">
      <c r="A56" s="17" t="s">
        <v>36</v>
      </c>
      <c r="B56" s="29" t="s">
        <v>165</v>
      </c>
      <c r="C56" s="83">
        <f>(5.54+5.6)/2</f>
        <v>5.57</v>
      </c>
      <c r="D56" s="83" t="s">
        <v>163</v>
      </c>
      <c r="E56" s="83">
        <f>(5.54+5.6)/2</f>
        <v>5.57</v>
      </c>
      <c r="F56" s="29" t="s">
        <v>167</v>
      </c>
      <c r="G56" s="83">
        <f>(9.4+8.71)/2</f>
        <v>9.0549999999999997</v>
      </c>
      <c r="H56" s="83" t="s">
        <v>163</v>
      </c>
      <c r="I56" s="83">
        <f>(9.4+8.71)/2</f>
        <v>9.0549999999999997</v>
      </c>
      <c r="J56" s="53">
        <v>2.96</v>
      </c>
      <c r="K56" s="53" t="s">
        <v>156</v>
      </c>
      <c r="L56" s="53">
        <v>8.7100000000000009</v>
      </c>
      <c r="M56" s="53" t="s">
        <v>163</v>
      </c>
    </row>
    <row r="57" spans="1:13" ht="30">
      <c r="A57" s="17" t="s">
        <v>37</v>
      </c>
      <c r="B57" s="83">
        <f>(2.98+3.03)/2</f>
        <v>3.0049999999999999</v>
      </c>
      <c r="C57" s="83" t="s">
        <v>163</v>
      </c>
      <c r="D57" s="83">
        <f>(2.98+3.03)/2</f>
        <v>3.0049999999999999</v>
      </c>
      <c r="E57" s="30" t="s">
        <v>167</v>
      </c>
      <c r="F57" s="83">
        <f>(5.89+5.29)/2</f>
        <v>5.59</v>
      </c>
      <c r="G57" s="83" t="s">
        <v>163</v>
      </c>
      <c r="H57" s="83">
        <f>(5.89+5.29)/2</f>
        <v>5.59</v>
      </c>
      <c r="I57" s="30" t="s">
        <v>173</v>
      </c>
      <c r="J57" s="53" t="s">
        <v>156</v>
      </c>
      <c r="K57" s="53">
        <v>1.1200000000000001</v>
      </c>
      <c r="L57" s="53" t="s">
        <v>163</v>
      </c>
      <c r="M57" s="53">
        <v>5.29</v>
      </c>
    </row>
    <row r="58" spans="1:13" ht="15">
      <c r="A58" s="17" t="s">
        <v>38</v>
      </c>
      <c r="B58" s="30">
        <v>0</v>
      </c>
      <c r="C58" s="54">
        <v>0</v>
      </c>
      <c r="D58" s="53">
        <v>0</v>
      </c>
      <c r="E58" s="30">
        <v>0</v>
      </c>
      <c r="F58" s="30">
        <v>0</v>
      </c>
      <c r="G58" s="54">
        <v>0</v>
      </c>
      <c r="H58" s="54">
        <v>0</v>
      </c>
      <c r="I58" s="30">
        <v>0</v>
      </c>
      <c r="J58" s="54">
        <v>0</v>
      </c>
      <c r="K58" s="53">
        <v>0</v>
      </c>
      <c r="L58" s="54">
        <v>0</v>
      </c>
      <c r="M58" s="54">
        <v>0</v>
      </c>
    </row>
    <row r="59" spans="1:13" ht="15">
      <c r="A59" s="17" t="s">
        <v>164</v>
      </c>
      <c r="B59" s="87">
        <v>0</v>
      </c>
      <c r="C59" s="53">
        <v>0</v>
      </c>
      <c r="D59" s="53">
        <v>0</v>
      </c>
      <c r="E59" s="87">
        <v>0</v>
      </c>
      <c r="F59" s="29">
        <f>10.24+0.5*25/3</f>
        <v>14.406666666666666</v>
      </c>
      <c r="G59" s="53">
        <v>14.4</v>
      </c>
      <c r="H59" s="53">
        <v>14.4</v>
      </c>
      <c r="I59" s="29">
        <f>10.24+0.5*25/3</f>
        <v>14.406666666666666</v>
      </c>
      <c r="J59" s="53">
        <v>0</v>
      </c>
      <c r="K59" s="53">
        <v>0</v>
      </c>
      <c r="L59" s="53">
        <v>14.4</v>
      </c>
      <c r="M59" s="53">
        <v>14.4</v>
      </c>
    </row>
    <row r="60" spans="1:13" ht="15">
      <c r="A60" s="17" t="s">
        <v>40</v>
      </c>
      <c r="B60" s="30">
        <v>0</v>
      </c>
      <c r="C60" s="54">
        <v>0</v>
      </c>
      <c r="D60" s="53">
        <v>0</v>
      </c>
      <c r="E60" s="30">
        <v>0</v>
      </c>
      <c r="F60" s="30">
        <v>0</v>
      </c>
      <c r="G60" s="54">
        <v>0</v>
      </c>
      <c r="H60" s="54">
        <v>0</v>
      </c>
      <c r="I60" s="30">
        <v>0</v>
      </c>
      <c r="J60" s="54">
        <v>0</v>
      </c>
      <c r="K60" s="53">
        <v>0</v>
      </c>
      <c r="L60" s="54">
        <v>0</v>
      </c>
      <c r="M60" s="54">
        <v>0</v>
      </c>
    </row>
    <row r="61" spans="1:13" ht="30">
      <c r="A61" s="21" t="s">
        <v>49</v>
      </c>
      <c r="B61" s="69" t="s">
        <v>165</v>
      </c>
      <c r="C61" s="69">
        <f t="shared" ref="C61:G61" si="54">C52-C56+C58-C59+C60-C34</f>
        <v>153.0937611136961</v>
      </c>
      <c r="D61" s="69" t="s">
        <v>143</v>
      </c>
      <c r="E61" s="69">
        <f t="shared" ref="E61" si="55">E52-E56+E58-E59+E60-E34</f>
        <v>135.6768636759794</v>
      </c>
      <c r="F61" s="69" t="s">
        <v>167</v>
      </c>
      <c r="G61" s="69">
        <f t="shared" si="54"/>
        <v>135.25876111369607</v>
      </c>
      <c r="H61" s="69" t="s">
        <v>143</v>
      </c>
      <c r="I61" s="69">
        <f t="shared" ref="I61" si="56">I52-I56+I58-I59+I60-I34</f>
        <v>117.78519700931272</v>
      </c>
      <c r="J61" s="69">
        <f>J52-J56+J58-J59+J60-J34</f>
        <v>161.30376111369608</v>
      </c>
      <c r="K61" s="69" t="s">
        <v>156</v>
      </c>
      <c r="L61" s="69">
        <f>L52-L56+L58-L59+L60-L34</f>
        <v>141.35376111369607</v>
      </c>
      <c r="M61" s="69" t="s">
        <v>156</v>
      </c>
    </row>
    <row r="62" spans="1:13" ht="30">
      <c r="A62" s="21" t="s">
        <v>46</v>
      </c>
      <c r="B62" s="69">
        <f t="shared" ref="B62" si="57">B53-B57+B58-B59+B60-B34</f>
        <v>135.97579802433364</v>
      </c>
      <c r="C62" s="69" t="s">
        <v>143</v>
      </c>
      <c r="D62" s="69">
        <f t="shared" ref="D62:H62" si="58">D53-D57+D58-D59+D60-D34</f>
        <v>155.55876111369611</v>
      </c>
      <c r="E62" s="69" t="s">
        <v>167</v>
      </c>
      <c r="F62" s="69">
        <f t="shared" ref="F62" si="59">F53-F57+F58-F59+F60-F34</f>
        <v>118.88413135766694</v>
      </c>
      <c r="G62" s="69" t="s">
        <v>143</v>
      </c>
      <c r="H62" s="69">
        <f t="shared" si="58"/>
        <v>138.52376111369608</v>
      </c>
      <c r="I62" s="69" t="s">
        <v>173</v>
      </c>
      <c r="J62" s="69" t="s">
        <v>156</v>
      </c>
      <c r="K62" s="69">
        <f>K53-K57+K58-K59+K60-K34</f>
        <v>161.34376111369608</v>
      </c>
      <c r="L62" s="69" t="s">
        <v>156</v>
      </c>
      <c r="M62" s="69">
        <f>M53-M57+M58-M59+M60-M34</f>
        <v>142.9737611136961</v>
      </c>
    </row>
    <row r="63" spans="1:13">
      <c r="A63" s="16" t="s">
        <v>41</v>
      </c>
      <c r="B63" s="28"/>
      <c r="C63" s="28"/>
      <c r="D63" s="28"/>
      <c r="E63" s="28"/>
      <c r="F63" s="28"/>
      <c r="G63" s="28"/>
      <c r="H63" s="28"/>
      <c r="I63" s="28"/>
      <c r="J63" s="28"/>
      <c r="K63" s="28"/>
      <c r="L63" s="28"/>
      <c r="M63" s="28"/>
    </row>
    <row r="64" spans="1:13" ht="30">
      <c r="A64" s="25" t="s">
        <v>42</v>
      </c>
      <c r="B64" s="30"/>
      <c r="C64" s="30">
        <f>10^((C61-13.54-20*LOG10(C$4)+0.6*(C$6-1.5))/39.08)</f>
        <v>4469.4159618238</v>
      </c>
      <c r="D64" s="30"/>
      <c r="E64" s="30">
        <f>10^((E61-13.54-20*LOG10(E$4)+0.6*(E$6-1.5))/39.08)</f>
        <v>1601.6877821167441</v>
      </c>
      <c r="F64" s="30"/>
      <c r="G64" s="30">
        <f>10^((G61-13.54-20*LOG10(G$4)+0.6*(G$6-1.5))/39.08)</f>
        <v>1562.7130184348814</v>
      </c>
      <c r="H64" s="30"/>
      <c r="I64" s="30">
        <f>10^((I61-13.54-20*LOG10(I$4)+0.6*(I$6-1.5))/39.08)</f>
        <v>558.15690285283517</v>
      </c>
      <c r="J64" s="30">
        <f>10^((J61-161.04+7.1*LOG10(20)-7.5*LOG10(20)+(24.37-3.7*(20/J5)^2)*LOG10(J5)-20*LOG10(J4)+(3.2*(LOG10(17.625))^2-4.97)+0.6*(J6-1.5))/(43.42-3.1*LOG10(J5))+3)</f>
        <v>7237.3867806566959</v>
      </c>
      <c r="K64" s="30" t="s">
        <v>156</v>
      </c>
      <c r="L64" s="30">
        <f>10^((L61-161.04+7.1*LOG10(20)-7.5*LOG10(20)+(24.37-3.7*(20/L5)^2)*LOG10(L5)-20*LOG10(L4)+(3.2*(LOG10(17.625))^2-4.97)+0.6*(L6-1.5))/(43.42-3.1*LOG10(L5))+3)</f>
        <v>2234.4667036384621</v>
      </c>
      <c r="M64" s="30" t="s">
        <v>156</v>
      </c>
    </row>
    <row r="65" spans="1:13" ht="30">
      <c r="A65" s="25" t="s">
        <v>43</v>
      </c>
      <c r="B65" s="30">
        <f>10^((B62-13.54-20*LOG10(B$4)+0.6*(B$6-1.5))/39.08)</f>
        <v>1630.1484492369516</v>
      </c>
      <c r="C65" s="30" t="s">
        <v>82</v>
      </c>
      <c r="D65" s="30">
        <f>10^((D62-13.54-20*LOG10(D$4)+0.6*(D$6-1.5))/39.08)</f>
        <v>5168.0477510570809</v>
      </c>
      <c r="E65" s="30" t="s">
        <v>82</v>
      </c>
      <c r="F65" s="30">
        <f>10^((F62-13.54-20*LOG10(F$4)+0.6*(F$6-1.5))/39.08)</f>
        <v>595.49267215279178</v>
      </c>
      <c r="G65" s="30" t="s">
        <v>82</v>
      </c>
      <c r="H65" s="30">
        <f>10^((H62-13.54-20*LOG10(H$4)+0.6*(H$6-1.5))/39.08)</f>
        <v>1894.1998647415608</v>
      </c>
      <c r="I65" s="30" t="s">
        <v>82</v>
      </c>
      <c r="J65" s="30" t="s">
        <v>156</v>
      </c>
      <c r="K65" s="30">
        <f>10^((K62-161.04+7.1*LOG10(20)-7.5*LOG10(20)+(24.37-3.7*(20/K5)^2)*LOG10(K5)-20*LOG10(K4)+(3.2*(LOG10(17.625))^2-4.97)+0.6*(K6-1.5))/(43.42-3.1*LOG10(K5))+3)</f>
        <v>7254.4611131430793</v>
      </c>
      <c r="L65" s="30" t="s">
        <v>156</v>
      </c>
      <c r="M65" s="30">
        <f>10^((M62-161.04+7.1*LOG10(20)-7.5*LOG10(20)+(24.37-3.7*(20/M5)^2)*LOG10(M5)-20*LOG10(M4)+(3.2*(LOG10(17.625))^2-4.97)+0.6*(M6-1.5))/(43.42-3.1*LOG10(M5))+3)</f>
        <v>2458.218844824356</v>
      </c>
    </row>
    <row r="66" spans="1:13" ht="18">
      <c r="A66" s="25" t="s">
        <v>90</v>
      </c>
      <c r="B66" s="30" t="s">
        <v>165</v>
      </c>
      <c r="C66" s="30">
        <f>PI()*(C64)^2</f>
        <v>62755446.521920145</v>
      </c>
      <c r="D66" s="30" t="s">
        <v>50</v>
      </c>
      <c r="E66" s="30">
        <f>PI()*(E64)^2</f>
        <v>8059453.5788335595</v>
      </c>
      <c r="F66" s="30" t="s">
        <v>50</v>
      </c>
      <c r="G66" s="30">
        <f>PI()*(G64)^2</f>
        <v>7671995.3855778668</v>
      </c>
      <c r="H66" s="30" t="s">
        <v>50</v>
      </c>
      <c r="I66" s="30">
        <f>PI()*(I64)^2</f>
        <v>978729.03646601783</v>
      </c>
      <c r="J66" s="81">
        <f>PI()*(J64)^2</f>
        <v>164555892.50087085</v>
      </c>
      <c r="K66" s="81" t="s">
        <v>156</v>
      </c>
      <c r="L66" s="81">
        <f>PI()*(L64)^2</f>
        <v>15685474.01881854</v>
      </c>
      <c r="M66" s="81" t="s">
        <v>156</v>
      </c>
    </row>
    <row r="67" spans="1:13" ht="18">
      <c r="A67" s="25" t="s">
        <v>91</v>
      </c>
      <c r="B67" s="30">
        <f>PI()*(B65)^2</f>
        <v>8348417.9470796483</v>
      </c>
      <c r="C67" s="30" t="s">
        <v>50</v>
      </c>
      <c r="D67" s="30">
        <f>PI()*(D65)^2</f>
        <v>83907910.86452356</v>
      </c>
      <c r="E67" s="30" t="s">
        <v>50</v>
      </c>
      <c r="F67" s="30">
        <f>PI()*(F65)^2</f>
        <v>1114044.9542397223</v>
      </c>
      <c r="G67" s="30" t="s">
        <v>50</v>
      </c>
      <c r="H67" s="30">
        <f>PI()*(H65)^2</f>
        <v>11272012.850757819</v>
      </c>
      <c r="I67" s="30" t="s">
        <v>50</v>
      </c>
      <c r="J67" s="81" t="s">
        <v>161</v>
      </c>
      <c r="K67" s="81">
        <f>PI()*(K65)^2</f>
        <v>165333243.88083383</v>
      </c>
      <c r="L67" s="81" t="s">
        <v>156</v>
      </c>
      <c r="M67" s="81">
        <f>PI()*(M65)^2</f>
        <v>18984141.402257558</v>
      </c>
    </row>
    <row r="69" spans="1:13">
      <c r="D69" s="49"/>
      <c r="G69" s="49"/>
      <c r="H69" s="49"/>
    </row>
    <row r="71" spans="1:13" ht="15">
      <c r="A71" s="25"/>
      <c r="C71" s="40"/>
      <c r="D71" s="40"/>
      <c r="G71" s="41"/>
      <c r="H71" s="41"/>
    </row>
    <row r="72" spans="1:13" ht="15">
      <c r="A72" s="39"/>
      <c r="C72" s="40"/>
      <c r="D72" s="40"/>
      <c r="G72" s="41"/>
      <c r="H72" s="41"/>
    </row>
  </sheetData>
  <mergeCells count="5">
    <mergeCell ref="L1:M1"/>
    <mergeCell ref="G1:H1"/>
    <mergeCell ref="J1:K1"/>
    <mergeCell ref="C1:D1"/>
    <mergeCell ref="E1:F1"/>
  </mergeCells>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zoomScale="70" zoomScaleNormal="70" workbookViewId="0">
      <pane xSplit="1" ySplit="2" topLeftCell="B3" activePane="bottomRight" state="frozen"/>
      <selection pane="topRight" activeCell="B1" sqref="B1"/>
      <selection pane="bottomLeft" activeCell="A4" sqref="A4"/>
      <selection pane="bottomRight" activeCell="N62" sqref="N62"/>
    </sheetView>
  </sheetViews>
  <sheetFormatPr defaultColWidth="9" defaultRowHeight="14.25"/>
  <cols>
    <col min="1" max="1" width="69" style="48" customWidth="1"/>
    <col min="2" max="2" width="11.125" bestFit="1" customWidth="1"/>
    <col min="3" max="3" width="12.125" style="49" bestFit="1" customWidth="1"/>
    <col min="4" max="4" width="12.125" style="50" bestFit="1" customWidth="1"/>
    <col min="5" max="5" width="11.125" bestFit="1" customWidth="1"/>
    <col min="6" max="6" width="11.875" bestFit="1" customWidth="1"/>
    <col min="7" max="7" width="13.125" style="50" bestFit="1" customWidth="1"/>
    <col min="8" max="8" width="12.125" style="50" bestFit="1" customWidth="1"/>
    <col min="9" max="9" width="13.125" bestFit="1" customWidth="1"/>
    <col min="10" max="13" width="12.125" bestFit="1" customWidth="1"/>
    <col min="14" max="16384" width="9" style="1"/>
  </cols>
  <sheetData>
    <row r="1" spans="1:13">
      <c r="A1" s="15" t="s">
        <v>0</v>
      </c>
      <c r="B1" s="132" t="s">
        <v>48</v>
      </c>
      <c r="C1" s="140" t="s">
        <v>47</v>
      </c>
      <c r="D1" s="140"/>
      <c r="E1" s="139" t="s">
        <v>48</v>
      </c>
      <c r="F1" s="139"/>
      <c r="G1" s="139" t="s">
        <v>47</v>
      </c>
      <c r="H1" s="139"/>
      <c r="I1" s="131" t="s">
        <v>48</v>
      </c>
      <c r="J1" s="139" t="s">
        <v>47</v>
      </c>
      <c r="K1" s="139"/>
      <c r="L1" s="139" t="s">
        <v>47</v>
      </c>
      <c r="M1" s="139"/>
    </row>
    <row r="2" spans="1:13" ht="42.75">
      <c r="A2" s="15"/>
      <c r="B2" s="130" t="s">
        <v>205</v>
      </c>
      <c r="C2" s="75" t="s">
        <v>211</v>
      </c>
      <c r="D2" s="75" t="s">
        <v>203</v>
      </c>
      <c r="E2" s="130" t="s">
        <v>206</v>
      </c>
      <c r="F2" s="130" t="s">
        <v>214</v>
      </c>
      <c r="G2" s="75" t="s">
        <v>213</v>
      </c>
      <c r="H2" s="75" t="s">
        <v>212</v>
      </c>
      <c r="I2" s="130" t="s">
        <v>215</v>
      </c>
      <c r="J2" s="85" t="s">
        <v>208</v>
      </c>
      <c r="K2" s="85" t="s">
        <v>207</v>
      </c>
      <c r="L2" s="85" t="s">
        <v>230</v>
      </c>
      <c r="M2" s="85" t="s">
        <v>217</v>
      </c>
    </row>
    <row r="3" spans="1:13">
      <c r="A3" s="16" t="s">
        <v>1</v>
      </c>
      <c r="B3" s="28"/>
      <c r="C3" s="28"/>
      <c r="D3" s="28"/>
      <c r="E3" s="28"/>
      <c r="F3" s="28"/>
      <c r="G3" s="28"/>
      <c r="H3" s="28"/>
      <c r="I3" s="28"/>
      <c r="J3" s="16"/>
      <c r="K3" s="16"/>
      <c r="L3" s="16"/>
      <c r="M3" s="16"/>
    </row>
    <row r="4" spans="1:13" ht="15">
      <c r="A4" s="17" t="s">
        <v>2</v>
      </c>
      <c r="B4" s="29">
        <v>4</v>
      </c>
      <c r="C4" s="30">
        <v>4</v>
      </c>
      <c r="D4" s="29">
        <v>4</v>
      </c>
      <c r="E4" s="30">
        <v>4</v>
      </c>
      <c r="F4" s="29">
        <v>4</v>
      </c>
      <c r="G4" s="30">
        <v>4</v>
      </c>
      <c r="H4" s="29">
        <v>4</v>
      </c>
      <c r="I4" s="30">
        <v>4</v>
      </c>
      <c r="J4" s="30">
        <v>4</v>
      </c>
      <c r="K4" s="29">
        <v>4</v>
      </c>
      <c r="L4" s="30">
        <v>4</v>
      </c>
      <c r="M4" s="29">
        <v>4</v>
      </c>
    </row>
    <row r="5" spans="1:13" ht="15">
      <c r="A5" s="17" t="s">
        <v>3</v>
      </c>
      <c r="B5" s="29">
        <v>25</v>
      </c>
      <c r="C5" s="30">
        <v>25</v>
      </c>
      <c r="D5" s="30">
        <v>25</v>
      </c>
      <c r="E5" s="30">
        <v>25</v>
      </c>
      <c r="F5" s="29">
        <v>25</v>
      </c>
      <c r="G5" s="30">
        <v>25</v>
      </c>
      <c r="H5" s="30">
        <v>25</v>
      </c>
      <c r="I5" s="30">
        <v>25</v>
      </c>
      <c r="J5" s="30">
        <v>25</v>
      </c>
      <c r="K5" s="30">
        <v>25</v>
      </c>
      <c r="L5" s="30">
        <v>25</v>
      </c>
      <c r="M5" s="30">
        <v>25</v>
      </c>
    </row>
    <row r="6" spans="1:13" ht="15">
      <c r="A6" s="17" t="s">
        <v>4</v>
      </c>
      <c r="B6" s="29">
        <v>1.5</v>
      </c>
      <c r="C6" s="30">
        <v>1.5</v>
      </c>
      <c r="D6" s="29">
        <v>1.5</v>
      </c>
      <c r="E6" s="30">
        <v>1.5</v>
      </c>
      <c r="F6" s="29">
        <v>1.5</v>
      </c>
      <c r="G6" s="30">
        <v>1.5</v>
      </c>
      <c r="H6" s="29">
        <v>1.5</v>
      </c>
      <c r="I6" s="30">
        <v>1.5</v>
      </c>
      <c r="J6" s="30">
        <v>1.5</v>
      </c>
      <c r="K6" s="29">
        <v>1.5</v>
      </c>
      <c r="L6" s="30">
        <v>1.5</v>
      </c>
      <c r="M6" s="29">
        <v>1.5</v>
      </c>
    </row>
    <row r="7" spans="1:13" ht="15">
      <c r="A7" s="17" t="s">
        <v>190</v>
      </c>
      <c r="B7" s="18" t="s">
        <v>50</v>
      </c>
      <c r="C7" s="18">
        <v>0.95</v>
      </c>
      <c r="D7" s="18" t="s">
        <v>50</v>
      </c>
      <c r="E7" s="18">
        <v>0.95</v>
      </c>
      <c r="F7" s="18" t="s">
        <v>50</v>
      </c>
      <c r="G7" s="18">
        <v>0.95</v>
      </c>
      <c r="H7" s="18" t="s">
        <v>50</v>
      </c>
      <c r="I7" s="18">
        <v>0.95</v>
      </c>
      <c r="J7" s="18">
        <v>0.95</v>
      </c>
      <c r="K7" s="18" t="s">
        <v>50</v>
      </c>
      <c r="L7" s="18">
        <v>0.95</v>
      </c>
      <c r="M7" s="18" t="s">
        <v>50</v>
      </c>
    </row>
    <row r="8" spans="1:13" ht="15">
      <c r="A8" s="17" t="s">
        <v>191</v>
      </c>
      <c r="B8" s="18">
        <v>0.9</v>
      </c>
      <c r="C8" s="18" t="s">
        <v>50</v>
      </c>
      <c r="D8" s="18">
        <v>0.9</v>
      </c>
      <c r="E8" s="18" t="s">
        <v>50</v>
      </c>
      <c r="F8" s="18">
        <v>0.9</v>
      </c>
      <c r="G8" s="18" t="s">
        <v>50</v>
      </c>
      <c r="H8" s="18">
        <v>0.9</v>
      </c>
      <c r="I8" s="18" t="s">
        <v>50</v>
      </c>
      <c r="J8" s="18" t="s">
        <v>50</v>
      </c>
      <c r="K8" s="18">
        <v>0.9</v>
      </c>
      <c r="L8" s="18" t="s">
        <v>50</v>
      </c>
      <c r="M8" s="18">
        <v>0.9</v>
      </c>
    </row>
    <row r="9" spans="1:13" ht="15">
      <c r="A9" s="17" t="s">
        <v>5</v>
      </c>
      <c r="B9" s="29" t="s">
        <v>50</v>
      </c>
      <c r="C9" s="30"/>
      <c r="D9" s="29" t="s">
        <v>50</v>
      </c>
      <c r="E9" s="30"/>
      <c r="F9" s="29" t="s">
        <v>50</v>
      </c>
      <c r="G9" s="30"/>
      <c r="H9" s="29" t="s">
        <v>50</v>
      </c>
      <c r="I9" s="30"/>
      <c r="J9" s="30"/>
      <c r="K9" s="29" t="s">
        <v>50</v>
      </c>
      <c r="L9" s="30"/>
      <c r="M9" s="29" t="s">
        <v>50</v>
      </c>
    </row>
    <row r="10" spans="1:13" ht="15">
      <c r="A10" s="17" t="s">
        <v>6</v>
      </c>
      <c r="B10" s="57">
        <f>32*8/0.001</f>
        <v>256000</v>
      </c>
      <c r="C10" s="58" t="s">
        <v>50</v>
      </c>
      <c r="D10" s="57">
        <f>32*8/0.001</f>
        <v>256000</v>
      </c>
      <c r="E10" s="58" t="s">
        <v>50</v>
      </c>
      <c r="F10" s="57">
        <f>32*8/0.001</f>
        <v>256000</v>
      </c>
      <c r="G10" s="58" t="s">
        <v>50</v>
      </c>
      <c r="H10" s="57">
        <f>32*8/0.001</f>
        <v>256000</v>
      </c>
      <c r="I10" s="58" t="s">
        <v>50</v>
      </c>
      <c r="J10" s="30" t="s">
        <v>50</v>
      </c>
      <c r="K10" s="29">
        <f>32*8/0.001</f>
        <v>256000</v>
      </c>
      <c r="L10" s="30" t="s">
        <v>50</v>
      </c>
      <c r="M10" s="29">
        <f>32*8/0.001</f>
        <v>256000</v>
      </c>
    </row>
    <row r="11" spans="1:13" ht="30" customHeight="1">
      <c r="A11" s="17" t="s">
        <v>7</v>
      </c>
      <c r="B11" s="57" t="s">
        <v>50</v>
      </c>
      <c r="C11" s="57">
        <v>1.0000000000000001E-5</v>
      </c>
      <c r="D11" s="57" t="s">
        <v>50</v>
      </c>
      <c r="E11" s="57">
        <v>1.0000000000000001E-5</v>
      </c>
      <c r="F11" s="57" t="s">
        <v>50</v>
      </c>
      <c r="G11" s="57">
        <v>1.0000000000000001E-5</v>
      </c>
      <c r="H11" s="57" t="s">
        <v>50</v>
      </c>
      <c r="I11" s="57">
        <v>1.0000000000000001E-5</v>
      </c>
      <c r="J11" s="79">
        <v>1.0000000000000001E-5</v>
      </c>
      <c r="K11" s="79" t="s">
        <v>50</v>
      </c>
      <c r="L11" s="79">
        <v>1.0000000000000001E-5</v>
      </c>
      <c r="M11" s="79" t="s">
        <v>50</v>
      </c>
    </row>
    <row r="12" spans="1:13" ht="15">
      <c r="A12" s="17" t="s">
        <v>8</v>
      </c>
      <c r="B12" s="57">
        <v>1.0000000000000001E-5</v>
      </c>
      <c r="C12" s="58" t="s">
        <v>50</v>
      </c>
      <c r="D12" s="57">
        <v>1.0000000000000001E-5</v>
      </c>
      <c r="E12" s="58" t="s">
        <v>50</v>
      </c>
      <c r="F12" s="57">
        <v>1.0000000000000001E-5</v>
      </c>
      <c r="G12" s="58" t="s">
        <v>50</v>
      </c>
      <c r="H12" s="57">
        <v>1.0000000000000001E-5</v>
      </c>
      <c r="I12" s="58" t="s">
        <v>50</v>
      </c>
      <c r="J12" s="80" t="s">
        <v>50</v>
      </c>
      <c r="K12" s="79">
        <v>1.0000000000000001E-5</v>
      </c>
      <c r="L12" s="80" t="s">
        <v>50</v>
      </c>
      <c r="M12" s="79">
        <v>1.0000000000000001E-5</v>
      </c>
    </row>
    <row r="13" spans="1:13" ht="16.5">
      <c r="A13" s="17" t="s">
        <v>85</v>
      </c>
      <c r="B13" s="57">
        <f>B10/B42</f>
        <v>4.4444444444444446E-2</v>
      </c>
      <c r="C13" s="58" t="s">
        <v>50</v>
      </c>
      <c r="D13" s="57">
        <f>D10/D42</f>
        <v>1.3943355119825708E-2</v>
      </c>
      <c r="E13" s="58" t="s">
        <v>50</v>
      </c>
      <c r="F13" s="57">
        <f>F10/F42</f>
        <v>4.4444444444444446E-2</v>
      </c>
      <c r="G13" s="58" t="s">
        <v>50</v>
      </c>
      <c r="H13" s="57">
        <f>H10/H42</f>
        <v>1.3943355119825708E-2</v>
      </c>
      <c r="I13" s="58" t="s">
        <v>50</v>
      </c>
      <c r="J13" s="80" t="s">
        <v>50</v>
      </c>
      <c r="K13" s="29">
        <f t="shared" ref="K13" si="0">K10/(K42*(4+2*11/14+1/14)/10)</f>
        <v>2.4709743250324042E-2</v>
      </c>
      <c r="L13" s="30" t="s">
        <v>50</v>
      </c>
      <c r="M13" s="29">
        <f>M10/M42</f>
        <v>1.3943355119825708E-2</v>
      </c>
    </row>
    <row r="14" spans="1:13" ht="16.5">
      <c r="A14" s="17" t="s">
        <v>86</v>
      </c>
      <c r="B14" s="58" t="s">
        <v>106</v>
      </c>
      <c r="C14" s="58" t="s">
        <v>106</v>
      </c>
      <c r="D14" s="57" t="s">
        <v>106</v>
      </c>
      <c r="E14" s="58" t="s">
        <v>106</v>
      </c>
      <c r="F14" s="58" t="s">
        <v>110</v>
      </c>
      <c r="G14" s="58" t="s">
        <v>110</v>
      </c>
      <c r="H14" s="58" t="s">
        <v>110</v>
      </c>
      <c r="I14" s="58" t="s">
        <v>110</v>
      </c>
      <c r="J14" s="30" t="s">
        <v>105</v>
      </c>
      <c r="K14" s="29" t="s">
        <v>105</v>
      </c>
      <c r="L14" s="30" t="s">
        <v>159</v>
      </c>
      <c r="M14" s="30" t="s">
        <v>159</v>
      </c>
    </row>
    <row r="15" spans="1:13" ht="15">
      <c r="A15" s="17" t="s">
        <v>78</v>
      </c>
      <c r="B15" s="57">
        <v>30</v>
      </c>
      <c r="C15" s="58">
        <v>30</v>
      </c>
      <c r="D15" s="58">
        <v>30</v>
      </c>
      <c r="E15" s="58">
        <v>30</v>
      </c>
      <c r="F15" s="58">
        <v>3</v>
      </c>
      <c r="G15" s="58">
        <v>3</v>
      </c>
      <c r="H15" s="58">
        <v>3</v>
      </c>
      <c r="I15" s="58">
        <v>3</v>
      </c>
      <c r="J15" s="30">
        <v>30</v>
      </c>
      <c r="K15" s="30">
        <v>30</v>
      </c>
      <c r="L15" s="30">
        <v>3</v>
      </c>
      <c r="M15" s="30">
        <v>3</v>
      </c>
    </row>
    <row r="16" spans="1:13" ht="15">
      <c r="A16" s="17" t="s">
        <v>9</v>
      </c>
      <c r="B16" s="58">
        <v>3</v>
      </c>
      <c r="C16" s="58">
        <v>3</v>
      </c>
      <c r="D16" s="57">
        <v>3</v>
      </c>
      <c r="E16" s="58">
        <v>3</v>
      </c>
      <c r="F16" s="58">
        <v>3</v>
      </c>
      <c r="G16" s="58">
        <v>3</v>
      </c>
      <c r="H16" s="58">
        <v>3</v>
      </c>
      <c r="I16" s="58">
        <v>3</v>
      </c>
      <c r="J16" s="30">
        <v>3</v>
      </c>
      <c r="K16" s="29">
        <v>3</v>
      </c>
      <c r="L16" s="30">
        <v>3</v>
      </c>
      <c r="M16" s="30">
        <v>3</v>
      </c>
    </row>
    <row r="17" spans="1:13">
      <c r="A17" s="16" t="s">
        <v>10</v>
      </c>
      <c r="B17" s="56"/>
      <c r="C17" s="56"/>
      <c r="D17" s="56"/>
      <c r="E17" s="56"/>
      <c r="F17" s="56"/>
      <c r="G17" s="56"/>
      <c r="H17" s="56"/>
      <c r="I17" s="56"/>
      <c r="J17" s="28"/>
      <c r="K17" s="28"/>
      <c r="L17" s="28"/>
      <c r="M17" s="28"/>
    </row>
    <row r="18" spans="1:13" ht="30">
      <c r="A18" s="17" t="s">
        <v>76</v>
      </c>
      <c r="B18" s="57">
        <v>1</v>
      </c>
      <c r="C18" s="57">
        <v>64</v>
      </c>
      <c r="D18" s="57">
        <v>64</v>
      </c>
      <c r="E18" s="58">
        <v>1</v>
      </c>
      <c r="F18" s="57">
        <v>1</v>
      </c>
      <c r="G18" s="57">
        <v>64</v>
      </c>
      <c r="H18" s="57">
        <v>64</v>
      </c>
      <c r="I18" s="58">
        <v>1</v>
      </c>
      <c r="J18" s="29">
        <v>64</v>
      </c>
      <c r="K18" s="29">
        <v>64</v>
      </c>
      <c r="L18" s="29">
        <v>64</v>
      </c>
      <c r="M18" s="29">
        <v>64</v>
      </c>
    </row>
    <row r="19" spans="1:13" ht="15">
      <c r="A19" s="17" t="s">
        <v>107</v>
      </c>
      <c r="B19" s="57">
        <v>1</v>
      </c>
      <c r="C19" s="57">
        <v>2</v>
      </c>
      <c r="D19" s="57">
        <v>2</v>
      </c>
      <c r="E19" s="58">
        <v>1</v>
      </c>
      <c r="F19" s="57">
        <v>1</v>
      </c>
      <c r="G19" s="57">
        <v>2</v>
      </c>
      <c r="H19" s="57">
        <v>2</v>
      </c>
      <c r="I19" s="58">
        <v>1</v>
      </c>
      <c r="J19" s="29">
        <v>2</v>
      </c>
      <c r="K19" s="29">
        <v>2</v>
      </c>
      <c r="L19" s="29">
        <v>2</v>
      </c>
      <c r="M19" s="29">
        <v>2</v>
      </c>
    </row>
    <row r="20" spans="1:13" ht="15">
      <c r="A20" s="17" t="s">
        <v>11</v>
      </c>
      <c r="B20" s="57">
        <v>23</v>
      </c>
      <c r="C20" s="57">
        <v>28</v>
      </c>
      <c r="D20" s="57">
        <v>28</v>
      </c>
      <c r="E20" s="58">
        <v>23</v>
      </c>
      <c r="F20" s="57">
        <v>23</v>
      </c>
      <c r="G20" s="57">
        <v>28</v>
      </c>
      <c r="H20" s="57">
        <v>28</v>
      </c>
      <c r="I20" s="58">
        <v>23</v>
      </c>
      <c r="J20" s="29">
        <v>28</v>
      </c>
      <c r="K20" s="29">
        <v>28</v>
      </c>
      <c r="L20" s="29">
        <v>28</v>
      </c>
      <c r="M20" s="29">
        <v>28</v>
      </c>
    </row>
    <row r="21" spans="1:13" ht="30">
      <c r="A21" s="37" t="s">
        <v>77</v>
      </c>
      <c r="B21" s="59">
        <f t="shared" ref="B21:M21" si="1">B20+10*LOG10(B18)</f>
        <v>23</v>
      </c>
      <c r="C21" s="59">
        <f t="shared" si="1"/>
        <v>46.061799739838875</v>
      </c>
      <c r="D21" s="59">
        <f t="shared" si="1"/>
        <v>46.061799739838875</v>
      </c>
      <c r="E21" s="59">
        <f t="shared" si="1"/>
        <v>23</v>
      </c>
      <c r="F21" s="59">
        <f t="shared" si="1"/>
        <v>23</v>
      </c>
      <c r="G21" s="59">
        <f t="shared" si="1"/>
        <v>46.061799739838875</v>
      </c>
      <c r="H21" s="59">
        <f t="shared" si="1"/>
        <v>46.061799739838875</v>
      </c>
      <c r="I21" s="59">
        <f t="shared" si="1"/>
        <v>23</v>
      </c>
      <c r="J21" s="34">
        <f t="shared" si="1"/>
        <v>46.061799739838875</v>
      </c>
      <c r="K21" s="34">
        <f t="shared" si="1"/>
        <v>46.061799739838875</v>
      </c>
      <c r="L21" s="34">
        <f t="shared" si="1"/>
        <v>46.061799739838875</v>
      </c>
      <c r="M21" s="34">
        <f t="shared" si="1"/>
        <v>46.061799739838875</v>
      </c>
    </row>
    <row r="22" spans="1:13" ht="15">
      <c r="A22" s="17" t="s">
        <v>12</v>
      </c>
      <c r="B22" s="57">
        <v>0</v>
      </c>
      <c r="C22" s="57">
        <v>8</v>
      </c>
      <c r="D22" s="57">
        <v>8</v>
      </c>
      <c r="E22" s="58">
        <v>0</v>
      </c>
      <c r="F22" s="57">
        <v>0</v>
      </c>
      <c r="G22" s="57">
        <v>8</v>
      </c>
      <c r="H22" s="57">
        <v>8</v>
      </c>
      <c r="I22" s="58">
        <v>0</v>
      </c>
      <c r="J22" s="29">
        <v>8</v>
      </c>
      <c r="K22" s="29">
        <v>8</v>
      </c>
      <c r="L22" s="29">
        <v>8</v>
      </c>
      <c r="M22" s="29">
        <v>8</v>
      </c>
    </row>
    <row r="23" spans="1:13" ht="45" customHeight="1">
      <c r="A23" s="38" t="s">
        <v>13</v>
      </c>
      <c r="B23" s="59">
        <f t="shared" ref="B23:M23" si="2">IF(B18&gt;=2, 10*LOG10(B18/2), 0)</f>
        <v>0</v>
      </c>
      <c r="C23" s="59">
        <f t="shared" si="2"/>
        <v>15.051499783199061</v>
      </c>
      <c r="D23" s="59">
        <f t="shared" si="2"/>
        <v>15.051499783199061</v>
      </c>
      <c r="E23" s="59">
        <f t="shared" si="2"/>
        <v>0</v>
      </c>
      <c r="F23" s="59">
        <f t="shared" si="2"/>
        <v>0</v>
      </c>
      <c r="G23" s="59">
        <f t="shared" si="2"/>
        <v>15.051499783199061</v>
      </c>
      <c r="H23" s="59">
        <f t="shared" si="2"/>
        <v>15.051499783199061</v>
      </c>
      <c r="I23" s="59">
        <f t="shared" si="2"/>
        <v>0</v>
      </c>
      <c r="J23" s="34">
        <f t="shared" si="2"/>
        <v>15.051499783199061</v>
      </c>
      <c r="K23" s="34">
        <f t="shared" si="2"/>
        <v>15.051499783199061</v>
      </c>
      <c r="L23" s="34">
        <f t="shared" si="2"/>
        <v>15.051499783199061</v>
      </c>
      <c r="M23" s="34">
        <f t="shared" si="2"/>
        <v>15.051499783199061</v>
      </c>
    </row>
    <row r="24" spans="1:13" ht="15">
      <c r="A24" s="17" t="s">
        <v>14</v>
      </c>
      <c r="B24" s="58">
        <v>0</v>
      </c>
      <c r="C24" s="57">
        <v>0</v>
      </c>
      <c r="D24" s="57">
        <v>0</v>
      </c>
      <c r="E24" s="58">
        <v>0</v>
      </c>
      <c r="F24" s="58">
        <v>0</v>
      </c>
      <c r="G24" s="57">
        <v>0</v>
      </c>
      <c r="H24" s="57">
        <v>0</v>
      </c>
      <c r="I24" s="58">
        <v>0</v>
      </c>
      <c r="J24" s="29">
        <v>0</v>
      </c>
      <c r="K24" s="29">
        <v>0</v>
      </c>
      <c r="L24" s="29">
        <v>0</v>
      </c>
      <c r="M24" s="29">
        <v>0</v>
      </c>
    </row>
    <row r="25" spans="1:13" ht="15">
      <c r="A25" s="17" t="s">
        <v>15</v>
      </c>
      <c r="B25" s="58">
        <v>0</v>
      </c>
      <c r="C25" s="57">
        <v>0</v>
      </c>
      <c r="D25" s="57">
        <v>0</v>
      </c>
      <c r="E25" s="58">
        <v>0</v>
      </c>
      <c r="F25" s="58">
        <v>0</v>
      </c>
      <c r="G25" s="57">
        <v>0</v>
      </c>
      <c r="H25" s="57">
        <v>0</v>
      </c>
      <c r="I25" s="58">
        <v>0</v>
      </c>
      <c r="J25" s="29">
        <v>0</v>
      </c>
      <c r="K25" s="29">
        <v>0</v>
      </c>
      <c r="L25" s="29">
        <v>0</v>
      </c>
      <c r="M25" s="29">
        <v>0</v>
      </c>
    </row>
    <row r="26" spans="1:13" ht="30">
      <c r="A26" s="17" t="s">
        <v>16</v>
      </c>
      <c r="B26" s="58">
        <v>1</v>
      </c>
      <c r="C26" s="57">
        <v>3</v>
      </c>
      <c r="D26" s="57">
        <v>3</v>
      </c>
      <c r="E26" s="58">
        <v>1</v>
      </c>
      <c r="F26" s="58">
        <v>1</v>
      </c>
      <c r="G26" s="57">
        <v>3</v>
      </c>
      <c r="H26" s="57">
        <v>3</v>
      </c>
      <c r="I26" s="58">
        <v>1</v>
      </c>
      <c r="J26" s="29">
        <v>3</v>
      </c>
      <c r="K26" s="29">
        <v>3</v>
      </c>
      <c r="L26" s="29">
        <v>3</v>
      </c>
      <c r="M26" s="29">
        <v>3</v>
      </c>
    </row>
    <row r="27" spans="1:13" ht="15">
      <c r="A27" s="21" t="s">
        <v>17</v>
      </c>
      <c r="B27" s="60">
        <f t="shared" ref="B27:M27" si="3">B21+B22+B23+B24-B26</f>
        <v>22</v>
      </c>
      <c r="C27" s="60">
        <f t="shared" si="3"/>
        <v>66.113299523037938</v>
      </c>
      <c r="D27" s="60">
        <f t="shared" si="3"/>
        <v>66.113299523037938</v>
      </c>
      <c r="E27" s="60">
        <f t="shared" si="3"/>
        <v>22</v>
      </c>
      <c r="F27" s="60">
        <f t="shared" si="3"/>
        <v>22</v>
      </c>
      <c r="G27" s="60">
        <f t="shared" si="3"/>
        <v>66.113299523037938</v>
      </c>
      <c r="H27" s="60">
        <f t="shared" si="3"/>
        <v>66.113299523037938</v>
      </c>
      <c r="I27" s="60">
        <f t="shared" si="3"/>
        <v>22</v>
      </c>
      <c r="J27" s="69">
        <f t="shared" si="3"/>
        <v>66.113299523037938</v>
      </c>
      <c r="K27" s="69">
        <f t="shared" si="3"/>
        <v>66.113299523037938</v>
      </c>
      <c r="L27" s="69">
        <f t="shared" si="3"/>
        <v>66.113299523037938</v>
      </c>
      <c r="M27" s="69">
        <f t="shared" si="3"/>
        <v>66.113299523037938</v>
      </c>
    </row>
    <row r="28" spans="1:13" ht="15">
      <c r="A28" s="21" t="s">
        <v>18</v>
      </c>
      <c r="B28" s="60">
        <f t="shared" ref="B28:M28" si="4">B21+B22+B23-B25-B26</f>
        <v>22</v>
      </c>
      <c r="C28" s="60">
        <f t="shared" si="4"/>
        <v>66.113299523037938</v>
      </c>
      <c r="D28" s="60">
        <f t="shared" si="4"/>
        <v>66.113299523037938</v>
      </c>
      <c r="E28" s="60">
        <f t="shared" si="4"/>
        <v>22</v>
      </c>
      <c r="F28" s="60">
        <f t="shared" si="4"/>
        <v>22</v>
      </c>
      <c r="G28" s="60">
        <f t="shared" si="4"/>
        <v>66.113299523037938</v>
      </c>
      <c r="H28" s="60">
        <f t="shared" si="4"/>
        <v>66.113299523037938</v>
      </c>
      <c r="I28" s="60">
        <f t="shared" si="4"/>
        <v>22</v>
      </c>
      <c r="J28" s="69">
        <f t="shared" si="4"/>
        <v>66.113299523037938</v>
      </c>
      <c r="K28" s="69">
        <f t="shared" si="4"/>
        <v>66.113299523037938</v>
      </c>
      <c r="L28" s="69">
        <f t="shared" si="4"/>
        <v>66.113299523037938</v>
      </c>
      <c r="M28" s="69">
        <f t="shared" si="4"/>
        <v>66.113299523037938</v>
      </c>
    </row>
    <row r="29" spans="1:13">
      <c r="A29" s="16" t="s">
        <v>19</v>
      </c>
      <c r="B29" s="56"/>
      <c r="C29" s="56"/>
      <c r="D29" s="56"/>
      <c r="E29" s="56"/>
      <c r="F29" s="56"/>
      <c r="G29" s="56"/>
      <c r="H29" s="56"/>
      <c r="I29" s="56"/>
      <c r="J29" s="28"/>
      <c r="K29" s="28"/>
      <c r="L29" s="28"/>
      <c r="M29" s="28"/>
    </row>
    <row r="30" spans="1:13" ht="30">
      <c r="A30" s="17" t="s">
        <v>75</v>
      </c>
      <c r="B30" s="57">
        <v>64</v>
      </c>
      <c r="C30" s="57">
        <v>2</v>
      </c>
      <c r="D30" s="57">
        <v>2</v>
      </c>
      <c r="E30" s="58">
        <v>64</v>
      </c>
      <c r="F30" s="57">
        <v>64</v>
      </c>
      <c r="G30" s="57">
        <v>2</v>
      </c>
      <c r="H30" s="57">
        <v>2</v>
      </c>
      <c r="I30" s="58">
        <v>64</v>
      </c>
      <c r="J30" s="29">
        <v>2</v>
      </c>
      <c r="K30" s="29">
        <v>2</v>
      </c>
      <c r="L30" s="29">
        <v>2</v>
      </c>
      <c r="M30" s="29">
        <v>2</v>
      </c>
    </row>
    <row r="31" spans="1:13" ht="15">
      <c r="A31" s="17" t="s">
        <v>136</v>
      </c>
      <c r="B31" s="57">
        <v>2</v>
      </c>
      <c r="C31" s="57">
        <v>2</v>
      </c>
      <c r="D31" s="57">
        <v>2</v>
      </c>
      <c r="E31" s="58">
        <v>2</v>
      </c>
      <c r="F31" s="57">
        <v>2</v>
      </c>
      <c r="G31" s="57">
        <v>2</v>
      </c>
      <c r="H31" s="57">
        <v>2</v>
      </c>
      <c r="I31" s="58">
        <v>2</v>
      </c>
      <c r="J31" s="29">
        <v>2</v>
      </c>
      <c r="K31" s="29">
        <v>2</v>
      </c>
      <c r="L31" s="29">
        <v>2</v>
      </c>
      <c r="M31" s="29">
        <v>2</v>
      </c>
    </row>
    <row r="32" spans="1:13" ht="15">
      <c r="A32" s="17" t="s">
        <v>20</v>
      </c>
      <c r="B32" s="57">
        <v>8</v>
      </c>
      <c r="C32" s="57">
        <v>0</v>
      </c>
      <c r="D32" s="57">
        <v>0</v>
      </c>
      <c r="E32" s="58">
        <v>8</v>
      </c>
      <c r="F32" s="57">
        <v>8</v>
      </c>
      <c r="G32" s="57">
        <v>0</v>
      </c>
      <c r="H32" s="57">
        <v>0</v>
      </c>
      <c r="I32" s="58">
        <v>8</v>
      </c>
      <c r="J32" s="29">
        <v>0</v>
      </c>
      <c r="K32" s="29">
        <v>0</v>
      </c>
      <c r="L32" s="29">
        <v>0</v>
      </c>
      <c r="M32" s="29">
        <v>0</v>
      </c>
    </row>
    <row r="33" spans="1:13" ht="28.5">
      <c r="A33" s="22" t="s">
        <v>79</v>
      </c>
      <c r="B33" s="59">
        <f t="shared" ref="B33:M33" si="5">IF(B30&gt;=2, 10*LOG10(B30/2), 0)</f>
        <v>15.051499783199061</v>
      </c>
      <c r="C33" s="59">
        <f t="shared" si="5"/>
        <v>0</v>
      </c>
      <c r="D33" s="59">
        <f t="shared" si="5"/>
        <v>0</v>
      </c>
      <c r="E33" s="59">
        <f t="shared" si="5"/>
        <v>15.051499783199061</v>
      </c>
      <c r="F33" s="59">
        <f t="shared" si="5"/>
        <v>15.051499783199061</v>
      </c>
      <c r="G33" s="59">
        <f t="shared" si="5"/>
        <v>0</v>
      </c>
      <c r="H33" s="59">
        <f t="shared" si="5"/>
        <v>0</v>
      </c>
      <c r="I33" s="59">
        <f t="shared" si="5"/>
        <v>15.051499783199061</v>
      </c>
      <c r="J33" s="34">
        <f t="shared" si="5"/>
        <v>0</v>
      </c>
      <c r="K33" s="34">
        <f t="shared" si="5"/>
        <v>0</v>
      </c>
      <c r="L33" s="34">
        <f t="shared" si="5"/>
        <v>0</v>
      </c>
      <c r="M33" s="34">
        <f t="shared" si="5"/>
        <v>0</v>
      </c>
    </row>
    <row r="34" spans="1:13" ht="30">
      <c r="A34" s="17" t="s">
        <v>21</v>
      </c>
      <c r="B34" s="58">
        <v>3</v>
      </c>
      <c r="C34" s="57">
        <v>1</v>
      </c>
      <c r="D34" s="57">
        <v>1</v>
      </c>
      <c r="E34" s="61">
        <v>3</v>
      </c>
      <c r="F34" s="58">
        <v>3</v>
      </c>
      <c r="G34" s="57">
        <v>1</v>
      </c>
      <c r="H34" s="57">
        <v>1</v>
      </c>
      <c r="I34" s="61">
        <v>3</v>
      </c>
      <c r="J34" s="29">
        <v>1</v>
      </c>
      <c r="K34" s="29">
        <v>1</v>
      </c>
      <c r="L34" s="29">
        <v>1</v>
      </c>
      <c r="M34" s="29">
        <v>1</v>
      </c>
    </row>
    <row r="35" spans="1:13" ht="15">
      <c r="A35" s="17" t="s">
        <v>22</v>
      </c>
      <c r="B35" s="58">
        <v>5</v>
      </c>
      <c r="C35" s="57">
        <v>7</v>
      </c>
      <c r="D35" s="57">
        <v>7</v>
      </c>
      <c r="E35" s="58">
        <v>5</v>
      </c>
      <c r="F35" s="58">
        <v>5</v>
      </c>
      <c r="G35" s="57">
        <v>7</v>
      </c>
      <c r="H35" s="57">
        <v>7</v>
      </c>
      <c r="I35" s="58">
        <v>5</v>
      </c>
      <c r="J35" s="29">
        <v>7</v>
      </c>
      <c r="K35" s="29">
        <v>7</v>
      </c>
      <c r="L35" s="29">
        <v>7</v>
      </c>
      <c r="M35" s="29">
        <v>7</v>
      </c>
    </row>
    <row r="36" spans="1:13" ht="15">
      <c r="A36" s="17" t="s">
        <v>23</v>
      </c>
      <c r="B36" s="29">
        <v>-174</v>
      </c>
      <c r="C36" s="29">
        <v>-174</v>
      </c>
      <c r="D36" s="29">
        <v>-174</v>
      </c>
      <c r="E36" s="30">
        <v>-174</v>
      </c>
      <c r="F36" s="29">
        <v>-174</v>
      </c>
      <c r="G36" s="29">
        <v>-174</v>
      </c>
      <c r="H36" s="29">
        <v>-174</v>
      </c>
      <c r="I36" s="30">
        <v>-174</v>
      </c>
      <c r="J36" s="29">
        <v>-174</v>
      </c>
      <c r="K36" s="29">
        <v>-174</v>
      </c>
      <c r="L36" s="29">
        <v>-174</v>
      </c>
      <c r="M36" s="29">
        <v>-174</v>
      </c>
    </row>
    <row r="37" spans="1:13" ht="15">
      <c r="A37" s="17" t="s">
        <v>192</v>
      </c>
      <c r="B37" s="30" t="s">
        <v>50</v>
      </c>
      <c r="C37" s="29">
        <v>-169.3</v>
      </c>
      <c r="D37" s="29" t="s">
        <v>50</v>
      </c>
      <c r="E37" s="30">
        <v>-161.69999999999999</v>
      </c>
      <c r="F37" s="30" t="s">
        <v>50</v>
      </c>
      <c r="G37" s="29">
        <v>-169.3</v>
      </c>
      <c r="H37" s="29" t="s">
        <v>50</v>
      </c>
      <c r="I37" s="30">
        <v>-161.69999999999999</v>
      </c>
      <c r="J37" s="29">
        <v>-169.3</v>
      </c>
      <c r="K37" s="29" t="s">
        <v>50</v>
      </c>
      <c r="L37" s="29">
        <v>-169.3</v>
      </c>
      <c r="M37" s="29" t="s">
        <v>50</v>
      </c>
    </row>
    <row r="38" spans="1:13" ht="15">
      <c r="A38" s="17" t="s">
        <v>24</v>
      </c>
      <c r="B38" s="30">
        <v>-165.7</v>
      </c>
      <c r="C38" s="29" t="s">
        <v>50</v>
      </c>
      <c r="D38" s="29">
        <v>-169.3</v>
      </c>
      <c r="E38" s="30" t="s">
        <v>50</v>
      </c>
      <c r="F38" s="30">
        <v>-165.7</v>
      </c>
      <c r="G38" s="29" t="s">
        <v>50</v>
      </c>
      <c r="H38" s="29">
        <v>-169.3</v>
      </c>
      <c r="I38" s="30" t="s">
        <v>50</v>
      </c>
      <c r="J38" s="29" t="s">
        <v>50</v>
      </c>
      <c r="K38" s="29">
        <v>-169.3</v>
      </c>
      <c r="L38" s="29" t="s">
        <v>50</v>
      </c>
      <c r="M38" s="29">
        <v>-169.3</v>
      </c>
    </row>
    <row r="39" spans="1:13" ht="30">
      <c r="A39" s="21" t="s">
        <v>193</v>
      </c>
      <c r="B39" s="69" t="s">
        <v>50</v>
      </c>
      <c r="C39" s="69">
        <f t="shared" ref="C39:G39" si="6">10*LOG10(10^((C35+C36)/10)+10^(C37/10))</f>
        <v>-164.98918835931039</v>
      </c>
      <c r="D39" s="69" t="s">
        <v>50</v>
      </c>
      <c r="E39" s="69">
        <f t="shared" ref="E39" si="7">10*LOG10(10^((E35+E36)/10)+10^(E37/10))</f>
        <v>-160.9583889004532</v>
      </c>
      <c r="F39" s="69" t="s">
        <v>50</v>
      </c>
      <c r="G39" s="69">
        <f t="shared" si="6"/>
        <v>-164.98918835931039</v>
      </c>
      <c r="H39" s="69" t="s">
        <v>50</v>
      </c>
      <c r="I39" s="69">
        <f t="shared" ref="I39:J39" si="8">10*LOG10(10^((I35+I36)/10)+10^(I37/10))</f>
        <v>-160.9583889004532</v>
      </c>
      <c r="J39" s="69">
        <f t="shared" si="8"/>
        <v>-164.98918835931039</v>
      </c>
      <c r="K39" s="69" t="s">
        <v>50</v>
      </c>
      <c r="L39" s="69">
        <f t="shared" ref="L39" si="9">10*LOG10(10^((L35+L36)/10)+10^(L37/10))</f>
        <v>-164.98918835931039</v>
      </c>
      <c r="M39" s="69" t="s">
        <v>50</v>
      </c>
    </row>
    <row r="40" spans="1:13" ht="30">
      <c r="A40" s="21" t="s">
        <v>194</v>
      </c>
      <c r="B40" s="69">
        <f t="shared" ref="B40" si="10">10*LOG10(10^((B35+B36)/10)+10^(B38/10))</f>
        <v>-164.03352307536667</v>
      </c>
      <c r="C40" s="69" t="s">
        <v>50</v>
      </c>
      <c r="D40" s="69">
        <f t="shared" ref="D40:H40" si="11">10*LOG10(10^((D35+D36)/10)+10^(D38/10))</f>
        <v>-164.98918835931039</v>
      </c>
      <c r="E40" s="69" t="s">
        <v>50</v>
      </c>
      <c r="F40" s="69">
        <f t="shared" ref="F40" si="12">10*LOG10(10^((F35+F36)/10)+10^(F38/10))</f>
        <v>-164.03352307536667</v>
      </c>
      <c r="G40" s="69" t="s">
        <v>50</v>
      </c>
      <c r="H40" s="69">
        <f t="shared" si="11"/>
        <v>-164.98918835931039</v>
      </c>
      <c r="I40" s="69" t="s">
        <v>50</v>
      </c>
      <c r="J40" s="69" t="s">
        <v>50</v>
      </c>
      <c r="K40" s="69">
        <f t="shared" ref="K40" si="13">10*LOG10(10^((K35+K36)/10)+10^(K38/10))</f>
        <v>-164.98918835931039</v>
      </c>
      <c r="L40" s="69" t="s">
        <v>50</v>
      </c>
      <c r="M40" s="69">
        <f t="shared" ref="M40" si="14">10*LOG10(10^((M35+M36)/10)+10^(M38/10))</f>
        <v>-164.98918835931039</v>
      </c>
    </row>
    <row r="41" spans="1:13" ht="30">
      <c r="A41" s="17" t="s">
        <v>25</v>
      </c>
      <c r="B41" s="29" t="s">
        <v>50</v>
      </c>
      <c r="C41" s="29">
        <f>MaxN_RB!$F$7*12*30*1000</f>
        <v>18360000</v>
      </c>
      <c r="D41" s="29" t="s">
        <v>50</v>
      </c>
      <c r="E41" s="29">
        <f>1*12*30*1000</f>
        <v>360000</v>
      </c>
      <c r="F41" s="29" t="s">
        <v>50</v>
      </c>
      <c r="G41" s="29">
        <f>MaxN_RB!$F$7*12*30*1000</f>
        <v>18360000</v>
      </c>
      <c r="H41" s="29" t="s">
        <v>50</v>
      </c>
      <c r="I41" s="29">
        <f>1*12*30*1000</f>
        <v>360000</v>
      </c>
      <c r="J41" s="29">
        <f>MaxN_RB!$F$7*12*30*1000</f>
        <v>18360000</v>
      </c>
      <c r="K41" s="29" t="s">
        <v>50</v>
      </c>
      <c r="L41" s="29">
        <f>MaxN_RB!$F$7*12*30*1000</f>
        <v>18360000</v>
      </c>
      <c r="M41" s="29" t="s">
        <v>50</v>
      </c>
    </row>
    <row r="42" spans="1:13" ht="30">
      <c r="A42" s="17" t="s">
        <v>26</v>
      </c>
      <c r="B42" s="29">
        <f>16*12*30*1000</f>
        <v>5760000</v>
      </c>
      <c r="C42" s="29" t="s">
        <v>50</v>
      </c>
      <c r="D42" s="29">
        <f>MaxN_RB!$F$7*12*30*1000</f>
        <v>18360000</v>
      </c>
      <c r="E42" s="29" t="s">
        <v>50</v>
      </c>
      <c r="F42" s="29">
        <f>16*12*30*1000</f>
        <v>5760000</v>
      </c>
      <c r="G42" s="29" t="s">
        <v>50</v>
      </c>
      <c r="H42" s="29">
        <f>MaxN_RB!$F$7*12*30*1000</f>
        <v>18360000</v>
      </c>
      <c r="I42" s="29" t="s">
        <v>50</v>
      </c>
      <c r="J42" s="29" t="s">
        <v>50</v>
      </c>
      <c r="K42" s="29">
        <f>MaxN_RB!$F$7*12*30*1000</f>
        <v>18360000</v>
      </c>
      <c r="L42" s="29" t="s">
        <v>50</v>
      </c>
      <c r="M42" s="29">
        <f>MaxN_RB!$F$7*12*30*1000</f>
        <v>18360000</v>
      </c>
    </row>
    <row r="43" spans="1:13" ht="15">
      <c r="A43" s="21" t="s">
        <v>27</v>
      </c>
      <c r="B43" s="69" t="s">
        <v>50</v>
      </c>
      <c r="C43" s="69">
        <f t="shared" ref="C43" si="15">C39+10*LOG10(C41)</f>
        <v>-92.350461590658156</v>
      </c>
      <c r="D43" s="69" t="s">
        <v>50</v>
      </c>
      <c r="E43" s="69">
        <f t="shared" ref="E43:F44" si="16">E39+10*LOG10(E41)</f>
        <v>-105.39536389278032</v>
      </c>
      <c r="F43" s="69" t="s">
        <v>50</v>
      </c>
      <c r="G43" s="69">
        <f t="shared" ref="G43:H44" si="17">G39+10*LOG10(G41)</f>
        <v>-92.350461590658156</v>
      </c>
      <c r="H43" s="69" t="s">
        <v>50</v>
      </c>
      <c r="I43" s="69">
        <f t="shared" ref="I43:J43" si="18">I39+10*LOG10(I41)</f>
        <v>-105.39536389278032</v>
      </c>
      <c r="J43" s="69">
        <f t="shared" si="18"/>
        <v>-92.350461590658156</v>
      </c>
      <c r="K43" s="69" t="s">
        <v>50</v>
      </c>
      <c r="L43" s="69">
        <f t="shared" ref="L43" si="19">L39+10*LOG10(L41)</f>
        <v>-92.350461590658156</v>
      </c>
      <c r="M43" s="69" t="s">
        <v>50</v>
      </c>
    </row>
    <row r="44" spans="1:13" ht="15">
      <c r="A44" s="21" t="s">
        <v>28</v>
      </c>
      <c r="B44" s="69">
        <f t="shared" ref="B44" si="20">B40+10*LOG10(B42)</f>
        <v>-96.42929824113456</v>
      </c>
      <c r="C44" s="69" t="s">
        <v>50</v>
      </c>
      <c r="D44" s="69">
        <f>D40+10*LOG10(D42)</f>
        <v>-92.350461590658156</v>
      </c>
      <c r="E44" s="69" t="s">
        <v>50</v>
      </c>
      <c r="F44" s="69">
        <f t="shared" si="16"/>
        <v>-96.42929824113456</v>
      </c>
      <c r="G44" s="69" t="s">
        <v>50</v>
      </c>
      <c r="H44" s="69">
        <f t="shared" si="17"/>
        <v>-92.350461590658156</v>
      </c>
      <c r="I44" s="69" t="s">
        <v>50</v>
      </c>
      <c r="J44" s="69" t="s">
        <v>50</v>
      </c>
      <c r="K44" s="69">
        <f>K40+10*LOG10(K42)</f>
        <v>-92.350461590658156</v>
      </c>
      <c r="L44" s="69" t="s">
        <v>50</v>
      </c>
      <c r="M44" s="69">
        <f t="shared" ref="M44" si="21">M40+10*LOG10(M42)</f>
        <v>-92.350461590658156</v>
      </c>
    </row>
    <row r="45" spans="1:13" ht="15">
      <c r="A45" s="17" t="s">
        <v>29</v>
      </c>
      <c r="B45" s="51" t="s">
        <v>50</v>
      </c>
      <c r="C45" s="82">
        <f>(-2.7-3.7)/2</f>
        <v>-3.2</v>
      </c>
      <c r="D45" s="83" t="s">
        <v>50</v>
      </c>
      <c r="E45" s="51">
        <v>4.2</v>
      </c>
      <c r="F45" s="52" t="s">
        <v>50</v>
      </c>
      <c r="G45" s="84">
        <f>(-2.7-3.8)/2</f>
        <v>-3.25</v>
      </c>
      <c r="H45" s="83" t="s">
        <v>50</v>
      </c>
      <c r="I45" s="52">
        <v>4.2</v>
      </c>
      <c r="J45" s="51">
        <v>-8.8000000000000007</v>
      </c>
      <c r="K45" s="53" t="s">
        <v>50</v>
      </c>
      <c r="L45" s="51">
        <v>-9</v>
      </c>
      <c r="M45" s="53" t="s">
        <v>50</v>
      </c>
    </row>
    <row r="46" spans="1:13" ht="15">
      <c r="A46" s="17" t="s">
        <v>30</v>
      </c>
      <c r="B46" s="51">
        <v>-2</v>
      </c>
      <c r="C46" s="83" t="s">
        <v>50</v>
      </c>
      <c r="D46" s="82">
        <f>(-2.5-2.7)/2</f>
        <v>-2.6</v>
      </c>
      <c r="E46" s="53" t="s">
        <v>50</v>
      </c>
      <c r="F46" s="52">
        <v>-1.9</v>
      </c>
      <c r="G46" s="83" t="s">
        <v>50</v>
      </c>
      <c r="H46" s="84">
        <f>(-2.4-2.7)/2</f>
        <v>-2.5499999999999998</v>
      </c>
      <c r="I46" s="53" t="s">
        <v>50</v>
      </c>
      <c r="J46" s="53" t="s">
        <v>50</v>
      </c>
      <c r="K46" s="51">
        <v>-6.5</v>
      </c>
      <c r="L46" s="53" t="s">
        <v>50</v>
      </c>
      <c r="M46" s="51">
        <v>-6.7</v>
      </c>
    </row>
    <row r="47" spans="1:13" ht="15">
      <c r="A47" s="17" t="s">
        <v>31</v>
      </c>
      <c r="B47" s="46">
        <v>2</v>
      </c>
      <c r="C47" s="29">
        <v>2</v>
      </c>
      <c r="D47" s="29">
        <v>2</v>
      </c>
      <c r="E47" s="29">
        <v>2</v>
      </c>
      <c r="F47" s="46">
        <v>2</v>
      </c>
      <c r="G47" s="29">
        <v>2</v>
      </c>
      <c r="H47" s="29">
        <v>2</v>
      </c>
      <c r="I47" s="29">
        <v>2</v>
      </c>
      <c r="J47" s="29">
        <v>2</v>
      </c>
      <c r="K47" s="29">
        <v>2</v>
      </c>
      <c r="L47" s="29">
        <v>2</v>
      </c>
      <c r="M47" s="29">
        <v>2</v>
      </c>
    </row>
    <row r="48" spans="1:13" ht="15">
      <c r="A48" s="17" t="s">
        <v>32</v>
      </c>
      <c r="B48" s="46" t="s">
        <v>50</v>
      </c>
      <c r="C48" s="29">
        <v>0</v>
      </c>
      <c r="D48" s="29" t="s">
        <v>50</v>
      </c>
      <c r="E48" s="29">
        <v>0</v>
      </c>
      <c r="F48" s="46" t="s">
        <v>50</v>
      </c>
      <c r="G48" s="29">
        <v>0</v>
      </c>
      <c r="H48" s="29" t="s">
        <v>50</v>
      </c>
      <c r="I48" s="29">
        <v>0</v>
      </c>
      <c r="J48" s="29">
        <v>0</v>
      </c>
      <c r="K48" s="29" t="s">
        <v>50</v>
      </c>
      <c r="L48" s="29">
        <v>0</v>
      </c>
      <c r="M48" s="29" t="s">
        <v>50</v>
      </c>
    </row>
    <row r="49" spans="1:13" ht="15">
      <c r="A49" s="17" t="s">
        <v>33</v>
      </c>
      <c r="B49" s="46">
        <v>0.5</v>
      </c>
      <c r="C49" s="29" t="s">
        <v>50</v>
      </c>
      <c r="D49" s="29">
        <v>0.5</v>
      </c>
      <c r="E49" s="29" t="s">
        <v>50</v>
      </c>
      <c r="F49" s="46">
        <v>0.5</v>
      </c>
      <c r="G49" s="29" t="s">
        <v>50</v>
      </c>
      <c r="H49" s="29">
        <v>0.5</v>
      </c>
      <c r="I49" s="29" t="s">
        <v>50</v>
      </c>
      <c r="J49" s="29" t="s">
        <v>50</v>
      </c>
      <c r="K49" s="29">
        <v>0.5</v>
      </c>
      <c r="L49" s="29" t="s">
        <v>50</v>
      </c>
      <c r="M49" s="29">
        <v>0.5</v>
      </c>
    </row>
    <row r="50" spans="1:13" ht="15">
      <c r="A50" s="21" t="s">
        <v>44</v>
      </c>
      <c r="B50" s="69" t="s">
        <v>50</v>
      </c>
      <c r="C50" s="69">
        <f t="shared" ref="C50:G50" si="22">C43+C45+C47-C48</f>
        <v>-93.550461590658159</v>
      </c>
      <c r="D50" s="69" t="s">
        <v>50</v>
      </c>
      <c r="E50" s="69">
        <f t="shared" ref="E50" si="23">E43+E45+E47-E48</f>
        <v>-99.195363892780321</v>
      </c>
      <c r="F50" s="69" t="s">
        <v>50</v>
      </c>
      <c r="G50" s="69">
        <f t="shared" si="22"/>
        <v>-93.600461590658156</v>
      </c>
      <c r="H50" s="69" t="s">
        <v>50</v>
      </c>
      <c r="I50" s="69">
        <f t="shared" ref="I50:J50" si="24">I43+I45+I47-I48</f>
        <v>-99.195363892780321</v>
      </c>
      <c r="J50" s="69">
        <f t="shared" si="24"/>
        <v>-99.150461590658153</v>
      </c>
      <c r="K50" s="69" t="s">
        <v>50</v>
      </c>
      <c r="L50" s="69">
        <f t="shared" ref="L50" si="25">L43+L45+L47-L48</f>
        <v>-99.350461590658156</v>
      </c>
      <c r="M50" s="69" t="s">
        <v>50</v>
      </c>
    </row>
    <row r="51" spans="1:13" ht="15">
      <c r="A51" s="21" t="s">
        <v>45</v>
      </c>
      <c r="B51" s="69">
        <f t="shared" ref="B51" si="26">B44+B46+B47-B49</f>
        <v>-96.92929824113456</v>
      </c>
      <c r="C51" s="69" t="s">
        <v>50</v>
      </c>
      <c r="D51" s="69">
        <f t="shared" ref="D51:H51" si="27">D44+D46+D47-D49</f>
        <v>-93.450461590658151</v>
      </c>
      <c r="E51" s="69" t="s">
        <v>50</v>
      </c>
      <c r="F51" s="69">
        <f t="shared" ref="F51" si="28">F44+F46+F47-F49</f>
        <v>-96.829298241134566</v>
      </c>
      <c r="G51" s="69" t="s">
        <v>50</v>
      </c>
      <c r="H51" s="69">
        <f t="shared" si="27"/>
        <v>-93.400461590658153</v>
      </c>
      <c r="I51" s="69" t="s">
        <v>50</v>
      </c>
      <c r="J51" s="69" t="s">
        <v>50</v>
      </c>
      <c r="K51" s="69">
        <f t="shared" ref="K51" si="29">K44+K46+K47-K49</f>
        <v>-97.350461590658156</v>
      </c>
      <c r="L51" s="69" t="s">
        <v>50</v>
      </c>
      <c r="M51" s="69">
        <f t="shared" ref="M51" si="30">M44+M46+M47-M49</f>
        <v>-97.550461590658159</v>
      </c>
    </row>
    <row r="52" spans="1:13" ht="15">
      <c r="A52" s="23" t="s">
        <v>87</v>
      </c>
      <c r="B52" s="69" t="s">
        <v>50</v>
      </c>
      <c r="C52" s="69">
        <f t="shared" ref="C52:G52" si="31">C27+C32+C33-C50</f>
        <v>159.6637611136961</v>
      </c>
      <c r="D52" s="69" t="s">
        <v>50</v>
      </c>
      <c r="E52" s="69">
        <f t="shared" ref="E52" si="32">E27+E32+E33-E50</f>
        <v>144.2468636759794</v>
      </c>
      <c r="F52" s="69" t="s">
        <v>50</v>
      </c>
      <c r="G52" s="69">
        <f t="shared" si="31"/>
        <v>159.71376111369608</v>
      </c>
      <c r="H52" s="69" t="s">
        <v>50</v>
      </c>
      <c r="I52" s="69">
        <f t="shared" ref="I52:J52" si="33">I27+I32+I33-I50</f>
        <v>144.2468636759794</v>
      </c>
      <c r="J52" s="69">
        <f t="shared" si="33"/>
        <v>165.26376111369609</v>
      </c>
      <c r="K52" s="69" t="s">
        <v>50</v>
      </c>
      <c r="L52" s="69">
        <f t="shared" ref="L52" si="34">L27+L32+L33-L50</f>
        <v>165.46376111369608</v>
      </c>
      <c r="M52" s="69" t="s">
        <v>50</v>
      </c>
    </row>
    <row r="53" spans="1:13" ht="15">
      <c r="A53" s="23" t="s">
        <v>88</v>
      </c>
      <c r="B53" s="69">
        <f t="shared" ref="B53" si="35">B28+B32+B33-B51</f>
        <v>141.98079802433364</v>
      </c>
      <c r="C53" s="69" t="s">
        <v>50</v>
      </c>
      <c r="D53" s="69">
        <f t="shared" ref="D53:H53" si="36">D28+D32+D33-D51</f>
        <v>159.5637611136961</v>
      </c>
      <c r="E53" s="69" t="s">
        <v>50</v>
      </c>
      <c r="F53" s="69">
        <f t="shared" ref="F53" si="37">F28+F32+F33-F51</f>
        <v>141.88079802433361</v>
      </c>
      <c r="G53" s="69" t="s">
        <v>50</v>
      </c>
      <c r="H53" s="69">
        <f t="shared" si="36"/>
        <v>159.51376111369609</v>
      </c>
      <c r="I53" s="69" t="s">
        <v>50</v>
      </c>
      <c r="J53" s="69" t="s">
        <v>50</v>
      </c>
      <c r="K53" s="69">
        <f t="shared" ref="K53" si="38">K28+K32+K33-K51</f>
        <v>163.46376111369608</v>
      </c>
      <c r="L53" s="69" t="s">
        <v>50</v>
      </c>
      <c r="M53" s="69">
        <f t="shared" ref="M53" si="39">M28+M32+M33-M51</f>
        <v>163.6637611136961</v>
      </c>
    </row>
    <row r="54" spans="1:13">
      <c r="A54" s="16" t="s">
        <v>34</v>
      </c>
      <c r="B54" s="28"/>
      <c r="C54" s="28"/>
      <c r="D54" s="28"/>
      <c r="E54" s="28"/>
      <c r="F54" s="28"/>
      <c r="G54" s="28"/>
      <c r="H54" s="28"/>
      <c r="I54" s="28"/>
      <c r="J54" s="28"/>
      <c r="K54" s="28"/>
      <c r="L54" s="28"/>
      <c r="M54" s="28"/>
    </row>
    <row r="55" spans="1:13" ht="15">
      <c r="A55" s="17" t="s">
        <v>35</v>
      </c>
      <c r="B55" s="30">
        <v>6</v>
      </c>
      <c r="C55" s="54">
        <v>6</v>
      </c>
      <c r="D55" s="53">
        <v>6</v>
      </c>
      <c r="E55" s="30">
        <v>6</v>
      </c>
      <c r="F55" s="83">
        <v>7</v>
      </c>
      <c r="G55" s="83">
        <v>7</v>
      </c>
      <c r="H55" s="83">
        <v>7</v>
      </c>
      <c r="I55" s="83">
        <v>7</v>
      </c>
      <c r="J55" s="53">
        <v>4</v>
      </c>
      <c r="K55" s="53">
        <v>4</v>
      </c>
      <c r="L55" s="53">
        <v>7</v>
      </c>
      <c r="M55" s="53">
        <v>7</v>
      </c>
    </row>
    <row r="56" spans="1:13" ht="30">
      <c r="A56" s="17" t="s">
        <v>36</v>
      </c>
      <c r="B56" s="29" t="s">
        <v>50</v>
      </c>
      <c r="C56" s="83">
        <f>(5.54+5.6)/2</f>
        <v>5.57</v>
      </c>
      <c r="D56" s="83" t="s">
        <v>50</v>
      </c>
      <c r="E56" s="83">
        <f>(5.54+5.6)/2</f>
        <v>5.57</v>
      </c>
      <c r="F56" s="29" t="s">
        <v>50</v>
      </c>
      <c r="G56" s="83">
        <f>(9.4+8.71)/2</f>
        <v>9.0549999999999997</v>
      </c>
      <c r="H56" s="83" t="s">
        <v>50</v>
      </c>
      <c r="I56" s="83">
        <f>(9.4+8.71)/2</f>
        <v>9.0549999999999997</v>
      </c>
      <c r="J56" s="53">
        <v>2.96</v>
      </c>
      <c r="K56" s="53" t="s">
        <v>50</v>
      </c>
      <c r="L56" s="53">
        <v>8.7100000000000009</v>
      </c>
      <c r="M56" s="53" t="s">
        <v>50</v>
      </c>
    </row>
    <row r="57" spans="1:13" ht="30">
      <c r="A57" s="17" t="s">
        <v>37</v>
      </c>
      <c r="B57" s="83">
        <f>(2.98+3.03)/2</f>
        <v>3.0049999999999999</v>
      </c>
      <c r="C57" s="83" t="s">
        <v>50</v>
      </c>
      <c r="D57" s="83">
        <f>(2.98+3.03)/2</f>
        <v>3.0049999999999999</v>
      </c>
      <c r="E57" s="30" t="s">
        <v>50</v>
      </c>
      <c r="F57" s="83">
        <f>(5.89+5.29)/2</f>
        <v>5.59</v>
      </c>
      <c r="G57" s="83" t="s">
        <v>50</v>
      </c>
      <c r="H57" s="83">
        <f>(5.89+5.29)/2</f>
        <v>5.59</v>
      </c>
      <c r="I57" s="30" t="s">
        <v>50</v>
      </c>
      <c r="J57" s="53" t="s">
        <v>50</v>
      </c>
      <c r="K57" s="53">
        <v>1.1200000000000001</v>
      </c>
      <c r="L57" s="53" t="s">
        <v>50</v>
      </c>
      <c r="M57" s="53">
        <v>5.29</v>
      </c>
    </row>
    <row r="58" spans="1:13" ht="15">
      <c r="A58" s="17" t="s">
        <v>38</v>
      </c>
      <c r="B58" s="30">
        <v>0</v>
      </c>
      <c r="C58" s="54">
        <v>0</v>
      </c>
      <c r="D58" s="53">
        <v>0</v>
      </c>
      <c r="E58" s="30">
        <v>0</v>
      </c>
      <c r="F58" s="30">
        <v>0</v>
      </c>
      <c r="G58" s="54">
        <v>0</v>
      </c>
      <c r="H58" s="54">
        <v>0</v>
      </c>
      <c r="I58" s="30">
        <v>0</v>
      </c>
      <c r="J58" s="54">
        <v>0</v>
      </c>
      <c r="K58" s="53">
        <v>0</v>
      </c>
      <c r="L58" s="54">
        <v>0</v>
      </c>
      <c r="M58" s="54">
        <v>0</v>
      </c>
    </row>
    <row r="59" spans="1:13" ht="15">
      <c r="A59" s="17" t="s">
        <v>164</v>
      </c>
      <c r="B59" s="87">
        <v>0</v>
      </c>
      <c r="C59" s="53">
        <v>0</v>
      </c>
      <c r="D59" s="53">
        <v>0</v>
      </c>
      <c r="E59" s="87">
        <v>0</v>
      </c>
      <c r="F59" s="29">
        <f>10.24+0.5*25/3</f>
        <v>14.406666666666666</v>
      </c>
      <c r="G59" s="53">
        <v>14.4</v>
      </c>
      <c r="H59" s="53">
        <v>14.4</v>
      </c>
      <c r="I59" s="29">
        <f>10.24+0.5*25/3</f>
        <v>14.406666666666666</v>
      </c>
      <c r="J59" s="53">
        <v>0</v>
      </c>
      <c r="K59" s="53">
        <v>0</v>
      </c>
      <c r="L59" s="53">
        <v>14.4</v>
      </c>
      <c r="M59" s="53">
        <v>14.4</v>
      </c>
    </row>
    <row r="60" spans="1:13" ht="15">
      <c r="A60" s="17" t="s">
        <v>40</v>
      </c>
      <c r="B60" s="30">
        <v>0</v>
      </c>
      <c r="C60" s="54">
        <v>0</v>
      </c>
      <c r="D60" s="53">
        <v>0</v>
      </c>
      <c r="E60" s="30">
        <v>0</v>
      </c>
      <c r="F60" s="30">
        <v>0</v>
      </c>
      <c r="G60" s="54">
        <v>0</v>
      </c>
      <c r="H60" s="54">
        <v>0</v>
      </c>
      <c r="I60" s="30">
        <v>0</v>
      </c>
      <c r="J60" s="54">
        <v>0</v>
      </c>
      <c r="K60" s="53">
        <v>0</v>
      </c>
      <c r="L60" s="54">
        <v>0</v>
      </c>
      <c r="M60" s="54">
        <v>0</v>
      </c>
    </row>
    <row r="61" spans="1:13" ht="30">
      <c r="A61" s="21" t="s">
        <v>49</v>
      </c>
      <c r="B61" s="69" t="s">
        <v>50</v>
      </c>
      <c r="C61" s="69">
        <f t="shared" ref="C61:G61" si="40">C52-C56+C58-C59+C60-C34</f>
        <v>153.0937611136961</v>
      </c>
      <c r="D61" s="69" t="s">
        <v>50</v>
      </c>
      <c r="E61" s="69">
        <f t="shared" ref="E61" si="41">E52-E56+E58-E59+E60-E34</f>
        <v>135.6768636759794</v>
      </c>
      <c r="F61" s="69" t="s">
        <v>50</v>
      </c>
      <c r="G61" s="69">
        <f t="shared" si="40"/>
        <v>135.25876111369607</v>
      </c>
      <c r="H61" s="69" t="s">
        <v>50</v>
      </c>
      <c r="I61" s="69">
        <f t="shared" ref="I61" si="42">I52-I56+I58-I59+I60-I34</f>
        <v>117.78519700931272</v>
      </c>
      <c r="J61" s="69">
        <f>J52-J56+J58-J59+J60-J34</f>
        <v>161.30376111369608</v>
      </c>
      <c r="K61" s="69" t="s">
        <v>50</v>
      </c>
      <c r="L61" s="69">
        <f>L52-L56+L58-L59+L60-L34</f>
        <v>141.35376111369607</v>
      </c>
      <c r="M61" s="69" t="s">
        <v>50</v>
      </c>
    </row>
    <row r="62" spans="1:13" ht="30">
      <c r="A62" s="21" t="s">
        <v>46</v>
      </c>
      <c r="B62" s="69">
        <f t="shared" ref="B62" si="43">B53-B57+B58-B59+B60-B34</f>
        <v>135.97579802433364</v>
      </c>
      <c r="C62" s="69" t="s">
        <v>50</v>
      </c>
      <c r="D62" s="69">
        <f t="shared" ref="D62:H62" si="44">D53-D57+D58-D59+D60-D34</f>
        <v>155.55876111369611</v>
      </c>
      <c r="E62" s="69" t="s">
        <v>50</v>
      </c>
      <c r="F62" s="69">
        <f t="shared" ref="F62" si="45">F53-F57+F58-F59+F60-F34</f>
        <v>118.88413135766694</v>
      </c>
      <c r="G62" s="69" t="s">
        <v>50</v>
      </c>
      <c r="H62" s="69">
        <f t="shared" si="44"/>
        <v>138.52376111369608</v>
      </c>
      <c r="I62" s="69" t="s">
        <v>50</v>
      </c>
      <c r="J62" s="69" t="s">
        <v>50</v>
      </c>
      <c r="K62" s="69">
        <f>K53-K57+K58-K59+K60-K34</f>
        <v>161.34376111369608</v>
      </c>
      <c r="L62" s="69" t="s">
        <v>50</v>
      </c>
      <c r="M62" s="69">
        <f>M53-M57+M58-M59+M60-M34</f>
        <v>142.9737611136961</v>
      </c>
    </row>
    <row r="63" spans="1:13">
      <c r="A63" s="16" t="s">
        <v>41</v>
      </c>
      <c r="B63" s="28"/>
      <c r="C63" s="28"/>
      <c r="D63" s="28"/>
      <c r="E63" s="28"/>
      <c r="F63" s="28"/>
      <c r="G63" s="28"/>
      <c r="H63" s="28"/>
      <c r="I63" s="28"/>
      <c r="J63" s="28"/>
      <c r="K63" s="28"/>
      <c r="L63" s="28"/>
      <c r="M63" s="28"/>
    </row>
    <row r="64" spans="1:13" ht="30">
      <c r="A64" s="25" t="s">
        <v>42</v>
      </c>
      <c r="B64" s="30"/>
      <c r="C64" s="30">
        <f>10^((C61-13.54-20*LOG10(C$4)+0.6*(C$6-1.5))/39.08)</f>
        <v>1831.7230383591802</v>
      </c>
      <c r="D64" s="30"/>
      <c r="E64" s="30">
        <f>10^((E61-13.54-20*LOG10(E$4)+0.6*(E$6-1.5))/39.08)</f>
        <v>656.42769342159602</v>
      </c>
      <c r="F64" s="30"/>
      <c r="G64" s="30">
        <f>10^((G61-13.54-20*LOG10(G$4)+0.6*(G$6-1.5))/39.08)</f>
        <v>640.4544716045915</v>
      </c>
      <c r="H64" s="30"/>
      <c r="I64" s="30">
        <f>10^((I61-13.54-20*LOG10(I$4)+0.6*(I$6-1.5))/39.08)</f>
        <v>228.75222774242445</v>
      </c>
      <c r="J64" s="30">
        <f>10^((J61-161.04+7.1*LOG10(20)-7.5*LOG10(20)+(24.37-3.7*(20/J5)^2)*LOG10(J5)-20*LOG10(J4)+(3.2*(LOG10(17.625))^2-4.97)+0.6*(J6-1.5))/(43.42-3.1*LOG10(J5))+3)</f>
        <v>2966.5666304283313</v>
      </c>
      <c r="K64" s="30" t="s">
        <v>50</v>
      </c>
      <c r="L64" s="30">
        <f>10^((L61-161.04+7.1*LOG10(20)-7.5*LOG10(20)+(24.37-3.7*(20/L5)^2)*LOG10(L5)-20*LOG10(L4)+(3.2*(LOG10(17.625))^2-4.97)+0.6*(L6-1.5))/(43.42-3.1*LOG10(L5))+3)</f>
        <v>915.89610459033588</v>
      </c>
      <c r="M64" s="30" t="s">
        <v>50</v>
      </c>
    </row>
    <row r="65" spans="1:13" ht="30">
      <c r="A65" s="25" t="s">
        <v>43</v>
      </c>
      <c r="B65" s="30">
        <f>10^((B62-13.54-20*LOG10(B$4)+0.6*(B$6-1.5))/39.08)</f>
        <v>668.09187059741657</v>
      </c>
      <c r="C65" s="30" t="s">
        <v>82</v>
      </c>
      <c r="D65" s="30">
        <f>10^((D62-13.54-20*LOG10(D$4)+0.6*(D$6-1.5))/39.08)</f>
        <v>2118.0467895158108</v>
      </c>
      <c r="E65" s="30" t="s">
        <v>82</v>
      </c>
      <c r="F65" s="30">
        <f>10^((F62-13.54-20*LOG10(F$4)+0.6*(F$6-1.5))/39.08)</f>
        <v>244.05373231612003</v>
      </c>
      <c r="G65" s="30" t="s">
        <v>82</v>
      </c>
      <c r="H65" s="30">
        <f>10^((H62-13.54-20*LOG10(H$4)+0.6*(H$6-1.5))/39.08)</f>
        <v>776.30937937764236</v>
      </c>
      <c r="I65" s="30" t="s">
        <v>82</v>
      </c>
      <c r="J65" s="30" t="s">
        <v>50</v>
      </c>
      <c r="K65" s="30">
        <f>10^((K62-161.04+7.1*LOG10(20)-7.5*LOG10(20)+(24.37-3.7*(20/K5)^2)*LOG10(K5)-20*LOG10(K4)+(3.2*(LOG10(17.625))^2-4.97)+0.6*(K6-1.5))/(43.42-3.1*LOG10(K5))+3)</f>
        <v>2973.5653091677796</v>
      </c>
      <c r="L65" s="30" t="s">
        <v>50</v>
      </c>
      <c r="M65" s="30">
        <f>10^((M62-161.04+7.1*LOG10(20)-7.5*LOG10(20)+(24.37-3.7*(20/M5)^2)*LOG10(M5)-20*LOG10(M4)+(3.2*(LOG10(17.625))^2-4.97)+0.6*(M6-1.5))/(43.42-3.1*LOG10(M5))+3)</f>
        <v>1007.610925926543</v>
      </c>
    </row>
    <row r="66" spans="1:13" ht="18">
      <c r="A66" s="25" t="s">
        <v>90</v>
      </c>
      <c r="B66" s="30" t="s">
        <v>50</v>
      </c>
      <c r="C66" s="30">
        <f>PI()*(C64)^2</f>
        <v>10540700.854382211</v>
      </c>
      <c r="D66" s="30" t="s">
        <v>50</v>
      </c>
      <c r="E66" s="30">
        <f>PI()*(E64)^2</f>
        <v>1353703.844567362</v>
      </c>
      <c r="F66" s="30" t="s">
        <v>50</v>
      </c>
      <c r="G66" s="30">
        <f>PI()*(G64)^2</f>
        <v>1288624.5385463126</v>
      </c>
      <c r="H66" s="30" t="s">
        <v>50</v>
      </c>
      <c r="I66" s="30">
        <f>PI()*(I64)^2</f>
        <v>164391.94623979827</v>
      </c>
      <c r="J66" s="81">
        <f>PI()*(J64)^2</f>
        <v>27647641.354404945</v>
      </c>
      <c r="K66" s="81" t="s">
        <v>50</v>
      </c>
      <c r="L66" s="81">
        <f>PI()*(L64)^2</f>
        <v>2635374.2400554731</v>
      </c>
      <c r="M66" s="81" t="s">
        <v>50</v>
      </c>
    </row>
    <row r="67" spans="1:13" ht="18">
      <c r="A67" s="25" t="s">
        <v>91</v>
      </c>
      <c r="B67" s="30">
        <f>PI()*(B65)^2</f>
        <v>1402239.6630830267</v>
      </c>
      <c r="C67" s="30" t="s">
        <v>50</v>
      </c>
      <c r="D67" s="30">
        <f>PI()*(D65)^2</f>
        <v>14093568.554725841</v>
      </c>
      <c r="E67" s="30" t="s">
        <v>50</v>
      </c>
      <c r="F67" s="30">
        <f>PI()*(F65)^2</f>
        <v>187120.24615860474</v>
      </c>
      <c r="G67" s="30" t="s">
        <v>50</v>
      </c>
      <c r="H67" s="30">
        <f>PI()*(H65)^2</f>
        <v>1893300.4555244297</v>
      </c>
      <c r="I67" s="30" t="s">
        <v>50</v>
      </c>
      <c r="J67" s="81" t="s">
        <v>50</v>
      </c>
      <c r="K67" s="81">
        <f>PI()*(K65)^2</f>
        <v>27778247.021773901</v>
      </c>
      <c r="L67" s="81" t="s">
        <v>50</v>
      </c>
      <c r="M67" s="81">
        <f>PI()*(M65)^2</f>
        <v>3189595.4920493024</v>
      </c>
    </row>
    <row r="69" spans="1:13">
      <c r="D69" s="49"/>
      <c r="G69" s="49"/>
      <c r="H69" s="49"/>
    </row>
    <row r="71" spans="1:13" ht="15">
      <c r="A71" s="25"/>
      <c r="C71" s="40"/>
      <c r="D71" s="40"/>
      <c r="G71" s="41"/>
      <c r="H71" s="41"/>
    </row>
    <row r="72" spans="1:13" ht="15">
      <c r="A72" s="39"/>
      <c r="C72" s="40"/>
      <c r="D72" s="40"/>
      <c r="G72" s="41"/>
      <c r="H72" s="41"/>
    </row>
  </sheetData>
  <mergeCells count="5">
    <mergeCell ref="C1:D1"/>
    <mergeCell ref="E1:F1"/>
    <mergeCell ref="G1:H1"/>
    <mergeCell ref="J1:K1"/>
    <mergeCell ref="L1:M1"/>
  </mergeCells>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Notes</vt:lpstr>
      <vt:lpstr>InH-eMBB (4GHz, DSUUD)</vt:lpstr>
      <vt:lpstr>DU-eMBB (4GHz, DSUUD)</vt:lpstr>
      <vt:lpstr>Rural-eMBB (700MHz, FDD)</vt:lpstr>
      <vt:lpstr>Rural-LMLC (700 MHZ, DSUUD)</vt:lpstr>
      <vt:lpstr>Rural-eMBB (700MHz, DSUUD)</vt:lpstr>
      <vt:lpstr>Rural-eMBB (4GHz, DSUUD)</vt:lpstr>
      <vt:lpstr>UMa-URLLC (700MHz )</vt:lpstr>
      <vt:lpstr>UMa-URLLC (4GHz ) </vt:lpstr>
      <vt:lpstr>Uma-mMTC (IOT)</vt:lpstr>
      <vt:lpstr>MaxN_RB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TSDSI Link Budget Template</dc:title>
  <dc:subject/>
  <dc:creator>TSDSI</dc:creator>
  <cp:keywords/>
  <dc:description/>
  <cp:lastModifiedBy>Soto Romero, Alicia</cp:lastModifiedBy>
  <cp:lastPrinted>2006-01-19T03:50:08Z</cp:lastPrinted>
  <dcterms:created xsi:type="dcterms:W3CDTF">2003-11-11T03:59:45Z</dcterms:created>
  <dcterms:modified xsi:type="dcterms:W3CDTF">2019-09-10T15:35:12Z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(3)UIFUvB6xvA3cg2fdGu/aYPxvXH45ROj3EbGCKyZ4+WVkTFppKHKgX6T6hopkFUjq/fiaE7sh
K/fOZo8FGpaExIPzKAQC7/SZ2dZTqy1D8JF6mEJoZdEuMsH7VJsFAMqZlQLyE5uaDzOVo0jp
fJA9ZfVz4J5AY0tCxFmmLIDHMQqJx9sT/QBOk7apzN5qHeSFJQqwR04oXvP6r+CptrFIT3uw
qXGpYLXc8Vha62Ulk8</vt:lpwstr>
  </property>
  <property fmtid="{D5CDD505-2E9C-101B-9397-08002B2CF9AE}" pid="7" name="_2015_ms_pID_7253431">
    <vt:lpwstr>bZ6+rZtMAVuFmYq/U8ziZDnSSW4M8UzQxjV0YHKgKPEVL2y4UqH/X4
Xf1i2dpAVP4tA3DzxBImyRkZbIsx5PsE3NRDUZ8HBl0jJslaudF8LTHbFKCQodKI0KQ2IsXF
IFJOFgCCwA+3ARpIqBCEDEtySHc+kGzUIwBpepZjm5gwKkx2JWhUy/aEBCQH/OT+5h0OyJ/U
qPnb3yaltWoyc0tnbo+kzaeQ3cE3hhjxXw2b</vt:lpwstr>
  </property>
  <property fmtid="{D5CDD505-2E9C-101B-9397-08002B2CF9AE}" pid="8" name="_2015_ms_pID_7253432">
    <vt:lpwstr>P88TBe5Scp+2XdssS6rJ6dM=</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1558400932</vt:lpwstr>
  </property>
</Properties>
</file>