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export.xls" sheetId="1" r:id="rId4"/>
  </sheets>
</workbook>
</file>

<file path=xl/sharedStrings.xml><?xml version="1.0" encoding="utf-8"?>
<sst xmlns="http://schemas.openxmlformats.org/spreadsheetml/2006/main" uniqueCount="588">
  <si>
    <t>export.xls</t>
  </si>
  <si>
    <t>Item</t>
  </si>
  <si>
    <t>Pack</t>
  </si>
  <si>
    <t>Size</t>
  </si>
  <si>
    <t>Brand</t>
  </si>
  <si>
    <t>Description</t>
  </si>
  <si>
    <t>N/S</t>
  </si>
  <si>
    <t>Case</t>
  </si>
  <si>
    <t>Each</t>
  </si>
  <si>
    <t>Price</t>
  </si>
  <si>
    <t>Portion Cost</t>
  </si>
  <si>
    <t>B/C Price</t>
  </si>
  <si>
    <t>Prev</t>
  </si>
  <si>
    <t>Last Date</t>
  </si>
  <si>
    <t>Ext Price</t>
  </si>
  <si>
    <t>3483724</t>
  </si>
  <si>
    <t>11KG</t>
  </si>
  <si>
    <t>MKZ CLS</t>
  </si>
  <si>
    <t>CHEESE FETA TRDTNL CDN</t>
  </si>
  <si>
    <t xml:space="preserve"> </t>
  </si>
  <si>
    <t>10/10/2019</t>
  </si>
  <si>
    <t>4628830</t>
  </si>
  <si>
    <t>1 KG</t>
  </si>
  <si>
    <t>BBRLIMP</t>
  </si>
  <si>
    <t>CHEESE GOAT MILK ORIG CDN</t>
  </si>
  <si>
    <t>11/05/2019</t>
  </si>
  <si>
    <t>0509505</t>
  </si>
  <si>
    <t>2.27KG</t>
  </si>
  <si>
    <t>SYS REL</t>
  </si>
  <si>
    <t>CHEESE SHRD PROD MOZZARELA CDN</t>
  </si>
  <si>
    <t>7602255</t>
  </si>
  <si>
    <t>AREZZIO</t>
  </si>
  <si>
    <t>CHEESE PARMESAN SHREDDED CDN</t>
  </si>
  <si>
    <t>4734667</t>
  </si>
  <si>
    <t>10KG</t>
  </si>
  <si>
    <t>SYS CLS</t>
  </si>
  <si>
    <t>MARGARINE CANOLA SFT NH LTB</t>
  </si>
  <si>
    <t>11/04/2019</t>
  </si>
  <si>
    <t>5014089</t>
  </si>
  <si>
    <t>15 KG</t>
  </si>
  <si>
    <t>OLYMPIC</t>
  </si>
  <si>
    <t>YOGURT PLAIN NAT BALKAN STY</t>
  </si>
  <si>
    <t>10/29/2019</t>
  </si>
  <si>
    <t>9997701</t>
  </si>
  <si>
    <t>15 DZ</t>
  </si>
  <si>
    <t>WHLFARM</t>
  </si>
  <si>
    <t>EGG SHELL LG WHT CANADA GR A</t>
  </si>
  <si>
    <t>4024301</t>
  </si>
  <si>
    <t>4PC</t>
  </si>
  <si>
    <t>BCHBLKC</t>
  </si>
  <si>
    <t>BEEF BRISKET AA CDN</t>
  </si>
  <si>
    <t>4599033</t>
  </si>
  <si>
    <t>5LB</t>
  </si>
  <si>
    <t>FRFIMPC</t>
  </si>
  <si>
    <t>BEEF GROUND 86/14</t>
  </si>
  <si>
    <t>5353600</t>
  </si>
  <si>
    <t>10LB</t>
  </si>
  <si>
    <t>PORTCLS</t>
  </si>
  <si>
    <t>BASA FILET 6/8 OZ</t>
  </si>
  <si>
    <t>2614265</t>
  </si>
  <si>
    <t>1KG</t>
  </si>
  <si>
    <t>FREYBE</t>
  </si>
  <si>
    <t>SAUSAGE CHORIZO WINE</t>
  </si>
  <si>
    <t>10/21/2019</t>
  </si>
  <si>
    <t>5126119</t>
  </si>
  <si>
    <t>MIRABEL</t>
  </si>
  <si>
    <t>SHRIMP RAW P&amp;D 90/130 TOFF WHT</t>
  </si>
  <si>
    <t>09/19/2019</t>
  </si>
  <si>
    <t>9221789</t>
  </si>
  <si>
    <t>4 KG</t>
  </si>
  <si>
    <t>CHICKEN BRST IQF B/S RNDM</t>
  </si>
  <si>
    <t>3901085</t>
  </si>
  <si>
    <t>CHICKEN THIGH B/LESS SK/LESS</t>
  </si>
  <si>
    <t>5046725</t>
  </si>
  <si>
    <t>1.25KG</t>
  </si>
  <si>
    <t>BTRBALL</t>
  </si>
  <si>
    <t>BACON TURKEY SLI WHL MUSCLE</t>
  </si>
  <si>
    <t>10/08/2019</t>
  </si>
  <si>
    <t>6238564</t>
  </si>
  <si>
    <t>2.5 KG</t>
  </si>
  <si>
    <t>OLYMEL</t>
  </si>
  <si>
    <t>TURKEY GROUND EXTRA LEAN</t>
  </si>
  <si>
    <t>5268539</t>
  </si>
  <si>
    <t>12CT</t>
  </si>
  <si>
    <t>CASASOL</t>
  </si>
  <si>
    <t>TORTILLA FLOUR WHT 10 IN</t>
  </si>
  <si>
    <t>2862472</t>
  </si>
  <si>
    <t>1 DZ</t>
  </si>
  <si>
    <t>ELTORTO</t>
  </si>
  <si>
    <t>TORTILLA FLOUR ROMA RED 10</t>
  </si>
  <si>
    <t>09/17/2019</t>
  </si>
  <si>
    <t>2862720</t>
  </si>
  <si>
    <t>="TORTILLA FLOUR 10" SPINACH"</t>
  </si>
  <si>
    <t>2862969</t>
  </si>
  <si>
    <t>="TORTILLA FLOUR 10" WHL WHEAT"</t>
  </si>
  <si>
    <t>2495640</t>
  </si>
  <si>
    <t>2 KG</t>
  </si>
  <si>
    <t>CORN SWEET SUPER SWEET CDN</t>
  </si>
  <si>
    <t>09/24/2019</t>
  </si>
  <si>
    <t>9988932</t>
  </si>
  <si>
    <t>CARROT DICED</t>
  </si>
  <si>
    <t>08/06/2019</t>
  </si>
  <si>
    <t>7674534</t>
  </si>
  <si>
    <t>PEA GREEN CAN</t>
  </si>
  <si>
    <t>09/10/2019</t>
  </si>
  <si>
    <t>8001067</t>
  </si>
  <si>
    <t>5 KG</t>
  </si>
  <si>
    <t>SYS IMP</t>
  </si>
  <si>
    <t>BLUEBERRY WILD IQF</t>
  </si>
  <si>
    <t>0045328</t>
  </si>
  <si>
    <t>OMSTEAD</t>
  </si>
  <si>
    <t>STRAWBERRY IQF</t>
  </si>
  <si>
    <t>5268552</t>
  </si>
  <si>
    <t>TORTILLA FLOUR WHT 12 IN</t>
  </si>
  <si>
    <t>5268572</t>
  </si>
  <si>
    <t>TORTILLA SPINACH 12 IN</t>
  </si>
  <si>
    <t>5268547</t>
  </si>
  <si>
    <t>TORTILLA TOMATO 12 IN</t>
  </si>
  <si>
    <t>2862308</t>
  </si>
  <si>
    <t>="TORTILLA FLOUR 12" CHS"</t>
  </si>
  <si>
    <t>0244699</t>
  </si>
  <si>
    <t>1.5 KG</t>
  </si>
  <si>
    <t>DAVROB</t>
  </si>
  <si>
    <t>ALMOND NATURAL WHL</t>
  </si>
  <si>
    <t>6132881</t>
  </si>
  <si>
    <t>ALMOND BLNCHD SLI CDN</t>
  </si>
  <si>
    <t>07/23/2019</t>
  </si>
  <si>
    <t>0611335</t>
  </si>
  <si>
    <t>2.42 LT</t>
  </si>
  <si>
    <t>ARTICHOKE HEART QTR CANADA</t>
  </si>
  <si>
    <t>0.614/ML</t>
  </si>
  <si>
    <t>5277166</t>
  </si>
  <si>
    <t>5KG</t>
  </si>
  <si>
    <t>POWDER BAKING DBL ACTION</t>
  </si>
  <si>
    <t>02/05/2019</t>
  </si>
  <si>
    <t>5221970</t>
  </si>
  <si>
    <t>2.84L</t>
  </si>
  <si>
    <t>BEAN KIDNEY DARK RED</t>
  </si>
  <si>
    <t>I</t>
  </si>
  <si>
    <t>03/05/2019</t>
  </si>
  <si>
    <t>0822694</t>
  </si>
  <si>
    <t>2.84LT</t>
  </si>
  <si>
    <t>ITALISS</t>
  </si>
  <si>
    <t>BEAN CHICKPEA GARBANZO</t>
  </si>
  <si>
    <t>5221957</t>
  </si>
  <si>
    <t>BEAN BLACK</t>
  </si>
  <si>
    <t>10/22/2019</t>
  </si>
  <si>
    <t>2294744</t>
  </si>
  <si>
    <t>10 KG</t>
  </si>
  <si>
    <t>CORN MEAL BULK</t>
  </si>
  <si>
    <t>6343907</t>
  </si>
  <si>
    <t>1.36KG</t>
  </si>
  <si>
    <t>OCNSPRY</t>
  </si>
  <si>
    <t>CRANBERRY DRIED CRAISINS</t>
  </si>
  <si>
    <t>7866296</t>
  </si>
  <si>
    <t>CASHEW WHOLE RAW CANADA</t>
  </si>
  <si>
    <t>04/09/2019</t>
  </si>
  <si>
    <t>7866700</t>
  </si>
  <si>
    <t>COCOA PWDR 10/12% CANADA</t>
  </si>
  <si>
    <t>1060897</t>
  </si>
  <si>
    <t>3.78LT</t>
  </si>
  <si>
    <t>HELLMAN</t>
  </si>
  <si>
    <t>DRESSING SUNDRIED TOM PESTO GF</t>
  </si>
  <si>
    <t>S</t>
  </si>
  <si>
    <t>4978319</t>
  </si>
  <si>
    <t>16 LT</t>
  </si>
  <si>
    <t>RSVP</t>
  </si>
  <si>
    <t>DRESSING MAYONNAISE PAIL</t>
  </si>
  <si>
    <t>0349555</t>
  </si>
  <si>
    <t>4 L</t>
  </si>
  <si>
    <t>CLUBHSE</t>
  </si>
  <si>
    <t>EXTRACT VANILLA ARTIF</t>
  </si>
  <si>
    <t>10/07/2019</t>
  </si>
  <si>
    <t>4029120</t>
  </si>
  <si>
    <t>HONEY PURE GOLDEN LIQ</t>
  </si>
  <si>
    <t>5311366</t>
  </si>
  <si>
    <t>KETCHUP POUCH-PK</t>
  </si>
  <si>
    <t>5005006</t>
  </si>
  <si>
    <t>SUCCESS</t>
  </si>
  <si>
    <t>MILK COCONUT</t>
  </si>
  <si>
    <t>2900819</t>
  </si>
  <si>
    <t>25 KG</t>
  </si>
  <si>
    <t>ROGERS</t>
  </si>
  <si>
    <t>MOLASSES FANCY PAIL BLACKSTRAP</t>
  </si>
  <si>
    <t>7271509</t>
  </si>
  <si>
    <t>2.9 LT</t>
  </si>
  <si>
    <t>FRENCHS</t>
  </si>
  <si>
    <t>MUSTARD YELLOW</t>
  </si>
  <si>
    <t>02/28/2019</t>
  </si>
  <si>
    <t>8991713</t>
  </si>
  <si>
    <t>5 LTR</t>
  </si>
  <si>
    <t>INTLIMP</t>
  </si>
  <si>
    <t>MUSTARD DIJON CDN</t>
  </si>
  <si>
    <t>2932168</t>
  </si>
  <si>
    <t>4625ML</t>
  </si>
  <si>
    <t>FLEUDJN</t>
  </si>
  <si>
    <t>MUSTARD DIJON STRONG</t>
  </si>
  <si>
    <t>05/28/2019</t>
  </si>
  <si>
    <t>2987980</t>
  </si>
  <si>
    <t>454 GM</t>
  </si>
  <si>
    <t>KEENS</t>
  </si>
  <si>
    <t>MUSTARD DRY 1 LB</t>
  </si>
  <si>
    <t>07/02/2019</t>
  </si>
  <si>
    <t>7354269</t>
  </si>
  <si>
    <t>2.8LT</t>
  </si>
  <si>
    <t>KONTIKI</t>
  </si>
  <si>
    <t>ORANGE MANDARIN IN JUICE</t>
  </si>
  <si>
    <t>08/22/2019</t>
  </si>
  <si>
    <t>0717381</t>
  </si>
  <si>
    <t>BUNGE</t>
  </si>
  <si>
    <t>OIL COCONUT KOKOHEART 23</t>
  </si>
  <si>
    <t>1484567</t>
  </si>
  <si>
    <t>16 LTR</t>
  </si>
  <si>
    <t>OIL CANOLA JIB</t>
  </si>
  <si>
    <t>5944299</t>
  </si>
  <si>
    <t>KRINOS</t>
  </si>
  <si>
    <t>OLIVE KALAMATA PITTED</t>
  </si>
  <si>
    <t>8661567</t>
  </si>
  <si>
    <t>250 ML</t>
  </si>
  <si>
    <t>OIL TRUFFLE EXTRA VIRGIN</t>
  </si>
  <si>
    <t>10/28/2019</t>
  </si>
  <si>
    <t>7303324</t>
  </si>
  <si>
    <t>3 L</t>
  </si>
  <si>
    <t>OIL OLIVE POMACE CAN</t>
  </si>
  <si>
    <t>0.162/OZ</t>
  </si>
  <si>
    <t>5320229</t>
  </si>
  <si>
    <t>7 OZ</t>
  </si>
  <si>
    <t>SAN MAR</t>
  </si>
  <si>
    <t>PEPPER CHIPOTLE IN ADOBO SAUCE</t>
  </si>
  <si>
    <t>4899373</t>
  </si>
  <si>
    <t>1 GAL</t>
  </si>
  <si>
    <t>LEE KUM</t>
  </si>
  <si>
    <t>OIL SESAME SEED PURE</t>
  </si>
  <si>
    <t>2638660</t>
  </si>
  <si>
    <t>136 OZ</t>
  </si>
  <si>
    <t>HUYFONG</t>
  </si>
  <si>
    <t>PASTE CHILI GRND SAMBAL OELEK</t>
  </si>
  <si>
    <t>2894335</t>
  </si>
  <si>
    <t>4 LTR</t>
  </si>
  <si>
    <t>BICKS</t>
  </si>
  <si>
    <t>PICKLE DILL WH BABY</t>
  </si>
  <si>
    <t>03/19/2019</t>
  </si>
  <si>
    <t>6393045</t>
  </si>
  <si>
    <t>#10</t>
  </si>
  <si>
    <t>INTLREL</t>
  </si>
  <si>
    <t>PINEAPPLE PIECES PIZZA CUT JCE</t>
  </si>
  <si>
    <t>0.298/ML</t>
  </si>
  <si>
    <t>08/13/2019</t>
  </si>
  <si>
    <t>7180010</t>
  </si>
  <si>
    <t>950 ML</t>
  </si>
  <si>
    <t>PICKLE CORNICHON GHERKIN IMPRT</t>
  </si>
  <si>
    <t>12/13/2018</t>
  </si>
  <si>
    <t>0292755</t>
  </si>
  <si>
    <t>2.84 L</t>
  </si>
  <si>
    <t>STEAKHS</t>
  </si>
  <si>
    <t>PUMPKIN PUREE FCY</t>
  </si>
  <si>
    <t>1293105</t>
  </si>
  <si>
    <t>SNBLEST</t>
  </si>
  <si>
    <t>QUINOA GRAIN ORGANIC BOLIVIAN</t>
  </si>
  <si>
    <t>4387575</t>
  </si>
  <si>
    <t>10 LB</t>
  </si>
  <si>
    <t>INDIA'S</t>
  </si>
  <si>
    <t>RICE BASMATI BRN PREMIUM</t>
  </si>
  <si>
    <t>4696831</t>
  </si>
  <si>
    <t>RICE ARBORIO</t>
  </si>
  <si>
    <t>4718902</t>
  </si>
  <si>
    <t>3.7 LT</t>
  </si>
  <si>
    <t>LEA&amp;PER</t>
  </si>
  <si>
    <t>SAUCE WORCESTERSHIRE</t>
  </si>
  <si>
    <t>10/15/2019</t>
  </si>
  <si>
    <t>3462488</t>
  </si>
  <si>
    <t>SAUCEMK</t>
  </si>
  <si>
    <t>SAUCE JERK CARRIBEAN</t>
  </si>
  <si>
    <t>0734962</t>
  </si>
  <si>
    <t>SAUCE CHILI SWEET CDN</t>
  </si>
  <si>
    <t>2328995</t>
  </si>
  <si>
    <t>FRANKS</t>
  </si>
  <si>
    <t>SAUCE CAYENNE REDHOT PPR</t>
  </si>
  <si>
    <t>3206887</t>
  </si>
  <si>
    <t>.5 GAL</t>
  </si>
  <si>
    <t>KIKOMAN</t>
  </si>
  <si>
    <t>SAUCE SOY TAMARI GLUTEN FREE</t>
  </si>
  <si>
    <t>1008869</t>
  </si>
  <si>
    <t>SAUCE TAHINI</t>
  </si>
  <si>
    <t>2907509</t>
  </si>
  <si>
    <t>100 CT</t>
  </si>
  <si>
    <t>YAMGATA</t>
  </si>
  <si>
    <t>SEAWEED YAKINORI SHEETS</t>
  </si>
  <si>
    <t>2924710</t>
  </si>
  <si>
    <t>20 KG</t>
  </si>
  <si>
    <t>WINDSOR</t>
  </si>
  <si>
    <t>SALT FINE HI-GRADE</t>
  </si>
  <si>
    <t>3202894</t>
  </si>
  <si>
    <t>SAUCE TOMATO</t>
  </si>
  <si>
    <t>5616531</t>
  </si>
  <si>
    <t>12 KG</t>
  </si>
  <si>
    <t>TROPHY</t>
  </si>
  <si>
    <t>SEED SUNFLOWER RST NO SALT</t>
  </si>
  <si>
    <t>5288693</t>
  </si>
  <si>
    <t>2 LB</t>
  </si>
  <si>
    <t>FLOLEAF</t>
  </si>
  <si>
    <t>SEED HEMP HULLED CANADN</t>
  </si>
  <si>
    <t>5847043</t>
  </si>
  <si>
    <t>1.5KG</t>
  </si>
  <si>
    <t>SEED SESAME BLK</t>
  </si>
  <si>
    <t>8937138</t>
  </si>
  <si>
    <t>510 GR</t>
  </si>
  <si>
    <t>SEASONING JERK CARIBBN</t>
  </si>
  <si>
    <t>5977410</t>
  </si>
  <si>
    <t>740ML</t>
  </si>
  <si>
    <t>SAUCE CHILI SRIRACHA</t>
  </si>
  <si>
    <t>9889940</t>
  </si>
  <si>
    <t>4 LTR.</t>
  </si>
  <si>
    <t>SYRUP PANCAKE &amp; WFFL</t>
  </si>
  <si>
    <t>6838494</t>
  </si>
  <si>
    <t>4.5 KG</t>
  </si>
  <si>
    <t>SOUP BASE CHKN CANADA</t>
  </si>
  <si>
    <t>6838684</t>
  </si>
  <si>
    <t>SOUP BASE VEG CANADA</t>
  </si>
  <si>
    <t>7232994</t>
  </si>
  <si>
    <t>540 GR</t>
  </si>
  <si>
    <t>IMP/MCC</t>
  </si>
  <si>
    <t>SPICE PEPPER BLK GRND CDN</t>
  </si>
  <si>
    <t>7232804</t>
  </si>
  <si>
    <t>550 G</t>
  </si>
  <si>
    <t>SPICE CINNAMON GRND CDN</t>
  </si>
  <si>
    <t>7232838</t>
  </si>
  <si>
    <t>425 GR</t>
  </si>
  <si>
    <t>SPICE CUMIN GRND CDN</t>
  </si>
  <si>
    <t>7233224</t>
  </si>
  <si>
    <t>575 GR</t>
  </si>
  <si>
    <t>SPICE SESAME SEED CDN</t>
  </si>
  <si>
    <t>04/30/2019</t>
  </si>
  <si>
    <t>2198059</t>
  </si>
  <si>
    <t>375 GR</t>
  </si>
  <si>
    <t>SPICE THYME GRND</t>
  </si>
  <si>
    <t>9887860</t>
  </si>
  <si>
    <t>1.1 KG</t>
  </si>
  <si>
    <t>SPICE GARLIC SALT CDN</t>
  </si>
  <si>
    <t>2922912</t>
  </si>
  <si>
    <t>500 GR</t>
  </si>
  <si>
    <t>SPICE CLOVE GRND</t>
  </si>
  <si>
    <t>5326832</t>
  </si>
  <si>
    <t>12.5KG</t>
  </si>
  <si>
    <t>SUNCO</t>
  </si>
  <si>
    <t>SUGAR COCONUT</t>
  </si>
  <si>
    <t>09/05/2019</t>
  </si>
  <si>
    <t>6217467</t>
  </si>
  <si>
    <t>5 LB</t>
  </si>
  <si>
    <t>TOMATO SUNDRIED HALVES CANADA</t>
  </si>
  <si>
    <t>0.168/GR</t>
  </si>
  <si>
    <t>4072666</t>
  </si>
  <si>
    <t>FULLRED</t>
  </si>
  <si>
    <t>TOMATO PASTE FCY 26%</t>
  </si>
  <si>
    <t>5949656</t>
  </si>
  <si>
    <t>TOMATO DICED IN JUICE</t>
  </si>
  <si>
    <t>0.257/ML</t>
  </si>
  <si>
    <t>5488812</t>
  </si>
  <si>
    <t>VINEGAR BALSAMIC ITLY CAN LBL</t>
  </si>
  <si>
    <t>6132817</t>
  </si>
  <si>
    <t>WALNUT PIECES CALIFORNIA CDN</t>
  </si>
  <si>
    <t>04/18/2019</t>
  </si>
  <si>
    <t>1355886</t>
  </si>
  <si>
    <t>1.89 L</t>
  </si>
  <si>
    <t>BLUEDIA</t>
  </si>
  <si>
    <t>MILK ALMOND BREEZE ORIG UNSWT</t>
  </si>
  <si>
    <t>2382471</t>
  </si>
  <si>
    <t>3.8 LT</t>
  </si>
  <si>
    <t>REALEMN</t>
  </si>
  <si>
    <t>JUICE LEMON</t>
  </si>
  <si>
    <t>07/16/2019</t>
  </si>
  <si>
    <t>2907947</t>
  </si>
  <si>
    <t>1 LTR</t>
  </si>
  <si>
    <t>SUNRYPE</t>
  </si>
  <si>
    <t>JUICE ORANGE UNSWT TETRA LGE</t>
  </si>
  <si>
    <t>7182882</t>
  </si>
  <si>
    <t>1 EA</t>
  </si>
  <si>
    <t>BAG GARBAGE XSTRG BLK 42X48CDN</t>
  </si>
  <si>
    <t>0373839</t>
  </si>
  <si>
    <t>EA</t>
  </si>
  <si>
    <t>ECOLAB</t>
  </si>
  <si>
    <t>DISPENSER SOAP TOUCH-FREE BLK</t>
  </si>
  <si>
    <t>0194138</t>
  </si>
  <si>
    <t>1000FT</t>
  </si>
  <si>
    <t>EMBASSY</t>
  </si>
  <si>
    <t>EMBASSY ULTRA LONG ROLL TOWEL</t>
  </si>
  <si>
    <t>0123679</t>
  </si>
  <si>
    <t>CT</t>
  </si>
  <si>
    <t>SYSCO</t>
  </si>
  <si>
    <t>FOIL ALMN ROLL STD 45CM X 100M</t>
  </si>
  <si>
    <t>06/25/2019</t>
  </si>
  <si>
    <t>6417182</t>
  </si>
  <si>
    <t>144</t>
  </si>
  <si>
    <t>FIFODOT</t>
  </si>
  <si>
    <t>FINGERCOT LARGE</t>
  </si>
  <si>
    <t>7435332</t>
  </si>
  <si>
    <t>24IN</t>
  </si>
  <si>
    <t>FILM PVC 2000FT ROLL</t>
  </si>
  <si>
    <t>3384675</t>
  </si>
  <si>
    <t>GLOVE NITRILE PWDRFREE LRG CDN</t>
  </si>
  <si>
    <t>0.119/CA</t>
  </si>
  <si>
    <t>5871357</t>
  </si>
  <si>
    <t>12 PR</t>
  </si>
  <si>
    <t>HANGARD</t>
  </si>
  <si>
    <t>GLOVE LATEX LRG FLCK-LIN YELW</t>
  </si>
  <si>
    <t>2.194/CA</t>
  </si>
  <si>
    <t>3900354</t>
  </si>
  <si>
    <t>ROLL</t>
  </si>
  <si>
    <t>NATIONL</t>
  </si>
  <si>
    <t>LABEL USE FIRST 2 CIRCLE TRIL</t>
  </si>
  <si>
    <t>5030088</t>
  </si>
  <si>
    <t>500CT</t>
  </si>
  <si>
    <t>LABEL TUES REMOV IT/DT/US 2</t>
  </si>
  <si>
    <t>5030103</t>
  </si>
  <si>
    <t>500 CT</t>
  </si>
  <si>
    <t>LABEL WED REMOV IT/DT/USE 2</t>
  </si>
  <si>
    <t>5030111</t>
  </si>
  <si>
    <t>LABEL THURS REMOVE IT/DT/USE</t>
  </si>
  <si>
    <t>5030149</t>
  </si>
  <si>
    <t>LABEL FRI REMOV IT/DT/USE 2</t>
  </si>
  <si>
    <t>5030154</t>
  </si>
  <si>
    <t>LABEL SAT REMOV IT/DT/USE 2</t>
  </si>
  <si>
    <t>5035203</t>
  </si>
  <si>
    <t>LABEL MON REMOV 2</t>
  </si>
  <si>
    <t>5168038</t>
  </si>
  <si>
    <t>16X24</t>
  </si>
  <si>
    <t>PAPER PARCHMENT SILI 16.4X24.4</t>
  </si>
  <si>
    <t>0121194</t>
  </si>
  <si>
    <t>20 CT</t>
  </si>
  <si>
    <t>PAD SCOUR GRN 6X9 ANTIMICRO</t>
  </si>
  <si>
    <t>0062259</t>
  </si>
  <si>
    <t>PAK</t>
  </si>
  <si>
    <t>KRUGER</t>
  </si>
  <si>
    <t>TISSUE TOILET MINI MAX 2P CAN</t>
  </si>
  <si>
    <t>0703025</t>
  </si>
  <si>
    <t>90SH</t>
  </si>
  <si>
    <t>SCOTT</t>
  </si>
  <si>
    <t>TOWEL ROLL PROF 11IN</t>
  </si>
  <si>
    <t>7715446</t>
  </si>
  <si>
    <t>32OZ</t>
  </si>
  <si>
    <t>KEYSTON</t>
  </si>
  <si>
    <t>CLEANER DEGREASER OVEN RTU</t>
  </si>
  <si>
    <t>04/16/2019</t>
  </si>
  <si>
    <t>7681477</t>
  </si>
  <si>
    <t>CLEANER DEGRSR HGH TMP GRL RTU</t>
  </si>
  <si>
    <t>05/02/2019</t>
  </si>
  <si>
    <t>7682786</t>
  </si>
  <si>
    <t>2L</t>
  </si>
  <si>
    <t>CLEANER ALL PURPOSE ORG DISP</t>
  </si>
  <si>
    <t>07/04/2019</t>
  </si>
  <si>
    <t>7667357</t>
  </si>
  <si>
    <t>2.5GAL</t>
  </si>
  <si>
    <t>CLEANER FLOOR NEUTRAL DISP</t>
  </si>
  <si>
    <t>10/01/2019</t>
  </si>
  <si>
    <t>1403593</t>
  </si>
  <si>
    <t>3.6 L</t>
  </si>
  <si>
    <t>BLEACH LIQ 6% SOD HYPOCHLORITE</t>
  </si>
  <si>
    <t>10/31/2019</t>
  </si>
  <si>
    <t>7670118</t>
  </si>
  <si>
    <t>DETERGENT DISHWASH LIQ DISP</t>
  </si>
  <si>
    <t>7681305</t>
  </si>
  <si>
    <t>RINSE AID LOW TEMP LIQ DISP</t>
  </si>
  <si>
    <t>10/03/2019</t>
  </si>
  <si>
    <t>1981673</t>
  </si>
  <si>
    <t>3.78 L</t>
  </si>
  <si>
    <t>SANITIZER LIQ MULTI-QUAT CDN</t>
  </si>
  <si>
    <t>3833635</t>
  </si>
  <si>
    <t>9.46 L</t>
  </si>
  <si>
    <t>WASH ANTIMICROBIAL FR&amp;VEG</t>
  </si>
  <si>
    <t>09/12/2019</t>
  </si>
  <si>
    <t>4341046</t>
  </si>
  <si>
    <t>PACKER</t>
  </si>
  <si>
    <t>APPLE GALA WFCY</t>
  </si>
  <si>
    <t>1769728</t>
  </si>
  <si>
    <t>12 CT</t>
  </si>
  <si>
    <t>ANISE BUNCH FRESH FENNEL</t>
  </si>
  <si>
    <t>10/17/2019</t>
  </si>
  <si>
    <t>5082377</t>
  </si>
  <si>
    <t>AVOCADO HASS RIPE</t>
  </si>
  <si>
    <t>1600123</t>
  </si>
  <si>
    <t>25 LB</t>
  </si>
  <si>
    <t>BEET FRESH POLY XL</t>
  </si>
  <si>
    <t>1254440</t>
  </si>
  <si>
    <t>40 LB</t>
  </si>
  <si>
    <t>BANANA FRESH GREEN</t>
  </si>
  <si>
    <t>1390947</t>
  </si>
  <si>
    <t>40#</t>
  </si>
  <si>
    <t>BANANA RIPE FRESH</t>
  </si>
  <si>
    <t>2004547</t>
  </si>
  <si>
    <t>1 LB</t>
  </si>
  <si>
    <t>IMPFRSH</t>
  </si>
  <si>
    <t>BASIL FRESH HERB</t>
  </si>
  <si>
    <t>1283662</t>
  </si>
  <si>
    <t>35#AVG</t>
  </si>
  <si>
    <t>SQUASH BUTTERNUT FRESH</t>
  </si>
  <si>
    <t>2697985</t>
  </si>
  <si>
    <t>BRUSSEL SPROUT FRSH</t>
  </si>
  <si>
    <t>2704989</t>
  </si>
  <si>
    <t>20 LB</t>
  </si>
  <si>
    <t>BROCCOLI CROWN FRSH ICELS</t>
  </si>
  <si>
    <t>07/25/2019</t>
  </si>
  <si>
    <t>1008010</t>
  </si>
  <si>
    <t>50 LB</t>
  </si>
  <si>
    <t>CABBAGE RED FRSH</t>
  </si>
  <si>
    <t>06/04/2019</t>
  </si>
  <si>
    <t>1120625</t>
  </si>
  <si>
    <t>24 CT</t>
  </si>
  <si>
    <t>CELERY FRESH</t>
  </si>
  <si>
    <t>1242999</t>
  </si>
  <si>
    <t>CAULIFLOWER CELLO WRPD FRSH</t>
  </si>
  <si>
    <t>07/18/2019</t>
  </si>
  <si>
    <t>1908375</t>
  </si>
  <si>
    <t>3 CT</t>
  </si>
  <si>
    <t>CABBAGE RED FDSVC</t>
  </si>
  <si>
    <t>2227015</t>
  </si>
  <si>
    <t>CARROT JMBO FRESH</t>
  </si>
  <si>
    <t>8335721</t>
  </si>
  <si>
    <t>CUCUMBER FRESH LONG ENGLISH FS</t>
  </si>
  <si>
    <t>1185545</t>
  </si>
  <si>
    <t>GINGER ROOT FRESH</t>
  </si>
  <si>
    <t>8853954</t>
  </si>
  <si>
    <t>GARLIC PEELED</t>
  </si>
  <si>
    <t>2422863</t>
  </si>
  <si>
    <t>KALE FRESH</t>
  </si>
  <si>
    <t>1008168</t>
  </si>
  <si>
    <t>LEEK BUNCH FRESH</t>
  </si>
  <si>
    <t>08/20/2019</t>
  </si>
  <si>
    <t>2252013</t>
  </si>
  <si>
    <t>115 CT</t>
  </si>
  <si>
    <t>RELFRSH</t>
  </si>
  <si>
    <t>LEMON CH FRESH</t>
  </si>
  <si>
    <t>1908318</t>
  </si>
  <si>
    <t>SYFPNAT</t>
  </si>
  <si>
    <t>LETTUCE ICEBERG PREMIUM PLTIZD</t>
  </si>
  <si>
    <t>11/22/2018</t>
  </si>
  <si>
    <t>2037125</t>
  </si>
  <si>
    <t>MINT FRESH HERB</t>
  </si>
  <si>
    <t>01/29/2019</t>
  </si>
  <si>
    <t>8313918</t>
  </si>
  <si>
    <t>ONION YELLOW JMBO FRSH BOX</t>
  </si>
  <si>
    <t>8678120</t>
  </si>
  <si>
    <t>ONION GREEN ICELS FRSH</t>
  </si>
  <si>
    <t>8877748</t>
  </si>
  <si>
    <t>ONION RED MED FRSH CTN</t>
  </si>
  <si>
    <t>08/29/2019</t>
  </si>
  <si>
    <t>1048412</t>
  </si>
  <si>
    <t>60 CT</t>
  </si>
  <si>
    <t>PARSLEY BUNCH FRESH</t>
  </si>
  <si>
    <t>2297265</t>
  </si>
  <si>
    <t>PARSNIP FRESH</t>
  </si>
  <si>
    <t>04/23/2019</t>
  </si>
  <si>
    <t>1048230</t>
  </si>
  <si>
    <t>PEPPER JALAPENO FRESH</t>
  </si>
  <si>
    <t>6443582</t>
  </si>
  <si>
    <t>PEPPER RED BELL FRSH FX</t>
  </si>
  <si>
    <t>4398772</t>
  </si>
  <si>
    <t>7 CT</t>
  </si>
  <si>
    <t>PINEAPPLE FRESH GOLD</t>
  </si>
  <si>
    <t>4373577</t>
  </si>
  <si>
    <t>POTATO SWEET JMBO</t>
  </si>
  <si>
    <t>1450204</t>
  </si>
  <si>
    <t>POTATO YELLOW YUKON GLD FRSH</t>
  </si>
  <si>
    <t>1675925</t>
  </si>
  <si>
    <t>2.5 LB</t>
  </si>
  <si>
    <t>SPINACH CLIPPED FRESH</t>
  </si>
  <si>
    <t>4517421</t>
  </si>
  <si>
    <t>1/2 BU</t>
  </si>
  <si>
    <t>SQUASH ZUCCHINI MED FRSH</t>
  </si>
  <si>
    <t>2004968</t>
  </si>
  <si>
    <t>4 OZ</t>
  </si>
  <si>
    <t>TARRAGON FRESH HERB</t>
  </si>
  <si>
    <t>6017370</t>
  </si>
  <si>
    <t>TOMATO GRAPE FRSH</t>
  </si>
  <si>
    <t>4935623</t>
  </si>
  <si>
    <t>TOMATO BULK UTILITY FRESH</t>
  </si>
  <si>
    <t>6894125</t>
  </si>
  <si>
    <t>TOMATO ROMA FRSH</t>
  </si>
  <si>
    <t>2005296</t>
  </si>
  <si>
    <t>THYME FRESH HERB</t>
  </si>
  <si>
    <t>1723816</t>
  </si>
  <si>
    <t>LETTUCE ROMAINE FRESH W/LINER</t>
  </si>
  <si>
    <t>1080142</t>
  </si>
  <si>
    <t>40LB</t>
  </si>
  <si>
    <t>YAM MEDIUM FRESH</t>
  </si>
  <si>
    <t>3508631</t>
  </si>
  <si>
    <t>3.75L</t>
  </si>
  <si>
    <t>BEAVER</t>
  </si>
  <si>
    <t>HORSERADISH WHITE PRPD X-HOT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</si>
</sst>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/>
    </xf>
    <xf numFmtId="49" fontId="2" fillId="3" borderId="2" applyNumberFormat="1" applyFont="1" applyFill="1" applyBorder="1" applyAlignment="1" applyProtection="0">
      <alignment vertical="top"/>
    </xf>
    <xf numFmtId="0" fontId="0" borderId="3" applyNumberFormat="1" applyFont="1" applyFill="0" applyBorder="1" applyAlignment="1" applyProtection="0">
      <alignment vertical="top"/>
    </xf>
    <xf numFmtId="49" fontId="0" borderId="4" applyNumberFormat="1" applyFont="1" applyFill="0" applyBorder="1" applyAlignment="1" applyProtection="0">
      <alignment vertical="top"/>
    </xf>
    <xf numFmtId="0" fontId="0" borderId="4" applyNumberFormat="1" applyFont="1" applyFill="0" applyBorder="1" applyAlignment="1" applyProtection="0">
      <alignment vertical="top"/>
    </xf>
    <xf numFmtId="0" fontId="0" borderId="4" applyNumberFormat="0" applyFont="1" applyFill="0" applyBorder="1" applyAlignment="1" applyProtection="0">
      <alignment vertical="top"/>
    </xf>
    <xf numFmtId="49" fontId="2" fillId="3" borderId="5" applyNumberFormat="1" applyFont="1" applyFill="1" applyBorder="1" applyAlignment="1" applyProtection="0">
      <alignment vertical="top"/>
    </xf>
    <xf numFmtId="0" fontId="0" borderId="6" applyNumberFormat="1" applyFont="1" applyFill="0" applyBorder="1" applyAlignment="1" applyProtection="0">
      <alignment vertical="top"/>
    </xf>
    <xf numFmtId="49" fontId="0" borderId="7" applyNumberFormat="1" applyFont="1" applyFill="0" applyBorder="1" applyAlignment="1" applyProtection="0">
      <alignment vertical="top"/>
    </xf>
    <xf numFmtId="0" fontId="0" borderId="7" applyNumberFormat="1" applyFont="1" applyFill="0" applyBorder="1" applyAlignment="1" applyProtection="0">
      <alignment vertical="top"/>
    </xf>
    <xf numFmtId="0" fontId="0" borderId="7" applyNumberFormat="0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N173"/>
  <sheetViews>
    <sheetView workbookViewId="0" showGridLines="0" defaultGridColor="1"/>
  </sheetViews>
  <sheetFormatPr defaultColWidth="8.33333" defaultRowHeight="19.9" customHeight="1" outlineLevelRow="0" outlineLevelCol="0"/>
  <cols>
    <col min="1" max="1" width="10.5" style="1" customWidth="1"/>
    <col min="2" max="2" width="5.5" style="1" customWidth="1"/>
    <col min="3" max="3" width="10" style="1" customWidth="1"/>
    <col min="4" max="4" width="12.1719" style="1" customWidth="1"/>
    <col min="5" max="5" width="35.1719" style="1" customWidth="1"/>
    <col min="6" max="6" width="4.35156" style="1" customWidth="1"/>
    <col min="7" max="8" width="5.5" style="1" customWidth="1"/>
    <col min="9" max="9" width="6.5" style="1" customWidth="1"/>
    <col min="10" max="10" width="11.5" style="1" customWidth="1"/>
    <col min="11" max="11" width="9" style="1" customWidth="1"/>
    <col min="12" max="12" width="5" style="1" customWidth="1"/>
    <col min="13" max="13" width="10" style="1" customWidth="1"/>
    <col min="14" max="14" width="8.67188" style="1" customWidth="1"/>
    <col min="15" max="256" width="8.3515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ht="20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  <c r="I2" t="s" s="3">
        <v>9</v>
      </c>
      <c r="J2" t="s" s="3">
        <v>10</v>
      </c>
      <c r="K2" t="s" s="3">
        <v>11</v>
      </c>
      <c r="L2" t="s" s="3">
        <v>12</v>
      </c>
      <c r="M2" t="s" s="3">
        <v>13</v>
      </c>
      <c r="N2" t="s" s="3">
        <v>14</v>
      </c>
    </row>
    <row r="3" ht="20.25" customHeight="1">
      <c r="A3" t="s" s="4">
        <f>"3483724"</f>
        <v>15</v>
      </c>
      <c r="B3" s="5">
        <v>1</v>
      </c>
      <c r="C3" t="s" s="6">
        <f>"11KG"</f>
        <v>16</v>
      </c>
      <c r="D3" t="s" s="6">
        <f>"MKZ CLS"</f>
        <v>17</v>
      </c>
      <c r="E3" t="s" s="6">
        <f>"CHEESE FETA TRDTNL CDN"</f>
        <v>18</v>
      </c>
      <c r="F3" t="s" s="6">
        <v>19</v>
      </c>
      <c r="G3" s="7">
        <v>0</v>
      </c>
      <c r="H3" s="7">
        <v>0</v>
      </c>
      <c r="I3" s="7">
        <v>111</v>
      </c>
      <c r="J3" s="8"/>
      <c r="K3" s="7">
        <v>0</v>
      </c>
      <c r="L3" s="7">
        <v>1</v>
      </c>
      <c r="M3" t="s" s="6">
        <v>20</v>
      </c>
      <c r="N3" s="7">
        <v>0</v>
      </c>
    </row>
    <row r="4" ht="20.05" customHeight="1">
      <c r="A4" t="s" s="9">
        <f>"4628830"</f>
        <v>21</v>
      </c>
      <c r="B4" s="10">
        <v>2</v>
      </c>
      <c r="C4" t="s" s="11">
        <f t="shared" si="5" ref="C4:C69">"1 KG"</f>
        <v>22</v>
      </c>
      <c r="D4" t="s" s="11">
        <f>"BBRLIMP"</f>
        <v>23</v>
      </c>
      <c r="E4" t="s" s="11">
        <f>"CHEESE GOAT MILK ORIG CDN"</f>
        <v>24</v>
      </c>
      <c r="F4" t="s" s="11">
        <v>19</v>
      </c>
      <c r="G4" s="12">
        <v>0</v>
      </c>
      <c r="H4" s="12">
        <v>0</v>
      </c>
      <c r="I4" s="12">
        <v>37.1</v>
      </c>
      <c r="J4" s="13"/>
      <c r="K4" s="12">
        <v>0</v>
      </c>
      <c r="L4" s="12">
        <v>3</v>
      </c>
      <c r="M4" t="s" s="11">
        <v>25</v>
      </c>
      <c r="N4" s="12">
        <v>0</v>
      </c>
    </row>
    <row r="5" ht="20.05" customHeight="1">
      <c r="A5" t="s" s="9">
        <f>"0509505"</f>
        <v>26</v>
      </c>
      <c r="B5" s="10">
        <v>2</v>
      </c>
      <c r="C5" t="s" s="11">
        <f t="shared" si="9" ref="C5:C14">"2.27KG"</f>
        <v>27</v>
      </c>
      <c r="D5" t="s" s="11">
        <f>"SYS REL"</f>
        <v>28</v>
      </c>
      <c r="E5" t="s" s="11">
        <f>"CHEESE SHRD PROD MOZZARELA CDN"</f>
        <v>29</v>
      </c>
      <c r="F5" t="s" s="11">
        <v>19</v>
      </c>
      <c r="G5" s="12">
        <v>0</v>
      </c>
      <c r="H5" s="12">
        <v>0</v>
      </c>
      <c r="I5" s="12">
        <v>49.96</v>
      </c>
      <c r="J5" s="13"/>
      <c r="K5" s="12">
        <v>0</v>
      </c>
      <c r="L5" s="12">
        <v>1</v>
      </c>
      <c r="M5" t="s" s="11">
        <v>25</v>
      </c>
      <c r="N5" s="12">
        <v>0</v>
      </c>
    </row>
    <row r="6" ht="20.05" customHeight="1">
      <c r="A6" t="s" s="9">
        <f>"7602255"</f>
        <v>30</v>
      </c>
      <c r="B6" s="10">
        <v>2</v>
      </c>
      <c r="C6" t="s" s="11">
        <f t="shared" si="5"/>
        <v>22</v>
      </c>
      <c r="D6" t="s" s="11">
        <f t="shared" si="14" ref="D6:D98">"AREZZIO"</f>
        <v>31</v>
      </c>
      <c r="E6" t="s" s="11">
        <f>"CHEESE PARMESAN SHREDDED CDN"</f>
        <v>32</v>
      </c>
      <c r="F6" t="s" s="11">
        <v>19</v>
      </c>
      <c r="G6" s="12">
        <v>0</v>
      </c>
      <c r="H6" s="12">
        <v>0</v>
      </c>
      <c r="I6" s="12">
        <v>35.78</v>
      </c>
      <c r="J6" s="13"/>
      <c r="K6" s="12">
        <v>0</v>
      </c>
      <c r="L6" s="12">
        <v>1</v>
      </c>
      <c r="M6" t="s" s="11">
        <v>25</v>
      </c>
      <c r="N6" s="12">
        <v>0</v>
      </c>
    </row>
    <row r="7" ht="20.05" customHeight="1">
      <c r="A7" t="s" s="9">
        <f>"4734667"</f>
        <v>33</v>
      </c>
      <c r="B7" s="10">
        <v>1</v>
      </c>
      <c r="C7" t="s" s="11">
        <f t="shared" si="17" ref="C7:C16">"10KG"</f>
        <v>34</v>
      </c>
      <c r="D7" t="s" s="11">
        <f t="shared" si="18" ref="D7:D119">"SYS CLS"</f>
        <v>35</v>
      </c>
      <c r="E7" t="s" s="11">
        <f>"MARGARINE CANOLA SFT NH LTB"</f>
        <v>36</v>
      </c>
      <c r="F7" t="s" s="11">
        <v>19</v>
      </c>
      <c r="G7" s="12">
        <v>0</v>
      </c>
      <c r="H7" s="12">
        <v>0</v>
      </c>
      <c r="I7" s="12">
        <v>23.33</v>
      </c>
      <c r="J7" s="13"/>
      <c r="K7" s="12">
        <v>0</v>
      </c>
      <c r="L7" s="12">
        <v>1</v>
      </c>
      <c r="M7" t="s" s="11">
        <v>37</v>
      </c>
      <c r="N7" s="12">
        <v>0</v>
      </c>
    </row>
    <row r="8" ht="20.05" customHeight="1">
      <c r="A8" t="s" s="9">
        <f>"5014089"</f>
        <v>38</v>
      </c>
      <c r="B8" s="10">
        <v>1</v>
      </c>
      <c r="C8" t="s" s="11">
        <f t="shared" si="21" ref="C8:C55">"15 KG"</f>
        <v>39</v>
      </c>
      <c r="D8" t="s" s="11">
        <f>"OLYMPIC"</f>
        <v>40</v>
      </c>
      <c r="E8" t="s" s="11">
        <f>"YOGURT PLAIN NAT BALKAN STY"</f>
        <v>41</v>
      </c>
      <c r="F8" t="s" s="11">
        <v>19</v>
      </c>
      <c r="G8" s="12">
        <v>0</v>
      </c>
      <c r="H8" s="12">
        <v>0</v>
      </c>
      <c r="I8" s="12">
        <v>43.52</v>
      </c>
      <c r="J8" s="13"/>
      <c r="K8" s="12">
        <v>0</v>
      </c>
      <c r="L8" s="12">
        <v>1</v>
      </c>
      <c r="M8" t="s" s="11">
        <v>42</v>
      </c>
      <c r="N8" s="12">
        <v>0</v>
      </c>
    </row>
    <row r="9" ht="20.05" customHeight="1">
      <c r="A9" t="s" s="9">
        <f>"9997701"</f>
        <v>43</v>
      </c>
      <c r="B9" s="10">
        <v>1</v>
      </c>
      <c r="C9" t="s" s="11">
        <f>"15 DZ"</f>
        <v>44</v>
      </c>
      <c r="D9" t="s" s="11">
        <f>"WHLFARM"</f>
        <v>45</v>
      </c>
      <c r="E9" t="s" s="11">
        <f>"EGG SHELL LG WHT CANADA GR A"</f>
        <v>46</v>
      </c>
      <c r="F9" t="s" s="11">
        <v>19</v>
      </c>
      <c r="G9" s="12">
        <v>0</v>
      </c>
      <c r="H9" s="12">
        <v>0</v>
      </c>
      <c r="I9" s="12">
        <v>44.81</v>
      </c>
      <c r="J9" s="13"/>
      <c r="K9" s="12">
        <v>0</v>
      </c>
      <c r="L9" s="12">
        <v>1</v>
      </c>
      <c r="M9" t="s" s="11">
        <v>37</v>
      </c>
      <c r="N9" s="12">
        <v>0</v>
      </c>
    </row>
    <row r="10" ht="20.05" customHeight="1">
      <c r="A10" t="s" s="9">
        <f>"4024301"</f>
        <v>47</v>
      </c>
      <c r="B10" s="10">
        <v>1</v>
      </c>
      <c r="C10" t="s" s="11">
        <f>"4PC"</f>
        <v>48</v>
      </c>
      <c r="D10" t="s" s="11">
        <f>"BCHBLKC"</f>
        <v>49</v>
      </c>
      <c r="E10" t="s" s="11">
        <f>"BEEF BRISKET AA CDN"</f>
        <v>50</v>
      </c>
      <c r="F10" t="s" s="11">
        <v>19</v>
      </c>
      <c r="G10" s="12">
        <v>0</v>
      </c>
      <c r="H10" s="12">
        <v>0</v>
      </c>
      <c r="I10" s="12">
        <v>10.6</v>
      </c>
      <c r="J10" s="13"/>
      <c r="K10" s="12">
        <v>0</v>
      </c>
      <c r="L10" s="12">
        <v>1</v>
      </c>
      <c r="M10" t="s" s="11">
        <v>25</v>
      </c>
      <c r="N10" s="12">
        <v>0</v>
      </c>
    </row>
    <row r="11" ht="20.05" customHeight="1">
      <c r="A11" t="s" s="9">
        <f>"4599033"</f>
        <v>51</v>
      </c>
      <c r="B11" s="10">
        <v>4</v>
      </c>
      <c r="C11" t="s" s="11">
        <f>"5LB"</f>
        <v>52</v>
      </c>
      <c r="D11" t="s" s="11">
        <f>"FRFIMPC"</f>
        <v>53</v>
      </c>
      <c r="E11" t="s" s="11">
        <f>"BEEF GROUND 86/14"</f>
        <v>54</v>
      </c>
      <c r="F11" t="s" s="11">
        <v>19</v>
      </c>
      <c r="G11" s="12">
        <v>0</v>
      </c>
      <c r="H11" s="12">
        <v>0</v>
      </c>
      <c r="I11" s="12">
        <v>9.26</v>
      </c>
      <c r="J11" s="13"/>
      <c r="K11" s="12">
        <v>0</v>
      </c>
      <c r="L11" s="12">
        <v>14</v>
      </c>
      <c r="M11" t="s" s="11">
        <v>25</v>
      </c>
      <c r="N11" s="12">
        <v>0</v>
      </c>
    </row>
    <row r="12" ht="20.05" customHeight="1">
      <c r="A12" t="s" s="9">
        <f>"5353600"</f>
        <v>55</v>
      </c>
      <c r="B12" s="10">
        <v>1</v>
      </c>
      <c r="C12" t="s" s="11">
        <f>"10LB"</f>
        <v>56</v>
      </c>
      <c r="D12" t="s" s="11">
        <f>"PORTCLS"</f>
        <v>57</v>
      </c>
      <c r="E12" t="s" s="11">
        <f>"BASA FILET 6/8 OZ"</f>
        <v>58</v>
      </c>
      <c r="F12" t="s" s="11">
        <v>19</v>
      </c>
      <c r="G12" s="12">
        <v>0</v>
      </c>
      <c r="H12" s="12">
        <v>0</v>
      </c>
      <c r="I12" s="12">
        <v>42.12</v>
      </c>
      <c r="J12" s="13"/>
      <c r="K12" s="12">
        <v>0</v>
      </c>
      <c r="L12" s="12">
        <v>2</v>
      </c>
      <c r="M12" t="s" s="11">
        <v>42</v>
      </c>
      <c r="N12" s="12">
        <v>0</v>
      </c>
    </row>
    <row r="13" ht="20.05" customHeight="1">
      <c r="A13" t="s" s="9">
        <f>"2614265"</f>
        <v>59</v>
      </c>
      <c r="B13" s="10">
        <v>2</v>
      </c>
      <c r="C13" t="s" s="11">
        <f t="shared" si="41" ref="C13:C99">"1KG"</f>
        <v>60</v>
      </c>
      <c r="D13" t="s" s="11">
        <f>"FREYBE"</f>
        <v>61</v>
      </c>
      <c r="E13" t="s" s="11">
        <f>"SAUSAGE CHORIZO WINE"</f>
        <v>62</v>
      </c>
      <c r="F13" t="s" s="11">
        <v>19</v>
      </c>
      <c r="G13" s="12">
        <v>0</v>
      </c>
      <c r="H13" s="12">
        <v>0</v>
      </c>
      <c r="I13" s="12">
        <v>12.79</v>
      </c>
      <c r="J13" s="13"/>
      <c r="K13" s="12">
        <v>0</v>
      </c>
      <c r="L13" s="12">
        <v>3</v>
      </c>
      <c r="M13" t="s" s="11">
        <v>63</v>
      </c>
      <c r="N13" s="12">
        <v>0</v>
      </c>
    </row>
    <row r="14" ht="20.05" customHeight="1">
      <c r="A14" t="s" s="9">
        <f>"5126119"</f>
        <v>64</v>
      </c>
      <c r="B14" s="10">
        <v>4</v>
      </c>
      <c r="C14" t="s" s="11">
        <f t="shared" si="9"/>
        <v>27</v>
      </c>
      <c r="D14" t="s" s="11">
        <f>"MIRABEL"</f>
        <v>65</v>
      </c>
      <c r="E14" t="s" s="11">
        <f>"SHRIMP RAW P&amp;D 90/130 TOFF WHT"</f>
        <v>66</v>
      </c>
      <c r="F14" t="s" s="11">
        <v>19</v>
      </c>
      <c r="G14" s="12">
        <v>0</v>
      </c>
      <c r="H14" s="12">
        <v>0</v>
      </c>
      <c r="I14" s="12">
        <v>136.43</v>
      </c>
      <c r="J14" s="13"/>
      <c r="K14" s="12">
        <v>0</v>
      </c>
      <c r="L14" s="12">
        <v>1</v>
      </c>
      <c r="M14" t="s" s="11">
        <v>67</v>
      </c>
      <c r="N14" s="12">
        <v>0</v>
      </c>
    </row>
    <row r="15" ht="20.05" customHeight="1">
      <c r="A15" t="s" s="9">
        <f>"9221789"</f>
        <v>68</v>
      </c>
      <c r="B15" s="10">
        <v>1</v>
      </c>
      <c r="C15" t="s" s="11">
        <f>"4 KG"</f>
        <v>69</v>
      </c>
      <c r="D15" t="s" s="11">
        <f>"SYS REL"</f>
        <v>28</v>
      </c>
      <c r="E15" t="s" s="11">
        <f>"CHICKEN BRST IQF B/S RNDM"</f>
        <v>70</v>
      </c>
      <c r="F15" t="s" s="11">
        <v>19</v>
      </c>
      <c r="G15" s="12">
        <v>0</v>
      </c>
      <c r="H15" s="12">
        <v>0</v>
      </c>
      <c r="I15" s="12">
        <v>28.5</v>
      </c>
      <c r="J15" s="13"/>
      <c r="K15" s="12">
        <v>0</v>
      </c>
      <c r="L15" s="12">
        <v>60</v>
      </c>
      <c r="M15" t="s" s="11">
        <v>25</v>
      </c>
      <c r="N15" s="12">
        <v>0</v>
      </c>
    </row>
    <row r="16" ht="20.05" customHeight="1">
      <c r="A16" t="s" s="9">
        <f>"3901085"</f>
        <v>71</v>
      </c>
      <c r="B16" s="10">
        <v>1</v>
      </c>
      <c r="C16" t="s" s="11">
        <f t="shared" si="17"/>
        <v>34</v>
      </c>
      <c r="D16" t="s" s="11">
        <f t="shared" si="18"/>
        <v>35</v>
      </c>
      <c r="E16" t="s" s="11">
        <f>"CHICKEN THIGH B/LESS SK/LESS"</f>
        <v>72</v>
      </c>
      <c r="F16" t="s" s="11">
        <v>19</v>
      </c>
      <c r="G16" s="12">
        <v>0</v>
      </c>
      <c r="H16" s="12">
        <v>0</v>
      </c>
      <c r="I16" s="12">
        <v>98.42</v>
      </c>
      <c r="J16" s="13"/>
      <c r="K16" s="12">
        <v>0</v>
      </c>
      <c r="L16" s="12">
        <v>5</v>
      </c>
      <c r="M16" t="s" s="11">
        <v>25</v>
      </c>
      <c r="N16" s="12">
        <v>0</v>
      </c>
    </row>
    <row r="17" ht="20.05" customHeight="1">
      <c r="A17" t="s" s="9">
        <f>"5046725"</f>
        <v>73</v>
      </c>
      <c r="B17" s="10">
        <v>4</v>
      </c>
      <c r="C17" t="s" s="11">
        <f>"1.25KG"</f>
        <v>74</v>
      </c>
      <c r="D17" t="s" s="11">
        <f>"BTRBALL"</f>
        <v>75</v>
      </c>
      <c r="E17" t="s" s="11">
        <f>"BACON TURKEY SLI WHL MUSCLE"</f>
        <v>76</v>
      </c>
      <c r="F17" t="s" s="11">
        <v>19</v>
      </c>
      <c r="G17" s="12">
        <v>0</v>
      </c>
      <c r="H17" s="12">
        <v>0</v>
      </c>
      <c r="I17" s="12">
        <v>53.9</v>
      </c>
      <c r="J17" s="13"/>
      <c r="K17" s="12">
        <v>0</v>
      </c>
      <c r="L17" s="12">
        <v>1</v>
      </c>
      <c r="M17" t="s" s="11">
        <v>77</v>
      </c>
      <c r="N17" s="12">
        <v>0</v>
      </c>
    </row>
    <row r="18" ht="20.05" customHeight="1">
      <c r="A18" t="s" s="9">
        <f>"6238564"</f>
        <v>78</v>
      </c>
      <c r="B18" s="10">
        <v>2</v>
      </c>
      <c r="C18" t="s" s="11">
        <f>"2.5 KG"</f>
        <v>79</v>
      </c>
      <c r="D18" t="s" s="11">
        <f>"OLYMEL"</f>
        <v>80</v>
      </c>
      <c r="E18" t="s" s="11">
        <f>"TURKEY GROUND EXTRA LEAN"</f>
        <v>81</v>
      </c>
      <c r="F18" t="s" s="11">
        <v>19</v>
      </c>
      <c r="G18" s="12">
        <v>0</v>
      </c>
      <c r="H18" s="12">
        <v>0</v>
      </c>
      <c r="I18" s="12">
        <v>53.76</v>
      </c>
      <c r="J18" s="13"/>
      <c r="K18" s="12">
        <v>0</v>
      </c>
      <c r="L18" s="12">
        <v>2</v>
      </c>
      <c r="M18" t="s" s="11">
        <v>37</v>
      </c>
      <c r="N18" s="12">
        <v>0</v>
      </c>
    </row>
    <row r="19" ht="20.05" customHeight="1">
      <c r="A19" t="s" s="9">
        <f>"5268539"</f>
        <v>82</v>
      </c>
      <c r="B19" s="10">
        <v>10</v>
      </c>
      <c r="C19" t="s" s="11">
        <f t="shared" si="65" ref="C19:C30">"12CT"</f>
        <v>83</v>
      </c>
      <c r="D19" t="s" s="11">
        <f t="shared" si="66" ref="D19:D30">"CASASOL"</f>
        <v>84</v>
      </c>
      <c r="E19" t="s" s="11">
        <f>"TORTILLA FLOUR WHT 10 IN"</f>
        <v>85</v>
      </c>
      <c r="F19" t="s" s="11">
        <v>19</v>
      </c>
      <c r="G19" s="12">
        <v>0</v>
      </c>
      <c r="H19" s="12">
        <v>0</v>
      </c>
      <c r="I19" s="12">
        <v>30.79</v>
      </c>
      <c r="J19" s="13"/>
      <c r="K19" s="12">
        <v>0</v>
      </c>
      <c r="L19" s="12">
        <v>1</v>
      </c>
      <c r="M19" t="s" s="11">
        <v>37</v>
      </c>
      <c r="N19" s="12">
        <v>0</v>
      </c>
    </row>
    <row r="20" ht="20.05" customHeight="1">
      <c r="A20" t="s" s="9">
        <f>"2862472"</f>
        <v>86</v>
      </c>
      <c r="B20" s="10">
        <v>10</v>
      </c>
      <c r="C20" t="s" s="11">
        <f t="shared" si="69" ref="C20:C31">"1 DZ"</f>
        <v>87</v>
      </c>
      <c r="D20" t="s" s="11">
        <f t="shared" si="70" ref="D20:D31">"ELTORTO"</f>
        <v>88</v>
      </c>
      <c r="E20" t="s" s="11">
        <f>"TORTILLA FLOUR ROMA RED 10"</f>
        <v>89</v>
      </c>
      <c r="F20" t="s" s="11">
        <v>19</v>
      </c>
      <c r="G20" s="12">
        <v>0</v>
      </c>
      <c r="H20" s="12">
        <v>0</v>
      </c>
      <c r="I20" s="12">
        <v>37.41</v>
      </c>
      <c r="J20" s="13"/>
      <c r="K20" s="12">
        <v>0</v>
      </c>
      <c r="L20" s="12">
        <v>1</v>
      </c>
      <c r="M20" t="s" s="11">
        <v>90</v>
      </c>
      <c r="N20" s="12">
        <v>0</v>
      </c>
    </row>
    <row r="21" ht="20.05" customHeight="1">
      <c r="A21" t="s" s="9">
        <f>"2862720"</f>
        <v>91</v>
      </c>
      <c r="B21" s="10">
        <v>10</v>
      </c>
      <c r="C21" t="s" s="11">
        <f t="shared" si="69"/>
        <v>87</v>
      </c>
      <c r="D21" t="s" s="11">
        <f t="shared" si="70"/>
        <v>88</v>
      </c>
      <c r="E21" t="s" s="11">
        <v>92</v>
      </c>
      <c r="F21" t="s" s="11">
        <v>19</v>
      </c>
      <c r="G21" s="12">
        <v>0</v>
      </c>
      <c r="H21" s="12">
        <v>0</v>
      </c>
      <c r="I21" s="12">
        <v>37.42</v>
      </c>
      <c r="J21" s="13"/>
      <c r="K21" s="12">
        <v>0</v>
      </c>
      <c r="L21" s="12">
        <v>1</v>
      </c>
      <c r="M21" t="s" s="11">
        <v>37</v>
      </c>
      <c r="N21" s="12">
        <v>0</v>
      </c>
    </row>
    <row r="22" ht="20.05" customHeight="1">
      <c r="A22" t="s" s="9">
        <f>"2862969"</f>
        <v>93</v>
      </c>
      <c r="B22" s="10">
        <v>10</v>
      </c>
      <c r="C22" t="s" s="11">
        <f t="shared" si="69"/>
        <v>87</v>
      </c>
      <c r="D22" t="s" s="11">
        <f t="shared" si="70"/>
        <v>88</v>
      </c>
      <c r="E22" t="s" s="11">
        <v>94</v>
      </c>
      <c r="F22" t="s" s="11">
        <v>19</v>
      </c>
      <c r="G22" s="12">
        <v>0</v>
      </c>
      <c r="H22" s="12">
        <v>0</v>
      </c>
      <c r="I22" s="12">
        <v>30.74</v>
      </c>
      <c r="J22" s="13"/>
      <c r="K22" s="12">
        <v>0</v>
      </c>
      <c r="L22" s="12">
        <v>1</v>
      </c>
      <c r="M22" t="s" s="11">
        <v>37</v>
      </c>
      <c r="N22" s="12">
        <v>0</v>
      </c>
    </row>
    <row r="23" ht="20.05" customHeight="1">
      <c r="A23" t="s" s="9">
        <f>"2495640"</f>
        <v>95</v>
      </c>
      <c r="B23" s="10">
        <v>6</v>
      </c>
      <c r="C23" t="s" s="11">
        <f t="shared" si="79" ref="C23:C27">"2 KG"</f>
        <v>96</v>
      </c>
      <c r="D23" t="s" s="11">
        <f t="shared" si="18"/>
        <v>35</v>
      </c>
      <c r="E23" t="s" s="11">
        <f>"CORN SWEET SUPER SWEET CDN"</f>
        <v>97</v>
      </c>
      <c r="F23" t="s" s="11">
        <v>19</v>
      </c>
      <c r="G23" s="12">
        <v>0</v>
      </c>
      <c r="H23" s="12">
        <v>0</v>
      </c>
      <c r="I23" s="12">
        <v>33</v>
      </c>
      <c r="J23" s="13"/>
      <c r="K23" s="12">
        <v>0</v>
      </c>
      <c r="L23" s="12">
        <v>1</v>
      </c>
      <c r="M23" t="s" s="11">
        <v>98</v>
      </c>
      <c r="N23" s="12">
        <v>0</v>
      </c>
    </row>
    <row r="24" ht="20.05" customHeight="1">
      <c r="A24" t="s" s="9">
        <f>"9988932"</f>
        <v>99</v>
      </c>
      <c r="B24" s="10">
        <v>6</v>
      </c>
      <c r="C24" t="s" s="11">
        <f t="shared" si="79"/>
        <v>96</v>
      </c>
      <c r="D24" t="s" s="11">
        <f t="shared" si="18"/>
        <v>35</v>
      </c>
      <c r="E24" t="s" s="11">
        <f>"CARROT DICED"</f>
        <v>100</v>
      </c>
      <c r="F24" t="s" s="11">
        <v>19</v>
      </c>
      <c r="G24" s="12">
        <v>0</v>
      </c>
      <c r="H24" s="12">
        <v>0</v>
      </c>
      <c r="I24" s="12">
        <v>26.64</v>
      </c>
      <c r="J24" s="12">
        <v>0.251</v>
      </c>
      <c r="K24" s="12">
        <v>0</v>
      </c>
      <c r="L24" s="12">
        <v>1</v>
      </c>
      <c r="M24" t="s" s="11">
        <v>101</v>
      </c>
      <c r="N24" s="12">
        <v>0</v>
      </c>
    </row>
    <row r="25" ht="20.05" customHeight="1">
      <c r="A25" t="s" s="9">
        <f>"7674534"</f>
        <v>102</v>
      </c>
      <c r="B25" s="10">
        <v>6</v>
      </c>
      <c r="C25" t="s" s="11">
        <f t="shared" si="79"/>
        <v>96</v>
      </c>
      <c r="D25" t="s" s="11">
        <f t="shared" si="18"/>
        <v>35</v>
      </c>
      <c r="E25" t="s" s="11">
        <f>"PEA GREEN CAN"</f>
        <v>103</v>
      </c>
      <c r="F25" t="s" s="11">
        <v>19</v>
      </c>
      <c r="G25" s="12">
        <v>0</v>
      </c>
      <c r="H25" s="12">
        <v>0</v>
      </c>
      <c r="I25" s="12">
        <v>39.99</v>
      </c>
      <c r="J25" s="13"/>
      <c r="K25" s="12">
        <v>0</v>
      </c>
      <c r="L25" s="12">
        <v>1</v>
      </c>
      <c r="M25" t="s" s="11">
        <v>104</v>
      </c>
      <c r="N25" s="12">
        <v>0</v>
      </c>
    </row>
    <row r="26" ht="20.05" customHeight="1">
      <c r="A26" t="s" s="9">
        <f>"8001067"</f>
        <v>105</v>
      </c>
      <c r="B26" s="10">
        <v>1</v>
      </c>
      <c r="C26" t="s" s="11">
        <f t="shared" si="91" ref="C26:C75">"5 KG"</f>
        <v>106</v>
      </c>
      <c r="D26" t="s" s="11">
        <f t="shared" si="92" ref="D26:D97">"SYS IMP"</f>
        <v>107</v>
      </c>
      <c r="E26" t="s" s="11">
        <f>"BLUEBERRY WILD IQF"</f>
        <v>108</v>
      </c>
      <c r="F26" t="s" s="11">
        <v>19</v>
      </c>
      <c r="G26" s="12">
        <v>0</v>
      </c>
      <c r="H26" s="12">
        <v>0</v>
      </c>
      <c r="I26" s="12">
        <v>27.37</v>
      </c>
      <c r="J26" s="13"/>
      <c r="K26" s="12">
        <v>0</v>
      </c>
      <c r="L26" s="12">
        <v>0</v>
      </c>
      <c r="M26" s="13"/>
      <c r="N26" s="12">
        <v>0</v>
      </c>
    </row>
    <row r="27" ht="20.05" customHeight="1">
      <c r="A27" t="s" s="9">
        <f>"0045328"</f>
        <v>109</v>
      </c>
      <c r="B27" s="10">
        <v>6</v>
      </c>
      <c r="C27" t="s" s="11">
        <f t="shared" si="79"/>
        <v>96</v>
      </c>
      <c r="D27" t="s" s="11">
        <f>"OMSTEAD"</f>
        <v>110</v>
      </c>
      <c r="E27" t="s" s="11">
        <f>"STRAWBERRY IQF"</f>
        <v>111</v>
      </c>
      <c r="F27" t="s" s="11">
        <v>19</v>
      </c>
      <c r="G27" s="12">
        <v>0</v>
      </c>
      <c r="H27" s="12">
        <v>0</v>
      </c>
      <c r="I27" s="12">
        <v>60.29</v>
      </c>
      <c r="J27" s="13"/>
      <c r="K27" s="12">
        <v>0</v>
      </c>
      <c r="L27" s="12">
        <v>0</v>
      </c>
      <c r="M27" s="13"/>
      <c r="N27" s="12">
        <v>0</v>
      </c>
    </row>
    <row r="28" ht="20.05" customHeight="1">
      <c r="A28" t="s" s="9">
        <f>"5268552"</f>
        <v>112</v>
      </c>
      <c r="B28" s="10">
        <v>10</v>
      </c>
      <c r="C28" t="s" s="11">
        <f t="shared" si="65"/>
        <v>83</v>
      </c>
      <c r="D28" t="s" s="11">
        <f t="shared" si="66"/>
        <v>84</v>
      </c>
      <c r="E28" t="s" s="11">
        <f>"TORTILLA FLOUR WHT 12 IN"</f>
        <v>113</v>
      </c>
      <c r="F28" t="s" s="11">
        <v>19</v>
      </c>
      <c r="G28" s="12">
        <v>0</v>
      </c>
      <c r="H28" s="12">
        <v>0</v>
      </c>
      <c r="I28" s="12">
        <v>34.83</v>
      </c>
      <c r="J28" s="13"/>
      <c r="K28" s="12">
        <v>0</v>
      </c>
      <c r="L28" s="12">
        <v>1</v>
      </c>
      <c r="M28" t="s" s="11">
        <v>42</v>
      </c>
      <c r="N28" s="12">
        <v>0</v>
      </c>
    </row>
    <row r="29" ht="20.05" customHeight="1">
      <c r="A29" t="s" s="9">
        <f>"5268572"</f>
        <v>114</v>
      </c>
      <c r="B29" s="10">
        <v>10</v>
      </c>
      <c r="C29" t="s" s="11">
        <f>"12CT"</f>
        <v>83</v>
      </c>
      <c r="D29" t="s" s="11">
        <f t="shared" si="66"/>
        <v>84</v>
      </c>
      <c r="E29" t="s" s="11">
        <f>"TORTILLA SPINACH 12 IN"</f>
        <v>115</v>
      </c>
      <c r="F29" t="s" s="11">
        <v>19</v>
      </c>
      <c r="G29" s="12">
        <v>0</v>
      </c>
      <c r="H29" s="12">
        <v>0</v>
      </c>
      <c r="I29" s="12">
        <v>46.44</v>
      </c>
      <c r="J29" s="13"/>
      <c r="K29" s="12">
        <v>0</v>
      </c>
      <c r="L29" s="12">
        <v>1</v>
      </c>
      <c r="M29" t="s" s="11">
        <v>25</v>
      </c>
      <c r="N29" s="12">
        <v>0</v>
      </c>
    </row>
    <row r="30" ht="20.05" customHeight="1">
      <c r="A30" t="s" s="9">
        <f>"5268547"</f>
        <v>116</v>
      </c>
      <c r="B30" s="10">
        <v>10</v>
      </c>
      <c r="C30" t="s" s="11">
        <f t="shared" si="65"/>
        <v>83</v>
      </c>
      <c r="D30" t="s" s="11">
        <f t="shared" si="66"/>
        <v>84</v>
      </c>
      <c r="E30" t="s" s="11">
        <f>"TORTILLA TOMATO 12 IN"</f>
        <v>117</v>
      </c>
      <c r="F30" t="s" s="11">
        <v>19</v>
      </c>
      <c r="G30" s="12">
        <v>0</v>
      </c>
      <c r="H30" s="12">
        <v>0</v>
      </c>
      <c r="I30" s="12">
        <v>46.44</v>
      </c>
      <c r="J30" s="13"/>
      <c r="K30" s="12">
        <v>0</v>
      </c>
      <c r="L30" s="12">
        <v>1</v>
      </c>
      <c r="M30" t="s" s="11">
        <v>25</v>
      </c>
      <c r="N30" s="12">
        <v>0</v>
      </c>
    </row>
    <row r="31" ht="20.05" customHeight="1">
      <c r="A31" t="s" s="9">
        <f>"2862308"</f>
        <v>118</v>
      </c>
      <c r="B31" s="10">
        <v>10</v>
      </c>
      <c r="C31" t="s" s="11">
        <f t="shared" si="69"/>
        <v>87</v>
      </c>
      <c r="D31" t="s" s="11">
        <f t="shared" si="70"/>
        <v>88</v>
      </c>
      <c r="E31" t="s" s="11">
        <v>119</v>
      </c>
      <c r="F31" t="s" s="11">
        <v>19</v>
      </c>
      <c r="G31" s="12">
        <v>0</v>
      </c>
      <c r="H31" s="12">
        <v>0</v>
      </c>
      <c r="I31" s="12">
        <v>38.93</v>
      </c>
      <c r="J31" s="13"/>
      <c r="K31" s="12">
        <v>0</v>
      </c>
      <c r="L31" s="12">
        <v>1</v>
      </c>
      <c r="M31" t="s" s="11">
        <v>25</v>
      </c>
      <c r="N31" s="12">
        <v>0</v>
      </c>
    </row>
    <row r="32" ht="20.05" customHeight="1">
      <c r="A32" t="s" s="9">
        <f>"0244699"</f>
        <v>120</v>
      </c>
      <c r="B32" s="10">
        <v>2</v>
      </c>
      <c r="C32" t="s" s="11">
        <f t="shared" si="114" ref="C32:C41">"1.5 KG"</f>
        <v>121</v>
      </c>
      <c r="D32" t="s" s="11">
        <f t="shared" si="115" ref="D32:D81">"DAVROB"</f>
        <v>122</v>
      </c>
      <c r="E32" t="s" s="11">
        <f>"ALMOND NATURAL WHL"</f>
        <v>123</v>
      </c>
      <c r="F32" t="s" s="11">
        <v>19</v>
      </c>
      <c r="G32" s="12">
        <v>0</v>
      </c>
      <c r="H32" s="12">
        <v>0</v>
      </c>
      <c r="I32" s="12">
        <v>74.95</v>
      </c>
      <c r="J32" s="13"/>
      <c r="K32" s="12">
        <v>0</v>
      </c>
      <c r="L32" s="12">
        <v>0</v>
      </c>
      <c r="M32" s="13"/>
      <c r="N32" s="12">
        <v>0</v>
      </c>
    </row>
    <row r="33" ht="20.05" customHeight="1">
      <c r="A33" t="s" s="9">
        <f>"6132881"</f>
        <v>124</v>
      </c>
      <c r="B33" s="10">
        <v>3</v>
      </c>
      <c r="C33" t="s" s="11">
        <f t="shared" si="41"/>
        <v>60</v>
      </c>
      <c r="D33" t="s" s="11">
        <f t="shared" si="18"/>
        <v>35</v>
      </c>
      <c r="E33" t="s" s="11">
        <f>"ALMOND BLNCHD SLI CDN"</f>
        <v>125</v>
      </c>
      <c r="F33" t="s" s="11">
        <v>19</v>
      </c>
      <c r="G33" s="12">
        <v>0</v>
      </c>
      <c r="H33" s="12">
        <v>0</v>
      </c>
      <c r="I33" s="12">
        <v>72.61</v>
      </c>
      <c r="J33" s="13"/>
      <c r="K33" s="12">
        <v>0</v>
      </c>
      <c r="L33" s="12">
        <v>2</v>
      </c>
      <c r="M33" t="s" s="11">
        <v>126</v>
      </c>
      <c r="N33" s="12">
        <v>0</v>
      </c>
    </row>
    <row r="34" ht="20.05" customHeight="1">
      <c r="A34" t="s" s="9">
        <f>"0611335"</f>
        <v>127</v>
      </c>
      <c r="B34" s="10">
        <v>6</v>
      </c>
      <c r="C34" t="s" s="11">
        <f>"2.42 LT"</f>
        <v>128</v>
      </c>
      <c r="D34" t="s" s="11">
        <f t="shared" si="14"/>
        <v>31</v>
      </c>
      <c r="E34" t="s" s="11">
        <f>"ARTICHOKE HEART QTR CANADA"</f>
        <v>129</v>
      </c>
      <c r="F34" t="s" s="11">
        <v>19</v>
      </c>
      <c r="G34" s="12">
        <v>0</v>
      </c>
      <c r="H34" s="12">
        <v>0</v>
      </c>
      <c r="I34" s="12">
        <v>71.2</v>
      </c>
      <c r="J34" t="s" s="11">
        <v>130</v>
      </c>
      <c r="K34" s="12">
        <v>11.87</v>
      </c>
      <c r="L34" s="12">
        <v>0</v>
      </c>
      <c r="M34" s="13"/>
      <c r="N34" s="12">
        <v>0</v>
      </c>
    </row>
    <row r="35" ht="20.05" customHeight="1">
      <c r="A35" t="s" s="9">
        <f>"5277166"</f>
        <v>131</v>
      </c>
      <c r="B35" s="10">
        <v>4</v>
      </c>
      <c r="C35" t="s" s="11">
        <f>"5KG"</f>
        <v>132</v>
      </c>
      <c r="D35" t="s" s="11">
        <f t="shared" si="115"/>
        <v>122</v>
      </c>
      <c r="E35" t="s" s="11">
        <f>"POWDER BAKING DBL ACTION"</f>
        <v>133</v>
      </c>
      <c r="F35" t="s" s="11">
        <v>19</v>
      </c>
      <c r="G35" s="12">
        <v>0</v>
      </c>
      <c r="H35" s="12">
        <v>0</v>
      </c>
      <c r="I35" s="12">
        <v>146.56</v>
      </c>
      <c r="J35" s="13"/>
      <c r="K35" s="12">
        <v>0</v>
      </c>
      <c r="L35" s="12">
        <v>1</v>
      </c>
      <c r="M35" t="s" s="11">
        <v>134</v>
      </c>
      <c r="N35" s="12">
        <v>0</v>
      </c>
    </row>
    <row r="36" ht="20.05" customHeight="1">
      <c r="A36" t="s" s="9">
        <f>"5221970"</f>
        <v>135</v>
      </c>
      <c r="B36" s="10">
        <v>6</v>
      </c>
      <c r="C36" t="s" s="11">
        <f t="shared" si="130" ref="C36:C78">"2.84L"</f>
        <v>136</v>
      </c>
      <c r="D36" t="s" s="11">
        <f>"SYS CLS"</f>
        <v>35</v>
      </c>
      <c r="E36" t="s" s="11">
        <f>"BEAN KIDNEY DARK RED"</f>
        <v>137</v>
      </c>
      <c r="F36" t="s" s="11">
        <v>138</v>
      </c>
      <c r="G36" s="12">
        <v>0</v>
      </c>
      <c r="H36" s="12">
        <v>0</v>
      </c>
      <c r="I36" s="12">
        <v>0</v>
      </c>
      <c r="J36" s="13"/>
      <c r="K36" s="12">
        <v>0</v>
      </c>
      <c r="L36" s="12">
        <v>2</v>
      </c>
      <c r="M36" t="s" s="11">
        <v>139</v>
      </c>
      <c r="N36" s="12">
        <v>0</v>
      </c>
    </row>
    <row r="37" ht="20.05" customHeight="1">
      <c r="A37" t="s" s="9">
        <f>"0822694"</f>
        <v>140</v>
      </c>
      <c r="B37" s="10">
        <v>6</v>
      </c>
      <c r="C37" t="s" s="11">
        <f t="shared" si="134" ref="C37:C97">"2.84LT"</f>
        <v>141</v>
      </c>
      <c r="D37" t="s" s="11">
        <f t="shared" si="135" ref="D37:D69">"ITALISS"</f>
        <v>142</v>
      </c>
      <c r="E37" t="s" s="11">
        <f>"BEAN CHICKPEA GARBANZO"</f>
        <v>143</v>
      </c>
      <c r="F37" t="s" s="11">
        <v>19</v>
      </c>
      <c r="G37" s="12">
        <v>0</v>
      </c>
      <c r="H37" s="12">
        <v>0</v>
      </c>
      <c r="I37" s="12">
        <v>25.51</v>
      </c>
      <c r="J37" s="13"/>
      <c r="K37" s="12">
        <v>0</v>
      </c>
      <c r="L37" s="12">
        <v>2</v>
      </c>
      <c r="M37" t="s" s="11">
        <v>37</v>
      </c>
      <c r="N37" s="12">
        <v>0</v>
      </c>
    </row>
    <row r="38" ht="20.05" customHeight="1">
      <c r="A38" t="s" s="9">
        <f>"5221957"</f>
        <v>144</v>
      </c>
      <c r="B38" s="10">
        <v>6</v>
      </c>
      <c r="C38" t="s" s="11">
        <f t="shared" si="130"/>
        <v>136</v>
      </c>
      <c r="D38" t="s" s="11">
        <f t="shared" si="18"/>
        <v>35</v>
      </c>
      <c r="E38" t="s" s="11">
        <f>"BEAN BLACK"</f>
        <v>145</v>
      </c>
      <c r="F38" t="s" s="11">
        <v>19</v>
      </c>
      <c r="G38" s="12">
        <v>0</v>
      </c>
      <c r="H38" s="12">
        <v>0</v>
      </c>
      <c r="I38" s="12">
        <v>40.2</v>
      </c>
      <c r="J38" s="13"/>
      <c r="K38" s="12">
        <v>0</v>
      </c>
      <c r="L38" s="12">
        <v>2</v>
      </c>
      <c r="M38" t="s" s="11">
        <v>146</v>
      </c>
      <c r="N38" s="12">
        <v>0</v>
      </c>
    </row>
    <row r="39" ht="20.05" customHeight="1">
      <c r="A39" t="s" s="9">
        <f>"2294744"</f>
        <v>147</v>
      </c>
      <c r="B39" s="10">
        <v>1</v>
      </c>
      <c r="C39" t="s" s="11">
        <f>"10 KG"</f>
        <v>148</v>
      </c>
      <c r="D39" t="s" s="11">
        <f t="shared" si="115"/>
        <v>122</v>
      </c>
      <c r="E39" t="s" s="11">
        <f>"CORN MEAL BULK"</f>
        <v>149</v>
      </c>
      <c r="F39" t="s" s="11">
        <v>19</v>
      </c>
      <c r="G39" s="12">
        <v>0</v>
      </c>
      <c r="H39" s="12">
        <v>0</v>
      </c>
      <c r="I39" s="12">
        <v>23.14</v>
      </c>
      <c r="J39" s="13"/>
      <c r="K39" s="12">
        <v>0</v>
      </c>
      <c r="L39" s="12">
        <v>1</v>
      </c>
      <c r="M39" t="s" s="11">
        <v>42</v>
      </c>
      <c r="N39" s="12">
        <v>0</v>
      </c>
    </row>
    <row r="40" ht="20.05" customHeight="1">
      <c r="A40" t="s" s="9">
        <f>"6343907"</f>
        <v>150</v>
      </c>
      <c r="B40" s="10">
        <v>2</v>
      </c>
      <c r="C40" t="s" s="11">
        <f>"1.36KG"</f>
        <v>151</v>
      </c>
      <c r="D40" t="s" s="11">
        <f>"OCNSPRY"</f>
        <v>152</v>
      </c>
      <c r="E40" t="s" s="11">
        <f>"CRANBERRY DRIED CRAISINS"</f>
        <v>153</v>
      </c>
      <c r="F40" t="s" s="11">
        <v>19</v>
      </c>
      <c r="G40" s="12">
        <v>0</v>
      </c>
      <c r="H40" s="12">
        <v>0</v>
      </c>
      <c r="I40" s="12">
        <v>20.29</v>
      </c>
      <c r="J40" s="13"/>
      <c r="K40" s="12">
        <v>0</v>
      </c>
      <c r="L40" s="12">
        <v>0</v>
      </c>
      <c r="M40" s="13"/>
      <c r="N40" s="12">
        <v>0</v>
      </c>
    </row>
    <row r="41" ht="20.05" customHeight="1">
      <c r="A41" t="s" s="9">
        <f>"7866296"</f>
        <v>154</v>
      </c>
      <c r="B41" s="10">
        <v>2</v>
      </c>
      <c r="C41" t="s" s="11">
        <f t="shared" si="114"/>
        <v>121</v>
      </c>
      <c r="D41" t="s" s="11">
        <f t="shared" si="18"/>
        <v>35</v>
      </c>
      <c r="E41" t="s" s="11">
        <f>"CASHEW WHOLE RAW CANADA"</f>
        <v>155</v>
      </c>
      <c r="F41" t="s" s="11">
        <v>19</v>
      </c>
      <c r="G41" s="12">
        <v>0</v>
      </c>
      <c r="H41" s="12">
        <v>0</v>
      </c>
      <c r="I41" s="12">
        <v>94.15000000000001</v>
      </c>
      <c r="J41" s="13"/>
      <c r="K41" s="12">
        <v>0</v>
      </c>
      <c r="L41" s="12">
        <v>2</v>
      </c>
      <c r="M41" t="s" s="11">
        <v>156</v>
      </c>
      <c r="N41" s="12">
        <v>0</v>
      </c>
    </row>
    <row r="42" ht="20.05" customHeight="1">
      <c r="A42" t="s" s="9">
        <f>"7866700"</f>
        <v>157</v>
      </c>
      <c r="B42" s="10">
        <v>3</v>
      </c>
      <c r="C42" t="s" s="11">
        <f t="shared" si="5"/>
        <v>22</v>
      </c>
      <c r="D42" t="s" s="11">
        <f t="shared" si="18"/>
        <v>35</v>
      </c>
      <c r="E42" t="s" s="11">
        <f>"COCOA PWDR 10/12% CANADA"</f>
        <v>158</v>
      </c>
      <c r="F42" t="s" s="11">
        <v>19</v>
      </c>
      <c r="G42" s="12">
        <v>0</v>
      </c>
      <c r="H42" s="12">
        <v>0</v>
      </c>
      <c r="I42" s="12">
        <v>37.46</v>
      </c>
      <c r="J42" s="13"/>
      <c r="K42" s="12">
        <v>0</v>
      </c>
      <c r="L42" s="12">
        <v>1</v>
      </c>
      <c r="M42" t="s" s="11">
        <v>63</v>
      </c>
      <c r="N42" s="12">
        <v>0</v>
      </c>
    </row>
    <row r="43" ht="20.05" customHeight="1">
      <c r="A43" t="s" s="9">
        <f>"1060897"</f>
        <v>159</v>
      </c>
      <c r="B43" s="10">
        <v>2</v>
      </c>
      <c r="C43" t="s" s="11">
        <f t="shared" si="158" ref="C43:C73">"3.78LT"</f>
        <v>160</v>
      </c>
      <c r="D43" t="s" s="11">
        <f>"HELLMAN"</f>
        <v>161</v>
      </c>
      <c r="E43" t="s" s="11">
        <f>"DRESSING SUNDRIED TOM PESTO GF"</f>
        <v>162</v>
      </c>
      <c r="F43" t="s" s="11">
        <v>163</v>
      </c>
      <c r="G43" s="12">
        <v>0</v>
      </c>
      <c r="H43" s="12">
        <v>0</v>
      </c>
      <c r="I43" s="12">
        <v>0</v>
      </c>
      <c r="J43" s="13"/>
      <c r="K43" s="12">
        <v>0</v>
      </c>
      <c r="L43" s="12">
        <v>4</v>
      </c>
      <c r="M43" t="s" s="11">
        <v>126</v>
      </c>
      <c r="N43" s="12">
        <v>0</v>
      </c>
    </row>
    <row r="44" ht="20.05" customHeight="1">
      <c r="A44" t="s" s="9">
        <f>"4978319"</f>
        <v>164</v>
      </c>
      <c r="B44" s="10">
        <v>1</v>
      </c>
      <c r="C44" t="s" s="11">
        <f>"16 LT"</f>
        <v>165</v>
      </c>
      <c r="D44" t="s" s="11">
        <f>"RSVP"</f>
        <v>166</v>
      </c>
      <c r="E44" t="s" s="11">
        <f>"DRESSING MAYONNAISE PAIL"</f>
        <v>167</v>
      </c>
      <c r="F44" t="s" s="11">
        <v>19</v>
      </c>
      <c r="G44" s="12">
        <v>0</v>
      </c>
      <c r="H44" s="12">
        <v>0</v>
      </c>
      <c r="I44" s="12">
        <v>49.82</v>
      </c>
      <c r="J44" s="13"/>
      <c r="K44" s="12">
        <v>0</v>
      </c>
      <c r="L44" s="12">
        <v>5</v>
      </c>
      <c r="M44" t="s" s="11">
        <v>25</v>
      </c>
      <c r="N44" s="12">
        <v>0</v>
      </c>
    </row>
    <row r="45" ht="20.05" customHeight="1">
      <c r="A45" t="s" s="9">
        <f>"0349555"</f>
        <v>168</v>
      </c>
      <c r="B45" s="10">
        <v>4</v>
      </c>
      <c r="C45" t="s" s="11">
        <f>"4 L"</f>
        <v>169</v>
      </c>
      <c r="D45" t="s" s="11">
        <f t="shared" si="167" ref="D45:D93">"CLUBHSE"</f>
        <v>170</v>
      </c>
      <c r="E45" t="s" s="11">
        <f>"EXTRACT VANILLA ARTIF"</f>
        <v>171</v>
      </c>
      <c r="F45" t="s" s="11">
        <v>19</v>
      </c>
      <c r="G45" s="12">
        <v>0</v>
      </c>
      <c r="H45" s="12">
        <v>0</v>
      </c>
      <c r="I45" s="12">
        <v>81.87</v>
      </c>
      <c r="J45" s="13"/>
      <c r="K45" s="12">
        <v>20.55</v>
      </c>
      <c r="L45" s="12">
        <v>1</v>
      </c>
      <c r="M45" t="s" s="11">
        <v>172</v>
      </c>
      <c r="N45" s="12">
        <v>0</v>
      </c>
    </row>
    <row r="46" ht="20.05" customHeight="1">
      <c r="A46" t="s" s="9">
        <f>"4029120"</f>
        <v>173</v>
      </c>
      <c r="B46" s="10">
        <v>6</v>
      </c>
      <c r="C46" t="s" s="11">
        <f t="shared" si="5"/>
        <v>22</v>
      </c>
      <c r="D46" t="s" s="11">
        <f t="shared" si="18"/>
        <v>35</v>
      </c>
      <c r="E46" t="s" s="11">
        <f>"HONEY PURE GOLDEN LIQ"</f>
        <v>174</v>
      </c>
      <c r="F46" t="s" s="11">
        <v>19</v>
      </c>
      <c r="G46" s="12">
        <v>0</v>
      </c>
      <c r="H46" s="12">
        <v>0</v>
      </c>
      <c r="I46" s="12">
        <v>64.81</v>
      </c>
      <c r="J46" s="13"/>
      <c r="K46" s="12">
        <v>12</v>
      </c>
      <c r="L46" s="12">
        <v>0</v>
      </c>
      <c r="M46" s="13"/>
      <c r="N46" s="12">
        <v>0</v>
      </c>
    </row>
    <row r="47" ht="20.05" customHeight="1">
      <c r="A47" t="s" s="9">
        <f>"5311366"</f>
        <v>175</v>
      </c>
      <c r="B47" s="10">
        <v>6</v>
      </c>
      <c r="C47" t="s" s="11">
        <f t="shared" si="130"/>
        <v>136</v>
      </c>
      <c r="D47" t="s" s="11">
        <f t="shared" si="92"/>
        <v>107</v>
      </c>
      <c r="E47" t="s" s="11">
        <f>"KETCHUP POUCH-PK"</f>
        <v>176</v>
      </c>
      <c r="F47" t="s" s="11">
        <v>19</v>
      </c>
      <c r="G47" s="12">
        <v>0</v>
      </c>
      <c r="H47" s="12">
        <v>0</v>
      </c>
      <c r="I47" s="12">
        <v>48.22</v>
      </c>
      <c r="J47" s="13"/>
      <c r="K47" s="12">
        <v>0</v>
      </c>
      <c r="L47" s="12">
        <v>2</v>
      </c>
      <c r="M47" t="s" s="11">
        <v>146</v>
      </c>
      <c r="N47" s="12">
        <v>0</v>
      </c>
    </row>
    <row r="48" ht="20.05" customHeight="1">
      <c r="A48" t="s" s="9">
        <f>"5005006"</f>
        <v>177</v>
      </c>
      <c r="B48" s="10">
        <v>6</v>
      </c>
      <c r="C48" t="s" s="11">
        <f t="shared" si="134"/>
        <v>141</v>
      </c>
      <c r="D48" t="s" s="11">
        <f>"SUCCESS"</f>
        <v>178</v>
      </c>
      <c r="E48" t="s" s="11">
        <f>"MILK COCONUT"</f>
        <v>179</v>
      </c>
      <c r="F48" t="s" s="11">
        <v>19</v>
      </c>
      <c r="G48" s="12">
        <v>0</v>
      </c>
      <c r="H48" s="12">
        <v>0</v>
      </c>
      <c r="I48" s="12">
        <v>49.94</v>
      </c>
      <c r="J48" s="13"/>
      <c r="K48" s="12">
        <v>0</v>
      </c>
      <c r="L48" s="12">
        <v>4</v>
      </c>
      <c r="M48" t="s" s="11">
        <v>37</v>
      </c>
      <c r="N48" s="12">
        <v>0</v>
      </c>
    </row>
    <row r="49" ht="20.05" customHeight="1">
      <c r="A49" t="s" s="9">
        <f>"2900819"</f>
        <v>180</v>
      </c>
      <c r="B49" s="10">
        <v>1</v>
      </c>
      <c r="C49" t="s" s="11">
        <f>"25 KG"</f>
        <v>181</v>
      </c>
      <c r="D49" t="s" s="11">
        <f>"ROGERS"</f>
        <v>182</v>
      </c>
      <c r="E49" t="s" s="11">
        <f>"MOLASSES FANCY PAIL BLACKSTRAP"</f>
        <v>183</v>
      </c>
      <c r="F49" t="s" s="11">
        <v>163</v>
      </c>
      <c r="G49" s="12">
        <v>0</v>
      </c>
      <c r="H49" s="12">
        <v>0</v>
      </c>
      <c r="I49" s="12">
        <v>0</v>
      </c>
      <c r="J49" s="13"/>
      <c r="K49" s="12">
        <v>0</v>
      </c>
      <c r="L49" s="12">
        <v>0</v>
      </c>
      <c r="M49" s="13"/>
      <c r="N49" s="12">
        <v>0</v>
      </c>
    </row>
    <row r="50" ht="20.05" customHeight="1">
      <c r="A50" t="s" s="9">
        <f>"7271509"</f>
        <v>184</v>
      </c>
      <c r="B50" s="10">
        <v>2</v>
      </c>
      <c r="C50" t="s" s="11">
        <f>"2.9 LT"</f>
        <v>185</v>
      </c>
      <c r="D50" t="s" s="11">
        <f>"FRENCHS"</f>
        <v>186</v>
      </c>
      <c r="E50" t="s" s="11">
        <f>"MUSTARD YELLOW"</f>
        <v>187</v>
      </c>
      <c r="F50" t="s" s="11">
        <v>19</v>
      </c>
      <c r="G50" s="12">
        <v>0</v>
      </c>
      <c r="H50" s="12">
        <v>0</v>
      </c>
      <c r="I50" s="12">
        <v>17.38</v>
      </c>
      <c r="J50" s="13"/>
      <c r="K50" s="12">
        <v>0</v>
      </c>
      <c r="L50" s="12">
        <v>1</v>
      </c>
      <c r="M50" t="s" s="11">
        <v>188</v>
      </c>
      <c r="N50" s="12">
        <v>0</v>
      </c>
    </row>
    <row r="51" ht="20.05" customHeight="1">
      <c r="A51" t="s" s="9">
        <f>"8991713"</f>
        <v>189</v>
      </c>
      <c r="B51" s="10">
        <v>2</v>
      </c>
      <c r="C51" t="s" s="11">
        <f t="shared" si="190" ref="C51:C98">"5 LTR"</f>
        <v>190</v>
      </c>
      <c r="D51" t="s" s="11">
        <f>"INTLIMP"</f>
        <v>191</v>
      </c>
      <c r="E51" t="s" s="11">
        <f>"MUSTARD DIJON CDN"</f>
        <v>192</v>
      </c>
      <c r="F51" t="s" s="11">
        <v>19</v>
      </c>
      <c r="G51" s="12">
        <v>0</v>
      </c>
      <c r="H51" s="12">
        <v>0</v>
      </c>
      <c r="I51" s="12">
        <v>55.31</v>
      </c>
      <c r="J51" s="13"/>
      <c r="K51" s="12">
        <v>27.67</v>
      </c>
      <c r="L51" s="12">
        <v>1</v>
      </c>
      <c r="M51" t="s" s="11">
        <v>139</v>
      </c>
      <c r="N51" s="12">
        <v>0</v>
      </c>
    </row>
    <row r="52" ht="20.05" customHeight="1">
      <c r="A52" t="s" s="9">
        <f>"2932168"</f>
        <v>193</v>
      </c>
      <c r="B52" s="10">
        <v>2</v>
      </c>
      <c r="C52" t="s" s="11">
        <f>"4625ML"</f>
        <v>194</v>
      </c>
      <c r="D52" t="s" s="11">
        <f>"FLEUDJN"</f>
        <v>195</v>
      </c>
      <c r="E52" t="s" s="11">
        <f>"MUSTARD DIJON STRONG"</f>
        <v>196</v>
      </c>
      <c r="F52" t="s" s="11">
        <v>19</v>
      </c>
      <c r="G52" s="12">
        <v>0</v>
      </c>
      <c r="H52" s="12">
        <v>0</v>
      </c>
      <c r="I52" s="12">
        <v>39.21</v>
      </c>
      <c r="J52" s="13"/>
      <c r="K52" s="12">
        <v>0</v>
      </c>
      <c r="L52" s="12">
        <v>1</v>
      </c>
      <c r="M52" t="s" s="11">
        <v>197</v>
      </c>
      <c r="N52" s="12">
        <v>0</v>
      </c>
    </row>
    <row r="53" ht="20.05" customHeight="1">
      <c r="A53" t="s" s="9">
        <f>"2987980"</f>
        <v>198</v>
      </c>
      <c r="B53" s="10">
        <v>12</v>
      </c>
      <c r="C53" t="s" s="11">
        <f>"454 GM"</f>
        <v>199</v>
      </c>
      <c r="D53" t="s" s="11">
        <f>"KEENS"</f>
        <v>200</v>
      </c>
      <c r="E53" t="s" s="11">
        <f>"MUSTARD DRY 1 LB"</f>
        <v>201</v>
      </c>
      <c r="F53" t="s" s="11">
        <v>19</v>
      </c>
      <c r="G53" s="12">
        <v>0</v>
      </c>
      <c r="H53" s="12">
        <v>0</v>
      </c>
      <c r="I53" s="12">
        <v>187.04</v>
      </c>
      <c r="J53" s="13"/>
      <c r="K53" s="12">
        <v>15.6</v>
      </c>
      <c r="L53" s="12">
        <v>2</v>
      </c>
      <c r="M53" t="s" s="11">
        <v>202</v>
      </c>
      <c r="N53" s="12">
        <v>0</v>
      </c>
    </row>
    <row r="54" ht="20.05" customHeight="1">
      <c r="A54" t="s" s="9">
        <f>"7354269"</f>
        <v>203</v>
      </c>
      <c r="B54" s="10">
        <v>6</v>
      </c>
      <c r="C54" t="s" s="11">
        <f>"2.8LT"</f>
        <v>204</v>
      </c>
      <c r="D54" t="s" s="11">
        <f>"KONTIKI"</f>
        <v>205</v>
      </c>
      <c r="E54" t="s" s="11">
        <f>"ORANGE MANDARIN IN JUICE"</f>
        <v>206</v>
      </c>
      <c r="F54" t="s" s="11">
        <v>19</v>
      </c>
      <c r="G54" s="12">
        <v>0</v>
      </c>
      <c r="H54" s="12">
        <v>0</v>
      </c>
      <c r="I54" s="12">
        <v>61.67</v>
      </c>
      <c r="J54" s="13"/>
      <c r="K54" s="12">
        <v>0</v>
      </c>
      <c r="L54" s="12">
        <v>1</v>
      </c>
      <c r="M54" t="s" s="11">
        <v>207</v>
      </c>
      <c r="N54" s="12">
        <v>0</v>
      </c>
    </row>
    <row r="55" ht="20.05" customHeight="1">
      <c r="A55" t="s" s="9">
        <f>"0717381"</f>
        <v>208</v>
      </c>
      <c r="B55" s="10">
        <v>1</v>
      </c>
      <c r="C55" t="s" s="11">
        <f t="shared" si="21"/>
        <v>39</v>
      </c>
      <c r="D55" t="s" s="11">
        <f>"BUNGE"</f>
        <v>209</v>
      </c>
      <c r="E55" t="s" s="11">
        <f>"OIL COCONUT KOKOHEART 23"</f>
        <v>210</v>
      </c>
      <c r="F55" t="s" s="11">
        <v>19</v>
      </c>
      <c r="G55" s="12">
        <v>0</v>
      </c>
      <c r="H55" s="12">
        <v>0</v>
      </c>
      <c r="I55" s="12">
        <v>93</v>
      </c>
      <c r="J55" s="13"/>
      <c r="K55" s="12">
        <v>0</v>
      </c>
      <c r="L55" s="12">
        <v>1</v>
      </c>
      <c r="M55" t="s" s="11">
        <v>37</v>
      </c>
      <c r="N55" s="12">
        <v>0</v>
      </c>
    </row>
    <row r="56" ht="20.05" customHeight="1">
      <c r="A56" t="s" s="9">
        <f>"1484567"</f>
        <v>211</v>
      </c>
      <c r="B56" s="10">
        <v>1</v>
      </c>
      <c r="C56" t="s" s="11">
        <f>"16 LTR"</f>
        <v>212</v>
      </c>
      <c r="D56" t="s" s="11">
        <f t="shared" si="18"/>
        <v>35</v>
      </c>
      <c r="E56" t="s" s="11">
        <f>"OIL CANOLA JIB"</f>
        <v>213</v>
      </c>
      <c r="F56" t="s" s="11">
        <v>19</v>
      </c>
      <c r="G56" s="12">
        <v>0</v>
      </c>
      <c r="H56" s="12">
        <v>0</v>
      </c>
      <c r="I56" s="12">
        <v>23.63</v>
      </c>
      <c r="J56" s="13"/>
      <c r="K56" s="12">
        <v>0</v>
      </c>
      <c r="L56" s="12">
        <v>1</v>
      </c>
      <c r="M56" t="s" s="11">
        <v>37</v>
      </c>
      <c r="N56" s="12">
        <v>0</v>
      </c>
    </row>
    <row r="57" ht="20.05" customHeight="1">
      <c r="A57" t="s" s="9">
        <f>"5944299"</f>
        <v>214</v>
      </c>
      <c r="B57" s="10">
        <v>10</v>
      </c>
      <c r="C57" t="s" s="11">
        <f t="shared" si="5"/>
        <v>22</v>
      </c>
      <c r="D57" t="s" s="11">
        <f t="shared" si="215" ref="D57:D75">"KRINOS"</f>
        <v>215</v>
      </c>
      <c r="E57" t="s" s="11">
        <f>"OLIVE KALAMATA PITTED"</f>
        <v>216</v>
      </c>
      <c r="F57" t="s" s="11">
        <v>19</v>
      </c>
      <c r="G57" s="12">
        <v>0</v>
      </c>
      <c r="H57" s="12">
        <v>0</v>
      </c>
      <c r="I57" s="12">
        <v>99.70999999999999</v>
      </c>
      <c r="J57" s="13"/>
      <c r="K57" s="12">
        <v>9.970000000000001</v>
      </c>
      <c r="L57" s="12">
        <v>0</v>
      </c>
      <c r="M57" s="13"/>
      <c r="N57" s="12">
        <v>0</v>
      </c>
    </row>
    <row r="58" ht="20.05" customHeight="1">
      <c r="A58" t="s" s="9">
        <f>"8661567"</f>
        <v>217</v>
      </c>
      <c r="B58" s="10">
        <v>6</v>
      </c>
      <c r="C58" t="s" s="11">
        <f>"250 ML"</f>
        <v>218</v>
      </c>
      <c r="D58" t="s" s="11">
        <f>"ITALISS"</f>
        <v>142</v>
      </c>
      <c r="E58" t="s" s="11">
        <f>"OIL TRUFFLE EXTRA VIRGIN"</f>
        <v>219</v>
      </c>
      <c r="F58" t="s" s="11">
        <v>19</v>
      </c>
      <c r="G58" s="12">
        <v>0</v>
      </c>
      <c r="H58" s="12">
        <v>0</v>
      </c>
      <c r="I58" s="12">
        <v>80.25</v>
      </c>
      <c r="J58" s="13"/>
      <c r="K58" s="12">
        <v>14.26</v>
      </c>
      <c r="L58" s="12">
        <v>1</v>
      </c>
      <c r="M58" t="s" s="11">
        <v>220</v>
      </c>
      <c r="N58" s="12">
        <v>0</v>
      </c>
    </row>
    <row r="59" ht="20.05" customHeight="1">
      <c r="A59" t="s" s="9">
        <f>"7303324"</f>
        <v>221</v>
      </c>
      <c r="B59" s="10">
        <v>4</v>
      </c>
      <c r="C59" t="s" s="11">
        <f>"3 L"</f>
        <v>222</v>
      </c>
      <c r="D59" t="s" s="11">
        <f t="shared" si="14"/>
        <v>31</v>
      </c>
      <c r="E59" t="s" s="11">
        <f>"OIL OLIVE POMACE CAN"</f>
        <v>223</v>
      </c>
      <c r="F59" t="s" s="11">
        <v>19</v>
      </c>
      <c r="G59" s="12">
        <v>0</v>
      </c>
      <c r="H59" s="12">
        <v>0</v>
      </c>
      <c r="I59" s="12">
        <v>65.90000000000001</v>
      </c>
      <c r="J59" t="s" s="11">
        <v>224</v>
      </c>
      <c r="K59" s="12">
        <v>17.99</v>
      </c>
      <c r="L59" s="12">
        <v>2</v>
      </c>
      <c r="M59" t="s" s="11">
        <v>37</v>
      </c>
      <c r="N59" s="12">
        <v>0</v>
      </c>
    </row>
    <row r="60" ht="20.05" customHeight="1">
      <c r="A60" t="s" s="9">
        <f>"5320229"</f>
        <v>225</v>
      </c>
      <c r="B60" s="10">
        <v>24</v>
      </c>
      <c r="C60" t="s" s="11">
        <f>"7 OZ"</f>
        <v>226</v>
      </c>
      <c r="D60" t="s" s="11">
        <f>"SAN MAR"</f>
        <v>227</v>
      </c>
      <c r="E60" t="s" s="11">
        <f>"PEPPER CHIPOTLE IN ADOBO SAUCE"</f>
        <v>228</v>
      </c>
      <c r="F60" t="s" s="11">
        <v>19</v>
      </c>
      <c r="G60" s="12">
        <v>0</v>
      </c>
      <c r="H60" s="12">
        <v>0</v>
      </c>
      <c r="I60" s="12">
        <v>49.63</v>
      </c>
      <c r="J60" s="13"/>
      <c r="K60" s="12">
        <v>0</v>
      </c>
      <c r="L60" s="12">
        <v>1</v>
      </c>
      <c r="M60" t="s" s="11">
        <v>37</v>
      </c>
      <c r="N60" s="12">
        <v>0</v>
      </c>
    </row>
    <row r="61" ht="20.05" customHeight="1">
      <c r="A61" t="s" s="9">
        <f>"4899373"</f>
        <v>229</v>
      </c>
      <c r="B61" s="10">
        <v>4</v>
      </c>
      <c r="C61" t="s" s="11">
        <f>"1 GAL"</f>
        <v>230</v>
      </c>
      <c r="D61" t="s" s="11">
        <f>"LEE KUM"</f>
        <v>231</v>
      </c>
      <c r="E61" t="s" s="11">
        <f>"OIL SESAME SEED PURE"</f>
        <v>232</v>
      </c>
      <c r="F61" t="s" s="11">
        <v>19</v>
      </c>
      <c r="G61" s="12">
        <v>0</v>
      </c>
      <c r="H61" s="12">
        <v>0</v>
      </c>
      <c r="I61" s="12">
        <v>179.62</v>
      </c>
      <c r="J61" s="13"/>
      <c r="K61" s="12">
        <v>44.9</v>
      </c>
      <c r="L61" s="12">
        <v>0</v>
      </c>
      <c r="M61" s="13"/>
      <c r="N61" s="12">
        <v>0</v>
      </c>
    </row>
    <row r="62" ht="20.05" customHeight="1">
      <c r="A62" t="s" s="9">
        <f>"2638660"</f>
        <v>233</v>
      </c>
      <c r="B62" s="10">
        <v>3</v>
      </c>
      <c r="C62" t="s" s="11">
        <f>"136 OZ"</f>
        <v>234</v>
      </c>
      <c r="D62" t="s" s="11">
        <f t="shared" si="235" ref="D62:D83">"HUYFONG"</f>
        <v>235</v>
      </c>
      <c r="E62" t="s" s="11">
        <f>"PASTE CHILI GRND SAMBAL OELEK"</f>
        <v>236</v>
      </c>
      <c r="F62" t="s" s="11">
        <v>19</v>
      </c>
      <c r="G62" s="12">
        <v>0</v>
      </c>
      <c r="H62" s="12">
        <v>0</v>
      </c>
      <c r="I62" s="12">
        <v>71.56999999999999</v>
      </c>
      <c r="J62" s="13"/>
      <c r="K62" s="12">
        <v>23.86</v>
      </c>
      <c r="L62" s="12">
        <v>0</v>
      </c>
      <c r="M62" s="13"/>
      <c r="N62" s="12">
        <v>0</v>
      </c>
    </row>
    <row r="63" ht="20.05" customHeight="1">
      <c r="A63" t="s" s="9">
        <f>"2894335"</f>
        <v>237</v>
      </c>
      <c r="B63" s="10">
        <v>2</v>
      </c>
      <c r="C63" t="s" s="11">
        <f>"4 LTR"</f>
        <v>238</v>
      </c>
      <c r="D63" t="s" s="11">
        <f>"BICKS"</f>
        <v>239</v>
      </c>
      <c r="E63" t="s" s="11">
        <f>"PICKLE DILL WH BABY"</f>
        <v>240</v>
      </c>
      <c r="F63" t="s" s="11">
        <v>19</v>
      </c>
      <c r="G63" s="12">
        <v>0</v>
      </c>
      <c r="H63" s="12">
        <v>0</v>
      </c>
      <c r="I63" s="12">
        <v>33.83</v>
      </c>
      <c r="J63" s="13"/>
      <c r="K63" s="12">
        <v>0</v>
      </c>
      <c r="L63" s="12">
        <v>2</v>
      </c>
      <c r="M63" t="s" s="11">
        <v>241</v>
      </c>
      <c r="N63" s="12">
        <v>0</v>
      </c>
    </row>
    <row r="64" ht="20.05" customHeight="1">
      <c r="A64" t="s" s="9">
        <f>"6393045"</f>
        <v>242</v>
      </c>
      <c r="B64" s="10">
        <v>6</v>
      </c>
      <c r="C64" t="s" s="11">
        <f t="shared" si="242" ref="C64:C96">"#10"</f>
        <v>243</v>
      </c>
      <c r="D64" t="s" s="11">
        <f>"INTLREL"</f>
        <v>244</v>
      </c>
      <c r="E64" t="s" s="11">
        <f>"PINEAPPLE PIECES PIZZA CUT JCE"</f>
        <v>245</v>
      </c>
      <c r="F64" t="s" s="11">
        <v>19</v>
      </c>
      <c r="G64" s="12">
        <v>0</v>
      </c>
      <c r="H64" s="12">
        <v>0</v>
      </c>
      <c r="I64" s="12">
        <v>40.48</v>
      </c>
      <c r="J64" t="s" s="11">
        <v>246</v>
      </c>
      <c r="K64" s="12">
        <v>0</v>
      </c>
      <c r="L64" s="12">
        <v>1</v>
      </c>
      <c r="M64" t="s" s="11">
        <v>247</v>
      </c>
      <c r="N64" s="12">
        <v>0</v>
      </c>
    </row>
    <row r="65" ht="20.05" customHeight="1">
      <c r="A65" t="s" s="9">
        <f>"7180010"</f>
        <v>248</v>
      </c>
      <c r="B65" s="10">
        <v>6</v>
      </c>
      <c r="C65" t="s" s="11">
        <f>"950 ML"</f>
        <v>249</v>
      </c>
      <c r="D65" t="s" s="11">
        <f t="shared" si="135"/>
        <v>142</v>
      </c>
      <c r="E65" t="s" s="11">
        <f>"PICKLE CORNICHON GHERKIN IMPRT"</f>
        <v>250</v>
      </c>
      <c r="F65" t="s" s="11">
        <v>19</v>
      </c>
      <c r="G65" s="12">
        <v>0</v>
      </c>
      <c r="H65" s="12">
        <v>0</v>
      </c>
      <c r="I65" s="12">
        <v>45.46</v>
      </c>
      <c r="J65" s="13"/>
      <c r="K65" s="12">
        <v>0</v>
      </c>
      <c r="L65" s="12">
        <v>1</v>
      </c>
      <c r="M65" t="s" s="11">
        <v>251</v>
      </c>
      <c r="N65" s="12">
        <v>0</v>
      </c>
    </row>
    <row r="66" ht="20.05" customHeight="1">
      <c r="A66" t="s" s="9">
        <f>"0292755"</f>
        <v>252</v>
      </c>
      <c r="B66" s="10">
        <v>6</v>
      </c>
      <c r="C66" t="s" s="11">
        <f>"2.84 L"</f>
        <v>253</v>
      </c>
      <c r="D66" t="s" s="11">
        <f>"STEAKHS"</f>
        <v>254</v>
      </c>
      <c r="E66" t="s" s="11">
        <f>"PUMPKIN PUREE FCY"</f>
        <v>255</v>
      </c>
      <c r="F66" t="s" s="11">
        <v>163</v>
      </c>
      <c r="G66" s="12">
        <v>0</v>
      </c>
      <c r="H66" s="12">
        <v>0</v>
      </c>
      <c r="I66" s="12">
        <v>0</v>
      </c>
      <c r="J66" s="13"/>
      <c r="K66" s="12">
        <v>0</v>
      </c>
      <c r="L66" s="12">
        <v>0</v>
      </c>
      <c r="M66" s="13"/>
      <c r="N66" s="12">
        <v>0</v>
      </c>
    </row>
    <row r="67" ht="20.05" customHeight="1">
      <c r="A67" t="s" s="9">
        <f>"1293105"</f>
        <v>256</v>
      </c>
      <c r="B67" s="10">
        <v>1</v>
      </c>
      <c r="C67" t="s" s="11">
        <f t="shared" si="91"/>
        <v>106</v>
      </c>
      <c r="D67" t="s" s="11">
        <f>"SNBLEST"</f>
        <v>257</v>
      </c>
      <c r="E67" t="s" s="11">
        <f>"QUINOA GRAIN ORGANIC BOLIVIAN"</f>
        <v>258</v>
      </c>
      <c r="F67" t="s" s="11">
        <v>19</v>
      </c>
      <c r="G67" s="12">
        <v>0</v>
      </c>
      <c r="H67" s="12">
        <v>0</v>
      </c>
      <c r="I67" s="12">
        <v>39.87</v>
      </c>
      <c r="J67" s="13"/>
      <c r="K67" s="12">
        <v>0</v>
      </c>
      <c r="L67" s="12">
        <v>0</v>
      </c>
      <c r="M67" s="13"/>
      <c r="N67" s="12">
        <v>0</v>
      </c>
    </row>
    <row r="68" ht="20.05" customHeight="1">
      <c r="A68" t="s" s="9">
        <f>"4387575"</f>
        <v>259</v>
      </c>
      <c r="B68" s="10">
        <v>1</v>
      </c>
      <c r="C68" t="s" s="11">
        <f t="shared" si="258" ref="C68:C167">"10 LB"</f>
        <v>260</v>
      </c>
      <c r="D68" t="s" s="11">
        <f>"INDIA'S"</f>
        <v>261</v>
      </c>
      <c r="E68" t="s" s="11">
        <f>"RICE BASMATI BRN PREMIUM"</f>
        <v>262</v>
      </c>
      <c r="F68" t="s" s="11">
        <v>19</v>
      </c>
      <c r="G68" s="12">
        <v>0</v>
      </c>
      <c r="H68" s="12">
        <v>0</v>
      </c>
      <c r="I68" s="12">
        <v>12.83</v>
      </c>
      <c r="J68" s="13"/>
      <c r="K68" s="12">
        <v>0</v>
      </c>
      <c r="L68" s="12">
        <v>4</v>
      </c>
      <c r="M68" t="s" s="11">
        <v>25</v>
      </c>
      <c r="N68" s="12">
        <v>0</v>
      </c>
    </row>
    <row r="69" ht="20.05" customHeight="1">
      <c r="A69" t="s" s="9">
        <f>"4696831"</f>
        <v>263</v>
      </c>
      <c r="B69" s="10">
        <v>12</v>
      </c>
      <c r="C69" t="s" s="11">
        <f t="shared" si="5"/>
        <v>22</v>
      </c>
      <c r="D69" t="s" s="11">
        <f t="shared" si="135"/>
        <v>142</v>
      </c>
      <c r="E69" t="s" s="11">
        <f>"RICE ARBORIO"</f>
        <v>264</v>
      </c>
      <c r="F69" t="s" s="11">
        <v>19</v>
      </c>
      <c r="G69" s="12">
        <v>0</v>
      </c>
      <c r="H69" s="12">
        <v>0</v>
      </c>
      <c r="I69" s="12">
        <v>36.72</v>
      </c>
      <c r="J69" s="13"/>
      <c r="K69" s="12">
        <v>0</v>
      </c>
      <c r="L69" s="12">
        <v>2</v>
      </c>
      <c r="M69" t="s" s="11">
        <v>37</v>
      </c>
      <c r="N69" s="12">
        <v>0</v>
      </c>
    </row>
    <row r="70" ht="20.05" customHeight="1">
      <c r="A70" t="s" s="9">
        <f>"4718902"</f>
        <v>265</v>
      </c>
      <c r="B70" s="10">
        <v>2</v>
      </c>
      <c r="C70" t="s" s="11">
        <f t="shared" si="266" ref="C70:C72">"3.7 LT"</f>
        <v>266</v>
      </c>
      <c r="D70" t="s" s="11">
        <f>"LEA&amp;PER"</f>
        <v>267</v>
      </c>
      <c r="E70" t="s" s="11">
        <f>"SAUCE WORCESTERSHIRE"</f>
        <v>268</v>
      </c>
      <c r="F70" t="s" s="11">
        <v>19</v>
      </c>
      <c r="G70" s="12">
        <v>0</v>
      </c>
      <c r="H70" s="12">
        <v>0</v>
      </c>
      <c r="I70" s="12">
        <v>41.29</v>
      </c>
      <c r="J70" s="13"/>
      <c r="K70" s="12">
        <v>0</v>
      </c>
      <c r="L70" s="12">
        <v>1</v>
      </c>
      <c r="M70" t="s" s="11">
        <v>269</v>
      </c>
      <c r="N70" s="12">
        <v>0</v>
      </c>
    </row>
    <row r="71" ht="20.05" customHeight="1">
      <c r="A71" t="s" s="9">
        <f>"3462488"</f>
        <v>270</v>
      </c>
      <c r="B71" s="10">
        <v>2</v>
      </c>
      <c r="C71" t="s" s="11">
        <f t="shared" si="266"/>
        <v>266</v>
      </c>
      <c r="D71" t="s" s="11">
        <f>"SAUCEMK"</f>
        <v>271</v>
      </c>
      <c r="E71" t="s" s="11">
        <f>"SAUCE JERK CARRIBEAN"</f>
        <v>272</v>
      </c>
      <c r="F71" t="s" s="11">
        <v>19</v>
      </c>
      <c r="G71" s="12">
        <v>0</v>
      </c>
      <c r="H71" s="12">
        <v>0</v>
      </c>
      <c r="I71" s="12">
        <v>45.27</v>
      </c>
      <c r="J71" s="13"/>
      <c r="K71" s="12">
        <v>0</v>
      </c>
      <c r="L71" s="12">
        <v>2</v>
      </c>
      <c r="M71" t="s" s="11">
        <v>37</v>
      </c>
      <c r="N71" s="12">
        <v>0</v>
      </c>
    </row>
    <row r="72" ht="20.05" customHeight="1">
      <c r="A72" t="s" s="9">
        <f>"0734962"</f>
        <v>273</v>
      </c>
      <c r="B72" s="10">
        <v>2</v>
      </c>
      <c r="C72" t="s" s="11">
        <f t="shared" si="266"/>
        <v>266</v>
      </c>
      <c r="D72" t="s" s="11">
        <f>"SAUCEMK"</f>
        <v>271</v>
      </c>
      <c r="E72" t="s" s="11">
        <f>"SAUCE CHILI SWEET CDN"</f>
        <v>274</v>
      </c>
      <c r="F72" t="s" s="11">
        <v>19</v>
      </c>
      <c r="G72" s="12">
        <v>0</v>
      </c>
      <c r="H72" s="12">
        <v>0</v>
      </c>
      <c r="I72" s="12">
        <v>32.81</v>
      </c>
      <c r="J72" s="13"/>
      <c r="K72" s="12">
        <v>0</v>
      </c>
      <c r="L72" s="12">
        <v>1</v>
      </c>
      <c r="M72" t="s" s="11">
        <v>220</v>
      </c>
      <c r="N72" s="12">
        <v>0</v>
      </c>
    </row>
    <row r="73" ht="20.05" customHeight="1">
      <c r="A73" t="s" s="9">
        <f>"2328995"</f>
        <v>275</v>
      </c>
      <c r="B73" s="10">
        <v>4</v>
      </c>
      <c r="C73" t="s" s="11">
        <f t="shared" si="158"/>
        <v>160</v>
      </c>
      <c r="D73" t="s" s="11">
        <f>"FRANKS"</f>
        <v>276</v>
      </c>
      <c r="E73" t="s" s="11">
        <f>"SAUCE CAYENNE REDHOT PPR"</f>
        <v>277</v>
      </c>
      <c r="F73" t="s" s="11">
        <v>19</v>
      </c>
      <c r="G73" s="12">
        <v>0</v>
      </c>
      <c r="H73" s="12">
        <v>0</v>
      </c>
      <c r="I73" s="12">
        <v>62.99</v>
      </c>
      <c r="J73" s="13"/>
      <c r="K73" s="12">
        <v>18.53</v>
      </c>
      <c r="L73" s="12">
        <v>2</v>
      </c>
      <c r="M73" t="s" s="11">
        <v>37</v>
      </c>
      <c r="N73" s="12">
        <v>0</v>
      </c>
    </row>
    <row r="74" ht="20.05" customHeight="1">
      <c r="A74" t="s" s="9">
        <f>"3206887"</f>
        <v>278</v>
      </c>
      <c r="B74" s="10">
        <v>6</v>
      </c>
      <c r="C74" t="s" s="11">
        <f>".5 GAL"</f>
        <v>279</v>
      </c>
      <c r="D74" t="s" s="11">
        <f>"KIKOMAN"</f>
        <v>280</v>
      </c>
      <c r="E74" t="s" s="11">
        <f>"SAUCE SOY TAMARI GLUTEN FREE"</f>
        <v>281</v>
      </c>
      <c r="F74" t="s" s="11">
        <v>19</v>
      </c>
      <c r="G74" s="12">
        <v>0</v>
      </c>
      <c r="H74" s="12">
        <v>0</v>
      </c>
      <c r="I74" s="12">
        <v>86.63</v>
      </c>
      <c r="J74" s="13"/>
      <c r="K74" s="12">
        <v>0</v>
      </c>
      <c r="L74" s="12">
        <v>1</v>
      </c>
      <c r="M74" t="s" s="11">
        <v>98</v>
      </c>
      <c r="N74" s="12">
        <v>0</v>
      </c>
    </row>
    <row r="75" ht="20.05" customHeight="1">
      <c r="A75" t="s" s="9">
        <f>"1008869"</f>
        <v>282</v>
      </c>
      <c r="B75" s="10">
        <v>2</v>
      </c>
      <c r="C75" t="s" s="11">
        <f t="shared" si="91"/>
        <v>106</v>
      </c>
      <c r="D75" t="s" s="11">
        <f t="shared" si="215"/>
        <v>215</v>
      </c>
      <c r="E75" t="s" s="11">
        <f>"SAUCE TAHINI"</f>
        <v>283</v>
      </c>
      <c r="F75" t="s" s="11">
        <v>19</v>
      </c>
      <c r="G75" s="12">
        <v>0</v>
      </c>
      <c r="H75" s="12">
        <v>0</v>
      </c>
      <c r="I75" s="12">
        <v>89</v>
      </c>
      <c r="J75" s="13"/>
      <c r="K75" s="12">
        <v>49.44</v>
      </c>
      <c r="L75" s="12">
        <v>0</v>
      </c>
      <c r="M75" s="13"/>
      <c r="N75" s="12">
        <v>0</v>
      </c>
    </row>
    <row r="76" ht="20.05" customHeight="1">
      <c r="A76" t="s" s="9">
        <f>"2907509"</f>
        <v>284</v>
      </c>
      <c r="B76" s="10">
        <v>1</v>
      </c>
      <c r="C76" t="s" s="11">
        <f t="shared" si="290" ref="C76:C131">"100 CT"</f>
        <v>285</v>
      </c>
      <c r="D76" t="s" s="11">
        <f>"YAMGATA"</f>
        <v>286</v>
      </c>
      <c r="E76" t="s" s="11">
        <f>"SEAWEED YAKINORI SHEETS"</f>
        <v>287</v>
      </c>
      <c r="F76" t="s" s="11">
        <v>19</v>
      </c>
      <c r="G76" s="12">
        <v>0</v>
      </c>
      <c r="H76" s="12">
        <v>0</v>
      </c>
      <c r="I76" s="12">
        <v>37.77</v>
      </c>
      <c r="J76" s="13"/>
      <c r="K76" s="12">
        <v>0</v>
      </c>
      <c r="L76" s="12">
        <v>0</v>
      </c>
      <c r="M76" s="13"/>
      <c r="N76" s="12">
        <v>0</v>
      </c>
    </row>
    <row r="77" ht="20.05" customHeight="1">
      <c r="A77" t="s" s="9">
        <f>"2924710"</f>
        <v>288</v>
      </c>
      <c r="B77" s="10">
        <v>1</v>
      </c>
      <c r="C77" t="s" s="11">
        <f>"20 KG"</f>
        <v>289</v>
      </c>
      <c r="D77" t="s" s="11">
        <f>"WINDSOR"</f>
        <v>290</v>
      </c>
      <c r="E77" t="s" s="11">
        <f>"SALT FINE HI-GRADE"</f>
        <v>291</v>
      </c>
      <c r="F77" t="s" s="11">
        <v>19</v>
      </c>
      <c r="G77" s="12">
        <v>0</v>
      </c>
      <c r="H77" s="12">
        <v>0</v>
      </c>
      <c r="I77" s="12">
        <v>12.78</v>
      </c>
      <c r="J77" s="13"/>
      <c r="K77" s="12">
        <v>0</v>
      </c>
      <c r="L77" s="12">
        <v>1</v>
      </c>
      <c r="M77" t="s" s="11">
        <v>269</v>
      </c>
      <c r="N77" s="12">
        <v>0</v>
      </c>
    </row>
    <row r="78" ht="20.05" customHeight="1">
      <c r="A78" t="s" s="9">
        <f>"3202894"</f>
        <v>292</v>
      </c>
      <c r="B78" s="10">
        <v>6</v>
      </c>
      <c r="C78" t="s" s="11">
        <f t="shared" si="130"/>
        <v>136</v>
      </c>
      <c r="D78" t="s" s="11">
        <f t="shared" si="92"/>
        <v>107</v>
      </c>
      <c r="E78" t="s" s="11">
        <f>"SAUCE TOMATO"</f>
        <v>293</v>
      </c>
      <c r="F78" t="s" s="11">
        <v>19</v>
      </c>
      <c r="G78" s="12">
        <v>0</v>
      </c>
      <c r="H78" s="12">
        <v>0</v>
      </c>
      <c r="I78" s="12">
        <v>24.84</v>
      </c>
      <c r="J78" s="13"/>
      <c r="K78" s="12">
        <v>0</v>
      </c>
      <c r="L78" s="12">
        <v>1</v>
      </c>
      <c r="M78" t="s" s="11">
        <v>25</v>
      </c>
      <c r="N78" s="12">
        <v>0</v>
      </c>
    </row>
    <row r="79" ht="20.05" customHeight="1">
      <c r="A79" t="s" s="9">
        <f>"5616531"</f>
        <v>294</v>
      </c>
      <c r="B79" s="10">
        <v>1</v>
      </c>
      <c r="C79" t="s" s="11">
        <f>"12 KG"</f>
        <v>295</v>
      </c>
      <c r="D79" t="s" s="11">
        <f>"TROPHY"</f>
        <v>296</v>
      </c>
      <c r="E79" t="s" s="11">
        <f>"SEED SUNFLOWER RST NO SALT"</f>
        <v>297</v>
      </c>
      <c r="F79" t="s" s="11">
        <v>19</v>
      </c>
      <c r="G79" s="12">
        <v>0</v>
      </c>
      <c r="H79" s="12">
        <v>0</v>
      </c>
      <c r="I79" s="12">
        <v>58.16</v>
      </c>
      <c r="J79" s="13"/>
      <c r="K79" s="12">
        <v>0</v>
      </c>
      <c r="L79" s="12">
        <v>0</v>
      </c>
      <c r="M79" s="13"/>
      <c r="N79" s="12">
        <v>0</v>
      </c>
    </row>
    <row r="80" ht="20.05" customHeight="1">
      <c r="A80" t="s" s="9">
        <f>"5288693"</f>
        <v>298</v>
      </c>
      <c r="B80" s="10">
        <v>2</v>
      </c>
      <c r="C80" t="s" s="11">
        <f t="shared" si="306" ref="C80:C155">"2 LB"</f>
        <v>299</v>
      </c>
      <c r="D80" t="s" s="11">
        <f>"FLOLEAF"</f>
        <v>300</v>
      </c>
      <c r="E80" t="s" s="11">
        <f>"SEED HEMP HULLED CANADN"</f>
        <v>301</v>
      </c>
      <c r="F80" t="s" s="11">
        <v>19</v>
      </c>
      <c r="G80" s="12">
        <v>0</v>
      </c>
      <c r="H80" s="12">
        <v>0</v>
      </c>
      <c r="I80" s="12">
        <v>29.98</v>
      </c>
      <c r="J80" s="13"/>
      <c r="K80" s="12">
        <v>0</v>
      </c>
      <c r="L80" s="12">
        <v>2</v>
      </c>
      <c r="M80" t="s" s="11">
        <v>146</v>
      </c>
      <c r="N80" s="12">
        <v>0</v>
      </c>
    </row>
    <row r="81" ht="20.05" customHeight="1">
      <c r="A81" t="s" s="9">
        <f>"5847043"</f>
        <v>302</v>
      </c>
      <c r="B81" s="10">
        <v>2</v>
      </c>
      <c r="C81" t="s" s="11">
        <f>"1.5KG"</f>
        <v>303</v>
      </c>
      <c r="D81" t="s" s="11">
        <f t="shared" si="115"/>
        <v>122</v>
      </c>
      <c r="E81" t="s" s="11">
        <f>"SEED SESAME BLK"</f>
        <v>304</v>
      </c>
      <c r="F81" t="s" s="11">
        <v>19</v>
      </c>
      <c r="G81" s="12">
        <v>0</v>
      </c>
      <c r="H81" s="12">
        <v>0</v>
      </c>
      <c r="I81" s="12">
        <v>47.45</v>
      </c>
      <c r="J81" s="13"/>
      <c r="K81" s="12">
        <v>0</v>
      </c>
      <c r="L81" s="12">
        <v>1</v>
      </c>
      <c r="M81" t="s" s="11">
        <v>90</v>
      </c>
      <c r="N81" s="12">
        <v>0</v>
      </c>
    </row>
    <row r="82" ht="20.05" customHeight="1">
      <c r="A82" t="s" s="9">
        <f>"8937138"</f>
        <v>305</v>
      </c>
      <c r="B82" s="10">
        <v>12</v>
      </c>
      <c r="C82" t="s" s="11">
        <f>"510 GR"</f>
        <v>306</v>
      </c>
      <c r="D82" t="s" s="11">
        <f t="shared" si="167"/>
        <v>170</v>
      </c>
      <c r="E82" t="s" s="11">
        <f>"SEASONING JERK CARIBBN"</f>
        <v>307</v>
      </c>
      <c r="F82" t="s" s="11">
        <v>19</v>
      </c>
      <c r="G82" s="12">
        <v>0</v>
      </c>
      <c r="H82" s="12">
        <v>0</v>
      </c>
      <c r="I82" s="12">
        <v>196.46</v>
      </c>
      <c r="J82" s="13"/>
      <c r="K82" s="12">
        <v>16</v>
      </c>
      <c r="L82" s="12">
        <v>1</v>
      </c>
      <c r="M82" t="s" s="11">
        <v>241</v>
      </c>
      <c r="N82" s="12">
        <v>0</v>
      </c>
    </row>
    <row r="83" ht="20.05" customHeight="1">
      <c r="A83" t="s" s="9">
        <f>"5977410"</f>
        <v>308</v>
      </c>
      <c r="B83" s="10">
        <v>12</v>
      </c>
      <c r="C83" t="s" s="11">
        <f>"740ML"</f>
        <v>309</v>
      </c>
      <c r="D83" t="s" s="11">
        <f t="shared" si="235"/>
        <v>235</v>
      </c>
      <c r="E83" t="s" s="11">
        <f>"SAUCE CHILI SRIRACHA"</f>
        <v>310</v>
      </c>
      <c r="F83" t="s" s="11">
        <v>19</v>
      </c>
      <c r="G83" s="12">
        <v>0</v>
      </c>
      <c r="H83" s="12">
        <v>0</v>
      </c>
      <c r="I83" s="12">
        <v>58.02</v>
      </c>
      <c r="J83" s="13"/>
      <c r="K83" s="12">
        <v>4.79</v>
      </c>
      <c r="L83" s="12">
        <v>1</v>
      </c>
      <c r="M83" t="s" s="11">
        <v>247</v>
      </c>
      <c r="N83" s="12">
        <v>0</v>
      </c>
    </row>
    <row r="84" ht="20.05" customHeight="1">
      <c r="A84" t="s" s="9">
        <f>"9889940"</f>
        <v>311</v>
      </c>
      <c r="B84" s="10">
        <v>2</v>
      </c>
      <c r="C84" t="s" s="11">
        <f>"4 LTR."</f>
        <v>312</v>
      </c>
      <c r="D84" t="s" s="11">
        <f t="shared" si="18"/>
        <v>35</v>
      </c>
      <c r="E84" t="s" s="11">
        <f>"SYRUP PANCAKE &amp; WFFL"</f>
        <v>313</v>
      </c>
      <c r="F84" t="s" s="11">
        <v>19</v>
      </c>
      <c r="G84" s="12">
        <v>0</v>
      </c>
      <c r="H84" s="12">
        <v>0</v>
      </c>
      <c r="I84" s="12">
        <v>23.93</v>
      </c>
      <c r="J84" s="13"/>
      <c r="K84" s="12">
        <v>0</v>
      </c>
      <c r="L84" s="12">
        <v>1</v>
      </c>
      <c r="M84" t="s" s="11">
        <v>63</v>
      </c>
      <c r="N84" s="12">
        <v>0</v>
      </c>
    </row>
    <row r="85" ht="20.05" customHeight="1">
      <c r="A85" t="s" s="9">
        <f>"6838494"</f>
        <v>314</v>
      </c>
      <c r="B85" s="10">
        <v>1</v>
      </c>
      <c r="C85" t="s" s="11">
        <f t="shared" si="326" ref="C85:C86">"4.5 KG"</f>
        <v>315</v>
      </c>
      <c r="D85" t="s" s="11">
        <f>"SYS REL"</f>
        <v>28</v>
      </c>
      <c r="E85" t="s" s="11">
        <f>"SOUP BASE CHKN CANADA"</f>
        <v>316</v>
      </c>
      <c r="F85" t="s" s="11">
        <v>19</v>
      </c>
      <c r="G85" s="12">
        <v>0</v>
      </c>
      <c r="H85" s="12">
        <v>0</v>
      </c>
      <c r="I85" s="12">
        <v>26.75</v>
      </c>
      <c r="J85" s="12">
        <v>0.182</v>
      </c>
      <c r="K85" s="12">
        <v>0</v>
      </c>
      <c r="L85" s="12">
        <v>0</v>
      </c>
      <c r="M85" s="13"/>
      <c r="N85" s="12">
        <v>0</v>
      </c>
    </row>
    <row r="86" ht="20.05" customHeight="1">
      <c r="A86" t="s" s="9">
        <f>"6838684"</f>
        <v>317</v>
      </c>
      <c r="B86" s="10">
        <v>1</v>
      </c>
      <c r="C86" t="s" s="11">
        <f t="shared" si="326"/>
        <v>315</v>
      </c>
      <c r="D86" t="s" s="11">
        <f>"SYS CLS"</f>
        <v>35</v>
      </c>
      <c r="E86" t="s" s="11">
        <f>"SOUP BASE VEG CANADA"</f>
        <v>318</v>
      </c>
      <c r="F86" t="s" s="11">
        <v>19</v>
      </c>
      <c r="G86" s="12">
        <v>0</v>
      </c>
      <c r="H86" s="12">
        <v>0</v>
      </c>
      <c r="I86" s="12">
        <v>55.2</v>
      </c>
      <c r="J86" s="12">
        <v>0.345</v>
      </c>
      <c r="K86" s="12">
        <v>0</v>
      </c>
      <c r="L86" s="12">
        <v>0</v>
      </c>
      <c r="M86" s="13"/>
      <c r="N86" s="12">
        <v>0</v>
      </c>
    </row>
    <row r="87" ht="20.05" customHeight="1">
      <c r="A87" t="s" s="9">
        <f>"7232994"</f>
        <v>319</v>
      </c>
      <c r="B87" s="10">
        <v>12</v>
      </c>
      <c r="C87" t="s" s="11">
        <f>"540 GR"</f>
        <v>320</v>
      </c>
      <c r="D87" t="s" s="11">
        <f t="shared" si="335" ref="D87:D90">"IMP/MCC"</f>
        <v>321</v>
      </c>
      <c r="E87" t="s" s="11">
        <f>"SPICE PEPPER BLK GRND CDN"</f>
        <v>322</v>
      </c>
      <c r="F87" t="s" s="11">
        <v>19</v>
      </c>
      <c r="G87" s="12">
        <v>0</v>
      </c>
      <c r="H87" s="12">
        <v>0</v>
      </c>
      <c r="I87" s="12">
        <v>301.87</v>
      </c>
      <c r="J87" s="13"/>
      <c r="K87" s="12">
        <v>25.16</v>
      </c>
      <c r="L87" s="12">
        <v>0</v>
      </c>
      <c r="M87" s="13"/>
      <c r="N87" s="12">
        <v>0</v>
      </c>
    </row>
    <row r="88" ht="20.05" customHeight="1">
      <c r="A88" t="s" s="9">
        <f>"7232804"</f>
        <v>323</v>
      </c>
      <c r="B88" s="10">
        <v>12</v>
      </c>
      <c r="C88" t="s" s="11">
        <f>"550 G"</f>
        <v>324</v>
      </c>
      <c r="D88" t="s" s="11">
        <f t="shared" si="335"/>
        <v>321</v>
      </c>
      <c r="E88" t="s" s="11">
        <f>"SPICE CINNAMON GRND CDN"</f>
        <v>325</v>
      </c>
      <c r="F88" t="s" s="11">
        <v>19</v>
      </c>
      <c r="G88" s="12">
        <v>0</v>
      </c>
      <c r="H88" s="12">
        <v>0</v>
      </c>
      <c r="I88" s="12">
        <v>213.66</v>
      </c>
      <c r="J88" s="13"/>
      <c r="K88" s="12">
        <v>17.81</v>
      </c>
      <c r="L88" s="12">
        <v>0</v>
      </c>
      <c r="M88" s="13"/>
      <c r="N88" s="12">
        <v>0</v>
      </c>
    </row>
    <row r="89" ht="20.05" customHeight="1">
      <c r="A89" t="s" s="9">
        <f>"7232838"</f>
        <v>326</v>
      </c>
      <c r="B89" s="10">
        <v>12</v>
      </c>
      <c r="C89" t="s" s="11">
        <f>"425 GR"</f>
        <v>327</v>
      </c>
      <c r="D89" t="s" s="11">
        <f>"IMP/MCC"</f>
        <v>321</v>
      </c>
      <c r="E89" t="s" s="11">
        <f>"SPICE CUMIN GRND CDN"</f>
        <v>328</v>
      </c>
      <c r="F89" t="s" s="11">
        <v>19</v>
      </c>
      <c r="G89" s="12">
        <v>0</v>
      </c>
      <c r="H89" s="12">
        <v>0</v>
      </c>
      <c r="I89" s="12">
        <v>184.99</v>
      </c>
      <c r="J89" s="13"/>
      <c r="K89" s="12">
        <v>15.42</v>
      </c>
      <c r="L89" s="12">
        <v>0</v>
      </c>
      <c r="M89" s="13"/>
      <c r="N89" s="12">
        <v>0</v>
      </c>
    </row>
    <row r="90" ht="20.05" customHeight="1">
      <c r="A90" t="s" s="9">
        <f>"7233224"</f>
        <v>329</v>
      </c>
      <c r="B90" s="10">
        <v>12</v>
      </c>
      <c r="C90" t="s" s="11">
        <f>"575 GR"</f>
        <v>330</v>
      </c>
      <c r="D90" t="s" s="11">
        <f t="shared" si="335"/>
        <v>321</v>
      </c>
      <c r="E90" t="s" s="11">
        <f>"SPICE SESAME SEED CDN"</f>
        <v>331</v>
      </c>
      <c r="F90" t="s" s="11">
        <v>19</v>
      </c>
      <c r="G90" s="12">
        <v>0</v>
      </c>
      <c r="H90" s="12">
        <v>0</v>
      </c>
      <c r="I90" s="12">
        <v>119.2</v>
      </c>
      <c r="J90" s="13"/>
      <c r="K90" s="12">
        <v>8.66</v>
      </c>
      <c r="L90" s="12">
        <v>1</v>
      </c>
      <c r="M90" t="s" s="11">
        <v>332</v>
      </c>
      <c r="N90" s="12">
        <v>0</v>
      </c>
    </row>
    <row r="91" ht="20.05" customHeight="1">
      <c r="A91" t="s" s="9">
        <f>"2198059"</f>
        <v>333</v>
      </c>
      <c r="B91" s="10">
        <v>12</v>
      </c>
      <c r="C91" t="s" s="11">
        <f>"375 GR"</f>
        <v>334</v>
      </c>
      <c r="D91" t="s" s="11">
        <f>"CLUBHSE"</f>
        <v>170</v>
      </c>
      <c r="E91" t="s" s="11">
        <f>"SPICE THYME GRND"</f>
        <v>335</v>
      </c>
      <c r="F91" t="s" s="11">
        <v>19</v>
      </c>
      <c r="G91" s="12">
        <v>0</v>
      </c>
      <c r="H91" s="12">
        <v>0</v>
      </c>
      <c r="I91" s="12">
        <v>242.9</v>
      </c>
      <c r="J91" s="13"/>
      <c r="K91" s="12">
        <v>20.25</v>
      </c>
      <c r="L91" s="12">
        <v>0</v>
      </c>
      <c r="M91" s="13"/>
      <c r="N91" s="12">
        <v>0</v>
      </c>
    </row>
    <row r="92" ht="20.05" customHeight="1">
      <c r="A92" t="s" s="9">
        <f>"9887860"</f>
        <v>336</v>
      </c>
      <c r="B92" s="10">
        <v>12</v>
      </c>
      <c r="C92" t="s" s="11">
        <f>"1.1 KG"</f>
        <v>337</v>
      </c>
      <c r="D92" t="s" s="11">
        <f>"IMP/MCC"</f>
        <v>321</v>
      </c>
      <c r="E92" t="s" s="11">
        <f>"SPICE GARLIC SALT CDN"</f>
        <v>338</v>
      </c>
      <c r="F92" t="s" s="11">
        <v>19</v>
      </c>
      <c r="G92" s="12">
        <v>0</v>
      </c>
      <c r="H92" s="12">
        <v>0</v>
      </c>
      <c r="I92" s="12">
        <v>128.24</v>
      </c>
      <c r="J92" s="13"/>
      <c r="K92" s="12">
        <v>10.69</v>
      </c>
      <c r="L92" s="12">
        <v>0</v>
      </c>
      <c r="M92" s="13"/>
      <c r="N92" s="12">
        <v>0</v>
      </c>
    </row>
    <row r="93" ht="20.05" customHeight="1">
      <c r="A93" t="s" s="9">
        <f>"2922912"</f>
        <v>339</v>
      </c>
      <c r="B93" s="10">
        <v>12</v>
      </c>
      <c r="C93" t="s" s="11">
        <f>"500 GR"</f>
        <v>340</v>
      </c>
      <c r="D93" t="s" s="11">
        <f t="shared" si="167"/>
        <v>170</v>
      </c>
      <c r="E93" t="s" s="11">
        <f>"SPICE CLOVE GRND"</f>
        <v>341</v>
      </c>
      <c r="F93" t="s" s="11">
        <v>19</v>
      </c>
      <c r="G93" s="12">
        <v>0</v>
      </c>
      <c r="H93" s="12">
        <v>0</v>
      </c>
      <c r="I93" s="12">
        <v>399.26</v>
      </c>
      <c r="J93" s="13"/>
      <c r="K93" s="12">
        <v>33.27</v>
      </c>
      <c r="L93" s="12">
        <v>0</v>
      </c>
      <c r="M93" s="13"/>
      <c r="N93" s="12">
        <v>0</v>
      </c>
    </row>
    <row r="94" ht="20.05" customHeight="1">
      <c r="A94" t="s" s="9">
        <f>"5326832"</f>
        <v>342</v>
      </c>
      <c r="B94" s="10">
        <v>2</v>
      </c>
      <c r="C94" t="s" s="11">
        <f>"12.5KG"</f>
        <v>343</v>
      </c>
      <c r="D94" t="s" s="11">
        <f>"SUNCO"</f>
        <v>344</v>
      </c>
      <c r="E94" t="s" s="11">
        <f>"SUGAR COCONUT"</f>
        <v>345</v>
      </c>
      <c r="F94" t="s" s="11">
        <v>163</v>
      </c>
      <c r="G94" s="12">
        <v>0</v>
      </c>
      <c r="H94" s="12">
        <v>0</v>
      </c>
      <c r="I94" s="12">
        <v>0</v>
      </c>
      <c r="J94" s="13"/>
      <c r="K94" s="12">
        <v>0</v>
      </c>
      <c r="L94" s="12">
        <v>2</v>
      </c>
      <c r="M94" t="s" s="11">
        <v>346</v>
      </c>
      <c r="N94" s="12">
        <v>0</v>
      </c>
    </row>
    <row r="95" ht="20.05" customHeight="1">
      <c r="A95" t="s" s="9">
        <f>"6217467"</f>
        <v>347</v>
      </c>
      <c r="B95" s="10">
        <v>1</v>
      </c>
      <c r="C95" t="s" s="11">
        <f t="shared" si="366" ref="C95:C148">"5 LB"</f>
        <v>348</v>
      </c>
      <c r="D95" t="s" s="11">
        <f t="shared" si="14"/>
        <v>31</v>
      </c>
      <c r="E95" t="s" s="11">
        <f>"TOMATO SUNDRIED HALVES CANADA"</f>
        <v>349</v>
      </c>
      <c r="F95" t="s" s="11">
        <v>19</v>
      </c>
      <c r="G95" s="12">
        <v>0</v>
      </c>
      <c r="H95" s="12">
        <v>0</v>
      </c>
      <c r="I95" s="12">
        <v>37.87</v>
      </c>
      <c r="J95" t="s" s="11">
        <v>350</v>
      </c>
      <c r="K95" s="12">
        <v>0</v>
      </c>
      <c r="L95" s="12">
        <v>0</v>
      </c>
      <c r="M95" s="13"/>
      <c r="N95" s="12">
        <v>0</v>
      </c>
    </row>
    <row r="96" ht="20.05" customHeight="1">
      <c r="A96" t="s" s="9">
        <f>"4072666"</f>
        <v>351</v>
      </c>
      <c r="B96" s="10">
        <v>6</v>
      </c>
      <c r="C96" t="s" s="11">
        <f t="shared" si="242"/>
        <v>243</v>
      </c>
      <c r="D96" t="s" s="11">
        <f>"FULLRED"</f>
        <v>352</v>
      </c>
      <c r="E96" t="s" s="11">
        <f>"TOMATO PASTE FCY 26%"</f>
        <v>353</v>
      </c>
      <c r="F96" t="s" s="11">
        <v>19</v>
      </c>
      <c r="G96" s="12">
        <v>0</v>
      </c>
      <c r="H96" s="12">
        <v>0</v>
      </c>
      <c r="I96" s="12">
        <v>43.42</v>
      </c>
      <c r="J96" s="13"/>
      <c r="K96" s="12">
        <v>0</v>
      </c>
      <c r="L96" s="12">
        <v>0</v>
      </c>
      <c r="M96" s="13"/>
      <c r="N96" s="12">
        <v>0</v>
      </c>
    </row>
    <row r="97" ht="20.05" customHeight="1">
      <c r="A97" t="s" s="9">
        <f>"5949656"</f>
        <v>354</v>
      </c>
      <c r="B97" s="10">
        <v>6</v>
      </c>
      <c r="C97" t="s" s="11">
        <f t="shared" si="134"/>
        <v>141</v>
      </c>
      <c r="D97" t="s" s="11">
        <f t="shared" si="92"/>
        <v>107</v>
      </c>
      <c r="E97" t="s" s="11">
        <f>"TOMATO DICED IN JUICE"</f>
        <v>355</v>
      </c>
      <c r="F97" t="s" s="11">
        <v>19</v>
      </c>
      <c r="G97" s="12">
        <v>0</v>
      </c>
      <c r="H97" s="12">
        <v>0</v>
      </c>
      <c r="I97" s="12">
        <v>34.95</v>
      </c>
      <c r="J97" t="s" s="11">
        <v>356</v>
      </c>
      <c r="K97" s="12">
        <v>0</v>
      </c>
      <c r="L97" s="12">
        <v>0</v>
      </c>
      <c r="M97" s="13"/>
      <c r="N97" s="12">
        <v>0</v>
      </c>
    </row>
    <row r="98" ht="20.05" customHeight="1">
      <c r="A98" t="s" s="9">
        <f>"5488812"</f>
        <v>357</v>
      </c>
      <c r="B98" s="10">
        <v>2</v>
      </c>
      <c r="C98" t="s" s="11">
        <f t="shared" si="190"/>
        <v>190</v>
      </c>
      <c r="D98" t="s" s="11">
        <f t="shared" si="14"/>
        <v>31</v>
      </c>
      <c r="E98" t="s" s="11">
        <f>"VINEGAR BALSAMIC ITLY CAN LBL"</f>
        <v>358</v>
      </c>
      <c r="F98" t="s" s="11">
        <v>19</v>
      </c>
      <c r="G98" s="12">
        <v>0</v>
      </c>
      <c r="H98" s="12">
        <v>0</v>
      </c>
      <c r="I98" s="12">
        <v>43.73</v>
      </c>
      <c r="J98" s="13"/>
      <c r="K98" s="12">
        <v>24.94</v>
      </c>
      <c r="L98" s="12">
        <v>0</v>
      </c>
      <c r="M98" s="13"/>
      <c r="N98" s="12">
        <v>0</v>
      </c>
    </row>
    <row r="99" ht="20.05" customHeight="1">
      <c r="A99" t="s" s="9">
        <f>"6132817"</f>
        <v>359</v>
      </c>
      <c r="B99" s="10">
        <v>3</v>
      </c>
      <c r="C99" t="s" s="11">
        <f t="shared" si="41"/>
        <v>60</v>
      </c>
      <c r="D99" t="s" s="11">
        <f t="shared" si="18"/>
        <v>35</v>
      </c>
      <c r="E99" t="s" s="11">
        <f>"WALNUT PIECES CALIFORNIA CDN"</f>
        <v>360</v>
      </c>
      <c r="F99" t="s" s="11">
        <v>19</v>
      </c>
      <c r="G99" s="12">
        <v>0</v>
      </c>
      <c r="H99" s="12">
        <v>0</v>
      </c>
      <c r="I99" s="12">
        <v>79.08</v>
      </c>
      <c r="J99" s="13"/>
      <c r="K99" s="12">
        <v>0</v>
      </c>
      <c r="L99" s="12">
        <v>1</v>
      </c>
      <c r="M99" t="s" s="11">
        <v>361</v>
      </c>
      <c r="N99" s="12">
        <v>0</v>
      </c>
    </row>
    <row r="100" ht="20.05" customHeight="1">
      <c r="A100" t="s" s="9">
        <f>"1355886"</f>
        <v>362</v>
      </c>
      <c r="B100" s="10">
        <v>8</v>
      </c>
      <c r="C100" t="s" s="11">
        <f>"1.89 L"</f>
        <v>363</v>
      </c>
      <c r="D100" t="s" s="11">
        <f>"BLUEDIA"</f>
        <v>364</v>
      </c>
      <c r="E100" t="s" s="11">
        <f>"MILK ALMOND BREEZE ORIG UNSWT"</f>
        <v>365</v>
      </c>
      <c r="F100" t="s" s="11">
        <v>19</v>
      </c>
      <c r="G100" s="12">
        <v>0</v>
      </c>
      <c r="H100" s="12">
        <v>0</v>
      </c>
      <c r="I100" s="12">
        <v>41.79</v>
      </c>
      <c r="J100" s="13"/>
      <c r="K100" s="12">
        <v>0</v>
      </c>
      <c r="L100" s="12">
        <v>1</v>
      </c>
      <c r="M100" t="s" s="11">
        <v>25</v>
      </c>
      <c r="N100" s="12">
        <v>0</v>
      </c>
    </row>
    <row r="101" ht="20.05" customHeight="1">
      <c r="A101" t="s" s="9">
        <f>"2382471"</f>
        <v>366</v>
      </c>
      <c r="B101" s="10">
        <v>2</v>
      </c>
      <c r="C101" t="s" s="11">
        <f>"3.8 LT"</f>
        <v>367</v>
      </c>
      <c r="D101" t="s" s="11">
        <f>"REALEMN"</f>
        <v>368</v>
      </c>
      <c r="E101" t="s" s="11">
        <f>"JUICE LEMON"</f>
        <v>369</v>
      </c>
      <c r="F101" t="s" s="11">
        <v>19</v>
      </c>
      <c r="G101" s="12">
        <v>0</v>
      </c>
      <c r="H101" s="12">
        <v>0</v>
      </c>
      <c r="I101" s="12">
        <v>21.02</v>
      </c>
      <c r="J101" s="13"/>
      <c r="K101" s="12">
        <v>12.36</v>
      </c>
      <c r="L101" s="12">
        <v>1</v>
      </c>
      <c r="M101" t="s" s="11">
        <v>370</v>
      </c>
      <c r="N101" s="12">
        <v>0</v>
      </c>
    </row>
    <row r="102" ht="20.05" customHeight="1">
      <c r="A102" t="s" s="9">
        <f>"2907947"</f>
        <v>371</v>
      </c>
      <c r="B102" s="10">
        <v>12</v>
      </c>
      <c r="C102" t="s" s="11">
        <f>"1 LTR"</f>
        <v>372</v>
      </c>
      <c r="D102" t="s" s="11">
        <f>"SUNRYPE"</f>
        <v>373</v>
      </c>
      <c r="E102" t="s" s="11">
        <f>"JUICE ORANGE UNSWT TETRA LGE"</f>
        <v>374</v>
      </c>
      <c r="F102" t="s" s="11">
        <v>19</v>
      </c>
      <c r="G102" s="12">
        <v>0</v>
      </c>
      <c r="H102" s="12">
        <v>0</v>
      </c>
      <c r="I102" s="12">
        <v>21.29</v>
      </c>
      <c r="J102" s="13"/>
      <c r="K102" s="12">
        <v>0</v>
      </c>
      <c r="L102" s="12">
        <v>1</v>
      </c>
      <c r="M102" t="s" s="11">
        <v>42</v>
      </c>
      <c r="N102" s="12">
        <v>0</v>
      </c>
    </row>
    <row r="103" ht="20.05" customHeight="1">
      <c r="A103" t="s" s="9">
        <f>"7182882"</f>
        <v>375</v>
      </c>
      <c r="B103" s="10">
        <v>100</v>
      </c>
      <c r="C103" t="s" s="11">
        <f>"1 EA"</f>
        <v>376</v>
      </c>
      <c r="D103" t="s" s="11">
        <f t="shared" si="18"/>
        <v>35</v>
      </c>
      <c r="E103" t="s" s="11">
        <f>"BAG GARBAGE XSTRG BLK 42X48CDN"</f>
        <v>377</v>
      </c>
      <c r="F103" t="s" s="11">
        <v>19</v>
      </c>
      <c r="G103" s="12">
        <v>0</v>
      </c>
      <c r="H103" s="12">
        <v>0</v>
      </c>
      <c r="I103" s="12">
        <v>55.67</v>
      </c>
      <c r="J103" s="13"/>
      <c r="K103" s="12">
        <v>0</v>
      </c>
      <c r="L103" s="12">
        <v>0</v>
      </c>
      <c r="M103" s="13"/>
      <c r="N103" s="12">
        <v>0</v>
      </c>
    </row>
    <row r="104" ht="20.05" customHeight="1">
      <c r="A104" t="s" s="9">
        <f>"0373839"</f>
        <v>378</v>
      </c>
      <c r="B104" s="10">
        <v>1</v>
      </c>
      <c r="C104" t="s" s="11">
        <f t="shared" si="402" ref="C104:C143">"EA"</f>
        <v>379</v>
      </c>
      <c r="D104" t="s" s="11">
        <f>"ECOLAB"</f>
        <v>380</v>
      </c>
      <c r="E104" t="s" s="11">
        <f>"DISPENSER SOAP TOUCH-FREE BLK"</f>
        <v>381</v>
      </c>
      <c r="F104" t="s" s="11">
        <v>19</v>
      </c>
      <c r="G104" s="12">
        <v>0</v>
      </c>
      <c r="H104" s="12">
        <v>0</v>
      </c>
      <c r="I104" s="12">
        <v>0.05</v>
      </c>
      <c r="J104" s="13"/>
      <c r="K104" s="12">
        <v>0</v>
      </c>
      <c r="L104" s="12">
        <v>0</v>
      </c>
      <c r="M104" s="13"/>
      <c r="N104" s="12">
        <v>0</v>
      </c>
    </row>
    <row r="105" ht="20.05" customHeight="1">
      <c r="A105" t="s" s="9">
        <f>"0194138"</f>
        <v>382</v>
      </c>
      <c r="B105" s="10">
        <v>6</v>
      </c>
      <c r="C105" t="s" s="11">
        <f>"1000FT"</f>
        <v>383</v>
      </c>
      <c r="D105" t="s" s="11">
        <f>"EMBASSY"</f>
        <v>384</v>
      </c>
      <c r="E105" t="s" s="11">
        <f>"EMBASSY ULTRA LONG ROLL TOWEL"</f>
        <v>385</v>
      </c>
      <c r="F105" t="s" s="11">
        <v>19</v>
      </c>
      <c r="G105" s="12">
        <v>0</v>
      </c>
      <c r="H105" s="12">
        <v>0</v>
      </c>
      <c r="I105" s="12">
        <v>77.98</v>
      </c>
      <c r="J105" s="13"/>
      <c r="K105" s="12">
        <v>0</v>
      </c>
      <c r="L105" s="12">
        <v>1</v>
      </c>
      <c r="M105" t="s" s="11">
        <v>220</v>
      </c>
      <c r="N105" s="12">
        <v>0</v>
      </c>
    </row>
    <row r="106" ht="20.05" customHeight="1">
      <c r="A106" t="s" s="9">
        <f>"0123679"</f>
        <v>386</v>
      </c>
      <c r="B106" s="10">
        <v>1</v>
      </c>
      <c r="C106" t="s" s="11">
        <f>"CT"</f>
        <v>387</v>
      </c>
      <c r="D106" t="s" s="11">
        <f>"SYSCO"</f>
        <v>388</v>
      </c>
      <c r="E106" t="s" s="11">
        <f>"FOIL ALMN ROLL STD 45CM X 100M"</f>
        <v>389</v>
      </c>
      <c r="F106" t="s" s="11">
        <v>19</v>
      </c>
      <c r="G106" s="12">
        <v>0</v>
      </c>
      <c r="H106" s="12">
        <v>0</v>
      </c>
      <c r="I106" s="12">
        <v>30.39</v>
      </c>
      <c r="J106" s="13"/>
      <c r="K106" s="12">
        <v>0</v>
      </c>
      <c r="L106" s="12">
        <v>1</v>
      </c>
      <c r="M106" t="s" s="11">
        <v>390</v>
      </c>
      <c r="N106" s="12">
        <v>0</v>
      </c>
    </row>
    <row r="107" ht="20.05" customHeight="1">
      <c r="A107" t="s" s="9">
        <f>"6417182"</f>
        <v>391</v>
      </c>
      <c r="B107" s="10">
        <v>1</v>
      </c>
      <c r="C107" t="s" s="11">
        <f>"144"</f>
        <v>392</v>
      </c>
      <c r="D107" t="s" s="11">
        <f>"FIFODOT"</f>
        <v>393</v>
      </c>
      <c r="E107" t="s" s="11">
        <f>"FINGERCOT LARGE"</f>
        <v>394</v>
      </c>
      <c r="F107" t="s" s="11">
        <v>19</v>
      </c>
      <c r="G107" s="12">
        <v>0</v>
      </c>
      <c r="H107" s="12">
        <v>0</v>
      </c>
      <c r="I107" s="12">
        <v>6</v>
      </c>
      <c r="J107" s="13"/>
      <c r="K107" s="12">
        <v>0</v>
      </c>
      <c r="L107" s="12">
        <v>0</v>
      </c>
      <c r="M107" s="13"/>
      <c r="N107" s="12">
        <v>0</v>
      </c>
    </row>
    <row r="108" ht="20.05" customHeight="1">
      <c r="A108" t="s" s="9">
        <f>"7435332"</f>
        <v>395</v>
      </c>
      <c r="B108" s="10">
        <v>1</v>
      </c>
      <c r="C108" t="s" s="11">
        <f>"24IN"</f>
        <v>396</v>
      </c>
      <c r="D108" t="s" s="11">
        <f t="shared" si="18"/>
        <v>35</v>
      </c>
      <c r="E108" t="s" s="11">
        <f>"FILM PVC 2000FT ROLL"</f>
        <v>397</v>
      </c>
      <c r="F108" t="s" s="11">
        <v>19</v>
      </c>
      <c r="G108" s="12">
        <v>0</v>
      </c>
      <c r="H108" s="12">
        <v>0</v>
      </c>
      <c r="I108" s="12">
        <v>44.94</v>
      </c>
      <c r="J108" s="13"/>
      <c r="K108" s="12">
        <v>0</v>
      </c>
      <c r="L108" s="12">
        <v>1</v>
      </c>
      <c r="M108" t="s" s="11">
        <v>220</v>
      </c>
      <c r="N108" s="12">
        <v>0</v>
      </c>
    </row>
    <row r="109" ht="20.05" customHeight="1">
      <c r="A109" t="s" s="9">
        <f>"3384675"</f>
        <v>398</v>
      </c>
      <c r="B109" s="10">
        <v>10</v>
      </c>
      <c r="C109" t="s" s="11">
        <f t="shared" si="290"/>
        <v>285</v>
      </c>
      <c r="D109" t="s" s="11">
        <f t="shared" si="18"/>
        <v>35</v>
      </c>
      <c r="E109" t="s" s="11">
        <f>"GLOVE NITRILE PWDRFREE LRG CDN"</f>
        <v>399</v>
      </c>
      <c r="F109" t="s" s="11">
        <v>19</v>
      </c>
      <c r="G109" s="12">
        <v>0</v>
      </c>
      <c r="H109" s="12">
        <v>0</v>
      </c>
      <c r="I109" s="12">
        <v>119.23</v>
      </c>
      <c r="J109" t="s" s="11">
        <v>400</v>
      </c>
      <c r="K109" s="12">
        <v>0</v>
      </c>
      <c r="L109" s="12">
        <v>1</v>
      </c>
      <c r="M109" t="s" s="11">
        <v>90</v>
      </c>
      <c r="N109" s="12">
        <v>0</v>
      </c>
    </row>
    <row r="110" ht="20.05" customHeight="1">
      <c r="A110" t="s" s="9">
        <f>"5871357"</f>
        <v>401</v>
      </c>
      <c r="B110" s="10">
        <v>4</v>
      </c>
      <c r="C110" t="s" s="11">
        <f>"12 PR"</f>
        <v>402</v>
      </c>
      <c r="D110" t="s" s="11">
        <f>"HANGARD"</f>
        <v>403</v>
      </c>
      <c r="E110" t="s" s="11">
        <f>"GLOVE LATEX LRG FLCK-LIN YELW"</f>
        <v>404</v>
      </c>
      <c r="F110" t="s" s="11">
        <v>19</v>
      </c>
      <c r="G110" s="12">
        <v>0</v>
      </c>
      <c r="H110" s="12">
        <v>0</v>
      </c>
      <c r="I110" s="12">
        <v>105.31</v>
      </c>
      <c r="J110" t="s" s="11">
        <v>405</v>
      </c>
      <c r="K110" s="12">
        <v>39.05</v>
      </c>
      <c r="L110" s="12">
        <v>1</v>
      </c>
      <c r="M110" t="s" s="11">
        <v>37</v>
      </c>
      <c r="N110" s="12">
        <v>0</v>
      </c>
    </row>
    <row r="111" ht="20.05" customHeight="1">
      <c r="A111" t="s" s="9">
        <f>"3900354"</f>
        <v>406</v>
      </c>
      <c r="B111" s="10">
        <v>1</v>
      </c>
      <c r="C111" t="s" s="11">
        <f>"ROLL"</f>
        <v>407</v>
      </c>
      <c r="D111" t="s" s="11">
        <f t="shared" si="431" ref="D111:D117">"NATIONL"</f>
        <v>408</v>
      </c>
      <c r="E111" t="s" s="11">
        <f>"LABEL USE FIRST 2 CIRCLE TRIL"</f>
        <v>409</v>
      </c>
      <c r="F111" t="s" s="11">
        <v>19</v>
      </c>
      <c r="G111" s="12">
        <v>0</v>
      </c>
      <c r="H111" s="12">
        <v>0</v>
      </c>
      <c r="I111" s="12">
        <v>14.47</v>
      </c>
      <c r="J111" s="13"/>
      <c r="K111" s="12">
        <v>0</v>
      </c>
      <c r="L111" s="12">
        <v>1</v>
      </c>
      <c r="M111" t="s" s="11">
        <v>37</v>
      </c>
      <c r="N111" s="12">
        <v>0</v>
      </c>
    </row>
    <row r="112" ht="20.05" customHeight="1">
      <c r="A112" t="s" s="9">
        <f>"5030088"</f>
        <v>410</v>
      </c>
      <c r="B112" s="10">
        <v>1</v>
      </c>
      <c r="C112" t="s" s="11">
        <f t="shared" si="434" ref="C112:C117">"500CT"</f>
        <v>411</v>
      </c>
      <c r="D112" t="s" s="11">
        <f t="shared" si="431"/>
        <v>408</v>
      </c>
      <c r="E112" t="s" s="11">
        <f>"LABEL TUES REMOV IT/DT/US 2"</f>
        <v>412</v>
      </c>
      <c r="F112" t="s" s="11">
        <v>19</v>
      </c>
      <c r="G112" s="12">
        <v>0</v>
      </c>
      <c r="H112" s="12">
        <v>0</v>
      </c>
      <c r="I112" s="12">
        <v>15.66</v>
      </c>
      <c r="J112" s="13"/>
      <c r="K112" s="12">
        <v>0</v>
      </c>
      <c r="L112" s="12">
        <v>1</v>
      </c>
      <c r="M112" t="s" s="11">
        <v>269</v>
      </c>
      <c r="N112" s="12">
        <v>0</v>
      </c>
    </row>
    <row r="113" ht="20.05" customHeight="1">
      <c r="A113" t="s" s="9">
        <f>"5030103"</f>
        <v>413</v>
      </c>
      <c r="B113" s="10">
        <v>1</v>
      </c>
      <c r="C113" t="s" s="11">
        <f>"500 CT"</f>
        <v>414</v>
      </c>
      <c r="D113" t="s" s="11">
        <f t="shared" si="431"/>
        <v>408</v>
      </c>
      <c r="E113" t="s" s="11">
        <f>"LABEL WED REMOV IT/DT/USE 2"</f>
        <v>415</v>
      </c>
      <c r="F113" t="s" s="11">
        <v>19</v>
      </c>
      <c r="G113" s="12">
        <v>0</v>
      </c>
      <c r="H113" s="12">
        <v>0</v>
      </c>
      <c r="I113" s="12">
        <v>15.66</v>
      </c>
      <c r="J113" s="13"/>
      <c r="K113" s="12">
        <v>0</v>
      </c>
      <c r="L113" s="12">
        <v>1</v>
      </c>
      <c r="M113" t="s" s="11">
        <v>269</v>
      </c>
      <c r="N113" s="12">
        <v>0</v>
      </c>
    </row>
    <row r="114" ht="20.05" customHeight="1">
      <c r="A114" t="s" s="9">
        <f>"5030111"</f>
        <v>416</v>
      </c>
      <c r="B114" s="10">
        <v>1</v>
      </c>
      <c r="C114" t="s" s="11">
        <f t="shared" si="434"/>
        <v>411</v>
      </c>
      <c r="D114" t="s" s="11">
        <f t="shared" si="431"/>
        <v>408</v>
      </c>
      <c r="E114" t="s" s="11">
        <f>"LABEL THURS REMOVE IT/DT/USE"</f>
        <v>417</v>
      </c>
      <c r="F114" t="s" s="11">
        <v>19</v>
      </c>
      <c r="G114" s="12">
        <v>0</v>
      </c>
      <c r="H114" s="12">
        <v>0</v>
      </c>
      <c r="I114" s="12">
        <v>15.66</v>
      </c>
      <c r="J114" s="13"/>
      <c r="K114" s="12">
        <v>0</v>
      </c>
      <c r="L114" s="12">
        <v>1</v>
      </c>
      <c r="M114" t="s" s="11">
        <v>269</v>
      </c>
      <c r="N114" s="12">
        <v>0</v>
      </c>
    </row>
    <row r="115" ht="20.05" customHeight="1">
      <c r="A115" t="s" s="9">
        <f>"5030149"</f>
        <v>418</v>
      </c>
      <c r="B115" s="10">
        <v>1</v>
      </c>
      <c r="C115" t="s" s="11">
        <f t="shared" si="434"/>
        <v>411</v>
      </c>
      <c r="D115" t="s" s="11">
        <f t="shared" si="431"/>
        <v>408</v>
      </c>
      <c r="E115" t="s" s="11">
        <f>"LABEL FRI REMOV IT/DT/USE 2"</f>
        <v>419</v>
      </c>
      <c r="F115" t="s" s="11">
        <v>19</v>
      </c>
      <c r="G115" s="12">
        <v>0</v>
      </c>
      <c r="H115" s="12">
        <v>0</v>
      </c>
      <c r="I115" s="12">
        <v>15.66</v>
      </c>
      <c r="J115" s="13"/>
      <c r="K115" s="12">
        <v>0</v>
      </c>
      <c r="L115" s="12">
        <v>1</v>
      </c>
      <c r="M115" t="s" s="11">
        <v>269</v>
      </c>
      <c r="N115" s="12">
        <v>0</v>
      </c>
    </row>
    <row r="116" ht="20.05" customHeight="1">
      <c r="A116" t="s" s="9">
        <f>"5030154"</f>
        <v>420</v>
      </c>
      <c r="B116" s="10">
        <v>1</v>
      </c>
      <c r="C116" t="s" s="11">
        <f t="shared" si="434"/>
        <v>411</v>
      </c>
      <c r="D116" t="s" s="11">
        <f t="shared" si="431"/>
        <v>408</v>
      </c>
      <c r="E116" t="s" s="11">
        <f>"LABEL SAT REMOV IT/DT/USE 2"</f>
        <v>421</v>
      </c>
      <c r="F116" t="s" s="11">
        <v>19</v>
      </c>
      <c r="G116" s="12">
        <v>0</v>
      </c>
      <c r="H116" s="12">
        <v>0</v>
      </c>
      <c r="I116" s="12">
        <v>15.66</v>
      </c>
      <c r="J116" s="13"/>
      <c r="K116" s="12">
        <v>0</v>
      </c>
      <c r="L116" s="12">
        <v>1</v>
      </c>
      <c r="M116" t="s" s="11">
        <v>156</v>
      </c>
      <c r="N116" s="12">
        <v>0</v>
      </c>
    </row>
    <row r="117" ht="20.05" customHeight="1">
      <c r="A117" t="s" s="9">
        <f>"5035203"</f>
        <v>422</v>
      </c>
      <c r="B117" s="10">
        <v>1</v>
      </c>
      <c r="C117" t="s" s="11">
        <f t="shared" si="434"/>
        <v>411</v>
      </c>
      <c r="D117" t="s" s="11">
        <f t="shared" si="431"/>
        <v>408</v>
      </c>
      <c r="E117" t="s" s="11">
        <f>"LABEL MON REMOV 2"</f>
        <v>423</v>
      </c>
      <c r="F117" t="s" s="11">
        <v>19</v>
      </c>
      <c r="G117" s="12">
        <v>0</v>
      </c>
      <c r="H117" s="12">
        <v>0</v>
      </c>
      <c r="I117" s="12">
        <v>15.66</v>
      </c>
      <c r="J117" s="13"/>
      <c r="K117" s="12">
        <v>0</v>
      </c>
      <c r="L117" s="12">
        <v>1</v>
      </c>
      <c r="M117" t="s" s="11">
        <v>146</v>
      </c>
      <c r="N117" s="12">
        <v>0</v>
      </c>
    </row>
    <row r="118" ht="20.05" customHeight="1">
      <c r="A118" t="s" s="9">
        <f>"5168038"</f>
        <v>424</v>
      </c>
      <c r="B118" s="10">
        <v>1000</v>
      </c>
      <c r="C118" t="s" s="11">
        <f>"16X24"</f>
        <v>425</v>
      </c>
      <c r="D118" t="s" s="11">
        <f>"SYS REL"</f>
        <v>28</v>
      </c>
      <c r="E118" t="s" s="11">
        <f>"PAPER PARCHMENT SILI 16.4X24.4"</f>
        <v>426</v>
      </c>
      <c r="F118" t="s" s="11">
        <v>19</v>
      </c>
      <c r="G118" s="12">
        <v>0</v>
      </c>
      <c r="H118" s="12">
        <v>0</v>
      </c>
      <c r="I118" s="12">
        <v>122.49</v>
      </c>
      <c r="J118" s="13"/>
      <c r="K118" s="12">
        <v>0</v>
      </c>
      <c r="L118" s="12">
        <v>1</v>
      </c>
      <c r="M118" t="s" s="11">
        <v>269</v>
      </c>
      <c r="N118" s="12">
        <v>0</v>
      </c>
    </row>
    <row r="119" ht="20.05" customHeight="1">
      <c r="A119" t="s" s="9">
        <f>"0121194"</f>
        <v>427</v>
      </c>
      <c r="B119" s="10">
        <v>1</v>
      </c>
      <c r="C119" t="s" s="11">
        <f t="shared" si="462" ref="C119:C133">"20 CT"</f>
        <v>428</v>
      </c>
      <c r="D119" t="s" s="11">
        <f t="shared" si="18"/>
        <v>35</v>
      </c>
      <c r="E119" t="s" s="11">
        <f>"PAD SCOUR GRN 6X9 ANTIMICRO"</f>
        <v>429</v>
      </c>
      <c r="F119" t="s" s="11">
        <v>19</v>
      </c>
      <c r="G119" s="12">
        <v>0</v>
      </c>
      <c r="H119" s="12">
        <v>0</v>
      </c>
      <c r="I119" s="12">
        <v>10.55</v>
      </c>
      <c r="J119" s="13"/>
      <c r="K119" s="12">
        <v>0</v>
      </c>
      <c r="L119" s="12">
        <v>1</v>
      </c>
      <c r="M119" t="s" s="11">
        <v>146</v>
      </c>
      <c r="N119" s="12">
        <v>0</v>
      </c>
    </row>
    <row r="120" ht="20.05" customHeight="1">
      <c r="A120" t="s" s="9">
        <f>"0062259"</f>
        <v>430</v>
      </c>
      <c r="B120" s="10">
        <v>18</v>
      </c>
      <c r="C120" t="s" s="11">
        <f>"PAK"</f>
        <v>431</v>
      </c>
      <c r="D120" t="s" s="11">
        <f>"KRUGER"</f>
        <v>432</v>
      </c>
      <c r="E120" t="s" s="11">
        <f>"TISSUE TOILET MINI MAX 2P CAN"</f>
        <v>433</v>
      </c>
      <c r="F120" t="s" s="11">
        <v>19</v>
      </c>
      <c r="G120" s="12">
        <v>0</v>
      </c>
      <c r="H120" s="12">
        <v>0</v>
      </c>
      <c r="I120" s="12">
        <v>69.61</v>
      </c>
      <c r="J120" s="13"/>
      <c r="K120" s="12">
        <v>0</v>
      </c>
      <c r="L120" s="12">
        <v>0</v>
      </c>
      <c r="M120" s="13"/>
      <c r="N120" s="12">
        <v>0</v>
      </c>
    </row>
    <row r="121" ht="20.05" customHeight="1">
      <c r="A121" t="s" s="9">
        <f>"0703025"</f>
        <v>434</v>
      </c>
      <c r="B121" s="10">
        <v>24</v>
      </c>
      <c r="C121" t="s" s="11">
        <f>"90SH"</f>
        <v>435</v>
      </c>
      <c r="D121" t="s" s="11">
        <f>"SCOTT"</f>
        <v>436</v>
      </c>
      <c r="E121" t="s" s="11">
        <f>"TOWEL ROLL PROF 11IN"</f>
        <v>437</v>
      </c>
      <c r="F121" t="s" s="11">
        <v>19</v>
      </c>
      <c r="G121" s="12">
        <v>0</v>
      </c>
      <c r="H121" s="12">
        <v>0</v>
      </c>
      <c r="I121" s="12">
        <v>33.6</v>
      </c>
      <c r="J121" s="13"/>
      <c r="K121" s="12">
        <v>0</v>
      </c>
      <c r="L121" s="12">
        <v>0</v>
      </c>
      <c r="M121" s="13"/>
      <c r="N121" s="12">
        <v>0</v>
      </c>
    </row>
    <row r="122" ht="20.05" customHeight="1">
      <c r="A122" t="s" s="9">
        <f>"7715446"</f>
        <v>438</v>
      </c>
      <c r="B122" s="10">
        <v>4</v>
      </c>
      <c r="C122" t="s" s="11">
        <f t="shared" si="474" ref="C122:C123">"32OZ"</f>
        <v>439</v>
      </c>
      <c r="D122" t="s" s="11">
        <f t="shared" si="475" ref="D122:D128">"KEYSTON"</f>
        <v>440</v>
      </c>
      <c r="E122" t="s" s="11">
        <f>"CLEANER DEGREASER OVEN RTU"</f>
        <v>441</v>
      </c>
      <c r="F122" t="s" s="11">
        <v>19</v>
      </c>
      <c r="G122" s="12">
        <v>0</v>
      </c>
      <c r="H122" s="12">
        <v>0</v>
      </c>
      <c r="I122" s="12">
        <v>47.56</v>
      </c>
      <c r="J122" s="13"/>
      <c r="K122" s="12">
        <v>0</v>
      </c>
      <c r="L122" s="12">
        <v>1</v>
      </c>
      <c r="M122" t="s" s="11">
        <v>442</v>
      </c>
      <c r="N122" s="12">
        <v>0</v>
      </c>
    </row>
    <row r="123" ht="20.05" customHeight="1">
      <c r="A123" t="s" s="9">
        <f>"7681477"</f>
        <v>443</v>
      </c>
      <c r="B123" s="10">
        <v>4</v>
      </c>
      <c r="C123" t="s" s="11">
        <f t="shared" si="474"/>
        <v>439</v>
      </c>
      <c r="D123" t="s" s="11">
        <f t="shared" si="475"/>
        <v>440</v>
      </c>
      <c r="E123" t="s" s="11">
        <f>"CLEANER DEGRSR HGH TMP GRL RTU"</f>
        <v>444</v>
      </c>
      <c r="F123" t="s" s="11">
        <v>19</v>
      </c>
      <c r="G123" s="12">
        <v>0</v>
      </c>
      <c r="H123" s="12">
        <v>0</v>
      </c>
      <c r="I123" s="12">
        <v>98.2</v>
      </c>
      <c r="J123" s="13"/>
      <c r="K123" s="12">
        <v>0</v>
      </c>
      <c r="L123" s="12">
        <v>1</v>
      </c>
      <c r="M123" t="s" s="11">
        <v>445</v>
      </c>
      <c r="N123" s="12">
        <v>0</v>
      </c>
    </row>
    <row r="124" ht="20.05" customHeight="1">
      <c r="A124" t="s" s="9">
        <f>"7682786"</f>
        <v>446</v>
      </c>
      <c r="B124" s="10">
        <v>2</v>
      </c>
      <c r="C124" t="s" s="11">
        <f>"2L"</f>
        <v>447</v>
      </c>
      <c r="D124" t="s" s="11">
        <f>"KEYSTON"</f>
        <v>440</v>
      </c>
      <c r="E124" t="s" s="11">
        <f>"CLEANER ALL PURPOSE ORG DISP"</f>
        <v>448</v>
      </c>
      <c r="F124" t="s" s="11">
        <v>19</v>
      </c>
      <c r="G124" s="12">
        <v>0</v>
      </c>
      <c r="H124" s="12">
        <v>0</v>
      </c>
      <c r="I124" s="12">
        <v>77.02</v>
      </c>
      <c r="J124" s="13"/>
      <c r="K124" s="12">
        <v>0</v>
      </c>
      <c r="L124" s="12">
        <v>1</v>
      </c>
      <c r="M124" t="s" s="11">
        <v>449</v>
      </c>
      <c r="N124" s="12">
        <v>0</v>
      </c>
    </row>
    <row r="125" ht="20.05" customHeight="1">
      <c r="A125" t="s" s="9">
        <f>"7667357"</f>
        <v>450</v>
      </c>
      <c r="B125" s="10">
        <v>1</v>
      </c>
      <c r="C125" t="s" s="11">
        <f t="shared" si="486" ref="C125:C128">"2.5GAL"</f>
        <v>451</v>
      </c>
      <c r="D125" t="s" s="11">
        <f>"KEYSTON"</f>
        <v>440</v>
      </c>
      <c r="E125" t="s" s="11">
        <f>"CLEANER FLOOR NEUTRAL DISP"</f>
        <v>452</v>
      </c>
      <c r="F125" t="s" s="11">
        <v>19</v>
      </c>
      <c r="G125" s="12">
        <v>0</v>
      </c>
      <c r="H125" s="12">
        <v>0</v>
      </c>
      <c r="I125" s="12">
        <v>133.84</v>
      </c>
      <c r="J125" s="13"/>
      <c r="K125" s="12">
        <v>0</v>
      </c>
      <c r="L125" s="12">
        <v>1</v>
      </c>
      <c r="M125" t="s" s="11">
        <v>453</v>
      </c>
      <c r="N125" s="12">
        <v>0</v>
      </c>
    </row>
    <row r="126" ht="20.05" customHeight="1">
      <c r="A126" t="s" s="9">
        <f>"1403593"</f>
        <v>454</v>
      </c>
      <c r="B126" s="10">
        <v>6</v>
      </c>
      <c r="C126" t="s" s="11">
        <f>"3.6 L"</f>
        <v>455</v>
      </c>
      <c r="D126" t="s" s="11">
        <f>"SYS REL"</f>
        <v>28</v>
      </c>
      <c r="E126" t="s" s="11">
        <f>"BLEACH LIQ 6% SOD HYPOCHLORITE"</f>
        <v>456</v>
      </c>
      <c r="F126" t="s" s="11">
        <v>19</v>
      </c>
      <c r="G126" s="12">
        <v>0</v>
      </c>
      <c r="H126" s="12">
        <v>0</v>
      </c>
      <c r="I126" s="12">
        <v>21.21</v>
      </c>
      <c r="J126" s="13"/>
      <c r="K126" s="12">
        <v>0</v>
      </c>
      <c r="L126" s="12">
        <v>2</v>
      </c>
      <c r="M126" t="s" s="11">
        <v>457</v>
      </c>
      <c r="N126" s="12">
        <v>0</v>
      </c>
    </row>
    <row r="127" ht="20.05" customHeight="1">
      <c r="A127" t="s" s="9">
        <f>"7670118"</f>
        <v>458</v>
      </c>
      <c r="B127" s="10">
        <v>1</v>
      </c>
      <c r="C127" t="s" s="11">
        <f t="shared" si="486"/>
        <v>451</v>
      </c>
      <c r="D127" t="s" s="11">
        <f t="shared" si="475"/>
        <v>440</v>
      </c>
      <c r="E127" t="s" s="11">
        <f>"DETERGENT DISHWASH LIQ DISP"</f>
        <v>459</v>
      </c>
      <c r="F127" t="s" s="11">
        <v>19</v>
      </c>
      <c r="G127" s="12">
        <v>0</v>
      </c>
      <c r="H127" s="12">
        <v>0</v>
      </c>
      <c r="I127" s="12">
        <v>92.81999999999999</v>
      </c>
      <c r="J127" s="13"/>
      <c r="K127" s="12">
        <v>0</v>
      </c>
      <c r="L127" s="12">
        <v>1</v>
      </c>
      <c r="M127" t="s" s="11">
        <v>37</v>
      </c>
      <c r="N127" s="12">
        <v>0</v>
      </c>
    </row>
    <row r="128" ht="20.05" customHeight="1">
      <c r="A128" t="s" s="9">
        <f>"7681305"</f>
        <v>460</v>
      </c>
      <c r="B128" s="10">
        <v>1</v>
      </c>
      <c r="C128" t="s" s="11">
        <f t="shared" si="486"/>
        <v>451</v>
      </c>
      <c r="D128" t="s" s="11">
        <f t="shared" si="475"/>
        <v>440</v>
      </c>
      <c r="E128" t="s" s="11">
        <f>"RINSE AID LOW TEMP LIQ DISP"</f>
        <v>461</v>
      </c>
      <c r="F128" t="s" s="11">
        <v>19</v>
      </c>
      <c r="G128" s="12">
        <v>0</v>
      </c>
      <c r="H128" s="12">
        <v>0</v>
      </c>
      <c r="I128" s="12">
        <v>177.86</v>
      </c>
      <c r="J128" s="13"/>
      <c r="K128" s="12">
        <v>0</v>
      </c>
      <c r="L128" s="12">
        <v>1</v>
      </c>
      <c r="M128" t="s" s="11">
        <v>462</v>
      </c>
      <c r="N128" s="12">
        <v>0</v>
      </c>
    </row>
    <row r="129" ht="20.05" customHeight="1">
      <c r="A129" t="s" s="9">
        <f>"1981673"</f>
        <v>463</v>
      </c>
      <c r="B129" s="10">
        <v>2</v>
      </c>
      <c r="C129" t="s" s="11">
        <f>"3.78 L"</f>
        <v>464</v>
      </c>
      <c r="D129" t="s" s="11">
        <f>"KEYSTON"</f>
        <v>440</v>
      </c>
      <c r="E129" t="s" s="11">
        <f>"SANITIZER LIQ MULTI-QUAT CDN"</f>
        <v>465</v>
      </c>
      <c r="F129" t="s" s="11">
        <v>19</v>
      </c>
      <c r="G129" s="12">
        <v>0</v>
      </c>
      <c r="H129" s="12">
        <v>0</v>
      </c>
      <c r="I129" s="12">
        <v>58.56</v>
      </c>
      <c r="J129" s="13"/>
      <c r="K129" s="12">
        <v>0</v>
      </c>
      <c r="L129" s="12">
        <v>0</v>
      </c>
      <c r="M129" s="13"/>
      <c r="N129" s="12">
        <v>0</v>
      </c>
    </row>
    <row r="130" ht="20.05" customHeight="1">
      <c r="A130" t="s" s="9">
        <f>"3833635"</f>
        <v>466</v>
      </c>
      <c r="B130" s="10">
        <v>1</v>
      </c>
      <c r="C130" t="s" s="11">
        <f>"9.46 L"</f>
        <v>467</v>
      </c>
      <c r="D130" t="s" s="11">
        <f>"ECOLAB"</f>
        <v>380</v>
      </c>
      <c r="E130" t="s" s="11">
        <f>"WASH ANTIMICROBIAL FR&amp;VEG"</f>
        <v>468</v>
      </c>
      <c r="F130" t="s" s="11">
        <v>163</v>
      </c>
      <c r="G130" s="12">
        <v>0</v>
      </c>
      <c r="H130" s="12">
        <v>0</v>
      </c>
      <c r="I130" s="12">
        <v>0</v>
      </c>
      <c r="J130" s="13"/>
      <c r="K130" s="12">
        <v>0</v>
      </c>
      <c r="L130" s="12">
        <v>1</v>
      </c>
      <c r="M130" t="s" s="11">
        <v>469</v>
      </c>
      <c r="N130" s="12">
        <v>0</v>
      </c>
    </row>
    <row r="131" ht="20.05" customHeight="1">
      <c r="A131" t="s" s="9">
        <f>"4341046"</f>
        <v>470</v>
      </c>
      <c r="B131" s="10">
        <v>1</v>
      </c>
      <c r="C131" t="s" s="11">
        <f t="shared" si="290"/>
        <v>285</v>
      </c>
      <c r="D131" t="s" s="11">
        <f t="shared" si="511" ref="D131:D165">"PACKER"</f>
        <v>471</v>
      </c>
      <c r="E131" t="s" s="11">
        <f>"APPLE GALA WFCY"</f>
        <v>472</v>
      </c>
      <c r="F131" t="s" s="11">
        <v>19</v>
      </c>
      <c r="G131" s="12">
        <v>0</v>
      </c>
      <c r="H131" s="12">
        <v>0</v>
      </c>
      <c r="I131" s="12">
        <v>46.59</v>
      </c>
      <c r="J131" s="13"/>
      <c r="K131" s="12">
        <v>0</v>
      </c>
      <c r="L131" s="12">
        <v>0</v>
      </c>
      <c r="M131" s="13"/>
      <c r="N131" s="12">
        <v>0</v>
      </c>
    </row>
    <row r="132" ht="20.05" customHeight="1">
      <c r="A132" t="s" s="9">
        <f>"1769728"</f>
        <v>473</v>
      </c>
      <c r="B132" s="10">
        <v>1</v>
      </c>
      <c r="C132" t="s" s="11">
        <f t="shared" si="514" ref="C132:C150">"12 CT"</f>
        <v>474</v>
      </c>
      <c r="D132" t="s" s="11">
        <f>"PACKER"</f>
        <v>471</v>
      </c>
      <c r="E132" t="s" s="11">
        <f>"ANISE BUNCH FRESH FENNEL"</f>
        <v>475</v>
      </c>
      <c r="F132" t="s" s="11">
        <v>19</v>
      </c>
      <c r="G132" s="12">
        <v>0</v>
      </c>
      <c r="H132" s="12">
        <v>0</v>
      </c>
      <c r="I132" s="12">
        <v>29.93</v>
      </c>
      <c r="J132" s="13"/>
      <c r="K132" s="12">
        <v>0</v>
      </c>
      <c r="L132" s="12">
        <v>1</v>
      </c>
      <c r="M132" t="s" s="11">
        <v>476</v>
      </c>
      <c r="N132" s="12">
        <v>0</v>
      </c>
    </row>
    <row r="133" ht="20.05" customHeight="1">
      <c r="A133" t="s" s="9">
        <f>"5082377"</f>
        <v>477</v>
      </c>
      <c r="B133" s="10">
        <v>1</v>
      </c>
      <c r="C133" t="s" s="11">
        <f t="shared" si="462"/>
        <v>428</v>
      </c>
      <c r="D133" t="s" s="11">
        <f>"PACKER"</f>
        <v>471</v>
      </c>
      <c r="E133" t="s" s="11">
        <f>"AVOCADO HASS RIPE"</f>
        <v>478</v>
      </c>
      <c r="F133" t="s" s="11">
        <v>19</v>
      </c>
      <c r="G133" s="12">
        <v>0</v>
      </c>
      <c r="H133" s="12">
        <v>0</v>
      </c>
      <c r="I133" s="12">
        <v>27.41</v>
      </c>
      <c r="J133" s="13"/>
      <c r="K133" s="12">
        <v>0</v>
      </c>
      <c r="L133" s="12">
        <v>1</v>
      </c>
      <c r="M133" t="s" s="11">
        <v>390</v>
      </c>
      <c r="N133" s="12">
        <v>0</v>
      </c>
    </row>
    <row r="134" ht="20.05" customHeight="1">
      <c r="A134" t="s" s="9">
        <f>"1600123"</f>
        <v>479</v>
      </c>
      <c r="B134" s="10">
        <v>1</v>
      </c>
      <c r="C134" t="s" s="11">
        <f t="shared" si="522" ref="C134:C169">"25 LB"</f>
        <v>480</v>
      </c>
      <c r="D134" t="s" s="11">
        <f t="shared" si="511"/>
        <v>471</v>
      </c>
      <c r="E134" t="s" s="11">
        <f>"BEET FRESH POLY XL"</f>
        <v>481</v>
      </c>
      <c r="F134" t="s" s="11">
        <v>19</v>
      </c>
      <c r="G134" s="12">
        <v>0</v>
      </c>
      <c r="H134" s="12">
        <v>0</v>
      </c>
      <c r="I134" s="12">
        <v>15.87</v>
      </c>
      <c r="J134" s="13"/>
      <c r="K134" s="12">
        <v>0</v>
      </c>
      <c r="L134" s="12">
        <v>1</v>
      </c>
      <c r="M134" t="s" s="11">
        <v>25</v>
      </c>
      <c r="N134" s="12">
        <v>0</v>
      </c>
    </row>
    <row r="135" ht="20.05" customHeight="1">
      <c r="A135" t="s" s="9">
        <f>"1254440"</f>
        <v>482</v>
      </c>
      <c r="B135" s="10">
        <v>1</v>
      </c>
      <c r="C135" t="s" s="11">
        <f t="shared" si="526" ref="C135:C162">"40 LB"</f>
        <v>483</v>
      </c>
      <c r="D135" t="s" s="11">
        <f>"PACKER"</f>
        <v>471</v>
      </c>
      <c r="E135" t="s" s="11">
        <f>"BANANA FRESH GREEN"</f>
        <v>484</v>
      </c>
      <c r="F135" t="s" s="11">
        <v>19</v>
      </c>
      <c r="G135" s="12">
        <v>0</v>
      </c>
      <c r="H135" s="12">
        <v>0</v>
      </c>
      <c r="I135" s="12">
        <v>30.69</v>
      </c>
      <c r="J135" s="13"/>
      <c r="K135" s="12">
        <v>0</v>
      </c>
      <c r="L135" s="12">
        <v>1</v>
      </c>
      <c r="M135" t="s" s="11">
        <v>269</v>
      </c>
      <c r="N135" s="12">
        <v>0</v>
      </c>
    </row>
    <row r="136" ht="20.05" customHeight="1">
      <c r="A136" t="s" s="9">
        <f>"1390947"</f>
        <v>485</v>
      </c>
      <c r="B136" s="10">
        <v>1</v>
      </c>
      <c r="C136" t="s" s="11">
        <f>"40#"</f>
        <v>486</v>
      </c>
      <c r="D136" t="s" s="11">
        <f>"PACKER"</f>
        <v>471</v>
      </c>
      <c r="E136" t="s" s="11">
        <f>"BANANA RIPE FRESH"</f>
        <v>487</v>
      </c>
      <c r="F136" t="s" s="11">
        <v>19</v>
      </c>
      <c r="G136" s="12">
        <v>0</v>
      </c>
      <c r="H136" s="12">
        <v>0</v>
      </c>
      <c r="I136" s="12">
        <v>35.83</v>
      </c>
      <c r="J136" s="13"/>
      <c r="K136" s="12">
        <v>0</v>
      </c>
      <c r="L136" s="12">
        <v>1</v>
      </c>
      <c r="M136" t="s" s="11">
        <v>25</v>
      </c>
      <c r="N136" s="12">
        <v>0</v>
      </c>
    </row>
    <row r="137" ht="20.05" customHeight="1">
      <c r="A137" t="s" s="9">
        <f>"2004547"</f>
        <v>488</v>
      </c>
      <c r="B137" s="10">
        <v>1</v>
      </c>
      <c r="C137" t="s" s="11">
        <f t="shared" si="534" ref="C137:C170">"1 LB"</f>
        <v>489</v>
      </c>
      <c r="D137" t="s" s="11">
        <f t="shared" si="535" ref="D137:D170">"IMPFRSH"</f>
        <v>490</v>
      </c>
      <c r="E137" t="s" s="11">
        <f>"BASIL FRESH HERB"</f>
        <v>491</v>
      </c>
      <c r="F137" t="s" s="11">
        <v>19</v>
      </c>
      <c r="G137" s="12">
        <v>0</v>
      </c>
      <c r="H137" s="12">
        <v>0</v>
      </c>
      <c r="I137" s="12">
        <v>18.46</v>
      </c>
      <c r="J137" s="13"/>
      <c r="K137" s="12">
        <v>0</v>
      </c>
      <c r="L137" s="12">
        <v>1</v>
      </c>
      <c r="M137" t="s" s="11">
        <v>37</v>
      </c>
      <c r="N137" s="12">
        <v>0</v>
      </c>
    </row>
    <row r="138" ht="20.05" customHeight="1">
      <c r="A138" t="s" s="9">
        <f>"1283662"</f>
        <v>492</v>
      </c>
      <c r="B138" s="10">
        <v>1</v>
      </c>
      <c r="C138" t="s" s="11">
        <f>"35#AVG"</f>
        <v>493</v>
      </c>
      <c r="D138" t="s" s="11">
        <f>"PACKER"</f>
        <v>471</v>
      </c>
      <c r="E138" t="s" s="11">
        <f>"SQUASH BUTTERNUT FRESH"</f>
        <v>494</v>
      </c>
      <c r="F138" t="s" s="11">
        <v>19</v>
      </c>
      <c r="G138" s="12">
        <v>0</v>
      </c>
      <c r="H138" s="12">
        <v>0</v>
      </c>
      <c r="I138" s="12">
        <v>25.87</v>
      </c>
      <c r="J138" s="13"/>
      <c r="K138" s="12">
        <v>0</v>
      </c>
      <c r="L138" s="12">
        <v>4</v>
      </c>
      <c r="M138" t="s" s="11">
        <v>77</v>
      </c>
      <c r="N138" s="12">
        <v>0</v>
      </c>
    </row>
    <row r="139" ht="20.05" customHeight="1">
      <c r="A139" t="s" s="9">
        <f>"2697985"</f>
        <v>495</v>
      </c>
      <c r="B139" s="10">
        <v>1</v>
      </c>
      <c r="C139" t="s" s="11">
        <f t="shared" si="522"/>
        <v>480</v>
      </c>
      <c r="D139" t="s" s="11">
        <f t="shared" si="511"/>
        <v>471</v>
      </c>
      <c r="E139" t="s" s="11">
        <f>"BRUSSEL SPROUT FRSH"</f>
        <v>496</v>
      </c>
      <c r="F139" t="s" s="11">
        <v>19</v>
      </c>
      <c r="G139" s="12">
        <v>0</v>
      </c>
      <c r="H139" s="12">
        <v>0</v>
      </c>
      <c r="I139" s="12">
        <v>24.77</v>
      </c>
      <c r="J139" s="13"/>
      <c r="K139" s="12">
        <v>0</v>
      </c>
      <c r="L139" s="12">
        <v>7</v>
      </c>
      <c r="M139" t="s" s="11">
        <v>25</v>
      </c>
      <c r="N139" s="12">
        <v>0</v>
      </c>
    </row>
    <row r="140" ht="20.05" customHeight="1">
      <c r="A140" t="s" s="9">
        <f>"2704989"</f>
        <v>497</v>
      </c>
      <c r="B140" s="10">
        <v>1</v>
      </c>
      <c r="C140" t="s" s="11">
        <f t="shared" si="546" ref="C140:C158">"20 LB"</f>
        <v>498</v>
      </c>
      <c r="D140" t="s" s="11">
        <f>"IMPFRSH"</f>
        <v>490</v>
      </c>
      <c r="E140" t="s" s="11">
        <f>"BROCCOLI CROWN FRSH ICELS"</f>
        <v>499</v>
      </c>
      <c r="F140" t="s" s="11">
        <v>19</v>
      </c>
      <c r="G140" s="12">
        <v>0</v>
      </c>
      <c r="H140" s="12">
        <v>0</v>
      </c>
      <c r="I140" s="12">
        <v>52.72</v>
      </c>
      <c r="J140" s="13"/>
      <c r="K140" s="12">
        <v>0</v>
      </c>
      <c r="L140" s="12">
        <v>4</v>
      </c>
      <c r="M140" t="s" s="11">
        <v>500</v>
      </c>
      <c r="N140" s="12">
        <v>0</v>
      </c>
    </row>
    <row r="141" ht="20.05" customHeight="1">
      <c r="A141" t="s" s="9">
        <f>"1008010"</f>
        <v>501</v>
      </c>
      <c r="B141" s="10">
        <v>1</v>
      </c>
      <c r="C141" t="s" s="11">
        <f t="shared" si="550" ref="C141:C163">"50 LB"</f>
        <v>502</v>
      </c>
      <c r="D141" t="s" s="11">
        <f>"PACKER"</f>
        <v>471</v>
      </c>
      <c r="E141" t="s" s="11">
        <f>"CABBAGE RED FRSH"</f>
        <v>503</v>
      </c>
      <c r="F141" t="s" s="11">
        <v>19</v>
      </c>
      <c r="G141" s="12">
        <v>0</v>
      </c>
      <c r="H141" s="12">
        <v>0</v>
      </c>
      <c r="I141" s="12">
        <v>27.48</v>
      </c>
      <c r="J141" s="13"/>
      <c r="K141" s="12">
        <v>0</v>
      </c>
      <c r="L141" s="12">
        <v>2</v>
      </c>
      <c r="M141" t="s" s="11">
        <v>504</v>
      </c>
      <c r="N141" s="12">
        <v>0</v>
      </c>
    </row>
    <row r="142" ht="20.05" customHeight="1">
      <c r="A142" t="s" s="9">
        <f>"1120625"</f>
        <v>505</v>
      </c>
      <c r="B142" s="10">
        <v>1</v>
      </c>
      <c r="C142" t="s" s="11">
        <f t="shared" si="554" ref="C142:C171">"24 CT"</f>
        <v>506</v>
      </c>
      <c r="D142" t="s" s="11">
        <f t="shared" si="535"/>
        <v>490</v>
      </c>
      <c r="E142" t="s" s="11">
        <f>"CELERY FRESH"</f>
        <v>507</v>
      </c>
      <c r="F142" t="s" s="11">
        <v>19</v>
      </c>
      <c r="G142" s="12">
        <v>0</v>
      </c>
      <c r="H142" s="12">
        <v>0</v>
      </c>
      <c r="I142" s="12">
        <v>41.89</v>
      </c>
      <c r="J142" s="13"/>
      <c r="K142" s="12">
        <v>0</v>
      </c>
      <c r="L142" s="12">
        <v>1</v>
      </c>
      <c r="M142" t="s" s="11">
        <v>42</v>
      </c>
      <c r="N142" s="12">
        <v>0</v>
      </c>
    </row>
    <row r="143" ht="20.05" customHeight="1">
      <c r="A143" t="s" s="9">
        <f>"1242999"</f>
        <v>508</v>
      </c>
      <c r="B143" s="10">
        <v>9</v>
      </c>
      <c r="C143" t="s" s="11">
        <f t="shared" si="402"/>
        <v>379</v>
      </c>
      <c r="D143" t="s" s="11">
        <f t="shared" si="535"/>
        <v>490</v>
      </c>
      <c r="E143" t="s" s="11">
        <f>"CAULIFLOWER CELLO WRPD FRSH"</f>
        <v>509</v>
      </c>
      <c r="F143" t="s" s="11">
        <v>19</v>
      </c>
      <c r="G143" s="12">
        <v>0</v>
      </c>
      <c r="H143" s="12">
        <v>0</v>
      </c>
      <c r="I143" s="12">
        <v>30.99</v>
      </c>
      <c r="J143" s="13"/>
      <c r="K143" s="12">
        <v>0</v>
      </c>
      <c r="L143" s="12">
        <v>1</v>
      </c>
      <c r="M143" t="s" s="11">
        <v>510</v>
      </c>
      <c r="N143" s="12">
        <v>0</v>
      </c>
    </row>
    <row r="144" ht="20.05" customHeight="1">
      <c r="A144" t="s" s="9">
        <f>"1908375"</f>
        <v>511</v>
      </c>
      <c r="B144" s="10">
        <v>1</v>
      </c>
      <c r="C144" t="s" s="11">
        <f>"3 CT"</f>
        <v>512</v>
      </c>
      <c r="D144" t="s" s="11">
        <f t="shared" si="535"/>
        <v>490</v>
      </c>
      <c r="E144" t="s" s="11">
        <f>"CABBAGE RED FDSVC"</f>
        <v>513</v>
      </c>
      <c r="F144" t="s" s="11">
        <v>19</v>
      </c>
      <c r="G144" s="12">
        <v>0</v>
      </c>
      <c r="H144" s="12">
        <v>0</v>
      </c>
      <c r="I144" s="12">
        <v>17.88</v>
      </c>
      <c r="J144" s="13"/>
      <c r="K144" s="12">
        <v>0</v>
      </c>
      <c r="L144" s="12">
        <v>0</v>
      </c>
      <c r="M144" s="13"/>
      <c r="N144" s="12">
        <v>0</v>
      </c>
    </row>
    <row r="145" ht="20.05" customHeight="1">
      <c r="A145" t="s" s="9">
        <f>"2227015"</f>
        <v>514</v>
      </c>
      <c r="B145" s="10">
        <v>1</v>
      </c>
      <c r="C145" t="s" s="11">
        <f t="shared" si="550"/>
        <v>502</v>
      </c>
      <c r="D145" t="s" s="11">
        <f>"IMPFRSH"</f>
        <v>490</v>
      </c>
      <c r="E145" t="s" s="11">
        <f>"CARROT JMBO FRESH"</f>
        <v>515</v>
      </c>
      <c r="F145" t="s" s="11">
        <v>19</v>
      </c>
      <c r="G145" s="12">
        <v>0</v>
      </c>
      <c r="H145" s="12">
        <v>0</v>
      </c>
      <c r="I145" s="12">
        <v>29.99</v>
      </c>
      <c r="J145" s="13"/>
      <c r="K145" s="12">
        <v>0</v>
      </c>
      <c r="L145" s="12">
        <v>3</v>
      </c>
      <c r="M145" t="s" s="11">
        <v>25</v>
      </c>
      <c r="N145" s="12">
        <v>0</v>
      </c>
    </row>
    <row r="146" ht="20.05" customHeight="1">
      <c r="A146" t="s" s="9">
        <f>"8335721"</f>
        <v>516</v>
      </c>
      <c r="B146" s="10">
        <v>4</v>
      </c>
      <c r="C146" t="s" s="11">
        <f t="shared" si="366"/>
        <v>348</v>
      </c>
      <c r="D146" t="s" s="11">
        <f t="shared" si="511"/>
        <v>471</v>
      </c>
      <c r="E146" t="s" s="11">
        <f>"CUCUMBER FRESH LONG ENGLISH FS"</f>
        <v>517</v>
      </c>
      <c r="F146" t="s" s="11">
        <v>19</v>
      </c>
      <c r="G146" s="12">
        <v>0</v>
      </c>
      <c r="H146" s="12">
        <v>0</v>
      </c>
      <c r="I146" s="12">
        <v>21.01</v>
      </c>
      <c r="J146" s="13"/>
      <c r="K146" s="12">
        <v>0</v>
      </c>
      <c r="L146" s="12">
        <v>1</v>
      </c>
      <c r="M146" t="s" s="11">
        <v>25</v>
      </c>
      <c r="N146" s="12">
        <v>0</v>
      </c>
    </row>
    <row r="147" ht="20.05" customHeight="1">
      <c r="A147" t="s" s="9">
        <f>"1185545"</f>
        <v>518</v>
      </c>
      <c r="B147" s="10">
        <v>1</v>
      </c>
      <c r="C147" t="s" s="11">
        <f t="shared" si="366"/>
        <v>348</v>
      </c>
      <c r="D147" t="s" s="11">
        <f t="shared" si="535"/>
        <v>490</v>
      </c>
      <c r="E147" t="s" s="11">
        <f>"GINGER ROOT FRESH"</f>
        <v>519</v>
      </c>
      <c r="F147" t="s" s="11">
        <v>19</v>
      </c>
      <c r="G147" s="12">
        <v>0</v>
      </c>
      <c r="H147" s="12">
        <v>0</v>
      </c>
      <c r="I147" s="12">
        <v>17.61</v>
      </c>
      <c r="J147" s="13"/>
      <c r="K147" s="12">
        <v>0</v>
      </c>
      <c r="L147" s="12">
        <v>2</v>
      </c>
      <c r="M147" t="s" s="11">
        <v>98</v>
      </c>
      <c r="N147" s="12">
        <v>0</v>
      </c>
    </row>
    <row r="148" ht="20.05" customHeight="1">
      <c r="A148" t="s" s="9">
        <f>"8853954"</f>
        <v>520</v>
      </c>
      <c r="B148" s="10">
        <v>1</v>
      </c>
      <c r="C148" t="s" s="11">
        <f t="shared" si="366"/>
        <v>348</v>
      </c>
      <c r="D148" t="s" s="11">
        <f t="shared" si="535"/>
        <v>490</v>
      </c>
      <c r="E148" t="s" s="11">
        <f>"GARLIC PEELED"</f>
        <v>521</v>
      </c>
      <c r="F148" t="s" s="11">
        <v>19</v>
      </c>
      <c r="G148" s="12">
        <v>0</v>
      </c>
      <c r="H148" s="12">
        <v>0</v>
      </c>
      <c r="I148" s="12">
        <v>11.99</v>
      </c>
      <c r="J148" s="13"/>
      <c r="K148" s="12">
        <v>0</v>
      </c>
      <c r="L148" s="12">
        <v>1</v>
      </c>
      <c r="M148" t="s" s="11">
        <v>42</v>
      </c>
      <c r="N148" s="12">
        <v>0</v>
      </c>
    </row>
    <row r="149" ht="20.05" customHeight="1">
      <c r="A149" t="s" s="9">
        <f>"2422863"</f>
        <v>522</v>
      </c>
      <c r="B149" s="10">
        <v>1</v>
      </c>
      <c r="C149" t="s" s="11">
        <f t="shared" si="554"/>
        <v>506</v>
      </c>
      <c r="D149" t="s" s="11">
        <f t="shared" si="535"/>
        <v>490</v>
      </c>
      <c r="E149" t="s" s="11">
        <f>"KALE FRESH"</f>
        <v>523</v>
      </c>
      <c r="F149" t="s" s="11">
        <v>19</v>
      </c>
      <c r="G149" s="12">
        <v>0</v>
      </c>
      <c r="H149" s="12">
        <v>0</v>
      </c>
      <c r="I149" s="12">
        <v>39.62</v>
      </c>
      <c r="J149" s="13"/>
      <c r="K149" s="12">
        <v>0</v>
      </c>
      <c r="L149" s="12">
        <v>0</v>
      </c>
      <c r="M149" t="s" s="11">
        <v>25</v>
      </c>
      <c r="N149" s="12">
        <v>0</v>
      </c>
    </row>
    <row r="150" ht="20.05" customHeight="1">
      <c r="A150" t="s" s="9">
        <f>"1008168"</f>
        <v>524</v>
      </c>
      <c r="B150" s="10">
        <v>1</v>
      </c>
      <c r="C150" t="s" s="11">
        <f t="shared" si="514"/>
        <v>474</v>
      </c>
      <c r="D150" t="s" s="11">
        <f t="shared" si="511"/>
        <v>471</v>
      </c>
      <c r="E150" t="s" s="11">
        <f>"LEEK BUNCH FRESH"</f>
        <v>525</v>
      </c>
      <c r="F150" t="s" s="11">
        <v>19</v>
      </c>
      <c r="G150" s="12">
        <v>0</v>
      </c>
      <c r="H150" s="12">
        <v>0</v>
      </c>
      <c r="I150" s="12">
        <v>40.54</v>
      </c>
      <c r="J150" s="13"/>
      <c r="K150" s="12">
        <v>0</v>
      </c>
      <c r="L150" s="12">
        <v>1</v>
      </c>
      <c r="M150" t="s" s="11">
        <v>526</v>
      </c>
      <c r="N150" s="12">
        <v>0</v>
      </c>
    </row>
    <row r="151" ht="20.05" customHeight="1">
      <c r="A151" t="s" s="9">
        <f>"2252013"</f>
        <v>527</v>
      </c>
      <c r="B151" s="10">
        <v>1</v>
      </c>
      <c r="C151" t="s" s="11">
        <f>"115 CT"</f>
        <v>528</v>
      </c>
      <c r="D151" t="s" s="11">
        <f t="shared" si="591" ref="D151:D168">"RELFRSH"</f>
        <v>529</v>
      </c>
      <c r="E151" t="s" s="11">
        <f>"LEMON CH FRESH"</f>
        <v>530</v>
      </c>
      <c r="F151" t="s" s="11">
        <v>19</v>
      </c>
      <c r="G151" s="12">
        <v>0</v>
      </c>
      <c r="H151" s="12">
        <v>0</v>
      </c>
      <c r="I151" s="12">
        <v>74.31999999999999</v>
      </c>
      <c r="J151" s="13"/>
      <c r="K151" s="12">
        <v>0</v>
      </c>
      <c r="L151" s="12">
        <v>1</v>
      </c>
      <c r="M151" t="s" s="11">
        <v>332</v>
      </c>
      <c r="N151" s="12">
        <v>0</v>
      </c>
    </row>
    <row r="152" ht="20.05" customHeight="1">
      <c r="A152" t="s" s="9">
        <f>"1908318"</f>
        <v>531</v>
      </c>
      <c r="B152" s="10">
        <v>1</v>
      </c>
      <c r="C152" t="s" s="11">
        <f t="shared" si="554"/>
        <v>506</v>
      </c>
      <c r="D152" t="s" s="11">
        <f t="shared" si="595" ref="D152:D171">"SYFPNAT"</f>
        <v>532</v>
      </c>
      <c r="E152" t="s" s="11">
        <f>"LETTUCE ICEBERG PREMIUM PLTIZD"</f>
        <v>533</v>
      </c>
      <c r="F152" t="s" s="11">
        <v>19</v>
      </c>
      <c r="G152" s="12">
        <v>0</v>
      </c>
      <c r="H152" s="12">
        <v>0</v>
      </c>
      <c r="I152" s="12">
        <v>47.55</v>
      </c>
      <c r="J152" s="13"/>
      <c r="K152" s="12">
        <v>0</v>
      </c>
      <c r="L152" s="12">
        <v>2</v>
      </c>
      <c r="M152" t="s" s="11">
        <v>534</v>
      </c>
      <c r="N152" s="12">
        <v>0</v>
      </c>
    </row>
    <row r="153" ht="20.05" customHeight="1">
      <c r="A153" t="s" s="9">
        <f>"2037125"</f>
        <v>535</v>
      </c>
      <c r="B153" s="10">
        <v>1</v>
      </c>
      <c r="C153" t="s" s="11">
        <f t="shared" si="534"/>
        <v>489</v>
      </c>
      <c r="D153" t="s" s="11">
        <f t="shared" si="535"/>
        <v>490</v>
      </c>
      <c r="E153" t="s" s="11">
        <f>"MINT FRESH HERB"</f>
        <v>536</v>
      </c>
      <c r="F153" t="s" s="11">
        <v>19</v>
      </c>
      <c r="G153" s="12">
        <v>0</v>
      </c>
      <c r="H153" s="12">
        <v>0</v>
      </c>
      <c r="I153" s="12">
        <v>15.11</v>
      </c>
      <c r="J153" s="13"/>
      <c r="K153" s="12">
        <v>0</v>
      </c>
      <c r="L153" s="12">
        <v>1</v>
      </c>
      <c r="M153" t="s" s="11">
        <v>537</v>
      </c>
      <c r="N153" s="12">
        <v>0</v>
      </c>
    </row>
    <row r="154" ht="20.05" customHeight="1">
      <c r="A154" t="s" s="9">
        <f>"8313918"</f>
        <v>538</v>
      </c>
      <c r="B154" s="10">
        <v>1</v>
      </c>
      <c r="C154" t="s" s="11">
        <f t="shared" si="550"/>
        <v>502</v>
      </c>
      <c r="D154" t="s" s="11">
        <f t="shared" si="535"/>
        <v>490</v>
      </c>
      <c r="E154" t="s" s="11">
        <f>"ONION YELLOW JMBO FRSH BOX"</f>
        <v>539</v>
      </c>
      <c r="F154" t="s" s="11">
        <v>19</v>
      </c>
      <c r="G154" s="12">
        <v>0</v>
      </c>
      <c r="H154" s="12">
        <v>0</v>
      </c>
      <c r="I154" s="12">
        <v>24.66</v>
      </c>
      <c r="J154" s="13"/>
      <c r="K154" s="12">
        <v>0</v>
      </c>
      <c r="L154" s="12">
        <v>2</v>
      </c>
      <c r="M154" t="s" s="11">
        <v>42</v>
      </c>
      <c r="N154" s="12">
        <v>0</v>
      </c>
    </row>
    <row r="155" ht="20.05" customHeight="1">
      <c r="A155" t="s" s="9">
        <f>"8678120"</f>
        <v>540</v>
      </c>
      <c r="B155" s="10">
        <v>1</v>
      </c>
      <c r="C155" t="s" s="11">
        <f t="shared" si="306"/>
        <v>299</v>
      </c>
      <c r="D155" t="s" s="11">
        <f t="shared" si="535"/>
        <v>490</v>
      </c>
      <c r="E155" t="s" s="11">
        <f>"ONION GREEN ICELS FRSH"</f>
        <v>541</v>
      </c>
      <c r="F155" t="s" s="11">
        <v>19</v>
      </c>
      <c r="G155" s="12">
        <v>0</v>
      </c>
      <c r="H155" s="12">
        <v>0</v>
      </c>
      <c r="I155" s="12">
        <v>12.06</v>
      </c>
      <c r="J155" s="13"/>
      <c r="K155" s="12">
        <v>0</v>
      </c>
      <c r="L155" s="12">
        <v>1</v>
      </c>
      <c r="M155" t="s" s="11">
        <v>25</v>
      </c>
      <c r="N155" s="12">
        <v>0</v>
      </c>
    </row>
    <row r="156" ht="20.05" customHeight="1">
      <c r="A156" t="s" s="9">
        <f>"8877748"</f>
        <v>542</v>
      </c>
      <c r="B156" s="10">
        <v>1</v>
      </c>
      <c r="C156" t="s" s="11">
        <f t="shared" si="522"/>
        <v>480</v>
      </c>
      <c r="D156" t="s" s="11">
        <f t="shared" si="535"/>
        <v>490</v>
      </c>
      <c r="E156" t="s" s="11">
        <f>"ONION RED MED FRSH CTN"</f>
        <v>543</v>
      </c>
      <c r="F156" t="s" s="11">
        <v>19</v>
      </c>
      <c r="G156" s="12">
        <v>0</v>
      </c>
      <c r="H156" s="12">
        <v>0</v>
      </c>
      <c r="I156" s="12">
        <v>25.78</v>
      </c>
      <c r="J156" s="13"/>
      <c r="K156" s="12">
        <v>0</v>
      </c>
      <c r="L156" s="12">
        <v>1</v>
      </c>
      <c r="M156" t="s" s="11">
        <v>544</v>
      </c>
      <c r="N156" s="12">
        <v>0</v>
      </c>
    </row>
    <row r="157" ht="20.05" customHeight="1">
      <c r="A157" t="s" s="9">
        <f>"1048412"</f>
        <v>545</v>
      </c>
      <c r="B157" s="10">
        <v>1</v>
      </c>
      <c r="C157" t="s" s="11">
        <f>"60 CT"</f>
        <v>546</v>
      </c>
      <c r="D157" t="s" s="11">
        <f t="shared" si="511"/>
        <v>471</v>
      </c>
      <c r="E157" t="s" s="11">
        <f>"PARSLEY BUNCH FRESH"</f>
        <v>547</v>
      </c>
      <c r="F157" t="s" s="11">
        <v>19</v>
      </c>
      <c r="G157" s="12">
        <v>0</v>
      </c>
      <c r="H157" s="12">
        <v>0</v>
      </c>
      <c r="I157" s="12">
        <v>51.5</v>
      </c>
      <c r="J157" s="13"/>
      <c r="K157" s="12">
        <v>0</v>
      </c>
      <c r="L157" s="12">
        <v>2</v>
      </c>
      <c r="M157" t="s" s="11">
        <v>25</v>
      </c>
      <c r="N157" s="12">
        <v>0</v>
      </c>
    </row>
    <row r="158" ht="20.05" customHeight="1">
      <c r="A158" t="s" s="9">
        <f>"2297265"</f>
        <v>548</v>
      </c>
      <c r="B158" s="10">
        <v>1</v>
      </c>
      <c r="C158" t="s" s="11">
        <f t="shared" si="546"/>
        <v>498</v>
      </c>
      <c r="D158" t="s" s="11">
        <f t="shared" si="511"/>
        <v>471</v>
      </c>
      <c r="E158" t="s" s="11">
        <f>"PARSNIP FRESH"</f>
        <v>549</v>
      </c>
      <c r="F158" t="s" s="11">
        <v>19</v>
      </c>
      <c r="G158" s="12">
        <v>0</v>
      </c>
      <c r="H158" s="12">
        <v>0</v>
      </c>
      <c r="I158" s="12">
        <v>41.41</v>
      </c>
      <c r="J158" s="13"/>
      <c r="K158" s="12">
        <v>0</v>
      </c>
      <c r="L158" s="12">
        <v>1</v>
      </c>
      <c r="M158" t="s" s="11">
        <v>550</v>
      </c>
      <c r="N158" s="12">
        <v>0</v>
      </c>
    </row>
    <row r="159" ht="20.05" customHeight="1">
      <c r="A159" t="s" s="9">
        <f>"1048230"</f>
        <v>551</v>
      </c>
      <c r="B159" s="10">
        <v>1</v>
      </c>
      <c r="C159" t="s" s="11">
        <f t="shared" si="258"/>
        <v>260</v>
      </c>
      <c r="D159" t="s" s="11">
        <f t="shared" si="511"/>
        <v>471</v>
      </c>
      <c r="E159" t="s" s="11">
        <f>"PEPPER JALAPENO FRESH"</f>
        <v>552</v>
      </c>
      <c r="F159" t="s" s="11">
        <v>19</v>
      </c>
      <c r="G159" s="12">
        <v>0</v>
      </c>
      <c r="H159" s="12">
        <v>0</v>
      </c>
      <c r="I159" s="12">
        <v>18.51</v>
      </c>
      <c r="J159" s="13"/>
      <c r="K159" s="12">
        <v>0</v>
      </c>
      <c r="L159" s="12">
        <v>1</v>
      </c>
      <c r="M159" t="s" s="11">
        <v>42</v>
      </c>
      <c r="N159" s="12">
        <v>0</v>
      </c>
    </row>
    <row r="160" ht="20.05" customHeight="1">
      <c r="A160" t="s" s="9">
        <f>"6443582"</f>
        <v>553</v>
      </c>
      <c r="B160" s="10">
        <v>1</v>
      </c>
      <c r="C160" t="s" s="11">
        <f t="shared" si="522"/>
        <v>480</v>
      </c>
      <c r="D160" t="s" s="11">
        <f t="shared" si="511"/>
        <v>471</v>
      </c>
      <c r="E160" t="s" s="11">
        <f>"PEPPER RED BELL FRSH FX"</f>
        <v>554</v>
      </c>
      <c r="F160" t="s" s="11">
        <v>19</v>
      </c>
      <c r="G160" s="12">
        <v>0</v>
      </c>
      <c r="H160" s="12">
        <v>0</v>
      </c>
      <c r="I160" s="12">
        <v>38.76</v>
      </c>
      <c r="J160" s="13"/>
      <c r="K160" s="12">
        <v>0</v>
      </c>
      <c r="L160" s="12">
        <v>1</v>
      </c>
      <c r="M160" t="s" s="11">
        <v>25</v>
      </c>
      <c r="N160" s="12">
        <v>0</v>
      </c>
    </row>
    <row r="161" ht="20.05" customHeight="1">
      <c r="A161" t="s" s="9">
        <f>"4398772"</f>
        <v>555</v>
      </c>
      <c r="B161" s="10">
        <v>1</v>
      </c>
      <c r="C161" t="s" s="11">
        <f>"7 CT"</f>
        <v>556</v>
      </c>
      <c r="D161" t="s" s="11">
        <f t="shared" si="511"/>
        <v>471</v>
      </c>
      <c r="E161" t="s" s="11">
        <f>"PINEAPPLE FRESH GOLD"</f>
        <v>557</v>
      </c>
      <c r="F161" t="s" s="11">
        <v>19</v>
      </c>
      <c r="G161" s="12">
        <v>0</v>
      </c>
      <c r="H161" s="12">
        <v>0</v>
      </c>
      <c r="I161" s="12">
        <v>25.9</v>
      </c>
      <c r="J161" s="13"/>
      <c r="K161" s="12">
        <v>0</v>
      </c>
      <c r="L161" s="12">
        <v>3</v>
      </c>
      <c r="M161" t="s" s="11">
        <v>77</v>
      </c>
      <c r="N161" s="12">
        <v>0</v>
      </c>
    </row>
    <row r="162" ht="20.05" customHeight="1">
      <c r="A162" t="s" s="9">
        <f>"4373577"</f>
        <v>558</v>
      </c>
      <c r="B162" s="10">
        <v>1</v>
      </c>
      <c r="C162" t="s" s="11">
        <f t="shared" si="526"/>
        <v>483</v>
      </c>
      <c r="D162" t="s" s="11">
        <f t="shared" si="511"/>
        <v>471</v>
      </c>
      <c r="E162" t="s" s="11">
        <f>"POTATO SWEET JMBO"</f>
        <v>559</v>
      </c>
      <c r="F162" t="s" s="11">
        <v>19</v>
      </c>
      <c r="G162" s="12">
        <v>0</v>
      </c>
      <c r="H162" s="12">
        <v>0</v>
      </c>
      <c r="I162" s="12">
        <v>36.44</v>
      </c>
      <c r="J162" s="13"/>
      <c r="K162" s="12">
        <v>0</v>
      </c>
      <c r="L162" s="12">
        <v>6</v>
      </c>
      <c r="M162" t="s" s="11">
        <v>25</v>
      </c>
      <c r="N162" s="12">
        <v>0</v>
      </c>
    </row>
    <row r="163" ht="20.05" customHeight="1">
      <c r="A163" t="s" s="9">
        <f>"1450204"</f>
        <v>560</v>
      </c>
      <c r="B163" s="10">
        <v>1</v>
      </c>
      <c r="C163" t="s" s="11">
        <f t="shared" si="550"/>
        <v>502</v>
      </c>
      <c r="D163" t="s" s="11">
        <f t="shared" si="511"/>
        <v>471</v>
      </c>
      <c r="E163" t="s" s="11">
        <f>"POTATO YELLOW YUKON GLD FRSH"</f>
        <v>561</v>
      </c>
      <c r="F163" t="s" s="11">
        <v>19</v>
      </c>
      <c r="G163" s="12">
        <v>0</v>
      </c>
      <c r="H163" s="12">
        <v>0</v>
      </c>
      <c r="I163" s="12">
        <v>30.49</v>
      </c>
      <c r="J163" s="13"/>
      <c r="K163" s="12">
        <v>0</v>
      </c>
      <c r="L163" s="12">
        <v>4</v>
      </c>
      <c r="M163" t="s" s="11">
        <v>25</v>
      </c>
      <c r="N163" s="12">
        <v>0</v>
      </c>
    </row>
    <row r="164" ht="20.05" customHeight="1">
      <c r="A164" t="s" s="9">
        <f>"1675925"</f>
        <v>562</v>
      </c>
      <c r="B164" s="10">
        <v>4</v>
      </c>
      <c r="C164" t="s" s="11">
        <f>"2.5 LB"</f>
        <v>563</v>
      </c>
      <c r="D164" t="s" s="11">
        <f>"IMPFRSH"</f>
        <v>490</v>
      </c>
      <c r="E164" t="s" s="11">
        <f>"SPINACH CLIPPED FRESH"</f>
        <v>564</v>
      </c>
      <c r="F164" t="s" s="11">
        <v>19</v>
      </c>
      <c r="G164" s="12">
        <v>0</v>
      </c>
      <c r="H164" s="12">
        <v>0</v>
      </c>
      <c r="I164" s="12">
        <v>32.03</v>
      </c>
      <c r="J164" s="13"/>
      <c r="K164" s="12">
        <v>0</v>
      </c>
      <c r="L164" s="12">
        <v>1</v>
      </c>
      <c r="M164" t="s" s="11">
        <v>25</v>
      </c>
      <c r="N164" s="12">
        <v>0</v>
      </c>
    </row>
    <row r="165" ht="20.05" customHeight="1">
      <c r="A165" t="s" s="9">
        <f>"4517421"</f>
        <v>565</v>
      </c>
      <c r="B165" s="10">
        <v>1</v>
      </c>
      <c r="C165" t="s" s="11">
        <f>"1/2 BU"</f>
        <v>566</v>
      </c>
      <c r="D165" t="s" s="11">
        <f t="shared" si="511"/>
        <v>471</v>
      </c>
      <c r="E165" t="s" s="11">
        <f>"SQUASH ZUCCHINI MED FRSH"</f>
        <v>567</v>
      </c>
      <c r="F165" t="s" s="11">
        <v>19</v>
      </c>
      <c r="G165" s="12">
        <v>0</v>
      </c>
      <c r="H165" s="12">
        <v>0</v>
      </c>
      <c r="I165" s="12">
        <v>24.26</v>
      </c>
      <c r="J165" s="13"/>
      <c r="K165" s="12">
        <v>0</v>
      </c>
      <c r="L165" s="12">
        <v>5</v>
      </c>
      <c r="M165" t="s" s="11">
        <v>25</v>
      </c>
      <c r="N165" s="12">
        <v>0</v>
      </c>
    </row>
    <row r="166" ht="20.05" customHeight="1">
      <c r="A166" t="s" s="9">
        <f>"2004968"</f>
        <v>568</v>
      </c>
      <c r="B166" s="10">
        <v>1</v>
      </c>
      <c r="C166" t="s" s="11">
        <f>"4 OZ"</f>
        <v>569</v>
      </c>
      <c r="D166" t="s" s="11">
        <f t="shared" si="535"/>
        <v>490</v>
      </c>
      <c r="E166" t="s" s="11">
        <f>"TARRAGON FRESH HERB"</f>
        <v>570</v>
      </c>
      <c r="F166" t="s" s="11">
        <v>19</v>
      </c>
      <c r="G166" s="12">
        <v>0</v>
      </c>
      <c r="H166" s="12">
        <v>0</v>
      </c>
      <c r="I166" s="12">
        <v>9.99</v>
      </c>
      <c r="J166" s="13"/>
      <c r="K166" s="12">
        <v>0</v>
      </c>
      <c r="L166" s="12">
        <v>1</v>
      </c>
      <c r="M166" t="s" s="11">
        <v>25</v>
      </c>
      <c r="N166" s="12">
        <v>0</v>
      </c>
    </row>
    <row r="167" ht="20.05" customHeight="1">
      <c r="A167" t="s" s="9">
        <f>"6017370"</f>
        <v>571</v>
      </c>
      <c r="B167" s="10">
        <v>1</v>
      </c>
      <c r="C167" t="s" s="11">
        <f t="shared" si="258"/>
        <v>260</v>
      </c>
      <c r="D167" t="s" s="11">
        <f t="shared" si="535"/>
        <v>490</v>
      </c>
      <c r="E167" t="s" s="11">
        <f>"TOMATO GRAPE FRSH"</f>
        <v>572</v>
      </c>
      <c r="F167" t="s" s="11">
        <v>19</v>
      </c>
      <c r="G167" s="12">
        <v>0</v>
      </c>
      <c r="H167" s="12">
        <v>0</v>
      </c>
      <c r="I167" s="12">
        <v>21.85</v>
      </c>
      <c r="J167" s="13"/>
      <c r="K167" s="12">
        <v>0</v>
      </c>
      <c r="L167" s="12">
        <v>1</v>
      </c>
      <c r="M167" t="s" s="11">
        <v>469</v>
      </c>
      <c r="N167" s="12">
        <v>0</v>
      </c>
    </row>
    <row r="168" ht="20.05" customHeight="1">
      <c r="A168" t="s" s="9">
        <f>"4935623"</f>
        <v>573</v>
      </c>
      <c r="B168" s="10">
        <v>1</v>
      </c>
      <c r="C168" t="s" s="11">
        <f t="shared" si="522"/>
        <v>480</v>
      </c>
      <c r="D168" t="s" s="11">
        <f t="shared" si="591"/>
        <v>529</v>
      </c>
      <c r="E168" t="s" s="11">
        <f>"TOMATO BULK UTILITY FRESH"</f>
        <v>574</v>
      </c>
      <c r="F168" t="s" s="11">
        <v>19</v>
      </c>
      <c r="G168" s="12">
        <v>0</v>
      </c>
      <c r="H168" s="12">
        <v>0</v>
      </c>
      <c r="I168" s="12">
        <v>39.36</v>
      </c>
      <c r="J168" s="13"/>
      <c r="K168" s="12">
        <v>0</v>
      </c>
      <c r="L168" s="12">
        <v>1</v>
      </c>
      <c r="M168" t="s" s="11">
        <v>462</v>
      </c>
      <c r="N168" s="12">
        <v>0</v>
      </c>
    </row>
    <row r="169" ht="20.05" customHeight="1">
      <c r="A169" t="s" s="9">
        <f>"6894125"</f>
        <v>575</v>
      </c>
      <c r="B169" s="10">
        <v>1</v>
      </c>
      <c r="C169" t="s" s="11">
        <f t="shared" si="522"/>
        <v>480</v>
      </c>
      <c r="D169" t="s" s="11">
        <f t="shared" si="535"/>
        <v>490</v>
      </c>
      <c r="E169" t="s" s="11">
        <f>"TOMATO ROMA FRSH"</f>
        <v>576</v>
      </c>
      <c r="F169" t="s" s="11">
        <v>19</v>
      </c>
      <c r="G169" s="12">
        <v>0</v>
      </c>
      <c r="H169" s="12">
        <v>0</v>
      </c>
      <c r="I169" s="12">
        <v>32.46</v>
      </c>
      <c r="J169" s="13"/>
      <c r="K169" s="12">
        <v>0</v>
      </c>
      <c r="L169" s="12">
        <v>1</v>
      </c>
      <c r="M169" t="s" s="11">
        <v>25</v>
      </c>
      <c r="N169" s="12">
        <v>0</v>
      </c>
    </row>
    <row r="170" ht="20.05" customHeight="1">
      <c r="A170" t="s" s="9">
        <f>"2005296"</f>
        <v>577</v>
      </c>
      <c r="B170" s="10">
        <v>1</v>
      </c>
      <c r="C170" t="s" s="11">
        <f t="shared" si="534"/>
        <v>489</v>
      </c>
      <c r="D170" t="s" s="11">
        <f t="shared" si="535"/>
        <v>490</v>
      </c>
      <c r="E170" t="s" s="11">
        <f>"THYME FRESH HERB"</f>
        <v>578</v>
      </c>
      <c r="F170" t="s" s="11">
        <v>19</v>
      </c>
      <c r="G170" s="12">
        <v>0</v>
      </c>
      <c r="H170" s="12">
        <v>0</v>
      </c>
      <c r="I170" s="12">
        <v>17.01</v>
      </c>
      <c r="J170" s="13"/>
      <c r="K170" s="12">
        <v>0</v>
      </c>
      <c r="L170" s="12">
        <v>1</v>
      </c>
      <c r="M170" t="s" s="11">
        <v>269</v>
      </c>
      <c r="N170" s="12">
        <v>0</v>
      </c>
    </row>
    <row r="171" ht="20.05" customHeight="1">
      <c r="A171" t="s" s="9">
        <f>"1723816"</f>
        <v>579</v>
      </c>
      <c r="B171" s="10">
        <v>1</v>
      </c>
      <c r="C171" t="s" s="11">
        <f t="shared" si="554"/>
        <v>506</v>
      </c>
      <c r="D171" t="s" s="11">
        <f t="shared" si="595"/>
        <v>532</v>
      </c>
      <c r="E171" t="s" s="11">
        <f>"LETTUCE ROMAINE FRESH W/LINER"</f>
        <v>580</v>
      </c>
      <c r="F171" t="s" s="11">
        <v>19</v>
      </c>
      <c r="G171" s="12">
        <v>0</v>
      </c>
      <c r="H171" s="12">
        <v>0</v>
      </c>
      <c r="I171" s="12">
        <v>62.91</v>
      </c>
      <c r="J171" s="13"/>
      <c r="K171" s="12">
        <v>0</v>
      </c>
      <c r="L171" s="12">
        <v>1</v>
      </c>
      <c r="M171" t="s" s="11">
        <v>37</v>
      </c>
      <c r="N171" s="12">
        <v>0</v>
      </c>
    </row>
    <row r="172" ht="20.05" customHeight="1">
      <c r="A172" t="s" s="9">
        <f>"1080142"</f>
        <v>581</v>
      </c>
      <c r="B172" s="10">
        <v>1</v>
      </c>
      <c r="C172" t="s" s="11">
        <f>"40LB"</f>
        <v>582</v>
      </c>
      <c r="D172" t="s" s="11">
        <f>"PACKER"</f>
        <v>471</v>
      </c>
      <c r="E172" t="s" s="11">
        <f>"YAM MEDIUM FRESH"</f>
        <v>583</v>
      </c>
      <c r="F172" t="s" s="11">
        <v>19</v>
      </c>
      <c r="G172" s="12">
        <v>0</v>
      </c>
      <c r="H172" s="12">
        <v>0</v>
      </c>
      <c r="I172" s="12">
        <v>39.3</v>
      </c>
      <c r="J172" s="13"/>
      <c r="K172" s="12">
        <v>0</v>
      </c>
      <c r="L172" s="12">
        <v>3</v>
      </c>
      <c r="M172" t="s" s="11">
        <v>25</v>
      </c>
      <c r="N172" s="12">
        <v>0</v>
      </c>
    </row>
    <row r="173" ht="20.05" customHeight="1">
      <c r="A173" t="s" s="9">
        <f>"3508631"</f>
        <v>584</v>
      </c>
      <c r="B173" s="10">
        <v>4</v>
      </c>
      <c r="C173" t="s" s="11">
        <f>"3.75L"</f>
        <v>585</v>
      </c>
      <c r="D173" t="s" s="11">
        <f>"BEAVER"</f>
        <v>586</v>
      </c>
      <c r="E173" t="s" s="11">
        <f>"HORSERADISH WHITE PRPD X-HOT"</f>
        <v>587</v>
      </c>
      <c r="F173" t="s" s="11">
        <v>19</v>
      </c>
      <c r="G173" s="12">
        <v>0</v>
      </c>
      <c r="H173" s="12">
        <v>0</v>
      </c>
      <c r="I173" s="12">
        <v>67</v>
      </c>
      <c r="J173" s="13"/>
      <c r="K173" s="12">
        <v>16.99</v>
      </c>
      <c r="L173" s="12">
        <v>1</v>
      </c>
      <c r="M173" t="s" s="11">
        <v>442</v>
      </c>
      <c r="N173" s="12">
        <v>0</v>
      </c>
    </row>
  </sheetData>
  <mergeCells count="1">
    <mergeCell ref="A1:N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