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reyac-my.sharepoint.com/personal/nt00601_surrey_ac_uk/Documents/Documents/MATLAB/CV/"/>
    </mc:Choice>
  </mc:AlternateContent>
  <xr:revisionPtr revIDLastSave="1197" documentId="8_{98AA3299-2516-4331-A879-D11671E358B0}" xr6:coauthVersionLast="47" xr6:coauthVersionMax="47" xr10:uidLastSave="{E818B3DF-65FD-4CB8-AA1C-39B62EC3DD64}"/>
  <bookViews>
    <workbookView xWindow="-120" yWindow="-120" windowWidth="29040" windowHeight="15840" activeTab="2" xr2:uid="{E2EA1F59-2426-4622-9790-DA698D8C6B69}"/>
  </bookViews>
  <sheets>
    <sheet name="Search-by-Image MAP" sheetId="1" r:id="rId1"/>
    <sheet name="Optimal Mahalanobis" sheetId="2" r:id="rId2"/>
    <sheet name="Optimal N Clusters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5" l="1"/>
  <c r="C18" i="5"/>
  <c r="C16" i="5"/>
  <c r="C17" i="5"/>
  <c r="C15" i="5"/>
  <c r="C14" i="5"/>
  <c r="C8" i="5"/>
  <c r="C7" i="5"/>
  <c r="C6" i="5"/>
  <c r="C5" i="5"/>
  <c r="C4" i="5"/>
  <c r="C3" i="5"/>
  <c r="B4" i="5"/>
  <c r="B5" i="5"/>
  <c r="B6" i="5"/>
  <c r="B7" i="5"/>
  <c r="B8" i="5"/>
  <c r="B3" i="5"/>
  <c r="F48" i="1"/>
  <c r="F47" i="1"/>
  <c r="F44" i="1"/>
  <c r="F43" i="1"/>
  <c r="F40" i="1"/>
  <c r="F39" i="1"/>
  <c r="F36" i="1"/>
  <c r="F35" i="1"/>
  <c r="F32" i="1"/>
  <c r="F31" i="1"/>
  <c r="F28" i="1"/>
  <c r="F27" i="1"/>
  <c r="B35" i="1"/>
  <c r="B36" i="1"/>
  <c r="E51" i="2"/>
  <c r="F47" i="2"/>
  <c r="E47" i="2"/>
  <c r="G48" i="2"/>
  <c r="F48" i="2"/>
  <c r="E48" i="2"/>
  <c r="E52" i="2"/>
  <c r="F52" i="2"/>
  <c r="F49" i="2"/>
  <c r="E49" i="2"/>
  <c r="E50" i="2"/>
  <c r="F50" i="2"/>
  <c r="F51" i="2"/>
  <c r="B28" i="1"/>
  <c r="A38" i="2"/>
  <c r="B31" i="1"/>
  <c r="B32" i="1"/>
  <c r="A51" i="2"/>
  <c r="A48" i="2"/>
  <c r="B48" i="2"/>
  <c r="A47" i="2"/>
  <c r="B47" i="2"/>
  <c r="A46" i="2"/>
  <c r="B46" i="2"/>
  <c r="C52" i="2"/>
  <c r="A52" i="2"/>
  <c r="B52" i="2"/>
  <c r="C51" i="2"/>
  <c r="B51" i="2"/>
  <c r="A49" i="2"/>
  <c r="B49" i="2"/>
  <c r="B50" i="2"/>
  <c r="A50" i="2"/>
  <c r="C50" i="2"/>
  <c r="C49" i="2"/>
  <c r="C47" i="2"/>
  <c r="A32" i="1"/>
  <c r="A31" i="1"/>
  <c r="B27" i="1"/>
  <c r="A42" i="2"/>
  <c r="B42" i="2"/>
  <c r="A41" i="2"/>
  <c r="B41" i="2"/>
  <c r="A40" i="2"/>
  <c r="C37" i="2"/>
  <c r="B37" i="2"/>
  <c r="A37" i="2"/>
  <c r="A36" i="2"/>
  <c r="B36" i="2"/>
  <c r="B38" i="2"/>
  <c r="A39" i="2"/>
  <c r="B39" i="2"/>
  <c r="B40" i="2"/>
  <c r="C42" i="2"/>
  <c r="C40" i="2"/>
  <c r="A27" i="1"/>
  <c r="A28" i="1"/>
  <c r="A3" i="1"/>
  <c r="C20" i="2"/>
  <c r="B20" i="2"/>
  <c r="A20" i="2"/>
  <c r="C21" i="2"/>
  <c r="B21" i="2"/>
  <c r="A21" i="2"/>
  <c r="B17" i="2"/>
  <c r="A17" i="2"/>
  <c r="A40" i="1"/>
  <c r="B39" i="1"/>
  <c r="B40" i="1"/>
  <c r="I41" i="2"/>
  <c r="I40" i="2"/>
  <c r="K40" i="2"/>
  <c r="J40" i="2"/>
  <c r="K41" i="2"/>
  <c r="J41" i="2"/>
  <c r="K42" i="2"/>
  <c r="I42" i="2"/>
  <c r="J42" i="2"/>
  <c r="I39" i="2"/>
  <c r="J39" i="2"/>
  <c r="I38" i="2"/>
  <c r="J38" i="2"/>
  <c r="I37" i="2"/>
  <c r="J37" i="2"/>
  <c r="K39" i="2"/>
  <c r="K37" i="2"/>
  <c r="K3" i="2"/>
  <c r="J3" i="2"/>
  <c r="I3" i="2"/>
  <c r="K5" i="2"/>
  <c r="J5" i="2"/>
  <c r="I5" i="2"/>
  <c r="I6" i="2"/>
  <c r="J6" i="2"/>
  <c r="K6" i="2"/>
  <c r="K17" i="2"/>
  <c r="J17" i="2"/>
  <c r="I17" i="2"/>
  <c r="J36" i="2"/>
  <c r="I36" i="2"/>
  <c r="K36" i="2"/>
  <c r="A39" i="1"/>
  <c r="B43" i="1"/>
  <c r="B44" i="1"/>
  <c r="I49" i="2"/>
  <c r="J49" i="2"/>
  <c r="K49" i="2"/>
  <c r="J52" i="2"/>
  <c r="I52" i="2"/>
  <c r="I48" i="2"/>
  <c r="J48" i="2"/>
  <c r="I47" i="2"/>
  <c r="J47" i="2"/>
  <c r="I51" i="2"/>
  <c r="J51" i="2"/>
  <c r="K51" i="2"/>
  <c r="K50" i="2"/>
  <c r="I50" i="2"/>
  <c r="J50" i="2"/>
  <c r="K52" i="2"/>
  <c r="A48" i="1"/>
  <c r="A43" i="1"/>
  <c r="A44" i="1"/>
  <c r="B47" i="1"/>
  <c r="B48" i="1"/>
  <c r="E42" i="2"/>
  <c r="E43" i="2"/>
  <c r="F43" i="2"/>
  <c r="F42" i="2"/>
  <c r="G37" i="2"/>
  <c r="E37" i="2"/>
  <c r="F37" i="2"/>
  <c r="E36" i="2"/>
  <c r="F36" i="2"/>
  <c r="G38" i="2"/>
  <c r="E38" i="2"/>
  <c r="F38" i="2"/>
  <c r="E39" i="2"/>
  <c r="F39" i="2"/>
  <c r="G39" i="2"/>
  <c r="E40" i="2"/>
  <c r="F40" i="2"/>
  <c r="E41" i="2"/>
  <c r="F41" i="2"/>
  <c r="G41" i="2"/>
  <c r="G47" i="2"/>
  <c r="G49" i="2"/>
  <c r="G50" i="2"/>
  <c r="G51" i="2"/>
  <c r="E4" i="2"/>
  <c r="F4" i="2"/>
  <c r="A47" i="1"/>
  <c r="A23" i="1"/>
  <c r="A35" i="1"/>
  <c r="A36" i="1"/>
  <c r="F23" i="1"/>
  <c r="F22" i="1"/>
  <c r="F19" i="1"/>
  <c r="F18" i="1"/>
  <c r="F15" i="1"/>
  <c r="F14" i="1"/>
  <c r="F11" i="1"/>
  <c r="F10" i="1"/>
  <c r="F7" i="1"/>
  <c r="F6" i="1"/>
  <c r="F3" i="1"/>
  <c r="F2" i="1"/>
  <c r="A10" i="1"/>
  <c r="A11" i="1"/>
  <c r="B10" i="1"/>
  <c r="B11" i="1"/>
  <c r="E23" i="2"/>
  <c r="G23" i="2"/>
  <c r="F23" i="2"/>
  <c r="E24" i="2"/>
  <c r="F24" i="2"/>
  <c r="G24" i="2"/>
  <c r="E25" i="2"/>
  <c r="F25" i="2"/>
  <c r="G25" i="2"/>
  <c r="E20" i="2"/>
  <c r="G20" i="2"/>
  <c r="F20" i="2"/>
  <c r="E21" i="2"/>
  <c r="F21" i="2"/>
  <c r="G21" i="2"/>
  <c r="E22" i="2"/>
  <c r="F22" i="2"/>
  <c r="E27" i="2"/>
  <c r="E26" i="2"/>
  <c r="F27" i="2"/>
  <c r="F26" i="2"/>
  <c r="G26" i="2"/>
  <c r="C19" i="2"/>
  <c r="B19" i="2"/>
  <c r="A19" i="2"/>
  <c r="C18" i="2"/>
  <c r="B18" i="2"/>
  <c r="A18" i="2"/>
  <c r="C16" i="2"/>
  <c r="B16" i="2"/>
  <c r="A16" i="2"/>
  <c r="B15" i="2"/>
  <c r="A15" i="2"/>
  <c r="C11" i="2"/>
  <c r="B11" i="2"/>
  <c r="B10" i="2"/>
  <c r="A10" i="2"/>
  <c r="B23" i="1"/>
  <c r="F13" i="2"/>
  <c r="B22" i="1"/>
  <c r="K16" i="2"/>
  <c r="J16" i="2"/>
  <c r="I16" i="2"/>
  <c r="J15" i="2"/>
  <c r="I15" i="2"/>
  <c r="K14" i="2"/>
  <c r="I14" i="2"/>
  <c r="I13" i="2"/>
  <c r="J12" i="2"/>
  <c r="I12" i="2"/>
  <c r="J11" i="2"/>
  <c r="I11" i="2"/>
  <c r="K7" i="2"/>
  <c r="J7" i="2"/>
  <c r="I7" i="2"/>
  <c r="F16" i="2"/>
  <c r="E16" i="2"/>
  <c r="F15" i="2"/>
  <c r="E15" i="2"/>
  <c r="G14" i="2"/>
  <c r="F14" i="2"/>
  <c r="E14" i="2"/>
  <c r="G13" i="2"/>
  <c r="E13" i="2"/>
  <c r="G12" i="2"/>
  <c r="F12" i="2"/>
  <c r="E12" i="2"/>
  <c r="G11" i="2"/>
  <c r="F11" i="2"/>
  <c r="E11" i="2"/>
  <c r="G10" i="2"/>
  <c r="F10" i="2"/>
  <c r="E10" i="2"/>
  <c r="F9" i="2"/>
  <c r="E9" i="2"/>
  <c r="G8" i="2"/>
  <c r="F8" i="2"/>
  <c r="E8" i="2"/>
  <c r="G7" i="2"/>
  <c r="F7" i="2"/>
  <c r="E7" i="2"/>
  <c r="F6" i="2"/>
  <c r="E6" i="2"/>
  <c r="G5" i="2"/>
  <c r="F5" i="2"/>
  <c r="E5" i="2"/>
  <c r="F3" i="2"/>
  <c r="E3" i="2"/>
  <c r="A22" i="1"/>
  <c r="A19" i="1"/>
  <c r="A18" i="1"/>
  <c r="C9" i="2"/>
  <c r="B9" i="2"/>
  <c r="A9" i="2"/>
  <c r="C8" i="2"/>
  <c r="B8" i="2"/>
  <c r="A8" i="2"/>
  <c r="B7" i="2"/>
  <c r="A7" i="2"/>
  <c r="B19" i="1"/>
  <c r="B14" i="1"/>
  <c r="B15" i="1"/>
  <c r="A14" i="1"/>
  <c r="A15" i="1"/>
  <c r="B7" i="1"/>
  <c r="B6" i="1"/>
  <c r="A6" i="1"/>
  <c r="A7" i="1"/>
  <c r="B3" i="1"/>
  <c r="A2" i="1"/>
  <c r="B2" i="1"/>
</calcChain>
</file>

<file path=xl/sharedStrings.xml><?xml version="1.0" encoding="utf-8"?>
<sst xmlns="http://schemas.openxmlformats.org/spreadsheetml/2006/main" count="132" uniqueCount="44">
  <si>
    <t>MAP</t>
  </si>
  <si>
    <t>Nclusters</t>
  </si>
  <si>
    <t>normalised by tf-idf</t>
  </si>
  <si>
    <t>normalised by sum</t>
  </si>
  <si>
    <t>RGBH + Euclidean</t>
  </si>
  <si>
    <t>RGBH + Grid + Euclidean</t>
  </si>
  <si>
    <t>RGBH + Mahalanobis</t>
  </si>
  <si>
    <t>RGBH + Cosine</t>
  </si>
  <si>
    <t>EOH + Euclidean</t>
  </si>
  <si>
    <t>EOH + Mahalanobis</t>
  </si>
  <si>
    <t xml:space="preserve"> EOH + Cosine</t>
  </si>
  <si>
    <t>RGBH + Grid + Cosine</t>
  </si>
  <si>
    <t>EOH + Grid + Euclidean</t>
  </si>
  <si>
    <t>EOH + Grid + Cosine</t>
  </si>
  <si>
    <t>RGBH + EOH + Grid + Euclidean</t>
  </si>
  <si>
    <t>RGBH + EOH + Grid + Cosine</t>
  </si>
  <si>
    <t>L2 Norm</t>
  </si>
  <si>
    <t>L1 Norm</t>
  </si>
  <si>
    <t>Runtime</t>
  </si>
  <si>
    <t>EOH + (optimal) Mahalanobis</t>
  </si>
  <si>
    <t>RGBH + Grid + (optimal) Mahalanobis</t>
  </si>
  <si>
    <t>EOH + Grid + (optimal) Mahalanobis</t>
  </si>
  <si>
    <t>RGBH + EOH + Grid + (optimal) Mahalanobis</t>
  </si>
  <si>
    <t>RGBH + (optimal) Mahalanobis</t>
  </si>
  <si>
    <t>Runtime(s)</t>
  </si>
  <si>
    <t>Accuracy</t>
  </si>
  <si>
    <t>All</t>
  </si>
  <si>
    <t>ALL</t>
  </si>
  <si>
    <t>RGBH + Grid  + Mahalanobis</t>
  </si>
  <si>
    <t>EOH + Grid  + Mahalanobis</t>
  </si>
  <si>
    <t>%Eigenvectors kept</t>
  </si>
  <si>
    <t>RGBH + EOH + Grid  + Mahalanobis</t>
  </si>
  <si>
    <t>RGBH +EOH + Euclidean</t>
  </si>
  <si>
    <t>RGBH + EOH + (optimal) Mahalanobis</t>
  </si>
  <si>
    <t>RGBH + EOH + Cosine</t>
  </si>
  <si>
    <t>RGH + EOH + Malahanobis</t>
  </si>
  <si>
    <t>RGBH + EOH + Euclidean</t>
  </si>
  <si>
    <t>RGBH + EOH  + Mahalanobis</t>
  </si>
  <si>
    <t>RGBH + EOH + Grid + Mahalanobis</t>
  </si>
  <si>
    <t>Basic Visual-Search systems</t>
  </si>
  <si>
    <t>(optimal) BOVW + Euclidean</t>
  </si>
  <si>
    <t>(optimal) BOVW + Mahalanobis</t>
  </si>
  <si>
    <t>Euclidean distance (L2 Norm)</t>
  </si>
  <si>
    <t>Mahalanobis distance (L2 Norm)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</si>
</sst>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8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28"/>
      <color theme="1"/>
      <name val="Arial"/>
      <family val="2"/>
    </font>
    <font>
      <b/>
      <sz val="14"/>
      <color theme="1"/>
      <name val="Arial"/>
      <family val="2"/>
    </font>
    <font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164" fontId="3" fillId="0" borderId="0" xfId="0" applyNumberFormat="1" applyFont="1"/>
    <xf numFmtId="9" fontId="3" fillId="0" borderId="0" xfId="0" applyNumberFormat="1" applyFont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/>
    <xf numFmtId="164" fontId="6" fillId="2" borderId="4" xfId="0" applyNumberFormat="1" applyFont="1" applyFill="1" applyBorder="1"/>
    <xf numFmtId="164" fontId="6" fillId="2" borderId="0" xfId="0" applyNumberFormat="1" applyFont="1" applyFill="1" applyBorder="1"/>
    <xf numFmtId="0" fontId="6" fillId="2" borderId="0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164" fontId="6" fillId="3" borderId="4" xfId="0" applyNumberFormat="1" applyFont="1" applyFill="1" applyBorder="1"/>
    <xf numFmtId="164" fontId="6" fillId="3" borderId="0" xfId="0" applyNumberFormat="1" applyFont="1" applyFill="1" applyBorder="1"/>
    <xf numFmtId="0" fontId="6" fillId="3" borderId="0" xfId="0" applyFont="1" applyFill="1" applyBorder="1" applyAlignment="1">
      <alignment horizontal="center"/>
    </xf>
    <xf numFmtId="0" fontId="3" fillId="0" borderId="4" xfId="0" applyFont="1" applyBorder="1"/>
    <xf numFmtId="0" fontId="3" fillId="0" borderId="0" xfId="0" applyFont="1" applyBorder="1"/>
    <xf numFmtId="0" fontId="3" fillId="0" borderId="4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4" xfId="0" applyFont="1" applyBorder="1"/>
    <xf numFmtId="0" fontId="0" fillId="0" borderId="0" xfId="0" applyFont="1" applyBorder="1"/>
    <xf numFmtId="0" fontId="0" fillId="0" borderId="4" xfId="0" applyBorder="1"/>
    <xf numFmtId="0" fontId="0" fillId="0" borderId="0" xfId="0" applyBorder="1"/>
    <xf numFmtId="164" fontId="6" fillId="3" borderId="6" xfId="0" applyNumberFormat="1" applyFont="1" applyFill="1" applyBorder="1"/>
    <xf numFmtId="164" fontId="6" fillId="3" borderId="7" xfId="0" applyNumberFormat="1" applyFont="1" applyFill="1" applyBorder="1"/>
    <xf numFmtId="0" fontId="6" fillId="3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3" fillId="0" borderId="4" xfId="0" applyNumberFormat="1" applyFont="1" applyBorder="1"/>
    <xf numFmtId="164" fontId="3" fillId="0" borderId="0" xfId="0" applyNumberFormat="1" applyFont="1" applyBorder="1"/>
    <xf numFmtId="164" fontId="3" fillId="0" borderId="0" xfId="0" applyNumberFormat="1" applyFont="1" applyBorder="1" applyAlignment="1">
      <alignment horizontal="right"/>
    </xf>
    <xf numFmtId="9" fontId="3" fillId="0" borderId="0" xfId="0" applyNumberFormat="1" applyFont="1" applyBorder="1" applyAlignment="1">
      <alignment horizontal="right"/>
    </xf>
    <xf numFmtId="9" fontId="3" fillId="0" borderId="0" xfId="1" applyFont="1" applyBorder="1"/>
    <xf numFmtId="9" fontId="3" fillId="0" borderId="0" xfId="0" applyNumberFormat="1" applyFont="1" applyBorder="1"/>
    <xf numFmtId="9" fontId="6" fillId="2" borderId="0" xfId="0" applyNumberFormat="1" applyFont="1" applyFill="1" applyBorder="1"/>
    <xf numFmtId="0" fontId="3" fillId="0" borderId="0" xfId="0" applyFont="1" applyBorder="1" applyAlignment="1">
      <alignment horizontal="center"/>
    </xf>
    <xf numFmtId="164" fontId="5" fillId="0" borderId="0" xfId="0" applyNumberFormat="1" applyFont="1" applyBorder="1"/>
    <xf numFmtId="9" fontId="5" fillId="0" borderId="0" xfId="0" applyNumberFormat="1" applyFont="1" applyBorder="1"/>
    <xf numFmtId="0" fontId="3" fillId="0" borderId="4" xfId="0" applyFont="1" applyBorder="1" applyAlignment="1">
      <alignment horizontal="center"/>
    </xf>
    <xf numFmtId="9" fontId="6" fillId="2" borderId="0" xfId="0" applyNumberFormat="1" applyFont="1" applyFill="1" applyBorder="1" applyAlignment="1">
      <alignment horizontal="right"/>
    </xf>
    <xf numFmtId="0" fontId="0" fillId="0" borderId="6" xfId="0" applyBorder="1"/>
    <xf numFmtId="0" fontId="0" fillId="0" borderId="7" xfId="0" applyBorder="1"/>
    <xf numFmtId="164" fontId="3" fillId="0" borderId="7" xfId="0" applyNumberFormat="1" applyFont="1" applyBorder="1"/>
    <xf numFmtId="9" fontId="3" fillId="0" borderId="7" xfId="0" applyNumberFormat="1" applyFont="1" applyBorder="1"/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3" fillId="0" borderId="0" xfId="0" applyNumberFormat="1" applyFont="1" applyFill="1" applyBorder="1"/>
    <xf numFmtId="9" fontId="3" fillId="0" borderId="0" xfId="0" applyNumberFormat="1" applyFont="1" applyFill="1" applyBorder="1"/>
    <xf numFmtId="164" fontId="3" fillId="0" borderId="4" xfId="0" applyNumberFormat="1" applyFont="1" applyFill="1" applyBorder="1"/>
    <xf numFmtId="0" fontId="0" fillId="0" borderId="2" xfId="0" applyBorder="1"/>
    <xf numFmtId="164" fontId="3" fillId="0" borderId="6" xfId="0" applyNumberFormat="1" applyFont="1" applyBorder="1"/>
    <xf numFmtId="0" fontId="3" fillId="0" borderId="7" xfId="0" applyFont="1" applyBorder="1"/>
    <xf numFmtId="9" fontId="6" fillId="2" borderId="0" xfId="1" applyFont="1" applyFill="1" applyBorder="1"/>
    <xf numFmtId="9" fontId="3" fillId="0" borderId="7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6" fillId="2" borderId="5" xfId="0" applyNumberFormat="1" applyFont="1" applyFill="1" applyBorder="1"/>
    <xf numFmtId="164" fontId="6" fillId="3" borderId="5" xfId="0" applyNumberFormat="1" applyFont="1" applyFill="1" applyBorder="1"/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0" fontId="0" fillId="0" borderId="5" xfId="0" applyFont="1" applyBorder="1"/>
    <xf numFmtId="0" fontId="0" fillId="0" borderId="5" xfId="0" applyBorder="1"/>
    <xf numFmtId="164" fontId="6" fillId="3" borderId="8" xfId="0" applyNumberFormat="1" applyFont="1" applyFill="1" applyBorder="1"/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3" xfId="0" applyBorder="1"/>
    <xf numFmtId="0" fontId="6" fillId="0" borderId="4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9" fillId="0" borderId="5" xfId="0" applyFont="1" applyBorder="1" applyAlignment="1">
      <alignment horizontal="center" vertical="center"/>
    </xf>
    <xf numFmtId="0" fontId="3" fillId="0" borderId="6" xfId="0" applyFont="1" applyBorder="1"/>
    <xf numFmtId="0" fontId="9" fillId="0" borderId="8" xfId="0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DBB4-2CEA-48E2-AD79-10AE12FF95E2}">
  <dimension ref="A1:M82"/>
  <sheetViews>
    <sheetView topLeftCell="A31" zoomScaleNormal="100" workbookViewId="0">
      <selection activeCell="A56" sqref="A56:B57"/>
    </sheetView>
  </sheetViews>
  <sheetFormatPr defaultRowHeight="15" x14ac:dyDescent="0.25"/>
  <cols>
    <col min="1" max="1" width="34.85546875" bestFit="1" customWidth="1"/>
    <col min="2" max="2" width="47.42578125" bestFit="1" customWidth="1"/>
    <col min="3" max="3" width="27.7109375" customWidth="1"/>
    <col min="4" max="4" width="28.140625" customWidth="1"/>
    <col min="5" max="5" width="7.5703125" customWidth="1"/>
    <col min="6" max="6" width="30" bestFit="1" customWidth="1"/>
    <col min="7" max="7" width="18.85546875" bestFit="1" customWidth="1"/>
    <col min="8" max="8" width="18" bestFit="1" customWidth="1"/>
    <col min="9" max="9" width="9.7109375" customWidth="1"/>
    <col min="10" max="10" width="9.85546875" customWidth="1"/>
    <col min="11" max="11" width="27.28515625" bestFit="1" customWidth="1"/>
  </cols>
  <sheetData>
    <row r="1" spans="1:13" x14ac:dyDescent="0.25">
      <c r="A1" s="8" t="s">
        <v>4</v>
      </c>
      <c r="B1" s="9" t="s">
        <v>23</v>
      </c>
      <c r="C1" s="9"/>
      <c r="D1" s="10"/>
      <c r="E1" s="64"/>
      <c r="F1" s="65" t="s">
        <v>7</v>
      </c>
      <c r="G1" s="1"/>
      <c r="H1" s="1"/>
      <c r="L1" s="1"/>
      <c r="M1" s="1"/>
    </row>
    <row r="2" spans="1:13" ht="15.75" customHeight="1" x14ac:dyDescent="0.25">
      <c r="A2" s="11">
        <f>0.1947</f>
        <v>0.19470000000000001</v>
      </c>
      <c r="B2" s="12">
        <f>0.187148633841549</f>
        <v>0.18714863384154901</v>
      </c>
      <c r="C2" s="13" t="s">
        <v>0</v>
      </c>
      <c r="D2" s="14" t="s">
        <v>16</v>
      </c>
      <c r="E2" s="25"/>
      <c r="F2" s="66">
        <f>0.152759809352652</f>
        <v>0.15275980935265199</v>
      </c>
    </row>
    <row r="3" spans="1:13" ht="15.75" customHeight="1" x14ac:dyDescent="0.25">
      <c r="A3" s="15">
        <f>10.39841+6.210885</f>
        <v>16.609294999999999</v>
      </c>
      <c r="B3" s="16">
        <f>10.39841+6.193433</f>
        <v>16.591843000000001</v>
      </c>
      <c r="C3" s="17" t="s">
        <v>24</v>
      </c>
      <c r="D3" s="14"/>
      <c r="E3" s="25"/>
      <c r="F3" s="67">
        <f>10.39841+6.994152</f>
        <v>17.392561999999998</v>
      </c>
    </row>
    <row r="4" spans="1:13" ht="15" customHeight="1" x14ac:dyDescent="0.25">
      <c r="A4" s="18"/>
      <c r="B4" s="19"/>
      <c r="C4" s="19"/>
      <c r="D4" s="14"/>
      <c r="E4" s="25"/>
      <c r="F4" s="68"/>
    </row>
    <row r="5" spans="1:13" ht="15.75" customHeight="1" x14ac:dyDescent="0.25">
      <c r="A5" s="20" t="s">
        <v>8</v>
      </c>
      <c r="B5" s="21" t="s">
        <v>19</v>
      </c>
      <c r="C5" s="19"/>
      <c r="D5" s="14"/>
      <c r="E5" s="25"/>
      <c r="F5" s="69" t="s">
        <v>10</v>
      </c>
    </row>
    <row r="6" spans="1:13" ht="15.75" customHeight="1" x14ac:dyDescent="0.25">
      <c r="A6" s="11">
        <f>0.17460824397069</f>
        <v>0.17460824397069</v>
      </c>
      <c r="B6" s="12">
        <f>0.1706427587215</f>
        <v>0.1706427587215</v>
      </c>
      <c r="C6" s="13" t="s">
        <v>0</v>
      </c>
      <c r="D6" s="14"/>
      <c r="E6" s="25"/>
      <c r="F6" s="66">
        <f>0.145872355809115</f>
        <v>0.14587235580911501</v>
      </c>
    </row>
    <row r="7" spans="1:13" ht="15.75" customHeight="1" x14ac:dyDescent="0.25">
      <c r="A7" s="15">
        <f>10.439813+5.415911</f>
        <v>15.855723999999999</v>
      </c>
      <c r="B7" s="16">
        <f>10.439813+5.633553</f>
        <v>16.073366</v>
      </c>
      <c r="C7" s="17" t="s">
        <v>24</v>
      </c>
      <c r="D7" s="14"/>
      <c r="E7" s="25"/>
      <c r="F7" s="67">
        <f>10.439813+5.91679</f>
        <v>16.356603</v>
      </c>
    </row>
    <row r="8" spans="1:13" ht="15.75" customHeight="1" x14ac:dyDescent="0.25">
      <c r="A8" s="22"/>
      <c r="B8" s="23"/>
      <c r="C8" s="23"/>
      <c r="D8" s="14"/>
      <c r="E8" s="25"/>
      <c r="F8" s="70"/>
    </row>
    <row r="9" spans="1:13" ht="15.75" customHeight="1" x14ac:dyDescent="0.25">
      <c r="A9" s="20" t="s">
        <v>32</v>
      </c>
      <c r="B9" s="21" t="s">
        <v>33</v>
      </c>
      <c r="C9" s="23"/>
      <c r="D9" s="14"/>
      <c r="E9" s="25"/>
      <c r="F9" s="69" t="s">
        <v>34</v>
      </c>
    </row>
    <row r="10" spans="1:13" ht="15.75" customHeight="1" x14ac:dyDescent="0.25">
      <c r="A10" s="11">
        <f>0.206406765308759</f>
        <v>0.20640676530875901</v>
      </c>
      <c r="B10" s="12">
        <f>0.221844724517565</f>
        <v>0.22184472451756501</v>
      </c>
      <c r="C10" s="13" t="s">
        <v>0</v>
      </c>
      <c r="D10" s="14"/>
      <c r="E10" s="25"/>
      <c r="F10" s="66">
        <f>0.173014763957208</f>
        <v>0.173014763957208</v>
      </c>
    </row>
    <row r="11" spans="1:13" ht="15" customHeight="1" x14ac:dyDescent="0.25">
      <c r="A11" s="15">
        <f>11.541968+5.638436</f>
        <v>17.180403999999999</v>
      </c>
      <c r="B11" s="16">
        <f>11.541968+5.992461</f>
        <v>17.534428999999999</v>
      </c>
      <c r="C11" s="17" t="s">
        <v>24</v>
      </c>
      <c r="D11" s="14"/>
      <c r="E11" s="25"/>
      <c r="F11" s="67">
        <f>11.541968+5.200902</f>
        <v>16.74287</v>
      </c>
    </row>
    <row r="12" spans="1:13" ht="15.75" customHeight="1" x14ac:dyDescent="0.25">
      <c r="A12" s="24"/>
      <c r="B12" s="25"/>
      <c r="C12" s="25"/>
      <c r="D12" s="14"/>
      <c r="E12" s="25"/>
      <c r="F12" s="71"/>
    </row>
    <row r="13" spans="1:13" ht="15.75" customHeight="1" x14ac:dyDescent="0.25">
      <c r="A13" s="20" t="s">
        <v>5</v>
      </c>
      <c r="B13" s="21" t="s">
        <v>20</v>
      </c>
      <c r="C13" s="19"/>
      <c r="D13" s="14"/>
      <c r="E13" s="25"/>
      <c r="F13" s="69" t="s">
        <v>11</v>
      </c>
    </row>
    <row r="14" spans="1:13" ht="15.75" customHeight="1" x14ac:dyDescent="0.25">
      <c r="A14" s="11">
        <f>0.177925798797445</f>
        <v>0.177925798797445</v>
      </c>
      <c r="B14" s="12">
        <f>0.180459838487798</f>
        <v>0.18045983848779801</v>
      </c>
      <c r="C14" s="13" t="s">
        <v>0</v>
      </c>
      <c r="D14" s="14"/>
      <c r="E14" s="25"/>
      <c r="F14" s="66">
        <f>0.119003509465844</f>
        <v>0.119003509465844</v>
      </c>
    </row>
    <row r="15" spans="1:13" ht="15" customHeight="1" x14ac:dyDescent="0.25">
      <c r="A15" s="15">
        <f>12.98225+5.526009</f>
        <v>18.508259000000002</v>
      </c>
      <c r="B15" s="16">
        <f>12.98225+6.114317</f>
        <v>19.096567</v>
      </c>
      <c r="C15" s="17" t="s">
        <v>24</v>
      </c>
      <c r="D15" s="14"/>
      <c r="E15" s="25"/>
      <c r="F15" s="67">
        <f>12.98225+5.64971</f>
        <v>18.631959999999999</v>
      </c>
    </row>
    <row r="16" spans="1:13" ht="15.75" customHeight="1" x14ac:dyDescent="0.25">
      <c r="A16" s="18"/>
      <c r="B16" s="19"/>
      <c r="C16" s="19"/>
      <c r="D16" s="14"/>
      <c r="E16" s="25"/>
      <c r="F16" s="68"/>
    </row>
    <row r="17" spans="1:6" ht="15.75" customHeight="1" x14ac:dyDescent="0.25">
      <c r="A17" s="20" t="s">
        <v>12</v>
      </c>
      <c r="B17" s="21" t="s">
        <v>21</v>
      </c>
      <c r="C17" s="19"/>
      <c r="D17" s="14"/>
      <c r="E17" s="25"/>
      <c r="F17" s="69" t="s">
        <v>13</v>
      </c>
    </row>
    <row r="18" spans="1:6" ht="15.75" customHeight="1" x14ac:dyDescent="0.25">
      <c r="A18" s="11">
        <f>0.197052647485664</f>
        <v>0.19705264748566401</v>
      </c>
      <c r="B18" s="12">
        <v>0.18090000000000001</v>
      </c>
      <c r="C18" s="13" t="s">
        <v>0</v>
      </c>
      <c r="D18" s="14"/>
      <c r="E18" s="25"/>
      <c r="F18" s="66">
        <f>0.12328070456241</f>
        <v>0.12328070456241</v>
      </c>
    </row>
    <row r="19" spans="1:6" ht="15" customHeight="1" x14ac:dyDescent="0.25">
      <c r="A19" s="15">
        <f>39.654746+6.324716</f>
        <v>45.979462000000005</v>
      </c>
      <c r="B19" s="16">
        <f>39.654746+5.582383</f>
        <v>45.237129000000003</v>
      </c>
      <c r="C19" s="17" t="s">
        <v>24</v>
      </c>
      <c r="D19" s="14"/>
      <c r="E19" s="25"/>
      <c r="F19" s="67">
        <f>39.654746+6.179799</f>
        <v>45.834545000000006</v>
      </c>
    </row>
    <row r="20" spans="1:6" ht="15.75" customHeight="1" x14ac:dyDescent="0.25">
      <c r="A20" s="18"/>
      <c r="B20" s="19"/>
      <c r="C20" s="19"/>
      <c r="D20" s="14"/>
      <c r="E20" s="25"/>
      <c r="F20" s="68"/>
    </row>
    <row r="21" spans="1:6" ht="15.75" customHeight="1" x14ac:dyDescent="0.25">
      <c r="A21" s="20" t="s">
        <v>14</v>
      </c>
      <c r="B21" s="21" t="s">
        <v>22</v>
      </c>
      <c r="C21" s="19"/>
      <c r="D21" s="14"/>
      <c r="E21" s="25"/>
      <c r="F21" s="69" t="s">
        <v>15</v>
      </c>
    </row>
    <row r="22" spans="1:6" ht="15" customHeight="1" x14ac:dyDescent="0.25">
      <c r="A22" s="11">
        <f>0.202096626088326</f>
        <v>0.20209662608832599</v>
      </c>
      <c r="B22" s="12">
        <f>0.20911185568068</f>
        <v>0.20911185568068</v>
      </c>
      <c r="C22" s="13" t="s">
        <v>0</v>
      </c>
      <c r="D22" s="14"/>
      <c r="E22" s="25"/>
      <c r="F22" s="66">
        <f>0.135209288140669</f>
        <v>0.13520928814066899</v>
      </c>
    </row>
    <row r="23" spans="1:6" ht="15.75" thickBot="1" x14ac:dyDescent="0.3">
      <c r="A23" s="26">
        <f>41.880747+5.628896</f>
        <v>47.509642999999997</v>
      </c>
      <c r="B23" s="27">
        <f>41.880747+6.130505</f>
        <v>48.011251999999999</v>
      </c>
      <c r="C23" s="28" t="s">
        <v>24</v>
      </c>
      <c r="D23" s="30"/>
      <c r="E23" s="25"/>
      <c r="F23" s="72">
        <f>41.880747+5.824187</f>
        <v>47.704934000000002</v>
      </c>
    </row>
    <row r="24" spans="1:6" x14ac:dyDescent="0.25">
      <c r="A24" s="22"/>
      <c r="B24" s="23"/>
      <c r="C24" s="23"/>
      <c r="D24" s="25"/>
      <c r="E24" s="25"/>
      <c r="F24" s="71"/>
    </row>
    <row r="25" spans="1:6" ht="15.75" thickBot="1" x14ac:dyDescent="0.3">
      <c r="A25" s="22"/>
      <c r="B25" s="23"/>
      <c r="C25" s="23"/>
      <c r="D25" s="19"/>
      <c r="E25" s="25"/>
      <c r="F25" s="71"/>
    </row>
    <row r="26" spans="1:6" ht="15.75" customHeight="1" x14ac:dyDescent="0.25">
      <c r="A26" s="8" t="s">
        <v>4</v>
      </c>
      <c r="B26" s="9" t="s">
        <v>23</v>
      </c>
      <c r="C26" s="9"/>
      <c r="D26" s="29" t="s">
        <v>17</v>
      </c>
      <c r="E26" s="25"/>
      <c r="F26" s="65" t="s">
        <v>7</v>
      </c>
    </row>
    <row r="27" spans="1:6" ht="15.75" customHeight="1" x14ac:dyDescent="0.25">
      <c r="A27" s="11">
        <f>0.061840743546811</f>
        <v>6.1840743546811003E-2</v>
      </c>
      <c r="B27" s="12">
        <f>0.074682010569712</f>
        <v>7.4682010569712007E-2</v>
      </c>
      <c r="C27" s="13" t="s">
        <v>0</v>
      </c>
      <c r="D27" s="14"/>
      <c r="E27" s="25"/>
      <c r="F27" s="66">
        <f>0.152759809352652</f>
        <v>0.15275980935265199</v>
      </c>
    </row>
    <row r="28" spans="1:6" ht="15" customHeight="1" x14ac:dyDescent="0.25">
      <c r="A28" s="15">
        <f>10.39841+5.885607</f>
        <v>16.284016999999999</v>
      </c>
      <c r="B28" s="15">
        <f>10.39841+6.1885</f>
        <v>16.58691</v>
      </c>
      <c r="C28" s="17" t="s">
        <v>24</v>
      </c>
      <c r="D28" s="14"/>
      <c r="E28" s="25"/>
      <c r="F28" s="67">
        <f>10.39841+6.994152</f>
        <v>17.392561999999998</v>
      </c>
    </row>
    <row r="29" spans="1:6" ht="15.75" customHeight="1" x14ac:dyDescent="0.25">
      <c r="A29" s="18"/>
      <c r="B29" s="19"/>
      <c r="C29" s="19"/>
      <c r="D29" s="14"/>
      <c r="E29" s="25"/>
      <c r="F29" s="68"/>
    </row>
    <row r="30" spans="1:6" ht="15.75" customHeight="1" x14ac:dyDescent="0.25">
      <c r="A30" s="20" t="s">
        <v>8</v>
      </c>
      <c r="B30" s="21" t="s">
        <v>19</v>
      </c>
      <c r="C30" s="19"/>
      <c r="D30" s="14"/>
      <c r="E30" s="25"/>
      <c r="F30" s="69" t="s">
        <v>10</v>
      </c>
    </row>
    <row r="31" spans="1:6" ht="15.75" customHeight="1" x14ac:dyDescent="0.25">
      <c r="A31" s="11">
        <f>0.068414272937802</f>
        <v>6.8414272937802001E-2</v>
      </c>
      <c r="B31" s="12">
        <f>0.082319385136633</f>
        <v>8.2319385136633005E-2</v>
      </c>
      <c r="C31" s="13" t="s">
        <v>0</v>
      </c>
      <c r="D31" s="14"/>
      <c r="E31" s="25"/>
      <c r="F31" s="66">
        <f>0.145872355809115</f>
        <v>0.14587235580911501</v>
      </c>
    </row>
    <row r="32" spans="1:6" ht="15" customHeight="1" x14ac:dyDescent="0.25">
      <c r="A32" s="15">
        <f>10.439813+5.87356</f>
        <v>16.313372999999999</v>
      </c>
      <c r="B32" s="15">
        <f>10.439813+5.09866</f>
        <v>15.538473</v>
      </c>
      <c r="C32" s="17" t="s">
        <v>24</v>
      </c>
      <c r="D32" s="14"/>
      <c r="E32" s="25"/>
      <c r="F32" s="67">
        <f>10.439813+5.91679</f>
        <v>16.356603</v>
      </c>
    </row>
    <row r="33" spans="1:8" ht="15.75" customHeight="1" x14ac:dyDescent="0.25">
      <c r="A33" s="24"/>
      <c r="B33" s="25"/>
      <c r="C33" s="25"/>
      <c r="D33" s="14"/>
      <c r="E33" s="25"/>
      <c r="F33" s="70"/>
    </row>
    <row r="34" spans="1:8" ht="15.75" customHeight="1" x14ac:dyDescent="0.25">
      <c r="A34" s="20" t="s">
        <v>36</v>
      </c>
      <c r="B34" s="21" t="s">
        <v>33</v>
      </c>
      <c r="C34" s="19"/>
      <c r="D34" s="14"/>
      <c r="E34" s="25"/>
      <c r="F34" s="69" t="s">
        <v>34</v>
      </c>
    </row>
    <row r="35" spans="1:8" ht="15.75" customHeight="1" x14ac:dyDescent="0.25">
      <c r="A35" s="11">
        <f>0.081620615753196</f>
        <v>8.1620615753195999E-2</v>
      </c>
      <c r="B35" s="12">
        <f>0.08049803836693</f>
        <v>8.0498038366929994E-2</v>
      </c>
      <c r="C35" s="13" t="s">
        <v>0</v>
      </c>
      <c r="D35" s="14"/>
      <c r="E35" s="25"/>
      <c r="F35" s="66">
        <f>0.173014763957208</f>
        <v>0.173014763957208</v>
      </c>
    </row>
    <row r="36" spans="1:8" ht="15" customHeight="1" x14ac:dyDescent="0.25">
      <c r="A36" s="15">
        <f>11.541968+5.750686</f>
        <v>17.292653999999999</v>
      </c>
      <c r="B36" s="15">
        <f>11.541968+6.017903</f>
        <v>17.559871000000001</v>
      </c>
      <c r="C36" s="17" t="s">
        <v>24</v>
      </c>
      <c r="D36" s="14"/>
      <c r="E36" s="25"/>
      <c r="F36" s="67">
        <f>11.541968+5.200902</f>
        <v>16.74287</v>
      </c>
    </row>
    <row r="37" spans="1:8" ht="15.75" customHeight="1" x14ac:dyDescent="0.25">
      <c r="A37" s="24"/>
      <c r="B37" s="25"/>
      <c r="C37" s="25"/>
      <c r="D37" s="14"/>
      <c r="E37" s="25"/>
      <c r="F37" s="71"/>
    </row>
    <row r="38" spans="1:8" ht="15.75" customHeight="1" x14ac:dyDescent="0.25">
      <c r="A38" s="20" t="s">
        <v>5</v>
      </c>
      <c r="B38" s="21" t="s">
        <v>20</v>
      </c>
      <c r="C38" s="19"/>
      <c r="D38" s="14"/>
      <c r="E38" s="25"/>
      <c r="F38" s="69" t="s">
        <v>11</v>
      </c>
      <c r="G38" s="2"/>
      <c r="H38" s="2"/>
    </row>
    <row r="39" spans="1:8" ht="15.75" customHeight="1" x14ac:dyDescent="0.25">
      <c r="A39" s="11">
        <f>0.104654736400663</f>
        <v>0.104654736400663</v>
      </c>
      <c r="B39" s="12">
        <f>0.105652880152249</f>
        <v>0.105652880152249</v>
      </c>
      <c r="C39" s="13" t="s">
        <v>0</v>
      </c>
      <c r="D39" s="14"/>
      <c r="E39" s="25"/>
      <c r="F39" s="66">
        <f>0.119003509465844</f>
        <v>0.119003509465844</v>
      </c>
    </row>
    <row r="40" spans="1:8" ht="15" customHeight="1" x14ac:dyDescent="0.25">
      <c r="A40" s="15">
        <f>12.98225+5.399638</f>
        <v>18.381888</v>
      </c>
      <c r="B40" s="15">
        <f>12.98225+6.647831</f>
        <v>19.630081000000001</v>
      </c>
      <c r="C40" s="17" t="s">
        <v>24</v>
      </c>
      <c r="D40" s="14"/>
      <c r="E40" s="25"/>
      <c r="F40" s="67">
        <f>12.98225+5.64971</f>
        <v>18.631959999999999</v>
      </c>
    </row>
    <row r="41" spans="1:8" ht="15.75" customHeight="1" x14ac:dyDescent="0.25">
      <c r="A41" s="18"/>
      <c r="B41" s="19"/>
      <c r="C41" s="19"/>
      <c r="D41" s="14"/>
      <c r="E41" s="25"/>
      <c r="F41" s="68"/>
    </row>
    <row r="42" spans="1:8" ht="15.75" customHeight="1" x14ac:dyDescent="0.25">
      <c r="A42" s="20" t="s">
        <v>12</v>
      </c>
      <c r="B42" s="21" t="s">
        <v>21</v>
      </c>
      <c r="C42" s="19"/>
      <c r="D42" s="14"/>
      <c r="E42" s="25"/>
      <c r="F42" s="69" t="s">
        <v>13</v>
      </c>
    </row>
    <row r="43" spans="1:8" ht="15" customHeight="1" x14ac:dyDescent="0.25">
      <c r="A43" s="11">
        <f>0.10191407472698</f>
        <v>0.10191407472698</v>
      </c>
      <c r="B43" s="12">
        <f>0.116974621312232</f>
        <v>0.116974621312232</v>
      </c>
      <c r="C43" s="13" t="s">
        <v>0</v>
      </c>
      <c r="D43" s="14"/>
      <c r="E43" s="25"/>
      <c r="F43" s="66">
        <f>0.12328070456241</f>
        <v>0.12328070456241</v>
      </c>
    </row>
    <row r="44" spans="1:8" x14ac:dyDescent="0.25">
      <c r="A44" s="15">
        <f>39.654746+5.751245</f>
        <v>45.405991</v>
      </c>
      <c r="B44" s="15">
        <f>39.654746+6.251035</f>
        <v>45.905781000000005</v>
      </c>
      <c r="C44" s="17" t="s">
        <v>24</v>
      </c>
      <c r="D44" s="14"/>
      <c r="E44" s="25"/>
      <c r="F44" s="67">
        <f>39.654746+6.179799</f>
        <v>45.834545000000006</v>
      </c>
    </row>
    <row r="45" spans="1:8" x14ac:dyDescent="0.25">
      <c r="A45" s="18"/>
      <c r="B45" s="19"/>
      <c r="C45" s="19"/>
      <c r="D45" s="14"/>
      <c r="E45" s="25"/>
      <c r="F45" s="68"/>
    </row>
    <row r="46" spans="1:8" x14ac:dyDescent="0.25">
      <c r="A46" s="20" t="s">
        <v>14</v>
      </c>
      <c r="B46" s="21" t="s">
        <v>22</v>
      </c>
      <c r="C46" s="19"/>
      <c r="D46" s="14"/>
      <c r="E46" s="25"/>
      <c r="F46" s="69" t="s">
        <v>15</v>
      </c>
    </row>
    <row r="47" spans="1:8" x14ac:dyDescent="0.25">
      <c r="A47" s="11">
        <f>0.103056724794853</f>
        <v>0.10305672479485301</v>
      </c>
      <c r="B47" s="12">
        <f>0.124412991760252</f>
        <v>0.124412991760252</v>
      </c>
      <c r="C47" s="13" t="s">
        <v>0</v>
      </c>
      <c r="D47" s="14"/>
      <c r="E47" s="25"/>
      <c r="F47" s="66">
        <f>0.135209288140669</f>
        <v>0.13520928814066899</v>
      </c>
    </row>
    <row r="48" spans="1:8" ht="15.75" customHeight="1" thickBot="1" x14ac:dyDescent="0.3">
      <c r="A48" s="26">
        <f>41.880747+5.26636</f>
        <v>47.147106999999998</v>
      </c>
      <c r="B48" s="26">
        <f>41.880747+6.78973</f>
        <v>48.670476999999998</v>
      </c>
      <c r="C48" s="28" t="s">
        <v>24</v>
      </c>
      <c r="D48" s="30"/>
      <c r="E48" s="25"/>
      <c r="F48" s="72">
        <f>41.880747+5.824187</f>
        <v>47.704934000000002</v>
      </c>
    </row>
    <row r="49" spans="1:6" ht="15.75" customHeight="1" x14ac:dyDescent="0.25">
      <c r="A49" s="24"/>
      <c r="B49" s="25"/>
      <c r="C49" s="25"/>
      <c r="D49" s="25"/>
      <c r="E49" s="25"/>
      <c r="F49" s="71"/>
    </row>
    <row r="50" spans="1:6" ht="15.75" customHeight="1" x14ac:dyDescent="0.25">
      <c r="A50" s="73" t="s">
        <v>39</v>
      </c>
      <c r="B50" s="74"/>
      <c r="C50" s="74"/>
      <c r="D50" s="74"/>
      <c r="E50" s="74"/>
      <c r="F50" s="75"/>
    </row>
    <row r="51" spans="1:6" ht="15.75" customHeight="1" thickBot="1" x14ac:dyDescent="0.3">
      <c r="A51" s="76"/>
      <c r="B51" s="77"/>
      <c r="C51" s="77"/>
      <c r="D51" s="77"/>
      <c r="E51" s="77"/>
      <c r="F51" s="78"/>
    </row>
    <row r="52" spans="1:6" ht="15.75" customHeight="1" x14ac:dyDescent="0.25">
      <c r="B52" s="3"/>
    </row>
    <row r="53" spans="1:6" ht="15.75" customHeight="1" x14ac:dyDescent="0.25"/>
    <row r="54" spans="1:6" ht="15.75" customHeight="1" thickBot="1" x14ac:dyDescent="0.3"/>
    <row r="55" spans="1:6" ht="15.75" customHeight="1" x14ac:dyDescent="0.25">
      <c r="A55" s="8" t="s">
        <v>40</v>
      </c>
      <c r="B55" s="9" t="s">
        <v>41</v>
      </c>
      <c r="C55" s="9"/>
    </row>
    <row r="56" spans="1:6" ht="15.75" customHeight="1" x14ac:dyDescent="0.25">
      <c r="A56" s="11"/>
      <c r="B56" s="12"/>
      <c r="C56" s="13" t="s">
        <v>0</v>
      </c>
    </row>
    <row r="57" spans="1:6" ht="15.75" customHeight="1" x14ac:dyDescent="0.25">
      <c r="A57" s="15"/>
      <c r="B57" s="16"/>
      <c r="C57" s="17" t="s">
        <v>24</v>
      </c>
    </row>
    <row r="58" spans="1:6" ht="15.75" customHeight="1" x14ac:dyDescent="0.25"/>
    <row r="59" spans="1:6" ht="15.75" customHeight="1" x14ac:dyDescent="0.25"/>
    <row r="77" spans="1:2" x14ac:dyDescent="0.25">
      <c r="A77" s="4"/>
      <c r="B77" s="4"/>
    </row>
    <row r="78" spans="1:2" x14ac:dyDescent="0.25">
      <c r="A78" s="4"/>
      <c r="B78" s="4"/>
    </row>
    <row r="79" spans="1:2" x14ac:dyDescent="0.25">
      <c r="A79" s="4"/>
      <c r="B79" s="4"/>
    </row>
    <row r="80" spans="1:2" x14ac:dyDescent="0.25">
      <c r="A80" s="4"/>
      <c r="B80" s="4"/>
    </row>
    <row r="81" spans="1:2" x14ac:dyDescent="0.25">
      <c r="A81" s="4"/>
      <c r="B81" s="4"/>
    </row>
    <row r="82" spans="1:2" x14ac:dyDescent="0.25">
      <c r="A82" s="4"/>
      <c r="B82" s="4"/>
    </row>
  </sheetData>
  <mergeCells count="3">
    <mergeCell ref="D2:D23"/>
    <mergeCell ref="D26:D48"/>
    <mergeCell ref="A50:F5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5884-D201-4142-813E-D3999EABBA7D}">
  <dimension ref="A1:M52"/>
  <sheetViews>
    <sheetView topLeftCell="A19" workbookViewId="0">
      <selection activeCell="P45" sqref="P45"/>
    </sheetView>
  </sheetViews>
  <sheetFormatPr defaultRowHeight="15" x14ac:dyDescent="0.25"/>
  <cols>
    <col min="1" max="1" width="9.7109375" customWidth="1"/>
    <col min="2" max="2" width="10.42578125" customWidth="1"/>
    <col min="3" max="3" width="20.42578125" customWidth="1"/>
    <col min="5" max="5" width="9.85546875" customWidth="1"/>
    <col min="6" max="6" width="10.140625" customWidth="1"/>
    <col min="7" max="7" width="20.5703125" customWidth="1"/>
    <col min="9" max="9" width="9.7109375" customWidth="1"/>
    <col min="10" max="10" width="10.140625" customWidth="1"/>
    <col min="11" max="11" width="21" customWidth="1"/>
    <col min="13" max="13" width="14.42578125" customWidth="1"/>
  </cols>
  <sheetData>
    <row r="1" spans="1:13" x14ac:dyDescent="0.25">
      <c r="A1" s="31" t="s">
        <v>6</v>
      </c>
      <c r="B1" s="32"/>
      <c r="C1" s="32"/>
      <c r="D1" s="33"/>
      <c r="E1" s="32" t="s">
        <v>31</v>
      </c>
      <c r="F1" s="32"/>
      <c r="G1" s="32"/>
      <c r="H1" s="33"/>
      <c r="I1" s="32" t="s">
        <v>28</v>
      </c>
      <c r="J1" s="32"/>
      <c r="K1" s="32"/>
      <c r="L1" s="34" t="s">
        <v>16</v>
      </c>
      <c r="M1" s="35"/>
    </row>
    <row r="2" spans="1:13" x14ac:dyDescent="0.25">
      <c r="A2" s="20" t="s">
        <v>18</v>
      </c>
      <c r="B2" s="21" t="s">
        <v>25</v>
      </c>
      <c r="C2" s="21" t="s">
        <v>30</v>
      </c>
      <c r="D2" s="19"/>
      <c r="E2" s="21" t="s">
        <v>18</v>
      </c>
      <c r="F2" s="21" t="s">
        <v>25</v>
      </c>
      <c r="G2" s="21" t="s">
        <v>30</v>
      </c>
      <c r="H2" s="19"/>
      <c r="I2" s="21" t="s">
        <v>18</v>
      </c>
      <c r="J2" s="21" t="s">
        <v>25</v>
      </c>
      <c r="K2" s="21" t="s">
        <v>30</v>
      </c>
      <c r="L2" s="36"/>
      <c r="M2" s="37"/>
    </row>
    <row r="3" spans="1:13" x14ac:dyDescent="0.25">
      <c r="A3" s="38">
        <v>7.1702310000000002</v>
      </c>
      <c r="B3" s="39">
        <v>0.16743650866278501</v>
      </c>
      <c r="C3" s="40" t="s">
        <v>26</v>
      </c>
      <c r="D3" s="19"/>
      <c r="E3" s="39">
        <f>6.225366</f>
        <v>6.2253660000000002</v>
      </c>
      <c r="F3" s="39">
        <f>0.16048577398139</f>
        <v>0.16048577398139</v>
      </c>
      <c r="G3" s="41">
        <v>0.9</v>
      </c>
      <c r="H3" s="19"/>
      <c r="I3" s="39">
        <f>7.01147</f>
        <v>7.0114700000000001</v>
      </c>
      <c r="J3" s="39">
        <f>0.166253079203304</f>
        <v>0.16625307920330401</v>
      </c>
      <c r="K3" s="43">
        <f>63%</f>
        <v>0.63</v>
      </c>
      <c r="L3" s="36"/>
      <c r="M3" s="37"/>
    </row>
    <row r="4" spans="1:13" x14ac:dyDescent="0.25">
      <c r="A4" s="38">
        <v>7.3277729999999996</v>
      </c>
      <c r="B4" s="39">
        <v>0.169737180562929</v>
      </c>
      <c r="C4" s="42">
        <v>0.75</v>
      </c>
      <c r="D4" s="19"/>
      <c r="E4" s="39">
        <f>6.409847</f>
        <v>6.4098470000000001</v>
      </c>
      <c r="F4" s="39">
        <f>0.162009810540491</f>
        <v>0.16200981054049099</v>
      </c>
      <c r="G4" s="41">
        <v>0.85</v>
      </c>
      <c r="H4" s="19"/>
      <c r="I4" s="39">
        <v>6.0632330000000003</v>
      </c>
      <c r="J4" s="39">
        <v>0.17636682406912499</v>
      </c>
      <c r="K4" s="43">
        <v>0.48</v>
      </c>
      <c r="L4" s="36"/>
      <c r="M4" s="37"/>
    </row>
    <row r="5" spans="1:13" x14ac:dyDescent="0.25">
      <c r="A5" s="38">
        <v>7.0513700000000004</v>
      </c>
      <c r="B5" s="39">
        <v>0.177389480826733</v>
      </c>
      <c r="C5" s="42">
        <v>0.5</v>
      </c>
      <c r="D5" s="19"/>
      <c r="E5" s="39">
        <f>7.175165</f>
        <v>7.1751649999999998</v>
      </c>
      <c r="F5" s="39">
        <f>0.166636222618287</f>
        <v>0.16663622261828701</v>
      </c>
      <c r="G5" s="41">
        <f>77%</f>
        <v>0.77</v>
      </c>
      <c r="H5" s="19"/>
      <c r="I5" s="16">
        <f>6.114317</f>
        <v>6.1143169999999998</v>
      </c>
      <c r="J5" s="12">
        <f>0.180459838487798</f>
        <v>0.18045983848779801</v>
      </c>
      <c r="K5" s="44">
        <f>37%</f>
        <v>0.37</v>
      </c>
      <c r="L5" s="36"/>
      <c r="M5" s="37"/>
    </row>
    <row r="6" spans="1:13" x14ac:dyDescent="0.25">
      <c r="A6" s="38">
        <v>6.7785039999999999</v>
      </c>
      <c r="B6" s="39">
        <v>0.18487921239767099</v>
      </c>
      <c r="C6" s="43">
        <v>0.4</v>
      </c>
      <c r="D6" s="19"/>
      <c r="E6" s="39">
        <f>6.331702</f>
        <v>6.3317019999999999</v>
      </c>
      <c r="F6" s="39">
        <f>0.175494269517567</f>
        <v>0.175494269517567</v>
      </c>
      <c r="G6" s="43">
        <v>0.6</v>
      </c>
      <c r="H6" s="19"/>
      <c r="I6" s="39">
        <f>6.040698</f>
        <v>6.0406979999999999</v>
      </c>
      <c r="J6" s="39">
        <f>0.177391647705138</f>
        <v>0.17739164770513799</v>
      </c>
      <c r="K6" s="41">
        <f>30%</f>
        <v>0.3</v>
      </c>
      <c r="L6" s="36"/>
      <c r="M6" s="37"/>
    </row>
    <row r="7" spans="1:13" x14ac:dyDescent="0.25">
      <c r="A7" s="38">
        <f>6.418451</f>
        <v>6.4184510000000001</v>
      </c>
      <c r="B7" s="39">
        <f>0.185939593212708</f>
        <v>0.185939593212708</v>
      </c>
      <c r="C7" s="43">
        <v>0.39</v>
      </c>
      <c r="D7" s="19"/>
      <c r="E7" s="39">
        <f>6.359459</f>
        <v>6.3594590000000002</v>
      </c>
      <c r="F7" s="39">
        <f>0.183927609161458</f>
        <v>0.18392760916145801</v>
      </c>
      <c r="G7" s="41">
        <f>50%</f>
        <v>0.5</v>
      </c>
      <c r="H7" s="19"/>
      <c r="I7" s="39">
        <f>6.051384</f>
        <v>6.0513839999999997</v>
      </c>
      <c r="J7" s="39">
        <f>0.177531360161603</f>
        <v>0.17753136016160301</v>
      </c>
      <c r="K7" s="43">
        <f>25%</f>
        <v>0.25</v>
      </c>
      <c r="L7" s="36"/>
      <c r="M7" s="37"/>
    </row>
    <row r="8" spans="1:13" x14ac:dyDescent="0.25">
      <c r="A8" s="38">
        <f>6.232964</f>
        <v>6.2329639999999999</v>
      </c>
      <c r="B8" s="39">
        <f>0.187148633841549</f>
        <v>0.18714863384154901</v>
      </c>
      <c r="C8" s="43">
        <f>37%</f>
        <v>0.37</v>
      </c>
      <c r="D8" s="19"/>
      <c r="E8" s="39">
        <f>6.310487</f>
        <v>6.3104870000000002</v>
      </c>
      <c r="F8" s="39">
        <f>0.192684472397085</f>
        <v>0.192684472397085</v>
      </c>
      <c r="G8" s="43">
        <f>40%</f>
        <v>0.4</v>
      </c>
      <c r="H8" s="19"/>
      <c r="I8" s="19"/>
      <c r="J8" s="19"/>
      <c r="K8" s="19"/>
      <c r="L8" s="36"/>
      <c r="M8" s="37"/>
    </row>
    <row r="9" spans="1:13" x14ac:dyDescent="0.25">
      <c r="A9" s="15">
        <f>6.193433</f>
        <v>6.1934329999999997</v>
      </c>
      <c r="B9" s="12">
        <f>0.187148633841549</f>
        <v>0.18714863384154901</v>
      </c>
      <c r="C9" s="44">
        <f>36%</f>
        <v>0.36</v>
      </c>
      <c r="D9" s="19"/>
      <c r="E9" s="39">
        <f>6.459466</f>
        <v>6.4594659999999999</v>
      </c>
      <c r="F9" s="39">
        <f>0.19707224917392</f>
        <v>0.19707224917391999</v>
      </c>
      <c r="G9" s="43">
        <v>0.3</v>
      </c>
      <c r="H9" s="19"/>
      <c r="I9" s="45" t="s">
        <v>29</v>
      </c>
      <c r="J9" s="45"/>
      <c r="K9" s="45"/>
      <c r="L9" s="36"/>
      <c r="M9" s="37"/>
    </row>
    <row r="10" spans="1:13" x14ac:dyDescent="0.25">
      <c r="A10" s="38">
        <f>7.374188</f>
        <v>7.3741880000000002</v>
      </c>
      <c r="B10" s="39">
        <f>0.182692656080255</f>
        <v>0.18269265608025501</v>
      </c>
      <c r="C10" s="43">
        <v>0.35</v>
      </c>
      <c r="D10" s="19"/>
      <c r="E10" s="39">
        <f>7.246565</f>
        <v>7.2465650000000004</v>
      </c>
      <c r="F10" s="39">
        <f>0.200848524513741</f>
        <v>0.20084852451374099</v>
      </c>
      <c r="G10" s="43">
        <f>20%</f>
        <v>0.2</v>
      </c>
      <c r="H10" s="19"/>
      <c r="I10" s="21" t="s">
        <v>18</v>
      </c>
      <c r="J10" s="21" t="s">
        <v>25</v>
      </c>
      <c r="K10" s="21" t="s">
        <v>30</v>
      </c>
      <c r="L10" s="36"/>
      <c r="M10" s="37"/>
    </row>
    <row r="11" spans="1:13" x14ac:dyDescent="0.25">
      <c r="A11" s="38">
        <v>7.0493290000000002</v>
      </c>
      <c r="B11" s="39">
        <f>0.183607204263349</f>
        <v>0.18360720426334901</v>
      </c>
      <c r="C11" s="43">
        <f>30%</f>
        <v>0.3</v>
      </c>
      <c r="D11" s="19"/>
      <c r="E11" s="39">
        <f>7.546333</f>
        <v>7.5463329999999997</v>
      </c>
      <c r="F11" s="39">
        <f>0.202271411488219</f>
        <v>0.20227141148821901</v>
      </c>
      <c r="G11" s="43">
        <f>12%</f>
        <v>0.12</v>
      </c>
      <c r="H11" s="19"/>
      <c r="I11" s="39">
        <f>5.704234</f>
        <v>5.7042339999999996</v>
      </c>
      <c r="J11" s="39">
        <f>0.176402481280947</f>
        <v>0.17640248128094699</v>
      </c>
      <c r="K11" s="21" t="s">
        <v>27</v>
      </c>
      <c r="L11" s="36"/>
      <c r="M11" s="37"/>
    </row>
    <row r="12" spans="1:13" x14ac:dyDescent="0.25">
      <c r="A12" s="24"/>
      <c r="B12" s="25"/>
      <c r="C12" s="25"/>
      <c r="D12" s="19"/>
      <c r="E12" s="46">
        <f>6.383422</f>
        <v>6.3834220000000004</v>
      </c>
      <c r="F12" s="46">
        <f>0.20911185568068</f>
        <v>0.20911185568068</v>
      </c>
      <c r="G12" s="47">
        <f>11%</f>
        <v>0.11</v>
      </c>
      <c r="H12" s="19"/>
      <c r="I12" s="39">
        <f>6.991989</f>
        <v>6.9919890000000002</v>
      </c>
      <c r="J12" s="39">
        <f>0.178354164519518</f>
        <v>0.17835416451951799</v>
      </c>
      <c r="K12" s="41">
        <v>0.9</v>
      </c>
      <c r="L12" s="36"/>
      <c r="M12" s="37"/>
    </row>
    <row r="13" spans="1:13" x14ac:dyDescent="0.25">
      <c r="A13" s="48" t="s">
        <v>9</v>
      </c>
      <c r="B13" s="45"/>
      <c r="C13" s="45"/>
      <c r="D13" s="19"/>
      <c r="E13" s="16">
        <f>6.130505</f>
        <v>6.1305050000000003</v>
      </c>
      <c r="F13" s="12">
        <f>0.20911185568068</f>
        <v>0.20911185568068</v>
      </c>
      <c r="G13" s="49">
        <f>10%</f>
        <v>0.1</v>
      </c>
      <c r="H13" s="19"/>
      <c r="I13" s="39">
        <f>5.644621</f>
        <v>5.6446209999999999</v>
      </c>
      <c r="J13" s="39">
        <v>0.18090000000000001</v>
      </c>
      <c r="K13" s="41">
        <v>0.85</v>
      </c>
      <c r="L13" s="36"/>
      <c r="M13" s="37"/>
    </row>
    <row r="14" spans="1:13" x14ac:dyDescent="0.25">
      <c r="A14" s="20" t="s">
        <v>18</v>
      </c>
      <c r="B14" s="21" t="s">
        <v>25</v>
      </c>
      <c r="C14" s="21" t="s">
        <v>30</v>
      </c>
      <c r="D14" s="19"/>
      <c r="E14" s="39">
        <f>6.437684</f>
        <v>6.437684</v>
      </c>
      <c r="F14" s="39">
        <f>0.200252613446748</f>
        <v>0.200252613446748</v>
      </c>
      <c r="G14" s="41">
        <f>9%</f>
        <v>0.09</v>
      </c>
      <c r="H14" s="19"/>
      <c r="I14" s="16">
        <f>5.582383</f>
        <v>5.5823830000000001</v>
      </c>
      <c r="J14" s="12">
        <v>0.18090000000000001</v>
      </c>
      <c r="K14" s="49">
        <f>77%</f>
        <v>0.77</v>
      </c>
      <c r="L14" s="36"/>
      <c r="M14" s="37"/>
    </row>
    <row r="15" spans="1:13" x14ac:dyDescent="0.25">
      <c r="A15" s="38">
        <f>5.603931</f>
        <v>5.6039310000000002</v>
      </c>
      <c r="B15" s="39">
        <f>0.150400121011436</f>
        <v>0.15040012101143599</v>
      </c>
      <c r="C15" s="21" t="s">
        <v>27</v>
      </c>
      <c r="D15" s="19"/>
      <c r="E15" s="39">
        <f>6.270616</f>
        <v>6.2706160000000004</v>
      </c>
      <c r="F15" s="39">
        <f>0.172871658864217</f>
        <v>0.17287165886421699</v>
      </c>
      <c r="G15" s="41">
        <v>7.0000000000000007E-2</v>
      </c>
      <c r="H15" s="19"/>
      <c r="I15" s="39">
        <f>6.176785</f>
        <v>6.1767849999999997</v>
      </c>
      <c r="J15" s="39">
        <f>0.161092852972253</f>
        <v>0.16109285297225301</v>
      </c>
      <c r="K15" s="43">
        <v>0.48</v>
      </c>
      <c r="L15" s="36"/>
      <c r="M15" s="37"/>
    </row>
    <row r="16" spans="1:13" x14ac:dyDescent="0.25">
      <c r="A16" s="38">
        <f>5.51965</f>
        <v>5.5196500000000004</v>
      </c>
      <c r="B16" s="39">
        <f>0.151899116800834</f>
        <v>0.15189911680083401</v>
      </c>
      <c r="C16" s="43">
        <f>53%</f>
        <v>0.53</v>
      </c>
      <c r="D16" s="19"/>
      <c r="E16" s="39">
        <f>6.201587</f>
        <v>6.201587</v>
      </c>
      <c r="F16" s="39">
        <f>0.127784283576912</f>
        <v>0.12778428357691199</v>
      </c>
      <c r="G16" s="43">
        <v>0.05</v>
      </c>
      <c r="H16" s="19"/>
      <c r="I16" s="39">
        <f>5.656257</f>
        <v>5.6562570000000001</v>
      </c>
      <c r="J16" s="39">
        <f>0.166243804633039</f>
        <v>0.16624380463303901</v>
      </c>
      <c r="K16" s="43">
        <f>37%</f>
        <v>0.37</v>
      </c>
      <c r="L16" s="36"/>
      <c r="M16" s="37"/>
    </row>
    <row r="17" spans="1:13" x14ac:dyDescent="0.25">
      <c r="A17" s="38">
        <f>5.747111</f>
        <v>5.7471110000000003</v>
      </c>
      <c r="B17" s="39">
        <f>0.160204006171568</f>
        <v>0.16020400617156799</v>
      </c>
      <c r="C17" s="43">
        <v>0.43</v>
      </c>
      <c r="D17" s="19"/>
      <c r="E17" s="39"/>
      <c r="F17" s="39"/>
      <c r="G17" s="43"/>
      <c r="H17" s="19"/>
      <c r="I17" s="39">
        <f>5.687684</f>
        <v>5.687684</v>
      </c>
      <c r="J17" s="39">
        <f>0.166243804633039</f>
        <v>0.16624380463303901</v>
      </c>
      <c r="K17" s="41">
        <f>30%</f>
        <v>0.3</v>
      </c>
      <c r="L17" s="36"/>
      <c r="M17" s="37"/>
    </row>
    <row r="18" spans="1:13" x14ac:dyDescent="0.25">
      <c r="A18" s="38">
        <f>6.232964</f>
        <v>6.2329639999999999</v>
      </c>
      <c r="B18" s="39">
        <f>0.1706427587215</f>
        <v>0.1706427587215</v>
      </c>
      <c r="C18" s="43">
        <f>37%</f>
        <v>0.37</v>
      </c>
      <c r="D18" s="19"/>
      <c r="E18" s="45" t="s">
        <v>35</v>
      </c>
      <c r="F18" s="45"/>
      <c r="G18" s="45"/>
      <c r="H18" s="19"/>
      <c r="I18" s="19"/>
      <c r="J18" s="19"/>
      <c r="K18" s="19"/>
      <c r="L18" s="36"/>
      <c r="M18" s="37"/>
    </row>
    <row r="19" spans="1:13" x14ac:dyDescent="0.25">
      <c r="A19" s="38">
        <f>5.705939</f>
        <v>5.7059389999999999</v>
      </c>
      <c r="B19" s="39">
        <f>0.1706427587215</f>
        <v>0.1706427587215</v>
      </c>
      <c r="C19" s="43">
        <f>36%</f>
        <v>0.36</v>
      </c>
      <c r="D19" s="19"/>
      <c r="E19" s="21" t="s">
        <v>18</v>
      </c>
      <c r="F19" s="21" t="s">
        <v>25</v>
      </c>
      <c r="G19" s="21" t="s">
        <v>30</v>
      </c>
      <c r="H19" s="19"/>
      <c r="I19" s="19"/>
      <c r="J19" s="19"/>
      <c r="K19" s="19"/>
      <c r="L19" s="36"/>
      <c r="M19" s="37"/>
    </row>
    <row r="20" spans="1:13" x14ac:dyDescent="0.25">
      <c r="A20" s="38">
        <f>5.633553</f>
        <v>5.633553</v>
      </c>
      <c r="B20" s="39">
        <f>0.1706427587215</f>
        <v>0.1706427587215</v>
      </c>
      <c r="C20" s="41">
        <f>30%</f>
        <v>0.3</v>
      </c>
      <c r="D20" s="19"/>
      <c r="E20" s="39">
        <f>5.990938</f>
        <v>5.9909379999999999</v>
      </c>
      <c r="F20" s="39">
        <f>0.18791331682837</f>
        <v>0.18791331682837001</v>
      </c>
      <c r="G20" s="43">
        <f>40%</f>
        <v>0.4</v>
      </c>
      <c r="H20" s="19"/>
      <c r="I20" s="19"/>
      <c r="J20" s="19"/>
      <c r="K20" s="19"/>
      <c r="L20" s="36"/>
      <c r="M20" s="37"/>
    </row>
    <row r="21" spans="1:13" x14ac:dyDescent="0.25">
      <c r="A21" s="15">
        <f>5.692379</f>
        <v>5.6923789999999999</v>
      </c>
      <c r="B21" s="12">
        <f>0.1706427587215</f>
        <v>0.1706427587215</v>
      </c>
      <c r="C21" s="44">
        <f>25%</f>
        <v>0.25</v>
      </c>
      <c r="D21" s="19"/>
      <c r="E21" s="39">
        <f>6.176094</f>
        <v>6.176094</v>
      </c>
      <c r="F21" s="39">
        <f>0.19720395845612</f>
        <v>0.19720395845611999</v>
      </c>
      <c r="G21" s="43">
        <f>30%</f>
        <v>0.3</v>
      </c>
      <c r="H21" s="19"/>
      <c r="I21" s="25"/>
      <c r="J21" s="25"/>
      <c r="K21" s="25"/>
      <c r="L21" s="36"/>
      <c r="M21" s="37"/>
    </row>
    <row r="22" spans="1:13" x14ac:dyDescent="0.25">
      <c r="D22" s="19"/>
      <c r="E22" s="39">
        <f>6.52551</f>
        <v>6.5255099999999997</v>
      </c>
      <c r="F22" s="39">
        <f>0.210093352561235</f>
        <v>0.21009335256123499</v>
      </c>
      <c r="G22" s="43">
        <v>0.2</v>
      </c>
      <c r="H22" s="19"/>
      <c r="I22" s="25"/>
      <c r="J22" s="25"/>
      <c r="K22" s="25"/>
      <c r="L22" s="36"/>
      <c r="M22" s="37"/>
    </row>
    <row r="23" spans="1:13" x14ac:dyDescent="0.25">
      <c r="A23" s="24"/>
      <c r="B23" s="25"/>
      <c r="C23" s="25"/>
      <c r="D23" s="19"/>
      <c r="E23" s="39">
        <f>6.075586</f>
        <v>6.0755860000000004</v>
      </c>
      <c r="F23" s="39">
        <f>0.216453440905062</f>
        <v>0.21645344090506199</v>
      </c>
      <c r="G23" s="43">
        <f>17%</f>
        <v>0.17</v>
      </c>
      <c r="H23" s="19"/>
      <c r="I23" s="25"/>
      <c r="J23" s="25"/>
      <c r="K23" s="25"/>
      <c r="L23" s="36"/>
      <c r="M23" s="37"/>
    </row>
    <row r="24" spans="1:13" x14ac:dyDescent="0.25">
      <c r="A24" s="24"/>
      <c r="B24" s="25"/>
      <c r="C24" s="25"/>
      <c r="D24" s="25"/>
      <c r="E24" s="16">
        <f>5.992461</f>
        <v>5.9924609999999996</v>
      </c>
      <c r="F24" s="12">
        <f>0.221844724517565</f>
        <v>0.22184472451756501</v>
      </c>
      <c r="G24" s="44">
        <f>15%</f>
        <v>0.15</v>
      </c>
      <c r="H24" s="25"/>
      <c r="I24" s="25"/>
      <c r="J24" s="25"/>
      <c r="K24" s="25"/>
      <c r="L24" s="36"/>
      <c r="M24" s="37"/>
    </row>
    <row r="25" spans="1:13" x14ac:dyDescent="0.25">
      <c r="A25" s="24"/>
      <c r="B25" s="25"/>
      <c r="C25" s="25"/>
      <c r="D25" s="25"/>
      <c r="E25" s="39">
        <f>5.925321</f>
        <v>5.9253210000000003</v>
      </c>
      <c r="F25" s="39">
        <f>0.2193832326512</f>
        <v>0.21938323265119999</v>
      </c>
      <c r="G25" s="43">
        <f>13%</f>
        <v>0.13</v>
      </c>
      <c r="H25" s="25"/>
      <c r="I25" s="25"/>
      <c r="J25" s="25"/>
      <c r="K25" s="25"/>
      <c r="L25" s="36"/>
      <c r="M25" s="37"/>
    </row>
    <row r="26" spans="1:13" x14ac:dyDescent="0.25">
      <c r="A26" s="24"/>
      <c r="B26" s="25"/>
      <c r="C26" s="25"/>
      <c r="D26" s="25"/>
      <c r="E26" s="39">
        <f>6.40904</f>
        <v>6.4090400000000001</v>
      </c>
      <c r="F26" s="39">
        <f>0.2109</f>
        <v>0.2109</v>
      </c>
      <c r="G26" s="43">
        <f>10%</f>
        <v>0.1</v>
      </c>
      <c r="H26" s="25"/>
      <c r="I26" s="25"/>
      <c r="J26" s="25"/>
      <c r="K26" s="25"/>
      <c r="L26" s="36"/>
      <c r="M26" s="37"/>
    </row>
    <row r="27" spans="1:13" ht="15.75" thickBot="1" x14ac:dyDescent="0.3">
      <c r="A27" s="50"/>
      <c r="B27" s="51"/>
      <c r="C27" s="51"/>
      <c r="D27" s="51"/>
      <c r="E27" s="52">
        <f>6.382674</f>
        <v>6.3826739999999997</v>
      </c>
      <c r="F27" s="52">
        <f>0.159515835720604</f>
        <v>0.15951583572060399</v>
      </c>
      <c r="G27" s="53">
        <v>0.05</v>
      </c>
      <c r="H27" s="51"/>
      <c r="I27" s="51"/>
      <c r="J27" s="51"/>
      <c r="K27" s="51"/>
      <c r="L27" s="54"/>
      <c r="M27" s="55"/>
    </row>
    <row r="28" spans="1:13" x14ac:dyDescent="0.25">
      <c r="G28" s="5"/>
    </row>
    <row r="33" spans="1:13" ht="15.75" thickBot="1" x14ac:dyDescent="0.3"/>
    <row r="34" spans="1:13" ht="15" customHeight="1" x14ac:dyDescent="0.25">
      <c r="A34" s="31" t="s">
        <v>6</v>
      </c>
      <c r="B34" s="32"/>
      <c r="C34" s="32"/>
      <c r="D34" s="59"/>
      <c r="E34" s="32" t="s">
        <v>38</v>
      </c>
      <c r="F34" s="32"/>
      <c r="G34" s="32"/>
      <c r="H34" s="33"/>
      <c r="I34" s="32" t="s">
        <v>28</v>
      </c>
      <c r="J34" s="32"/>
      <c r="K34" s="32"/>
      <c r="L34" s="34" t="s">
        <v>17</v>
      </c>
      <c r="M34" s="35"/>
    </row>
    <row r="35" spans="1:13" ht="15" customHeight="1" x14ac:dyDescent="0.25">
      <c r="A35" s="20" t="s">
        <v>18</v>
      </c>
      <c r="B35" s="21" t="s">
        <v>25</v>
      </c>
      <c r="C35" s="21" t="s">
        <v>30</v>
      </c>
      <c r="D35" s="25"/>
      <c r="E35" s="21" t="s">
        <v>18</v>
      </c>
      <c r="F35" s="21" t="s">
        <v>25</v>
      </c>
      <c r="G35" s="21" t="s">
        <v>30</v>
      </c>
      <c r="H35" s="19"/>
      <c r="I35" s="21" t="s">
        <v>18</v>
      </c>
      <c r="J35" s="21" t="s">
        <v>25</v>
      </c>
      <c r="K35" s="21" t="s">
        <v>30</v>
      </c>
      <c r="L35" s="36"/>
      <c r="M35" s="37"/>
    </row>
    <row r="36" spans="1:13" ht="15" customHeight="1" x14ac:dyDescent="0.25">
      <c r="A36" s="38">
        <f>5.912171</f>
        <v>5.9121709999999998</v>
      </c>
      <c r="B36" s="39">
        <f>0.070274908040515</f>
        <v>7.0274908040515005E-2</v>
      </c>
      <c r="C36" s="42">
        <v>0.75</v>
      </c>
      <c r="D36" s="25"/>
      <c r="E36" s="39">
        <f>6.267856</f>
        <v>6.2678560000000001</v>
      </c>
      <c r="F36" s="39">
        <f>0.105439969466734</f>
        <v>0.10543996946673399</v>
      </c>
      <c r="G36" s="21" t="s">
        <v>27</v>
      </c>
      <c r="H36" s="19"/>
      <c r="I36" s="39">
        <f>6.761124</f>
        <v>6.7611239999999997</v>
      </c>
      <c r="J36" s="39">
        <f>0.103323196498665</f>
        <v>0.103323196498665</v>
      </c>
      <c r="K36" s="41">
        <f>77%</f>
        <v>0.77</v>
      </c>
      <c r="L36" s="36"/>
      <c r="M36" s="37"/>
    </row>
    <row r="37" spans="1:13" ht="15" customHeight="1" x14ac:dyDescent="0.25">
      <c r="A37" s="38">
        <f>5.930543</f>
        <v>5.9305430000000001</v>
      </c>
      <c r="B37" s="39">
        <f>0.072142521805842</f>
        <v>7.2142521805842005E-2</v>
      </c>
      <c r="C37" s="42">
        <f>55%</f>
        <v>0.55000000000000004</v>
      </c>
      <c r="D37" s="25"/>
      <c r="E37" s="39">
        <f>6.903847</f>
        <v>6.9038469999999998</v>
      </c>
      <c r="F37" s="39">
        <f>0.105047343822958</f>
        <v>0.10504734382295799</v>
      </c>
      <c r="G37" s="41">
        <f>80%</f>
        <v>0.8</v>
      </c>
      <c r="H37" s="19"/>
      <c r="I37" s="39">
        <f>6.664453</f>
        <v>6.664453</v>
      </c>
      <c r="J37" s="39">
        <f>0.104427601806254</f>
        <v>0.104427601806254</v>
      </c>
      <c r="K37" s="43">
        <f>63%</f>
        <v>0.63</v>
      </c>
      <c r="L37" s="36"/>
      <c r="M37" s="37"/>
    </row>
    <row r="38" spans="1:13" ht="15" customHeight="1" x14ac:dyDescent="0.25">
      <c r="A38" s="15">
        <f>6.1885</f>
        <v>6.1885000000000003</v>
      </c>
      <c r="B38" s="12">
        <f>0.074682010569712</f>
        <v>7.4682010569712007E-2</v>
      </c>
      <c r="C38" s="62">
        <v>0.5</v>
      </c>
      <c r="D38" s="25"/>
      <c r="E38" s="39">
        <f>6.671922</f>
        <v>6.6719220000000004</v>
      </c>
      <c r="F38" s="39">
        <f>0.105935461159492</f>
        <v>0.105935461159492</v>
      </c>
      <c r="G38" s="41">
        <f>70%</f>
        <v>0.7</v>
      </c>
      <c r="H38" s="19"/>
      <c r="I38" s="39">
        <f>6.153915</f>
        <v>6.1539149999999996</v>
      </c>
      <c r="J38" s="39">
        <f>0.103678892052153</f>
        <v>0.103678892052153</v>
      </c>
      <c r="K38" s="43">
        <v>0.48</v>
      </c>
      <c r="L38" s="36"/>
      <c r="M38" s="37"/>
    </row>
    <row r="39" spans="1:13" ht="15" customHeight="1" x14ac:dyDescent="0.25">
      <c r="A39" s="38">
        <f>6.308992</f>
        <v>6.3089919999999999</v>
      </c>
      <c r="B39" s="39">
        <f>0.071408553977907</f>
        <v>7.1408553977907005E-2</v>
      </c>
      <c r="C39" s="43">
        <v>0.4</v>
      </c>
      <c r="D39" s="25"/>
      <c r="E39" s="39">
        <f>6.613171</f>
        <v>6.6131710000000004</v>
      </c>
      <c r="F39" s="39">
        <f>0.103846437893726</f>
        <v>0.103846437893726</v>
      </c>
      <c r="G39" s="41">
        <f>50%</f>
        <v>0.5</v>
      </c>
      <c r="H39" s="19"/>
      <c r="I39" s="56">
        <f>6.102358</f>
        <v>6.1023579999999997</v>
      </c>
      <c r="J39" s="56">
        <f>0.102427160744621</f>
        <v>0.10242716074462099</v>
      </c>
      <c r="K39" s="57">
        <f>37%</f>
        <v>0.37</v>
      </c>
      <c r="L39" s="36"/>
      <c r="M39" s="37"/>
    </row>
    <row r="40" spans="1:13" ht="15" customHeight="1" x14ac:dyDescent="0.25">
      <c r="A40" s="58">
        <f>5.956011</f>
        <v>5.9560110000000002</v>
      </c>
      <c r="B40" s="56">
        <f>0.069960023537352</f>
        <v>6.9960023537352006E-2</v>
      </c>
      <c r="C40" s="57">
        <f>36%</f>
        <v>0.36</v>
      </c>
      <c r="D40" s="25"/>
      <c r="E40" s="39">
        <f>6.453947</f>
        <v>6.4539470000000003</v>
      </c>
      <c r="F40" s="39">
        <f>0.105310712358183</f>
        <v>0.105310712358183</v>
      </c>
      <c r="G40" s="43">
        <v>0.3</v>
      </c>
      <c r="H40" s="19"/>
      <c r="I40" s="56">
        <f>6.211503</f>
        <v>6.2115030000000004</v>
      </c>
      <c r="J40" s="56">
        <f>0.103342220098651</f>
        <v>0.103342220098651</v>
      </c>
      <c r="K40" s="57">
        <f>35%</f>
        <v>0.35</v>
      </c>
      <c r="L40" s="36"/>
      <c r="M40" s="37"/>
    </row>
    <row r="41" spans="1:13" ht="15" customHeight="1" x14ac:dyDescent="0.25">
      <c r="A41" s="38">
        <f>5.869567</f>
        <v>5.869567</v>
      </c>
      <c r="B41" s="39">
        <f>0.071389140222696</f>
        <v>7.1389140222696004E-2</v>
      </c>
      <c r="C41" s="43">
        <v>0.35</v>
      </c>
      <c r="D41" s="25"/>
      <c r="E41" s="39">
        <f>6.822341</f>
        <v>6.8223409999999998</v>
      </c>
      <c r="F41" s="39">
        <f>0.123800524531517</f>
        <v>0.12380052453151701</v>
      </c>
      <c r="G41" s="41">
        <f>10%</f>
        <v>0.1</v>
      </c>
      <c r="H41" s="19"/>
      <c r="I41" s="16">
        <f>6.647831</f>
        <v>6.647831</v>
      </c>
      <c r="J41" s="12">
        <f>0.105652880152249</f>
        <v>0.105652880152249</v>
      </c>
      <c r="K41" s="44">
        <f>30%</f>
        <v>0.3</v>
      </c>
      <c r="L41" s="36"/>
      <c r="M41" s="37"/>
    </row>
    <row r="42" spans="1:13" ht="15" customHeight="1" x14ac:dyDescent="0.25">
      <c r="A42" s="38">
        <f>5.994147</f>
        <v>5.9941469999999999</v>
      </c>
      <c r="B42" s="39">
        <f>0.068975923700004</f>
        <v>6.8975923700003994E-2</v>
      </c>
      <c r="C42" s="43">
        <f>30%</f>
        <v>0.3</v>
      </c>
      <c r="D42" s="25"/>
      <c r="E42" s="16">
        <f>6.78973</f>
        <v>6.7897299999999996</v>
      </c>
      <c r="F42" s="12">
        <f>0.124412991760252</f>
        <v>0.124412991760252</v>
      </c>
      <c r="G42" s="49">
        <v>7.0000000000000007E-2</v>
      </c>
      <c r="H42" s="19"/>
      <c r="I42" s="39">
        <f>6.066889</f>
        <v>6.0668889999999998</v>
      </c>
      <c r="J42" s="39">
        <f>0.104730018761729</f>
        <v>0.10473001876172899</v>
      </c>
      <c r="K42" s="41">
        <f>25%</f>
        <v>0.25</v>
      </c>
      <c r="L42" s="36"/>
      <c r="M42" s="37"/>
    </row>
    <row r="43" spans="1:13" ht="15" customHeight="1" x14ac:dyDescent="0.25">
      <c r="A43" s="38"/>
      <c r="B43" s="39"/>
      <c r="C43" s="43"/>
      <c r="D43" s="25"/>
      <c r="E43" s="39">
        <f>6.095978</f>
        <v>6.0959779999999997</v>
      </c>
      <c r="F43" s="39">
        <f>0.110732414075908</f>
        <v>0.110732414075908</v>
      </c>
      <c r="G43" s="43">
        <v>0.05</v>
      </c>
      <c r="H43" s="19"/>
      <c r="I43" s="39"/>
      <c r="J43" s="39"/>
      <c r="K43" s="43"/>
      <c r="L43" s="36"/>
      <c r="M43" s="37"/>
    </row>
    <row r="44" spans="1:13" ht="15" customHeight="1" x14ac:dyDescent="0.25">
      <c r="A44" s="48" t="s">
        <v>9</v>
      </c>
      <c r="B44" s="45"/>
      <c r="C44" s="45"/>
      <c r="D44" s="25"/>
      <c r="E44" s="39"/>
      <c r="F44" s="39"/>
      <c r="G44" s="43"/>
      <c r="H44" s="19"/>
      <c r="I44" s="19"/>
      <c r="J44" s="19"/>
      <c r="K44" s="19"/>
      <c r="L44" s="36"/>
      <c r="M44" s="37"/>
    </row>
    <row r="45" spans="1:13" ht="15" customHeight="1" x14ac:dyDescent="0.25">
      <c r="A45" s="20" t="s">
        <v>18</v>
      </c>
      <c r="B45" s="21" t="s">
        <v>25</v>
      </c>
      <c r="C45" s="21" t="s">
        <v>30</v>
      </c>
      <c r="D45" s="25"/>
      <c r="E45" s="45" t="s">
        <v>37</v>
      </c>
      <c r="F45" s="45"/>
      <c r="G45" s="45"/>
      <c r="H45" s="19"/>
      <c r="I45" s="45" t="s">
        <v>29</v>
      </c>
      <c r="J45" s="45"/>
      <c r="K45" s="45"/>
      <c r="L45" s="36"/>
      <c r="M45" s="37"/>
    </row>
    <row r="46" spans="1:13" ht="15" customHeight="1" x14ac:dyDescent="0.25">
      <c r="A46" s="38">
        <f>5.58898</f>
        <v>5.5889800000000003</v>
      </c>
      <c r="B46" s="39">
        <f>0.06554246212972</f>
        <v>6.5542462129719994E-2</v>
      </c>
      <c r="C46" s="21" t="s">
        <v>27</v>
      </c>
      <c r="D46" s="25"/>
      <c r="E46" s="21" t="s">
        <v>18</v>
      </c>
      <c r="F46" s="21" t="s">
        <v>25</v>
      </c>
      <c r="G46" s="21" t="s">
        <v>30</v>
      </c>
      <c r="H46" s="19"/>
      <c r="I46" s="21" t="s">
        <v>18</v>
      </c>
      <c r="J46" s="21" t="s">
        <v>25</v>
      </c>
      <c r="K46" s="21" t="s">
        <v>30</v>
      </c>
      <c r="L46" s="36"/>
      <c r="M46" s="37"/>
    </row>
    <row r="47" spans="1:13" ht="15" customHeight="1" x14ac:dyDescent="0.25">
      <c r="A47" s="38">
        <f>5.530561</f>
        <v>5.5305609999999996</v>
      </c>
      <c r="B47" s="39">
        <f>0.067476904207542</f>
        <v>6.7476904207542002E-2</v>
      </c>
      <c r="C47" s="43">
        <f>53%</f>
        <v>0.53</v>
      </c>
      <c r="D47" s="25"/>
      <c r="E47" s="39">
        <f>5.85472</f>
        <v>5.8547200000000004</v>
      </c>
      <c r="F47" s="39">
        <f>0.072171982606838</f>
        <v>7.2171982606838006E-2</v>
      </c>
      <c r="G47" s="43">
        <f>50%</f>
        <v>0.5</v>
      </c>
      <c r="H47" s="19"/>
      <c r="I47" s="39">
        <f>5.831906</f>
        <v>5.831906</v>
      </c>
      <c r="J47" s="39">
        <f>0.108897083800244</f>
        <v>0.108897083800244</v>
      </c>
      <c r="K47" s="41">
        <v>0.9</v>
      </c>
      <c r="L47" s="36"/>
      <c r="M47" s="37"/>
    </row>
    <row r="48" spans="1:13" ht="15" customHeight="1" x14ac:dyDescent="0.25">
      <c r="A48" s="38">
        <f>5.530622</f>
        <v>5.5306220000000001</v>
      </c>
      <c r="B48" s="39">
        <f>0.070367086235195</f>
        <v>7.0367086235194998E-2</v>
      </c>
      <c r="C48" s="43">
        <v>0.43</v>
      </c>
      <c r="D48" s="25"/>
      <c r="E48" s="39">
        <f>6.033842</f>
        <v>6.0338419999999999</v>
      </c>
      <c r="F48" s="39">
        <f>0.071653684678559</f>
        <v>7.1653684678558996E-2</v>
      </c>
      <c r="G48" s="43">
        <f>30%</f>
        <v>0.3</v>
      </c>
      <c r="H48" s="19"/>
      <c r="I48" s="39">
        <f>5.759422</f>
        <v>5.7594219999999998</v>
      </c>
      <c r="J48" s="39">
        <f>0.116896369074189</f>
        <v>0.116896369074189</v>
      </c>
      <c r="K48" s="41">
        <v>0.85</v>
      </c>
      <c r="L48" s="36"/>
      <c r="M48" s="37"/>
    </row>
    <row r="49" spans="1:13" ht="15" customHeight="1" x14ac:dyDescent="0.25">
      <c r="A49" s="38">
        <f>5.509552</f>
        <v>5.5095520000000002</v>
      </c>
      <c r="B49" s="39">
        <f>0.073295184457203</f>
        <v>7.3295184457202997E-2</v>
      </c>
      <c r="C49" s="41">
        <f>30%</f>
        <v>0.3</v>
      </c>
      <c r="D49" s="25"/>
      <c r="E49" s="56">
        <f>5.915231</f>
        <v>5.9152310000000003</v>
      </c>
      <c r="F49" s="56">
        <f>0.072130181092255</f>
        <v>7.2130181092254997E-2</v>
      </c>
      <c r="G49" s="57">
        <f>15%</f>
        <v>0.15</v>
      </c>
      <c r="H49" s="19"/>
      <c r="I49" s="39">
        <f>5.803334</f>
        <v>5.8033340000000004</v>
      </c>
      <c r="J49" s="39">
        <f>0.116896369074189</f>
        <v>0.116896369074189</v>
      </c>
      <c r="K49" s="41">
        <f>77%</f>
        <v>0.77</v>
      </c>
      <c r="L49" s="36"/>
      <c r="M49" s="37"/>
    </row>
    <row r="50" spans="1:13" ht="15" customHeight="1" x14ac:dyDescent="0.25">
      <c r="A50" s="58">
        <f>6.176334</f>
        <v>6.1763339999999998</v>
      </c>
      <c r="B50" s="56">
        <f>0.073295184457203</f>
        <v>7.3295184457202997E-2</v>
      </c>
      <c r="C50" s="57">
        <f>25%</f>
        <v>0.25</v>
      </c>
      <c r="D50" s="25"/>
      <c r="E50" s="39">
        <f>5.904139</f>
        <v>5.9041389999999998</v>
      </c>
      <c r="F50" s="39">
        <f>0.07806316050732</f>
        <v>7.8063160507319998E-2</v>
      </c>
      <c r="G50" s="43">
        <f>13%</f>
        <v>0.13</v>
      </c>
      <c r="H50" s="19"/>
      <c r="I50" s="16">
        <f>6.251035</f>
        <v>6.2510349999999999</v>
      </c>
      <c r="J50" s="12">
        <f>0.116974621312232</f>
        <v>0.116974621312232</v>
      </c>
      <c r="K50" s="49">
        <f>70%</f>
        <v>0.7</v>
      </c>
      <c r="L50" s="36"/>
      <c r="M50" s="37"/>
    </row>
    <row r="51" spans="1:13" ht="15" customHeight="1" x14ac:dyDescent="0.25">
      <c r="A51" s="15">
        <f>5.09866</f>
        <v>5.0986599999999997</v>
      </c>
      <c r="B51" s="12">
        <f>0.082319385136633</f>
        <v>8.2319385136633005E-2</v>
      </c>
      <c r="C51" s="44">
        <f>15%</f>
        <v>0.15</v>
      </c>
      <c r="D51" s="25"/>
      <c r="E51" s="16">
        <f>6.017903</f>
        <v>6.0179029999999996</v>
      </c>
      <c r="F51" s="12">
        <f>0.08049803836693</f>
        <v>8.0498038366929994E-2</v>
      </c>
      <c r="G51" s="44">
        <f>10%</f>
        <v>0.1</v>
      </c>
      <c r="H51" s="19"/>
      <c r="I51" s="39">
        <f>5.793656</f>
        <v>5.7936560000000004</v>
      </c>
      <c r="J51" s="39">
        <f>0.109194667698889</f>
        <v>0.109194667698889</v>
      </c>
      <c r="K51" s="41">
        <f>50%</f>
        <v>0.5</v>
      </c>
      <c r="L51" s="36"/>
      <c r="M51" s="37"/>
    </row>
    <row r="52" spans="1:13" ht="15" customHeight="1" thickBot="1" x14ac:dyDescent="0.3">
      <c r="A52" s="60">
        <f>5.979215</f>
        <v>5.9792149999999999</v>
      </c>
      <c r="B52" s="52">
        <f>0.067476904207542</f>
        <v>6.7476904207542002E-2</v>
      </c>
      <c r="C52" s="63">
        <f>5%</f>
        <v>0.05</v>
      </c>
      <c r="D52" s="51"/>
      <c r="E52" s="52">
        <f>5.909661</f>
        <v>5.9096609999999998</v>
      </c>
      <c r="F52" s="52">
        <f>0.080349126788498</f>
        <v>8.0349126788497996E-2</v>
      </c>
      <c r="G52" s="53">
        <v>0.05</v>
      </c>
      <c r="H52" s="61"/>
      <c r="I52" s="52">
        <f>5.804266</f>
        <v>5.8042660000000001</v>
      </c>
      <c r="J52" s="52">
        <f>0.116422178360505</f>
        <v>0.116422178360505</v>
      </c>
      <c r="K52" s="53">
        <f>37%</f>
        <v>0.37</v>
      </c>
      <c r="L52" s="54"/>
      <c r="M52" s="55"/>
    </row>
  </sheetData>
  <mergeCells count="14">
    <mergeCell ref="E45:G45"/>
    <mergeCell ref="E34:G34"/>
    <mergeCell ref="I34:K34"/>
    <mergeCell ref="A34:C34"/>
    <mergeCell ref="A44:C44"/>
    <mergeCell ref="L1:M27"/>
    <mergeCell ref="L34:M52"/>
    <mergeCell ref="I45:K45"/>
    <mergeCell ref="E18:G18"/>
    <mergeCell ref="A13:C13"/>
    <mergeCell ref="I1:K1"/>
    <mergeCell ref="I9:K9"/>
    <mergeCell ref="A1:C1"/>
    <mergeCell ref="E1:G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973B-3C60-4437-9912-2255BD21D3D1}">
  <dimension ref="A1:I33"/>
  <sheetViews>
    <sheetView tabSelected="1" workbookViewId="0">
      <selection activeCell="I18" sqref="I18"/>
    </sheetView>
  </sheetViews>
  <sheetFormatPr defaultRowHeight="15" x14ac:dyDescent="0.25"/>
  <cols>
    <col min="1" max="1" width="11.85546875" customWidth="1"/>
    <col min="2" max="2" width="21.7109375" customWidth="1"/>
    <col min="3" max="3" width="21.140625" customWidth="1"/>
  </cols>
  <sheetData>
    <row r="1" spans="1:4" ht="23.25" x14ac:dyDescent="0.35">
      <c r="A1" s="79" t="s">
        <v>42</v>
      </c>
      <c r="B1" s="80"/>
      <c r="C1" s="80"/>
      <c r="D1" s="81"/>
    </row>
    <row r="2" spans="1:4" x14ac:dyDescent="0.25">
      <c r="A2" s="82" t="s">
        <v>1</v>
      </c>
      <c r="B2" s="83" t="s">
        <v>2</v>
      </c>
      <c r="C2" s="83" t="s">
        <v>3</v>
      </c>
      <c r="D2" s="84" t="s">
        <v>0</v>
      </c>
    </row>
    <row r="3" spans="1:4" x14ac:dyDescent="0.25">
      <c r="A3" s="18">
        <v>23</v>
      </c>
      <c r="B3" s="19">
        <f>0.1316</f>
        <v>0.13159999999999999</v>
      </c>
      <c r="C3" s="19">
        <f>0.1165</f>
        <v>0.11650000000000001</v>
      </c>
      <c r="D3" s="84"/>
    </row>
    <row r="4" spans="1:4" x14ac:dyDescent="0.25">
      <c r="A4" s="18">
        <v>60</v>
      </c>
      <c r="B4" s="19">
        <f t="shared" ref="B4:B8" si="0">0.1316</f>
        <v>0.13159999999999999</v>
      </c>
      <c r="C4" s="19">
        <f>0.1569</f>
        <v>0.15690000000000001</v>
      </c>
      <c r="D4" s="84"/>
    </row>
    <row r="5" spans="1:4" x14ac:dyDescent="0.25">
      <c r="A5" s="18">
        <v>65</v>
      </c>
      <c r="B5" s="19">
        <f t="shared" si="0"/>
        <v>0.13159999999999999</v>
      </c>
      <c r="C5" s="19">
        <f>0.1553</f>
        <v>0.15529999999999999</v>
      </c>
      <c r="D5" s="84"/>
    </row>
    <row r="6" spans="1:4" x14ac:dyDescent="0.25">
      <c r="A6" s="18">
        <v>69</v>
      </c>
      <c r="B6" s="19">
        <f t="shared" si="0"/>
        <v>0.13159999999999999</v>
      </c>
      <c r="C6" s="19">
        <f>0.1811</f>
        <v>0.18110000000000001</v>
      </c>
      <c r="D6" s="84"/>
    </row>
    <row r="7" spans="1:4" x14ac:dyDescent="0.25">
      <c r="A7" s="18">
        <v>100</v>
      </c>
      <c r="B7" s="19">
        <f t="shared" si="0"/>
        <v>0.13159999999999999</v>
      </c>
      <c r="C7" s="19">
        <f>0.1313</f>
        <v>0.1313</v>
      </c>
      <c r="D7" s="84"/>
    </row>
    <row r="8" spans="1:4" ht="15.75" thickBot="1" x14ac:dyDescent="0.3">
      <c r="A8" s="85">
        <v>230</v>
      </c>
      <c r="B8" s="61">
        <f t="shared" si="0"/>
        <v>0.13159999999999999</v>
      </c>
      <c r="C8" s="61">
        <f>0.1786</f>
        <v>0.17860000000000001</v>
      </c>
      <c r="D8" s="86"/>
    </row>
    <row r="11" spans="1:4" ht="15.75" thickBot="1" x14ac:dyDescent="0.3"/>
    <row r="12" spans="1:4" ht="23.25" x14ac:dyDescent="0.35">
      <c r="A12" s="79" t="s">
        <v>43</v>
      </c>
      <c r="B12" s="80"/>
      <c r="C12" s="80"/>
      <c r="D12" s="81"/>
    </row>
    <row r="13" spans="1:4" ht="18" customHeight="1" x14ac:dyDescent="0.25">
      <c r="A13" s="82" t="s">
        <v>1</v>
      </c>
      <c r="B13" s="83" t="s">
        <v>2</v>
      </c>
      <c r="C13" s="83" t="s">
        <v>3</v>
      </c>
      <c r="D13" s="84" t="s">
        <v>0</v>
      </c>
    </row>
    <row r="14" spans="1:4" ht="18" customHeight="1" x14ac:dyDescent="0.25">
      <c r="A14" s="18">
        <v>23</v>
      </c>
      <c r="B14" s="39">
        <v>0.13159999999999999</v>
      </c>
      <c r="C14" s="39">
        <f>0.1316</f>
        <v>0.13159999999999999</v>
      </c>
      <c r="D14" s="84"/>
    </row>
    <row r="15" spans="1:4" ht="15" customHeight="1" x14ac:dyDescent="0.25">
      <c r="A15" s="18">
        <v>60</v>
      </c>
      <c r="B15" s="39">
        <v>0.13159999999999999</v>
      </c>
      <c r="C15" s="39">
        <f>0.161478250073951</f>
        <v>0.161478250073951</v>
      </c>
      <c r="D15" s="84"/>
    </row>
    <row r="16" spans="1:4" ht="15" customHeight="1" x14ac:dyDescent="0.25">
      <c r="A16" s="18">
        <v>65</v>
      </c>
      <c r="B16" s="39">
        <v>0.13159999999999999</v>
      </c>
      <c r="C16" s="19">
        <f>0.1316</f>
        <v>0.13159999999999999</v>
      </c>
      <c r="D16" s="84"/>
    </row>
    <row r="17" spans="1:9" ht="15" customHeight="1" x14ac:dyDescent="0.25">
      <c r="A17" s="18">
        <v>69</v>
      </c>
      <c r="B17" s="39">
        <v>0.13159999999999999</v>
      </c>
      <c r="C17" s="39">
        <f>0.171081875484803</f>
        <v>0.171081875484803</v>
      </c>
      <c r="D17" s="84"/>
    </row>
    <row r="18" spans="1:9" ht="15" customHeight="1" x14ac:dyDescent="0.25">
      <c r="A18" s="18">
        <v>100</v>
      </c>
      <c r="B18" s="39">
        <v>0.13159999999999999</v>
      </c>
      <c r="C18" s="39">
        <f>0.1316</f>
        <v>0.13159999999999999</v>
      </c>
      <c r="D18" s="84"/>
      <c r="I18" s="7"/>
    </row>
    <row r="19" spans="1:9" ht="15.75" thickBot="1" x14ac:dyDescent="0.3">
      <c r="A19" s="85">
        <v>230</v>
      </c>
      <c r="B19" s="52">
        <v>0.13159999999999999</v>
      </c>
      <c r="C19" s="52">
        <f>0.1316</f>
        <v>0.13159999999999999</v>
      </c>
      <c r="D19" s="86"/>
      <c r="H19" s="6"/>
      <c r="I19" s="7"/>
    </row>
    <row r="20" spans="1:9" x14ac:dyDescent="0.25">
      <c r="H20" s="6"/>
      <c r="I20" s="7"/>
    </row>
    <row r="21" spans="1:9" x14ac:dyDescent="0.25">
      <c r="H21" s="6"/>
      <c r="I21" s="7"/>
    </row>
    <row r="22" spans="1:9" x14ac:dyDescent="0.25">
      <c r="H22" s="6"/>
      <c r="I22" s="7"/>
    </row>
    <row r="23" spans="1:9" x14ac:dyDescent="0.25">
      <c r="H23" s="6"/>
      <c r="I23" s="7"/>
    </row>
    <row r="24" spans="1:9" x14ac:dyDescent="0.25">
      <c r="H24" s="6"/>
      <c r="I24" s="7"/>
    </row>
    <row r="25" spans="1:9" x14ac:dyDescent="0.25">
      <c r="I25" s="7"/>
    </row>
    <row r="26" spans="1:9" x14ac:dyDescent="0.25">
      <c r="I26" s="7"/>
    </row>
    <row r="27" spans="1:9" x14ac:dyDescent="0.25">
      <c r="I27" s="7"/>
    </row>
    <row r="28" spans="1:9" x14ac:dyDescent="0.25">
      <c r="I28" s="7"/>
    </row>
    <row r="29" spans="1:9" x14ac:dyDescent="0.25">
      <c r="I29" s="7"/>
    </row>
    <row r="30" spans="1:9" x14ac:dyDescent="0.25">
      <c r="I30" s="7"/>
    </row>
    <row r="31" spans="1:9" x14ac:dyDescent="0.25">
      <c r="I31" s="7"/>
    </row>
    <row r="32" spans="1:9" x14ac:dyDescent="0.25">
      <c r="I32" s="7"/>
    </row>
    <row r="33" spans="9:9" x14ac:dyDescent="0.25">
      <c r="I33" s="7"/>
    </row>
  </sheetData>
  <mergeCells count="4">
    <mergeCell ref="A1:C1"/>
    <mergeCell ref="D2:D8"/>
    <mergeCell ref="A12:C12"/>
    <mergeCell ref="D13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Search-by-Image MAP</vt:lpstr>
      <vt:lpstr>Optimal Mahalanobis</vt:lpstr>
      <vt:lpstr>Optimal N Clusters</vt:lpstr>
    </vt:vector>
  </TitlesOfParts>
  <Manager/>
  <Company>University of Surrey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Nam H (PG/T - Comp Sci &amp; Elec Eng)</dc:creator>
  <cp:keywords/>
  <dc:description/>
  <cp:lastModifiedBy>Tran, Nam H (PG/T - Comp Sci &amp; Elec Eng)</cp:lastModifiedBy>
  <cp:revision/>
  <dcterms:created xsi:type="dcterms:W3CDTF">2022-11-10T14:01:28Z</dcterms:created>
  <dcterms:modified xsi:type="dcterms:W3CDTF">2022-11-22T15:13:46Z</dcterms:modified>
  <cp:category/>
  <cp:contentStatus/>
</cp:coreProperties>
</file>