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255" windowHeight="793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3" i="2"/>
  <c r="G142"/>
  <c r="H142"/>
  <c r="T13"/>
  <c r="T19" s="1"/>
  <c r="O13"/>
  <c r="P17"/>
  <c r="P15"/>
  <c r="P11"/>
  <c r="O19"/>
  <c r="D150" s="1"/>
  <c r="P13"/>
  <c r="Q2"/>
  <c r="O105"/>
  <c r="N105"/>
  <c r="E89"/>
  <c r="D89"/>
  <c r="D85"/>
  <c r="U43" i="1"/>
  <c r="S43"/>
  <c r="Q43"/>
  <c r="O43"/>
  <c r="M43"/>
  <c r="F113" i="2"/>
  <c r="E111"/>
  <c r="F111"/>
  <c r="G111"/>
  <c r="H111"/>
  <c r="D140"/>
  <c r="D36"/>
  <c r="D74"/>
  <c r="E355"/>
  <c r="D355"/>
  <c r="E353"/>
  <c r="E357"/>
  <c r="D353"/>
  <c r="D357"/>
  <c r="F327"/>
  <c r="E327"/>
  <c r="D327"/>
  <c r="H326"/>
  <c r="G326"/>
  <c r="F326"/>
  <c r="E326"/>
  <c r="D326"/>
  <c r="H324"/>
  <c r="G324"/>
  <c r="F324"/>
  <c r="E324"/>
  <c r="D324"/>
  <c r="H323"/>
  <c r="G323"/>
  <c r="F323"/>
  <c r="E323"/>
  <c r="D323"/>
  <c r="H322"/>
  <c r="G322"/>
  <c r="F322"/>
  <c r="E322"/>
  <c r="D322"/>
  <c r="H321"/>
  <c r="G321"/>
  <c r="F321"/>
  <c r="E321"/>
  <c r="D321"/>
  <c r="H320"/>
  <c r="G320"/>
  <c r="F320"/>
  <c r="E320"/>
  <c r="D320"/>
  <c r="H319"/>
  <c r="G319"/>
  <c r="F319"/>
  <c r="E319"/>
  <c r="D319"/>
  <c r="H317"/>
  <c r="G317"/>
  <c r="F317"/>
  <c r="E317"/>
  <c r="D317"/>
  <c r="H315"/>
  <c r="G315"/>
  <c r="F315"/>
  <c r="E315"/>
  <c r="D315"/>
  <c r="H313"/>
  <c r="G313"/>
  <c r="F313"/>
  <c r="E313"/>
  <c r="D313"/>
  <c r="H311"/>
  <c r="G311"/>
  <c r="F311"/>
  <c r="E311"/>
  <c r="D311"/>
  <c r="H310"/>
  <c r="G310"/>
  <c r="F310"/>
  <c r="E310"/>
  <c r="D310"/>
  <c r="H309"/>
  <c r="G309"/>
  <c r="F309"/>
  <c r="E309"/>
  <c r="D309"/>
  <c r="H308"/>
  <c r="G308"/>
  <c r="F308"/>
  <c r="E308"/>
  <c r="D308"/>
  <c r="H307"/>
  <c r="G307"/>
  <c r="F307"/>
  <c r="E307"/>
  <c r="D307"/>
  <c r="H305"/>
  <c r="G305"/>
  <c r="F305"/>
  <c r="E305"/>
  <c r="D305"/>
  <c r="H304"/>
  <c r="G304"/>
  <c r="F304"/>
  <c r="E304"/>
  <c r="D304"/>
  <c r="H303"/>
  <c r="G303"/>
  <c r="F303"/>
  <c r="E303"/>
  <c r="D303"/>
  <c r="H297"/>
  <c r="G297"/>
  <c r="F297"/>
  <c r="E297"/>
  <c r="D297"/>
  <c r="H296"/>
  <c r="G296"/>
  <c r="F296"/>
  <c r="E296"/>
  <c r="D296"/>
  <c r="H295"/>
  <c r="G295"/>
  <c r="F295"/>
  <c r="E295"/>
  <c r="D295"/>
  <c r="D290"/>
  <c r="D289"/>
  <c r="H284"/>
  <c r="D284"/>
  <c r="E283"/>
  <c r="D283"/>
  <c r="H282"/>
  <c r="G282"/>
  <c r="F282"/>
  <c r="E282"/>
  <c r="D282"/>
  <c r="D214"/>
  <c r="H213"/>
  <c r="G213"/>
  <c r="F213"/>
  <c r="E213"/>
  <c r="D213"/>
  <c r="E212"/>
  <c r="D212"/>
  <c r="H210"/>
  <c r="G210"/>
  <c r="F210"/>
  <c r="E210"/>
  <c r="D210"/>
  <c r="H209"/>
  <c r="G209"/>
  <c r="F209"/>
  <c r="E209"/>
  <c r="D209"/>
  <c r="H198"/>
  <c r="G198"/>
  <c r="F198"/>
  <c r="E198"/>
  <c r="D198"/>
  <c r="F105"/>
  <c r="E105"/>
  <c r="D105"/>
  <c r="G327"/>
  <c r="E290"/>
  <c r="E289"/>
  <c r="E51"/>
  <c r="F51"/>
  <c r="G51"/>
  <c r="E49"/>
  <c r="E284"/>
  <c r="K41"/>
  <c r="L41"/>
  <c r="F41"/>
  <c r="E41"/>
  <c r="D41"/>
  <c r="G41"/>
  <c r="E38"/>
  <c r="F38"/>
  <c r="G38"/>
  <c r="H38"/>
  <c r="E29"/>
  <c r="F29"/>
  <c r="G29"/>
  <c r="H29"/>
  <c r="F22"/>
  <c r="G22"/>
  <c r="H22"/>
  <c r="F47"/>
  <c r="F48"/>
  <c r="F49"/>
  <c r="G49"/>
  <c r="G284"/>
  <c r="G290"/>
  <c r="F290"/>
  <c r="H41"/>
  <c r="K40"/>
  <c r="H290"/>
  <c r="D223"/>
  <c r="D314"/>
  <c r="G105"/>
  <c r="H327"/>
  <c r="H105"/>
  <c r="K42"/>
  <c r="L40"/>
  <c r="L42" s="1"/>
  <c r="U42" i="1"/>
  <c r="H31" i="2" s="1"/>
  <c r="U34" i="1"/>
  <c r="U32"/>
  <c r="U30"/>
  <c r="U28"/>
  <c r="U26"/>
  <c r="U15"/>
  <c r="U13"/>
  <c r="U9"/>
  <c r="U7"/>
  <c r="U4"/>
  <c r="S42"/>
  <c r="G31" i="2" s="1"/>
  <c r="S34" i="1"/>
  <c r="S32"/>
  <c r="S30"/>
  <c r="S28"/>
  <c r="S26"/>
  <c r="S15"/>
  <c r="S13"/>
  <c r="S9"/>
  <c r="S7"/>
  <c r="S4"/>
  <c r="Q42"/>
  <c r="F31" i="2" s="1"/>
  <c r="Q34" i="1"/>
  <c r="Q32"/>
  <c r="Q30"/>
  <c r="Q28"/>
  <c r="Q26"/>
  <c r="Q15"/>
  <c r="Q13"/>
  <c r="Q9"/>
  <c r="Q7"/>
  <c r="Q4"/>
  <c r="Q36"/>
  <c r="Q39"/>
  <c r="Q40" s="1"/>
  <c r="M44"/>
  <c r="D32" i="2" s="1"/>
  <c r="O42" i="1"/>
  <c r="E31" i="2" s="1"/>
  <c r="M42" i="1"/>
  <c r="D31" i="2" s="1"/>
  <c r="O34" i="1"/>
  <c r="O32"/>
  <c r="O30"/>
  <c r="O28"/>
  <c r="O26"/>
  <c r="O15"/>
  <c r="O13"/>
  <c r="O9"/>
  <c r="O7"/>
  <c r="O4"/>
  <c r="M34"/>
  <c r="M32"/>
  <c r="M30"/>
  <c r="M28"/>
  <c r="M26"/>
  <c r="M15"/>
  <c r="M13"/>
  <c r="M9"/>
  <c r="M7"/>
  <c r="M4"/>
  <c r="Q44"/>
  <c r="F32" i="2"/>
  <c r="S36" i="1"/>
  <c r="S39"/>
  <c r="G16" i="2" s="1"/>
  <c r="S44" i="1"/>
  <c r="G32" i="2"/>
  <c r="U36" i="1"/>
  <c r="U39"/>
  <c r="H16" i="2" s="1"/>
  <c r="M36" i="1"/>
  <c r="M39"/>
  <c r="D16" i="2" s="1"/>
  <c r="O36" i="1"/>
  <c r="O39"/>
  <c r="O40" s="1"/>
  <c r="M40"/>
  <c r="D24" i="2" s="1"/>
  <c r="M41" i="1"/>
  <c r="M45"/>
  <c r="U44"/>
  <c r="H32" i="2"/>
  <c r="M46" i="1"/>
  <c r="F284" i="2"/>
  <c r="E48"/>
  <c r="F89"/>
  <c r="F212"/>
  <c r="F283"/>
  <c r="F289"/>
  <c r="G54"/>
  <c r="E16"/>
  <c r="E136"/>
  <c r="O44" i="1"/>
  <c r="E32" i="2"/>
  <c r="H54"/>
  <c r="G289"/>
  <c r="E18"/>
  <c r="E19"/>
  <c r="E20"/>
  <c r="H289"/>
  <c r="G113"/>
  <c r="G47"/>
  <c r="E195"/>
  <c r="E196"/>
  <c r="M70"/>
  <c r="Q13"/>
  <c r="R13"/>
  <c r="Q15"/>
  <c r="R15"/>
  <c r="Q17"/>
  <c r="R17"/>
  <c r="G283"/>
  <c r="G48"/>
  <c r="G89"/>
  <c r="G212"/>
  <c r="H113"/>
  <c r="H47"/>
  <c r="P19"/>
  <c r="D34" s="1"/>
  <c r="Q11"/>
  <c r="R11"/>
  <c r="S15"/>
  <c r="S17"/>
  <c r="S13"/>
  <c r="Q19"/>
  <c r="U17"/>
  <c r="V17"/>
  <c r="H48"/>
  <c r="H89"/>
  <c r="H212"/>
  <c r="H283"/>
  <c r="E85"/>
  <c r="R19"/>
  <c r="E34" s="1"/>
  <c r="E281" s="1"/>
  <c r="S11"/>
  <c r="W17"/>
  <c r="X17"/>
  <c r="E214"/>
  <c r="E140"/>
  <c r="S19"/>
  <c r="Y17"/>
  <c r="Z17"/>
  <c r="U11" l="1"/>
  <c r="D152"/>
  <c r="E152" s="1"/>
  <c r="D281"/>
  <c r="D26"/>
  <c r="D76"/>
  <c r="D27"/>
  <c r="E24"/>
  <c r="O41" i="1"/>
  <c r="O45" s="1"/>
  <c r="O46" s="1"/>
  <c r="D136" i="2"/>
  <c r="D18"/>
  <c r="D19"/>
  <c r="D20"/>
  <c r="H136"/>
  <c r="H18"/>
  <c r="H19"/>
  <c r="H20"/>
  <c r="G136"/>
  <c r="G18"/>
  <c r="G19"/>
  <c r="G20"/>
  <c r="F24"/>
  <c r="Q41" i="1"/>
  <c r="Q45" s="1"/>
  <c r="Q46" s="1"/>
  <c r="E150" i="2"/>
  <c r="D154"/>
  <c r="S40" i="1"/>
  <c r="U40"/>
  <c r="F16" i="2"/>
  <c r="U13"/>
  <c r="V13" s="1"/>
  <c r="U15"/>
  <c r="V15" s="1"/>
  <c r="W15" l="1"/>
  <c r="X15"/>
  <c r="W13"/>
  <c r="X13"/>
  <c r="F136"/>
  <c r="F18"/>
  <c r="F19"/>
  <c r="F20"/>
  <c r="H24"/>
  <c r="U41" i="1"/>
  <c r="U45" s="1"/>
  <c r="U46" s="1"/>
  <c r="G24" i="2"/>
  <c r="S41" i="1"/>
  <c r="S45" s="1"/>
  <c r="S46" s="1"/>
  <c r="F150" i="2"/>
  <c r="E154"/>
  <c r="F26"/>
  <c r="F76"/>
  <c r="G21"/>
  <c r="O70"/>
  <c r="G196"/>
  <c r="G195"/>
  <c r="H21"/>
  <c r="P70"/>
  <c r="H195"/>
  <c r="H196"/>
  <c r="D28"/>
  <c r="D30" s="1"/>
  <c r="D33" s="1"/>
  <c r="D35" s="1"/>
  <c r="D37" s="1"/>
  <c r="D42" s="1"/>
  <c r="E21"/>
  <c r="D196"/>
  <c r="D195"/>
  <c r="E26"/>
  <c r="E76"/>
  <c r="D316"/>
  <c r="D207"/>
  <c r="D217" s="1"/>
  <c r="D92"/>
  <c r="D94" s="1"/>
  <c r="D208"/>
  <c r="D138"/>
  <c r="E23"/>
  <c r="E27" s="1"/>
  <c r="E28" s="1"/>
  <c r="E30" s="1"/>
  <c r="E33" s="1"/>
  <c r="E35" s="1"/>
  <c r="U19"/>
  <c r="F34" s="1"/>
  <c r="F281" s="1"/>
  <c r="V11"/>
  <c r="W11" l="1"/>
  <c r="W19" s="1"/>
  <c r="G34" s="1"/>
  <c r="G281" s="1"/>
  <c r="X11"/>
  <c r="V19"/>
  <c r="D193"/>
  <c r="D192"/>
  <c r="D227"/>
  <c r="D107"/>
  <c r="E208"/>
  <c r="M73"/>
  <c r="E207"/>
  <c r="E217" s="1"/>
  <c r="E316"/>
  <c r="E92"/>
  <c r="E138"/>
  <c r="F23"/>
  <c r="F27" s="1"/>
  <c r="D52"/>
  <c r="D44"/>
  <c r="F208"/>
  <c r="F316"/>
  <c r="F207"/>
  <c r="N73"/>
  <c r="F138"/>
  <c r="G23"/>
  <c r="G150"/>
  <c r="G26"/>
  <c r="G76"/>
  <c r="H26"/>
  <c r="H138" s="1"/>
  <c r="H76"/>
  <c r="F28"/>
  <c r="F30" s="1"/>
  <c r="F33" s="1"/>
  <c r="F35" s="1"/>
  <c r="F21"/>
  <c r="N70"/>
  <c r="F195"/>
  <c r="F196"/>
  <c r="Y13"/>
  <c r="Z13"/>
  <c r="Y15"/>
  <c r="Z15"/>
  <c r="F152"/>
  <c r="G152" s="1"/>
  <c r="H208" l="1"/>
  <c r="P73"/>
  <c r="H316"/>
  <c r="H207"/>
  <c r="H192"/>
  <c r="P71"/>
  <c r="P72" s="1"/>
  <c r="P74" s="1"/>
  <c r="P75" s="1"/>
  <c r="H72" s="1"/>
  <c r="H193"/>
  <c r="G208"/>
  <c r="G316"/>
  <c r="G207"/>
  <c r="O73"/>
  <c r="H23"/>
  <c r="H27" s="1"/>
  <c r="H28" s="1"/>
  <c r="H30" s="1"/>
  <c r="H33" s="1"/>
  <c r="G138"/>
  <c r="H150"/>
  <c r="G154"/>
  <c r="F193"/>
  <c r="N71"/>
  <c r="F192"/>
  <c r="D280"/>
  <c r="D292" s="1"/>
  <c r="D306" s="1"/>
  <c r="D50"/>
  <c r="D53"/>
  <c r="E193"/>
  <c r="E192"/>
  <c r="M71"/>
  <c r="M72" s="1"/>
  <c r="M74" s="1"/>
  <c r="M75" s="1"/>
  <c r="E72" s="1"/>
  <c r="D312"/>
  <c r="Y11"/>
  <c r="Y19" s="1"/>
  <c r="H34" s="1"/>
  <c r="H281" s="1"/>
  <c r="X19"/>
  <c r="Z11"/>
  <c r="Z19" s="1"/>
  <c r="H152"/>
  <c r="N72"/>
  <c r="N74" s="1"/>
  <c r="N75" s="1"/>
  <c r="F72" s="1"/>
  <c r="F154"/>
  <c r="G27"/>
  <c r="G28" s="1"/>
  <c r="G30" s="1"/>
  <c r="G33" s="1"/>
  <c r="G35" s="1"/>
  <c r="F74" l="1"/>
  <c r="F36"/>
  <c r="F37" s="1"/>
  <c r="F42" s="1"/>
  <c r="E74"/>
  <c r="E36"/>
  <c r="E37" s="1"/>
  <c r="E42" s="1"/>
  <c r="E312"/>
  <c r="D115"/>
  <c r="D117" s="1"/>
  <c r="E45"/>
  <c r="F312"/>
  <c r="G193"/>
  <c r="G192"/>
  <c r="O71"/>
  <c r="O72" s="1"/>
  <c r="O74" s="1"/>
  <c r="O75" s="1"/>
  <c r="G72" s="1"/>
  <c r="H36"/>
  <c r="H74"/>
  <c r="H312"/>
  <c r="H154"/>
  <c r="H35"/>
  <c r="H37" s="1"/>
  <c r="H42" s="1"/>
  <c r="H52" l="1"/>
  <c r="H43"/>
  <c r="H85" s="1"/>
  <c r="H44"/>
  <c r="H314"/>
  <c r="H223"/>
  <c r="G36"/>
  <c r="G37" s="1"/>
  <c r="G42" s="1"/>
  <c r="G74"/>
  <c r="G312"/>
  <c r="D167"/>
  <c r="D119"/>
  <c r="E52"/>
  <c r="E44"/>
  <c r="F43"/>
  <c r="F85" s="1"/>
  <c r="E314"/>
  <c r="E223"/>
  <c r="E94"/>
  <c r="F52"/>
  <c r="F44"/>
  <c r="M43"/>
  <c r="F314"/>
  <c r="F223"/>
  <c r="F280" l="1"/>
  <c r="F292" s="1"/>
  <c r="F306" s="1"/>
  <c r="F53"/>
  <c r="E107"/>
  <c r="E227"/>
  <c r="F214"/>
  <c r="F217" s="1"/>
  <c r="F140"/>
  <c r="F92"/>
  <c r="F94" s="1"/>
  <c r="E50"/>
  <c r="E53"/>
  <c r="E280"/>
  <c r="E292" s="1"/>
  <c r="E306" s="1"/>
  <c r="D146"/>
  <c r="D175"/>
  <c r="D173"/>
  <c r="G314"/>
  <c r="G223"/>
  <c r="G52"/>
  <c r="G43"/>
  <c r="G85" s="1"/>
  <c r="G44"/>
  <c r="H280"/>
  <c r="H292" s="1"/>
  <c r="H306" s="1"/>
  <c r="H53"/>
  <c r="H140"/>
  <c r="H214"/>
  <c r="H217" s="1"/>
  <c r="H92"/>
  <c r="H94" s="1"/>
  <c r="H227" l="1"/>
  <c r="H107"/>
  <c r="G280"/>
  <c r="G292" s="1"/>
  <c r="G306" s="1"/>
  <c r="G53"/>
  <c r="G214"/>
  <c r="G217" s="1"/>
  <c r="G140"/>
  <c r="G92"/>
  <c r="G94" s="1"/>
  <c r="D249"/>
  <c r="D171"/>
  <c r="D132"/>
  <c r="D200" s="1"/>
  <c r="D203" s="1"/>
  <c r="D219" s="1"/>
  <c r="D169"/>
  <c r="D253" s="1"/>
  <c r="D165"/>
  <c r="D166" s="1"/>
  <c r="F45"/>
  <c r="F50" s="1"/>
  <c r="E115"/>
  <c r="E117" s="1"/>
  <c r="E167" s="1"/>
  <c r="E175" s="1"/>
  <c r="F227"/>
  <c r="F107"/>
  <c r="E119"/>
  <c r="E173"/>
  <c r="E146" l="1"/>
  <c r="F115"/>
  <c r="F117" s="1"/>
  <c r="F167" s="1"/>
  <c r="F175" s="1"/>
  <c r="G45"/>
  <c r="G50" s="1"/>
  <c r="D246"/>
  <c r="D229"/>
  <c r="G227"/>
  <c r="G107"/>
  <c r="D256" l="1"/>
  <c r="D258"/>
  <c r="G115"/>
  <c r="G117" s="1"/>
  <c r="G167" s="1"/>
  <c r="G175" s="1"/>
  <c r="H45"/>
  <c r="H50" s="1"/>
  <c r="H115" s="1"/>
  <c r="H117" s="1"/>
  <c r="E169"/>
  <c r="E253" s="1"/>
  <c r="E165"/>
  <c r="E166" s="1"/>
  <c r="E249"/>
  <c r="E171"/>
  <c r="E132"/>
  <c r="E200" s="1"/>
  <c r="E203" s="1"/>
  <c r="E219" s="1"/>
  <c r="F173"/>
  <c r="F119"/>
  <c r="F146" l="1"/>
  <c r="E246"/>
  <c r="E229"/>
  <c r="H167"/>
  <c r="H119"/>
  <c r="G173"/>
  <c r="G119"/>
  <c r="G146" l="1"/>
  <c r="H146"/>
  <c r="H175"/>
  <c r="H173"/>
  <c r="E258"/>
  <c r="E260" s="1"/>
  <c r="E256"/>
  <c r="F171"/>
  <c r="F169"/>
  <c r="F253" s="1"/>
  <c r="F165"/>
  <c r="F166" s="1"/>
  <c r="F132"/>
  <c r="F200" s="1"/>
  <c r="F203" s="1"/>
  <c r="F219" s="1"/>
  <c r="F249"/>
  <c r="F246" l="1"/>
  <c r="F229"/>
  <c r="H171"/>
  <c r="H169"/>
  <c r="H165"/>
  <c r="H166" s="1"/>
  <c r="H132"/>
  <c r="H200" s="1"/>
  <c r="H203" s="1"/>
  <c r="G249"/>
  <c r="G169"/>
  <c r="G253" s="1"/>
  <c r="G165"/>
  <c r="G166" s="1"/>
  <c r="G132"/>
  <c r="G200" s="1"/>
  <c r="G203" s="1"/>
  <c r="G219" s="1"/>
  <c r="G171"/>
  <c r="G229" l="1"/>
  <c r="G246"/>
  <c r="H219"/>
  <c r="H249"/>
  <c r="F258"/>
  <c r="F260" s="1"/>
  <c r="F256"/>
  <c r="H229" l="1"/>
  <c r="H253" s="1"/>
  <c r="H246"/>
  <c r="G258"/>
  <c r="G260" s="1"/>
  <c r="G256"/>
  <c r="H258" l="1"/>
  <c r="H260" s="1"/>
  <c r="H256"/>
</calcChain>
</file>

<file path=xl/sharedStrings.xml><?xml version="1.0" encoding="utf-8"?>
<sst xmlns="http://schemas.openxmlformats.org/spreadsheetml/2006/main" count="494" uniqueCount="325">
  <si>
    <t>SR NO</t>
  </si>
  <si>
    <t>BRAND</t>
  </si>
  <si>
    <t>DESCRIPTION</t>
  </si>
  <si>
    <t>COMPOSITION</t>
  </si>
  <si>
    <t>PACKING</t>
  </si>
  <si>
    <t>CAT</t>
  </si>
  <si>
    <t>EXCISE</t>
  </si>
  <si>
    <t>MRP</t>
  </si>
  <si>
    <t>VAT</t>
  </si>
  <si>
    <t>PTR</t>
  </si>
  <si>
    <t>PTS</t>
  </si>
  <si>
    <t>Calsens</t>
  </si>
  <si>
    <t>Tablets</t>
  </si>
  <si>
    <t>Micronized Calcium Carbonate 1000 mg + Magnesium 100 mg + Zinc 7.5 mg + Vitamin D3 - 200 IU + L-Arginine 100 mg + Vitamin-C 100 mg</t>
  </si>
  <si>
    <t>10X10 BLISTER</t>
  </si>
  <si>
    <t>FOOD</t>
  </si>
  <si>
    <t>NA</t>
  </si>
  <si>
    <t>NoAnem</t>
  </si>
  <si>
    <t>Adenosylcobalamin  15 mcg + Ferrous Ascorbate  EQ. elemental iron  100 mg + Zinc Sulphate  7.5 mg +  Folic Acid   5 mg Cap</t>
  </si>
  <si>
    <t>10X10 ALU ALU</t>
  </si>
  <si>
    <t>Recoloniz Caps</t>
  </si>
  <si>
    <t>CAPSULES</t>
  </si>
  <si>
    <t>LACTOBACILLUS ACIDOPHILUS CFU 0.48 B +  LACTOBACILLUS RHAMNOSUS  CFU 0.48 B + LACTOBACILLUS RHAMNOSUS CFU 0.48 B + STREPTOCOCCUS THERMOPHILUS  CFU 0.48 B  + BIFIDOBACTERIUM BIFIDUM CFU 0.48 B +  BIFIDOBACTERIUM LONGUM   CFU 0.48 B + SACCHAROMYCES BOULARDII  CFU 0.1 B + FRUCTOOLIGOSACCHARIDES 100 MG</t>
  </si>
  <si>
    <t>Morning Walk</t>
  </si>
  <si>
    <t>Glucosamine 500 mg + Chondroitin 400 mg + Ginger Extract 100 mg + Boswella Serrata (Salai Guggul) - 300 mg</t>
  </si>
  <si>
    <t>Nuzeal</t>
  </si>
  <si>
    <t>Capsules</t>
  </si>
  <si>
    <t>Lycopene 6% : 10000 mcg; L-Carnitine 50mg+ Ginseng Extract Powder 30 mg + Grape Seed Extract 10 mg + Green Tea Extract 10 mg + Essential Vitamins: Vitamin A Concentrate (2500 IU) 1470 mcg (Oily Form as Palmitate) + Vitamin E Acetate 20 mg + Vitamin D3 (200 IU) 5 mcg + Thiamine Mononitrate 2 mg + Riboflavin 3 mg + Pyridoxin HCl 1 mg + Niacinamide 20 mg + Folic Acid 5 mg + Ascorbic Acid 50 mg + Calcium Pantothenate 5 mg + Essential Minerals + Copper Sulphate 0.5 mg + Manganese Sulphate 0.5 mg + Potassium Iodide 0.1 mg + Potassium Sulphate 2 mg + Selenium Dioxide 70 mcg</t>
  </si>
  <si>
    <t>Maiafol-C</t>
  </si>
  <si>
    <t>Folic Acid 5 mg + Ascorbic Acid 100 mg</t>
  </si>
  <si>
    <t>10X10 STRIP</t>
  </si>
  <si>
    <t>DRUG</t>
  </si>
  <si>
    <t xml:space="preserve">    </t>
  </si>
  <si>
    <t>Xifclav*</t>
  </si>
  <si>
    <t>Cefuroxime 250 mg + Clavulanic Acid 125 mg</t>
  </si>
  <si>
    <t>Xifclav DS*</t>
  </si>
  <si>
    <t>Cefuroxime 500 mg + Clavulanic Acid 125 mg</t>
  </si>
  <si>
    <t>Xicort-6</t>
  </si>
  <si>
    <t>Deflazacort - 6 mg</t>
  </si>
  <si>
    <t>LM-15</t>
  </si>
  <si>
    <t>Levocetirizine 5 mg + Montelukast 10 mg</t>
  </si>
  <si>
    <t>Year-1 (70 MRs)</t>
  </si>
  <si>
    <t>Value</t>
  </si>
  <si>
    <t>Boxes</t>
  </si>
  <si>
    <t>COGS</t>
  </si>
  <si>
    <t>GC</t>
  </si>
  <si>
    <t>Overhead</t>
  </si>
  <si>
    <t>Salary</t>
  </si>
  <si>
    <t>Promotion</t>
  </si>
  <si>
    <t>New Team</t>
  </si>
  <si>
    <t>New Products</t>
  </si>
  <si>
    <t>% PROFIT</t>
  </si>
  <si>
    <t>Year-4 (210 MRs)</t>
  </si>
  <si>
    <t>Year-3 (140 MRs)</t>
  </si>
  <si>
    <t>Year-2 (70 MRs)</t>
  </si>
  <si>
    <t>Total Sales</t>
  </si>
  <si>
    <t>PBIT</t>
  </si>
  <si>
    <t>Year-5 (280 MRs)</t>
  </si>
  <si>
    <t xml:space="preserve">                            AS PER PROFIT AND LOSS ACCOUNT</t>
  </si>
  <si>
    <t>PARTICULARS</t>
  </si>
  <si>
    <t xml:space="preserve">Audited </t>
  </si>
  <si>
    <t>Audited</t>
  </si>
  <si>
    <t xml:space="preserve">                     Provisional/Estimates/projections  for the year ended/ending </t>
  </si>
  <si>
    <t>31.3.2010</t>
  </si>
  <si>
    <t>31.3.2011</t>
  </si>
  <si>
    <t>31.3.2012</t>
  </si>
  <si>
    <t>31.3.2013</t>
  </si>
  <si>
    <t>31.3.2014</t>
  </si>
  <si>
    <t>Domestic</t>
  </si>
  <si>
    <t>Exports</t>
  </si>
  <si>
    <t>Net Sales</t>
  </si>
  <si>
    <t>% of rise in Sales(+) /fall (-)</t>
  </si>
  <si>
    <t>Export Incentives</t>
  </si>
  <si>
    <t>a)</t>
  </si>
  <si>
    <t>Opening Stock</t>
  </si>
  <si>
    <t>b)</t>
  </si>
  <si>
    <t>Purchases/material cost</t>
  </si>
  <si>
    <t>c)</t>
  </si>
  <si>
    <t>Direct Expenses</t>
  </si>
  <si>
    <t>d)</t>
  </si>
  <si>
    <t>Closing Stock</t>
  </si>
  <si>
    <t>Sub-Total (Total Cost of Sales)</t>
  </si>
  <si>
    <t>Gross Profit (3-4)</t>
  </si>
  <si>
    <t>Service Charges &amp; Other Income</t>
  </si>
  <si>
    <t>Sub Total (6 +7)</t>
  </si>
  <si>
    <t>Selling general &amp; Admn.Exp.</t>
  </si>
  <si>
    <t>Operating Profit before Depren and Interest</t>
  </si>
  <si>
    <t>Depreciation</t>
  </si>
  <si>
    <t>Operating Profit before Interest</t>
  </si>
  <si>
    <t>Interest</t>
  </si>
  <si>
    <t xml:space="preserve">Operating Profit after Interest </t>
  </si>
  <si>
    <t>Other Income/Expenses(Non Opereting)</t>
  </si>
  <si>
    <t>Add: Income</t>
  </si>
  <si>
    <t>Deduct: Expenses</t>
  </si>
  <si>
    <t>Sub-Total (+)</t>
  </si>
  <si>
    <t xml:space="preserve">Profit before tax/loss </t>
  </si>
  <si>
    <t>Less Provision for Taxes</t>
  </si>
  <si>
    <t>Net Profit after Tax</t>
  </si>
  <si>
    <t>Retained Profit of Previous years</t>
  </si>
  <si>
    <t>Less: Appropriations</t>
  </si>
  <si>
    <t>Proposed Dividend</t>
  </si>
  <si>
    <t>Transfer to General Reserve</t>
  </si>
  <si>
    <t>Retained Profit /(Loss)</t>
  </si>
  <si>
    <t>PBT/GROSS SALES</t>
  </si>
  <si>
    <t>PAT/GROSS SALES</t>
  </si>
  <si>
    <t>DIVIDEND RATE (%)</t>
  </si>
  <si>
    <t>FORM III -  ANALYSIS OF BALANCE SHEET</t>
  </si>
  <si>
    <t>LIABILITIES</t>
  </si>
  <si>
    <t>CURRENT LIABILITIES</t>
  </si>
  <si>
    <t>Short Term Bank Borrowings</t>
  </si>
  <si>
    <t>From Applicant Bank</t>
  </si>
  <si>
    <t>Export Finance</t>
  </si>
  <si>
    <t xml:space="preserve">b) </t>
  </si>
  <si>
    <t>Cash Credit / Over Draft/Stock Funds/</t>
  </si>
  <si>
    <t>L/C Payable</t>
  </si>
  <si>
    <t>Sub-Total (A)</t>
  </si>
  <si>
    <t>Sundry Creditors for goods</t>
  </si>
  <si>
    <t>Sundry Creditors for Expenses</t>
  </si>
  <si>
    <t>Unsecured loans and deposits</t>
  </si>
  <si>
    <t>other than quasi-equity</t>
  </si>
  <si>
    <t>Advances received from customers</t>
  </si>
  <si>
    <t>Provision for Taxation if any</t>
  </si>
  <si>
    <t>Term Liability due within 1 year</t>
  </si>
  <si>
    <t xml:space="preserve">(due within 1 yr) </t>
  </si>
  <si>
    <t>Sub-Total (B)</t>
  </si>
  <si>
    <t>Total Current Liabilities (A+B)</t>
  </si>
  <si>
    <t>TERM LIABILITIES</t>
  </si>
  <si>
    <t>Unsecured Loans &amp; Deposits Which are</t>
  </si>
  <si>
    <t>in the nature of quasi-equity</t>
  </si>
  <si>
    <t>Term Loans</t>
  </si>
  <si>
    <t>Other term Liabilities, if any</t>
  </si>
  <si>
    <t>Sub-Total (C)</t>
  </si>
  <si>
    <t>Total Outside Liabilities</t>
  </si>
  <si>
    <t>NET WORTH</t>
  </si>
  <si>
    <t>Reserves and Surplus</t>
  </si>
  <si>
    <t>TOTAL LIABILITIES</t>
  </si>
  <si>
    <t xml:space="preserve"> </t>
  </si>
  <si>
    <t>ASSETS</t>
  </si>
  <si>
    <t>CURRENT ASSETS</t>
  </si>
  <si>
    <t>Cash &amp; Bank Balances</t>
  </si>
  <si>
    <t>Advance payments for Raw materials</t>
  </si>
  <si>
    <t>Sundry Debtors</t>
  </si>
  <si>
    <t>Inventories</t>
  </si>
  <si>
    <t>Advance Payment of Taxes</t>
  </si>
  <si>
    <t>Loans &amp; Deposits</t>
  </si>
  <si>
    <t>Other Current Assets</t>
  </si>
  <si>
    <t xml:space="preserve">Total Current Assets  </t>
  </si>
  <si>
    <t>FIXED ASSETS</t>
  </si>
  <si>
    <t>Gross Block</t>
  </si>
  <si>
    <t>Depreciation to date</t>
  </si>
  <si>
    <t>Net Block</t>
  </si>
  <si>
    <t>Capital Work-in-Progress/ Deferred Tax Asset</t>
  </si>
  <si>
    <t>Deposit</t>
  </si>
  <si>
    <t>associates, investments/dues which</t>
  </si>
  <si>
    <t>are not of nature of current assets)</t>
  </si>
  <si>
    <t>Intangible Assets, Misc. Expenditures</t>
  </si>
  <si>
    <t>(such as goodwill, doubtful debts etc.)</t>
  </si>
  <si>
    <t xml:space="preserve">TOTAL ASSETS  </t>
  </si>
  <si>
    <t>Tangible Net Worth</t>
  </si>
  <si>
    <t>Net Working Capital</t>
  </si>
  <si>
    <t>Current Ratio</t>
  </si>
  <si>
    <t>Total Outside Liabilities/ Tangible Net Worth</t>
  </si>
  <si>
    <t>Total Term Liabilities/Tangible Net Worth</t>
  </si>
  <si>
    <t>FORM IV - COMPARATIVE STATEMENT OF CURRENT ASSETS AND CURRENT LIABILITIES</t>
  </si>
  <si>
    <t>I</t>
  </si>
  <si>
    <t>CURRENT ASSETS:-</t>
  </si>
  <si>
    <t>i)</t>
  </si>
  <si>
    <t>(                    months cost o sales)</t>
  </si>
  <si>
    <t>iv)</t>
  </si>
  <si>
    <t>Sundry Debtors other than export receivables</t>
  </si>
  <si>
    <t>(                    months sales)</t>
  </si>
  <si>
    <t>v)</t>
  </si>
  <si>
    <t>Advances to suppliers</t>
  </si>
  <si>
    <t>vi)</t>
  </si>
  <si>
    <t>Other current assets including cash</t>
  </si>
  <si>
    <t>and bank balances</t>
  </si>
  <si>
    <t>Total Current Assets : (I)</t>
  </si>
  <si>
    <t>II</t>
  </si>
  <si>
    <t>(Other than Bank Borrowings)</t>
  </si>
  <si>
    <t>Sundry Creditors  for Goods</t>
  </si>
  <si>
    <t>(months purchases)</t>
  </si>
  <si>
    <t>ii)</t>
  </si>
  <si>
    <t>Unsecured Loans and deposits</t>
  </si>
  <si>
    <t>Other Current Liabilities</t>
  </si>
  <si>
    <t>Provision for taxation</t>
  </si>
  <si>
    <t>Others</t>
  </si>
  <si>
    <t>Total Current Liabilities  (II)</t>
  </si>
  <si>
    <t>III</t>
  </si>
  <si>
    <t>Working Capital Gap (I - II)</t>
  </si>
  <si>
    <t>IV</t>
  </si>
  <si>
    <t>Actual/Projected bank borrowings</t>
  </si>
  <si>
    <t>for working capital including bills</t>
  </si>
  <si>
    <t>purchased and discounted and excess</t>
  </si>
  <si>
    <t>borrowing places on repayment basis</t>
  </si>
  <si>
    <t>(sub total (A) in form III-A)</t>
  </si>
  <si>
    <t>V</t>
  </si>
  <si>
    <t>Total Current Liabilities</t>
  </si>
  <si>
    <t>VI</t>
  </si>
  <si>
    <t>Net Working Capital  (I minus V)</t>
  </si>
  <si>
    <t>FORM V - COMPUTATION OF MAXIMUM PERMISSIBLE BANK FINANCE FOR WORKING CAPITAL</t>
  </si>
  <si>
    <t>II nd method of Lending</t>
  </si>
  <si>
    <t>Working capital gap</t>
  </si>
  <si>
    <t>(item III of Part B)</t>
  </si>
  <si>
    <t>Minimum stipulated net working capital</t>
  </si>
  <si>
    <t xml:space="preserve">(25% of total current assets </t>
  </si>
  <si>
    <t xml:space="preserve">Actual/Projected net working capital </t>
  </si>
  <si>
    <t>Item 8 minus item 9</t>
  </si>
  <si>
    <t>Item 8 minus item 10</t>
  </si>
  <si>
    <t>Maximum permissible bank finance</t>
  </si>
  <si>
    <t>(Lower of item 11/12)</t>
  </si>
  <si>
    <t xml:space="preserve">Excess borrowings </t>
  </si>
  <si>
    <t xml:space="preserve">(representing short fall in net working </t>
  </si>
  <si>
    <t>capital) (Item 9 minus item 10)</t>
  </si>
  <si>
    <t>FORM VI   - FUND FLOW STATEMENTS :</t>
  </si>
  <si>
    <t>Sr.</t>
  </si>
  <si>
    <t xml:space="preserve">      PARTICULARS</t>
  </si>
  <si>
    <t>No.</t>
  </si>
  <si>
    <t>1.</t>
  </si>
  <si>
    <t>SOURCES :</t>
  </si>
  <si>
    <t>a.</t>
  </si>
  <si>
    <t>Net Profit (after tax)</t>
  </si>
  <si>
    <t>b.</t>
  </si>
  <si>
    <t>Impairment Loss of Assets</t>
  </si>
  <si>
    <t>c.</t>
  </si>
  <si>
    <t>Increase in Capital ( incl. Share premium )</t>
  </si>
  <si>
    <t xml:space="preserve">d   </t>
  </si>
  <si>
    <t>Increase in Quasi Capital ( Transfer from Loan )</t>
  </si>
  <si>
    <t>e.</t>
  </si>
  <si>
    <t>Increase in Term Liability</t>
  </si>
  <si>
    <t xml:space="preserve">   </t>
  </si>
  <si>
    <t>f.</t>
  </si>
  <si>
    <t>Decrease in</t>
  </si>
  <si>
    <t>Fixed Assets</t>
  </si>
  <si>
    <t>Other Non-current Assets</t>
  </si>
  <si>
    <t>g.</t>
  </si>
  <si>
    <t xml:space="preserve">Other </t>
  </si>
  <si>
    <t>h</t>
  </si>
  <si>
    <t>TOTAL</t>
  </si>
  <si>
    <t>2.</t>
  </si>
  <si>
    <t>USES :</t>
  </si>
  <si>
    <t>Net Loss</t>
  </si>
  <si>
    <t>Decrease in Term liabilities</t>
  </si>
  <si>
    <t>(Inclusive Public deposits)</t>
  </si>
  <si>
    <t>Increase in</t>
  </si>
  <si>
    <t>d.</t>
  </si>
  <si>
    <t>Decrease in Term Liabilities</t>
  </si>
  <si>
    <t>3.</t>
  </si>
  <si>
    <t>Long term surplus (+) Deficit (-) ( 1- 2 )</t>
  </si>
  <si>
    <t>4.</t>
  </si>
  <si>
    <t xml:space="preserve">Increase / decrease in current assets </t>
  </si>
  <si>
    <t xml:space="preserve">i) </t>
  </si>
  <si>
    <t>Increase / (decrease) in Raw Materials</t>
  </si>
  <si>
    <t xml:space="preserve">ii) </t>
  </si>
  <si>
    <t xml:space="preserve">Increase / (decrease) in Stock in process </t>
  </si>
  <si>
    <t xml:space="preserve">iii) </t>
  </si>
  <si>
    <t>Increase / (decrease) in Finished Goods</t>
  </si>
  <si>
    <t xml:space="preserve">iv) </t>
  </si>
  <si>
    <t>Increase / (Decrease) in Receivables</t>
  </si>
  <si>
    <t>Export</t>
  </si>
  <si>
    <t xml:space="preserve">Increase / (Decrease) in Stores &amp; Spares </t>
  </si>
  <si>
    <t>Increase / (Decrease) in other current assets</t>
  </si>
  <si>
    <t>5.</t>
  </si>
  <si>
    <t xml:space="preserve">(Increase) / decrease in current liabilities </t>
  </si>
  <si>
    <t>other than Bank borrowings)</t>
  </si>
  <si>
    <t>6.</t>
  </si>
  <si>
    <t>Increase/decrease in working capital gap</t>
  </si>
  <si>
    <t>Net surplus (+) deficit (-) (Difference of 3&amp; 6  )</t>
  </si>
  <si>
    <t>Increase / decrease in Bank borrowings</t>
  </si>
  <si>
    <t>INCREASE / (DECREASE) IN NET SALES</t>
  </si>
  <si>
    <t>DEBT SERVICE COVERAGE RATIO</t>
  </si>
  <si>
    <t>Receipts</t>
  </si>
  <si>
    <t>Net Profit After Tax</t>
  </si>
  <si>
    <t>ADD</t>
  </si>
  <si>
    <t>depreciation</t>
  </si>
  <si>
    <t>interest</t>
  </si>
  <si>
    <t>A</t>
  </si>
  <si>
    <t>Total inflow</t>
  </si>
  <si>
    <t>Term loan instalments</t>
  </si>
  <si>
    <t>B</t>
  </si>
  <si>
    <t>Total Outflow</t>
  </si>
  <si>
    <t>DSCR  A/B</t>
  </si>
  <si>
    <t>Avg DSCR</t>
  </si>
  <si>
    <t>31.03.16</t>
  </si>
  <si>
    <t>31.03.17</t>
  </si>
  <si>
    <t>31.03.18</t>
  </si>
  <si>
    <t>31.03.19</t>
  </si>
  <si>
    <t>31.03.20</t>
  </si>
  <si>
    <t>Rs. In lacs</t>
  </si>
  <si>
    <t>PADMASHRI LIFE SCIENCES P. LTD</t>
  </si>
  <si>
    <t>ASSESSMENTS OF WORKING CAPITAL REQUIREMENTS</t>
  </si>
  <si>
    <t>Sales (including VAT)</t>
  </si>
  <si>
    <t>Less : VAT (@ 14% on 65% of MRP for Nutraceuticals and 5% on MRP for Drugs). Average of 7.5%</t>
  </si>
  <si>
    <t>Sales Return - Expiry Breakages, etc. (@2.5%)</t>
  </si>
  <si>
    <t>Promotional Expenses (@ 10% to sales in II &amp; III years and 15% to sales in the IV &amp; V years</t>
  </si>
  <si>
    <t>iii)</t>
  </si>
  <si>
    <t>vii)</t>
  </si>
  <si>
    <t>viii)</t>
  </si>
  <si>
    <t>Tax on Proposed Dividend</t>
  </si>
  <si>
    <t>Other current liabilities &amp; Provision : Proposed dividend</t>
  </si>
  <si>
    <t>Additional capex</t>
  </si>
  <si>
    <t>Computer/Laptop (70)</t>
  </si>
  <si>
    <t>first year</t>
  </si>
  <si>
    <t>third year</t>
  </si>
  <si>
    <t>Furniture</t>
  </si>
  <si>
    <t>Vehicles</t>
  </si>
  <si>
    <t>SCHEDULE OF DEPRECIATION</t>
  </si>
  <si>
    <t>--------------------------------------------------</t>
  </si>
  <si>
    <t>( Rs.  ' 000)</t>
  </si>
  <si>
    <t>-</t>
  </si>
  <si>
    <t xml:space="preserve">   Rate</t>
  </si>
  <si>
    <t>WDV</t>
  </si>
  <si>
    <t>DEP.</t>
  </si>
  <si>
    <t>Equipments &amp; Appliances</t>
  </si>
  <si>
    <t xml:space="preserve">Furniture </t>
  </si>
  <si>
    <t xml:space="preserve">          TOTAL</t>
  </si>
  <si>
    <t>Computers/Laptop</t>
  </si>
  <si>
    <t>31.03.2016</t>
  </si>
  <si>
    <t>31.03.2017</t>
  </si>
  <si>
    <t>Original cost</t>
  </si>
  <si>
    <t>31.03.2018</t>
  </si>
  <si>
    <t>31.03.2019</t>
  </si>
  <si>
    <t>31.03.2020</t>
  </si>
  <si>
    <t>Addition</t>
  </si>
  <si>
    <t>Promoters Share Capital</t>
  </si>
  <si>
    <t>Investors Share Capital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</si>
</sst>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d\-mmm\-yyyy"/>
    <numFmt numFmtId="165" formatCode="_(* #,##0_);_(* \(#,##0\);_(* &quot;-&quot;??_);_(@_)"/>
    <numFmt numFmtId="166" formatCode="_ * #,##0.00_ ;_ * \-#,##0.00_ ;_ * &quot;-&quot;??_ ;_ @_ "/>
    <numFmt numFmtId="167" formatCode="0.00_)"/>
  </numFmts>
  <fonts count="14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F315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0124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1">
    <xf numFmtId="0" fontId="0" fillId="0" borderId="0" xfId="0"/>
    <xf numFmtId="0" fontId="9" fillId="0" borderId="1" xfId="0" applyFont="1" applyBorder="1"/>
    <xf numFmtId="1" fontId="9" fillId="0" borderId="1" xfId="0" applyNumberFormat="1" applyFont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Font="1"/>
    <xf numFmtId="2" fontId="0" fillId="0" borderId="1" xfId="0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5" fontId="2" fillId="0" borderId="0" xfId="1" applyNumberFormat="1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0" fontId="1" fillId="0" borderId="0" xfId="0" applyFont="1"/>
    <xf numFmtId="0" fontId="1" fillId="0" borderId="14" xfId="0" applyFont="1" applyBorder="1"/>
    <xf numFmtId="0" fontId="2" fillId="0" borderId="0" xfId="0" applyFont="1" applyBorder="1"/>
    <xf numFmtId="43" fontId="1" fillId="0" borderId="0" xfId="1" applyFont="1" applyBorder="1"/>
    <xf numFmtId="43" fontId="1" fillId="0" borderId="15" xfId="1" applyFont="1" applyBorder="1"/>
    <xf numFmtId="43" fontId="1" fillId="0" borderId="16" xfId="1" applyFont="1" applyBorder="1"/>
    <xf numFmtId="0" fontId="1" fillId="0" borderId="15" xfId="0" applyFont="1" applyBorder="1"/>
    <xf numFmtId="0" fontId="1" fillId="0" borderId="16" xfId="0" applyFont="1" applyBorder="1"/>
    <xf numFmtId="43" fontId="2" fillId="0" borderId="0" xfId="1" applyFont="1" applyBorder="1"/>
    <xf numFmtId="43" fontId="2" fillId="0" borderId="15" xfId="1" applyFont="1" applyBorder="1"/>
    <xf numFmtId="43" fontId="2" fillId="0" borderId="16" xfId="1" applyFont="1" applyBorder="1"/>
    <xf numFmtId="0" fontId="1" fillId="0" borderId="17" xfId="0" applyFont="1" applyBorder="1"/>
    <xf numFmtId="43" fontId="2" fillId="0" borderId="17" xfId="1" applyFont="1" applyBorder="1" applyAlignment="1">
      <alignment horizontal="center"/>
    </xf>
    <xf numFmtId="0" fontId="1" fillId="0" borderId="18" xfId="0" applyFont="1" applyBorder="1"/>
    <xf numFmtId="0" fontId="2" fillId="0" borderId="19" xfId="0" applyFont="1" applyBorder="1"/>
    <xf numFmtId="43" fontId="2" fillId="0" borderId="0" xfId="1" applyFont="1" applyBorder="1" applyAlignment="1">
      <alignment horizontal="left"/>
    </xf>
    <xf numFmtId="43" fontId="2" fillId="0" borderId="15" xfId="1" applyFont="1" applyBorder="1" applyAlignment="1">
      <alignment horizontal="left"/>
    </xf>
    <xf numFmtId="43" fontId="2" fillId="0" borderId="11" xfId="1" applyFont="1" applyBorder="1" applyAlignment="1">
      <alignment horizontal="center"/>
    </xf>
    <xf numFmtId="0" fontId="2" fillId="0" borderId="16" xfId="0" applyFont="1" applyBorder="1"/>
    <xf numFmtId="164" fontId="2" fillId="0" borderId="11" xfId="1" applyNumberFormat="1" applyFont="1" applyBorder="1"/>
    <xf numFmtId="0" fontId="1" fillId="0" borderId="19" xfId="0" applyFont="1" applyBorder="1"/>
    <xf numFmtId="0" fontId="1" fillId="0" borderId="20" xfId="0" applyFont="1" applyBorder="1"/>
    <xf numFmtId="165" fontId="2" fillId="0" borderId="1" xfId="1" applyNumberFormat="1" applyFont="1" applyBorder="1" applyAlignment="1">
      <alignment horizontal="center" wrapText="1"/>
    </xf>
    <xf numFmtId="43" fontId="2" fillId="0" borderId="0" xfId="1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164" fontId="2" fillId="0" borderId="0" xfId="1" applyNumberFormat="1" applyFont="1" applyBorder="1"/>
    <xf numFmtId="165" fontId="2" fillId="0" borderId="0" xfId="1" applyNumberFormat="1" applyFont="1" applyBorder="1" applyAlignment="1">
      <alignment horizontal="center" wrapText="1"/>
    </xf>
    <xf numFmtId="43" fontId="1" fillId="0" borderId="17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43" fontId="1" fillId="0" borderId="1" xfId="1" applyFont="1" applyBorder="1"/>
    <xf numFmtId="166" fontId="1" fillId="0" borderId="0" xfId="1" applyNumberFormat="1" applyFont="1" applyBorder="1" applyAlignment="1">
      <alignment horizontal="center"/>
    </xf>
    <xf numFmtId="43" fontId="1" fillId="0" borderId="16" xfId="1" applyFont="1" applyBorder="1" applyAlignment="1">
      <alignment horizontal="center"/>
    </xf>
    <xf numFmtId="2" fontId="1" fillId="0" borderId="0" xfId="0" applyNumberFormat="1" applyFont="1" applyBorder="1"/>
    <xf numFmtId="0" fontId="1" fillId="0" borderId="16" xfId="0" applyFont="1" applyBorder="1" applyAlignment="1">
      <alignment horizontal="left"/>
    </xf>
    <xf numFmtId="43" fontId="2" fillId="0" borderId="1" xfId="1" applyFont="1" applyBorder="1"/>
    <xf numFmtId="43" fontId="2" fillId="0" borderId="17" xfId="1" applyFont="1" applyBorder="1"/>
    <xf numFmtId="43" fontId="1" fillId="0" borderId="11" xfId="1" applyFont="1" applyBorder="1"/>
    <xf numFmtId="1" fontId="1" fillId="0" borderId="0" xfId="0" applyNumberFormat="1" applyFont="1"/>
    <xf numFmtId="2" fontId="1" fillId="0" borderId="0" xfId="0" applyNumberFormat="1" applyFont="1"/>
    <xf numFmtId="43" fontId="2" fillId="0" borderId="21" xfId="1" applyFont="1" applyBorder="1"/>
    <xf numFmtId="10" fontId="1" fillId="0" borderId="16" xfId="1" applyNumberFormat="1" applyFont="1" applyBorder="1"/>
    <xf numFmtId="10" fontId="1" fillId="0" borderId="0" xfId="1" applyNumberFormat="1" applyFont="1" applyBorder="1"/>
    <xf numFmtId="0" fontId="2" fillId="0" borderId="0" xfId="0" applyFont="1"/>
    <xf numFmtId="43" fontId="1" fillId="0" borderId="0" xfId="1" applyFont="1"/>
    <xf numFmtId="43" fontId="1" fillId="0" borderId="17" xfId="1" applyFont="1" applyBorder="1"/>
    <xf numFmtId="0" fontId="2" fillId="0" borderId="14" xfId="0" applyFont="1" applyBorder="1"/>
    <xf numFmtId="0" fontId="3" fillId="0" borderId="0" xfId="0" applyFont="1" applyBorder="1"/>
    <xf numFmtId="43" fontId="1" fillId="0" borderId="16" xfId="1" applyFont="1" applyFill="1" applyBorder="1"/>
    <xf numFmtId="43" fontId="1" fillId="0" borderId="0" xfId="1" applyFont="1" applyFill="1" applyBorder="1"/>
    <xf numFmtId="43" fontId="1" fillId="0" borderId="16" xfId="1" applyNumberFormat="1" applyFont="1" applyBorder="1"/>
    <xf numFmtId="43" fontId="1" fillId="0" borderId="0" xfId="0" applyNumberFormat="1" applyFont="1"/>
    <xf numFmtId="0" fontId="3" fillId="0" borderId="14" xfId="0" applyFont="1" applyBorder="1"/>
    <xf numFmtId="166" fontId="1" fillId="0" borderId="16" xfId="1" applyNumberFormat="1" applyFont="1" applyBorder="1"/>
    <xf numFmtId="166" fontId="1" fillId="0" borderId="0" xfId="1" applyNumberFormat="1" applyFont="1" applyBorder="1"/>
    <xf numFmtId="0" fontId="2" fillId="0" borderId="18" xfId="0" applyFont="1" applyBorder="1"/>
    <xf numFmtId="43" fontId="2" fillId="0" borderId="0" xfId="1" applyFont="1"/>
    <xf numFmtId="43" fontId="1" fillId="0" borderId="19" xfId="1" applyFont="1" applyBorder="1"/>
    <xf numFmtId="43" fontId="2" fillId="0" borderId="18" xfId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3" fontId="4" fillId="0" borderId="16" xfId="1" applyFont="1" applyBorder="1"/>
    <xf numFmtId="43" fontId="4" fillId="0" borderId="0" xfId="1" applyFont="1" applyBorder="1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1" xfId="0" applyFont="1" applyBorder="1"/>
    <xf numFmtId="43" fontId="1" fillId="0" borderId="22" xfId="1" applyFont="1" applyBorder="1"/>
    <xf numFmtId="0" fontId="5" fillId="0" borderId="16" xfId="0" applyFont="1" applyBorder="1"/>
    <xf numFmtId="0" fontId="2" fillId="0" borderId="0" xfId="0" applyFont="1" applyBorder="1" applyAlignment="1">
      <alignment horizontal="left"/>
    </xf>
    <xf numFmtId="43" fontId="2" fillId="0" borderId="0" xfId="1" quotePrefix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7" fontId="2" fillId="0" borderId="0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1" xfId="0" quotePrefix="1" applyFont="1" applyBorder="1" applyAlignment="1">
      <alignment horizontal="center"/>
    </xf>
    <xf numFmtId="43" fontId="1" fillId="0" borderId="16" xfId="1" applyFont="1" applyBorder="1" applyAlignment="1">
      <alignment vertical="top"/>
    </xf>
    <xf numFmtId="43" fontId="1" fillId="0" borderId="13" xfId="1" applyFont="1" applyBorder="1"/>
    <xf numFmtId="1" fontId="1" fillId="0" borderId="17" xfId="1" applyNumberFormat="1" applyFont="1" applyBorder="1" applyAlignment="1">
      <alignment horizontal="center"/>
    </xf>
    <xf numFmtId="0" fontId="1" fillId="0" borderId="16" xfId="0" applyFont="1" applyBorder="1" applyAlignment="1">
      <alignment wrapText="1"/>
    </xf>
    <xf numFmtId="1" fontId="1" fillId="0" borderId="1" xfId="1" applyNumberFormat="1" applyFont="1" applyBorder="1" applyAlignment="1">
      <alignment horizontal="center"/>
    </xf>
    <xf numFmtId="1" fontId="1" fillId="0" borderId="1" xfId="1" applyNumberFormat="1" applyFont="1" applyBorder="1"/>
    <xf numFmtId="1" fontId="2" fillId="0" borderId="1" xfId="1" applyNumberFormat="1" applyFont="1" applyBorder="1"/>
    <xf numFmtId="1" fontId="2" fillId="0" borderId="16" xfId="1" applyNumberFormat="1" applyFont="1" applyBorder="1"/>
    <xf numFmtId="1" fontId="1" fillId="0" borderId="16" xfId="1" applyNumberFormat="1" applyFont="1" applyBorder="1"/>
    <xf numFmtId="1" fontId="2" fillId="0" borderId="17" xfId="1" applyNumberFormat="1" applyFont="1" applyBorder="1"/>
    <xf numFmtId="1" fontId="1" fillId="0" borderId="11" xfId="1" applyNumberFormat="1" applyFont="1" applyBorder="1"/>
    <xf numFmtId="1" fontId="2" fillId="0" borderId="21" xfId="1" applyNumberFormat="1" applyFont="1" applyBorder="1"/>
    <xf numFmtId="164" fontId="1" fillId="0" borderId="11" xfId="1" applyNumberFormat="1" applyFont="1" applyBorder="1" applyAlignment="1">
      <alignment horizontal="center"/>
    </xf>
    <xf numFmtId="0" fontId="1" fillId="0" borderId="22" xfId="0" applyFont="1" applyBorder="1"/>
    <xf numFmtId="0" fontId="2" fillId="0" borderId="15" xfId="0" applyFont="1" applyBorder="1"/>
    <xf numFmtId="43" fontId="6" fillId="0" borderId="16" xfId="1" applyFont="1" applyBorder="1"/>
    <xf numFmtId="1" fontId="1" fillId="0" borderId="1" xfId="1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center"/>
    </xf>
    <xf numFmtId="1" fontId="1" fillId="0" borderId="0" xfId="1" applyNumberFormat="1" applyFont="1" applyBorder="1" applyAlignment="1">
      <alignment horizontal="center"/>
    </xf>
    <xf numFmtId="1" fontId="1" fillId="0" borderId="0" xfId="1" applyNumberFormat="1" applyFont="1" applyBorder="1"/>
    <xf numFmtId="1" fontId="2" fillId="0" borderId="0" xfId="1" applyNumberFormat="1" applyFont="1" applyBorder="1"/>
    <xf numFmtId="1" fontId="1" fillId="0" borderId="0" xfId="1" applyNumberFormat="1" applyFont="1" applyBorder="1" applyAlignment="1">
      <alignment horizontal="right"/>
    </xf>
    <xf numFmtId="43" fontId="6" fillId="0" borderId="0" xfId="1" applyFont="1" applyBorder="1"/>
    <xf numFmtId="9" fontId="1" fillId="0" borderId="17" xfId="1" applyNumberFormat="1" applyFont="1" applyBorder="1" applyAlignment="1">
      <alignment horizontal="center"/>
    </xf>
    <xf numFmtId="167" fontId="7" fillId="0" borderId="0" xfId="0" applyNumberFormat="1" applyFont="1"/>
    <xf numFmtId="167" fontId="7" fillId="0" borderId="0" xfId="0" applyNumberFormat="1" applyFont="1" applyProtection="1"/>
    <xf numFmtId="167" fontId="7" fillId="0" borderId="0" xfId="0" applyNumberFormat="1" applyFont="1" applyAlignment="1" applyProtection="1">
      <alignment horizontal="left"/>
    </xf>
    <xf numFmtId="167" fontId="7" fillId="0" borderId="0" xfId="0" quotePrefix="1" applyNumberFormat="1" applyFont="1" applyAlignment="1" applyProtection="1">
      <alignment horizontal="left"/>
    </xf>
    <xf numFmtId="167" fontId="7" fillId="0" borderId="0" xfId="0" applyNumberFormat="1" applyFont="1" applyAlignment="1" applyProtection="1">
      <alignment horizontal="fill"/>
    </xf>
    <xf numFmtId="167" fontId="7" fillId="0" borderId="0" xfId="0" applyNumberFormat="1" applyFont="1" applyAlignment="1" applyProtection="1">
      <alignment horizontal="center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justify" vertical="center" wrapText="1"/>
    </xf>
    <xf numFmtId="0" fontId="11" fillId="0" borderId="23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23" xfId="0" applyFont="1" applyBorder="1" applyAlignment="1">
      <alignment horizontal="right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24" xfId="0" applyFont="1" applyBorder="1" applyAlignment="1">
      <alignment horizontal="right" vertical="center"/>
    </xf>
    <xf numFmtId="0" fontId="12" fillId="0" borderId="25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 wrapText="1"/>
    </xf>
    <xf numFmtId="0" fontId="12" fillId="0" borderId="26" xfId="0" applyFont="1" applyBorder="1" applyAlignment="1">
      <alignment horizontal="right" vertical="center"/>
    </xf>
    <xf numFmtId="167" fontId="7" fillId="0" borderId="0" xfId="0" applyNumberFormat="1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pane xSplit="2" topLeftCell="L1" activePane="topRight" state="frozen"/>
      <selection pane="topRight" activeCell="Q40" sqref="Q40"/>
    </sheetView>
  </sheetViews>
  <sheetFormatPr defaultRowHeight="15"/>
  <cols>
    <col min="1" max="1" width="5.5703125" bestFit="1" customWidth="1"/>
    <col min="2" max="2" width="14.28515625" bestFit="1" customWidth="1"/>
    <col min="3" max="3" width="10.5703125" customWidth="1"/>
    <col min="4" max="4" width="51.85546875" customWidth="1"/>
    <col min="5" max="5" width="12" bestFit="1" customWidth="1"/>
    <col min="12" max="12" width="13.42578125" bestFit="1" customWidth="1"/>
    <col min="13" max="13" width="9.7109375" bestFit="1" customWidth="1"/>
    <col min="14" max="14" width="8.5703125" bestFit="1" customWidth="1"/>
    <col min="15" max="15" width="10" bestFit="1" customWidth="1"/>
    <col min="16" max="16" width="6.5703125" bestFit="1" customWidth="1"/>
    <col min="17" max="17" width="10" bestFit="1" customWidth="1"/>
    <col min="18" max="18" width="9.5703125" bestFit="1" customWidth="1"/>
    <col min="19" max="19" width="10" bestFit="1" customWidth="1"/>
    <col min="20" max="20" width="6.5703125" bestFit="1" customWidth="1"/>
    <col min="21" max="21" width="10" bestFit="1" customWidth="1"/>
  </cols>
  <sheetData>
    <row r="1" spans="1:21" ht="45.75" customHeight="1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9" t="s">
        <v>9</v>
      </c>
      <c r="K1" s="10" t="s">
        <v>10</v>
      </c>
      <c r="L1" s="143" t="s">
        <v>41</v>
      </c>
      <c r="M1" s="144"/>
      <c r="N1" s="141" t="s">
        <v>54</v>
      </c>
      <c r="O1" s="142"/>
      <c r="P1" s="141" t="s">
        <v>53</v>
      </c>
      <c r="Q1" s="142"/>
      <c r="R1" s="141" t="s">
        <v>52</v>
      </c>
      <c r="S1" s="142"/>
      <c r="T1" s="141" t="s">
        <v>57</v>
      </c>
      <c r="U1" s="142"/>
    </row>
    <row r="2" spans="1:21" ht="15.75" thickBot="1">
      <c r="A2" s="11"/>
      <c r="B2" s="12"/>
      <c r="C2" s="13"/>
      <c r="D2" s="12"/>
      <c r="E2" s="12"/>
      <c r="F2" s="13"/>
      <c r="G2" s="13"/>
      <c r="H2" s="13"/>
      <c r="I2" s="12"/>
      <c r="J2" s="13"/>
      <c r="K2" s="14"/>
      <c r="L2" s="15" t="s">
        <v>43</v>
      </c>
      <c r="M2" s="3" t="s">
        <v>42</v>
      </c>
      <c r="N2" s="3" t="s">
        <v>43</v>
      </c>
      <c r="O2" s="3" t="s">
        <v>42</v>
      </c>
      <c r="P2" s="3" t="s">
        <v>43</v>
      </c>
      <c r="Q2" s="3" t="s">
        <v>42</v>
      </c>
      <c r="R2" s="3" t="s">
        <v>43</v>
      </c>
      <c r="S2" s="3" t="s">
        <v>42</v>
      </c>
      <c r="T2" s="3" t="s">
        <v>43</v>
      </c>
      <c r="U2" s="3" t="s">
        <v>42</v>
      </c>
    </row>
    <row r="3" spans="1:21">
      <c r="A3" s="16"/>
      <c r="B3" s="157" t="s">
        <v>11</v>
      </c>
      <c r="C3" s="160" t="s">
        <v>12</v>
      </c>
      <c r="D3" s="145" t="s">
        <v>13</v>
      </c>
      <c r="E3" s="157" t="s">
        <v>14</v>
      </c>
      <c r="F3" s="145" t="s">
        <v>15</v>
      </c>
      <c r="G3" s="145" t="s">
        <v>16</v>
      </c>
      <c r="H3" s="145">
        <v>370</v>
      </c>
      <c r="I3" s="148">
        <v>37.299999999999997</v>
      </c>
      <c r="J3" s="151">
        <v>258.7</v>
      </c>
      <c r="K3" s="154">
        <v>229.1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16"/>
      <c r="B4" s="158"/>
      <c r="C4" s="161"/>
      <c r="D4" s="146"/>
      <c r="E4" s="158"/>
      <c r="F4" s="146"/>
      <c r="G4" s="146"/>
      <c r="H4" s="146"/>
      <c r="I4" s="149"/>
      <c r="J4" s="152"/>
      <c r="K4" s="155"/>
      <c r="L4" s="3">
        <v>12</v>
      </c>
      <c r="M4" s="4">
        <f>K3*70*12*L4</f>
        <v>2309328</v>
      </c>
      <c r="N4" s="3">
        <v>15</v>
      </c>
      <c r="O4" s="4">
        <f>N4*70*K3*12</f>
        <v>2886660</v>
      </c>
      <c r="P4" s="3">
        <v>17</v>
      </c>
      <c r="Q4" s="4">
        <f>P4*K3*140*12</f>
        <v>6543096</v>
      </c>
      <c r="R4" s="3">
        <v>20</v>
      </c>
      <c r="S4" s="4">
        <f>R4*K3*210*12</f>
        <v>11546640</v>
      </c>
      <c r="T4" s="3">
        <v>20</v>
      </c>
      <c r="U4" s="4">
        <f>T4*K3*280*12</f>
        <v>15395520</v>
      </c>
    </row>
    <row r="5" spans="1:21" ht="15.75" thickBot="1">
      <c r="A5" s="17">
        <v>1</v>
      </c>
      <c r="B5" s="159"/>
      <c r="C5" s="162"/>
      <c r="D5" s="147"/>
      <c r="E5" s="159"/>
      <c r="F5" s="147"/>
      <c r="G5" s="147"/>
      <c r="H5" s="147"/>
      <c r="I5" s="150"/>
      <c r="J5" s="153"/>
      <c r="K5" s="156"/>
      <c r="L5" s="3"/>
      <c r="M5" s="4"/>
      <c r="N5" s="3"/>
      <c r="O5" s="4"/>
      <c r="P5" s="3"/>
      <c r="Q5" s="4"/>
      <c r="R5" s="3"/>
      <c r="S5" s="4"/>
      <c r="T5" s="3"/>
      <c r="U5" s="4"/>
    </row>
    <row r="6" spans="1:21">
      <c r="A6" s="16"/>
      <c r="B6" s="157" t="s">
        <v>17</v>
      </c>
      <c r="C6" s="160" t="s">
        <v>12</v>
      </c>
      <c r="D6" s="145" t="s">
        <v>18</v>
      </c>
      <c r="E6" s="157" t="s">
        <v>19</v>
      </c>
      <c r="F6" s="145" t="s">
        <v>15</v>
      </c>
      <c r="G6" s="145" t="s">
        <v>16</v>
      </c>
      <c r="H6" s="145">
        <v>793</v>
      </c>
      <c r="I6" s="148">
        <v>79.930000000000007</v>
      </c>
      <c r="J6" s="151">
        <v>554.47</v>
      </c>
      <c r="K6" s="154">
        <v>491.03</v>
      </c>
      <c r="L6" s="3"/>
      <c r="M6" s="4"/>
      <c r="N6" s="3"/>
      <c r="O6" s="4"/>
      <c r="P6" s="3"/>
      <c r="Q6" s="4"/>
      <c r="R6" s="3"/>
      <c r="S6" s="4"/>
      <c r="T6" s="3"/>
      <c r="U6" s="4"/>
    </row>
    <row r="7" spans="1:21" ht="15.75" thickBot="1">
      <c r="A7" s="17">
        <v>2</v>
      </c>
      <c r="B7" s="159"/>
      <c r="C7" s="162"/>
      <c r="D7" s="147"/>
      <c r="E7" s="159"/>
      <c r="F7" s="147"/>
      <c r="G7" s="147"/>
      <c r="H7" s="147"/>
      <c r="I7" s="150"/>
      <c r="J7" s="153"/>
      <c r="K7" s="156"/>
      <c r="L7" s="3">
        <v>10</v>
      </c>
      <c r="M7" s="4">
        <f>K6*70*12*L7</f>
        <v>4124651.9999999995</v>
      </c>
      <c r="N7" s="3">
        <v>12</v>
      </c>
      <c r="O7" s="4">
        <f>N7*70*K6*12</f>
        <v>4949582.3999999994</v>
      </c>
      <c r="P7" s="3">
        <v>14</v>
      </c>
      <c r="Q7" s="4">
        <f>P7*K6*140*12</f>
        <v>11549025.600000001</v>
      </c>
      <c r="R7" s="3">
        <v>15</v>
      </c>
      <c r="S7" s="4">
        <f>R7*K6*210*12</f>
        <v>18560934</v>
      </c>
      <c r="T7" s="3">
        <v>15</v>
      </c>
      <c r="U7" s="4">
        <f>T7*K6*280*12</f>
        <v>24747912</v>
      </c>
    </row>
    <row r="8" spans="1:21">
      <c r="A8" s="18"/>
      <c r="B8" s="163" t="s">
        <v>20</v>
      </c>
      <c r="C8" s="160" t="s">
        <v>21</v>
      </c>
      <c r="D8" s="166" t="s">
        <v>22</v>
      </c>
      <c r="E8" s="157" t="s">
        <v>19</v>
      </c>
      <c r="F8" s="145" t="s">
        <v>15</v>
      </c>
      <c r="G8" s="19"/>
      <c r="H8" s="145">
        <v>990</v>
      </c>
      <c r="I8" s="148">
        <v>99.79</v>
      </c>
      <c r="J8" s="151">
        <v>692.21</v>
      </c>
      <c r="K8" s="154">
        <v>613.01</v>
      </c>
      <c r="L8" s="3"/>
      <c r="M8" s="4"/>
      <c r="N8" s="3"/>
      <c r="O8" s="4"/>
      <c r="P8" s="3"/>
      <c r="Q8" s="4"/>
      <c r="R8" s="3"/>
      <c r="S8" s="4"/>
      <c r="T8" s="3"/>
      <c r="U8" s="4"/>
    </row>
    <row r="9" spans="1:21">
      <c r="A9" s="18"/>
      <c r="B9" s="164"/>
      <c r="C9" s="161"/>
      <c r="D9" s="167"/>
      <c r="E9" s="158"/>
      <c r="F9" s="146"/>
      <c r="G9" s="20"/>
      <c r="H9" s="146"/>
      <c r="I9" s="149"/>
      <c r="J9" s="152"/>
      <c r="K9" s="155"/>
      <c r="L9" s="3">
        <v>10</v>
      </c>
      <c r="M9" s="4">
        <f>K8*70*12*L9</f>
        <v>5149284</v>
      </c>
      <c r="N9" s="3">
        <v>12</v>
      </c>
      <c r="O9" s="4">
        <f>N9*70*K8*12</f>
        <v>6179140.7999999998</v>
      </c>
      <c r="P9" s="3">
        <v>14</v>
      </c>
      <c r="Q9" s="4">
        <f>P9*K8*140*12</f>
        <v>14417995.199999999</v>
      </c>
      <c r="R9" s="3">
        <v>15</v>
      </c>
      <c r="S9" s="4">
        <f>R9*K8*210*12</f>
        <v>23171778</v>
      </c>
      <c r="T9" s="3">
        <v>15</v>
      </c>
      <c r="U9" s="4">
        <f>T9*K8*280*12</f>
        <v>30895704</v>
      </c>
    </row>
    <row r="10" spans="1:21">
      <c r="A10" s="18"/>
      <c r="B10" s="164"/>
      <c r="C10" s="161"/>
      <c r="D10" s="167"/>
      <c r="E10" s="158"/>
      <c r="F10" s="146"/>
      <c r="G10" s="20"/>
      <c r="H10" s="146"/>
      <c r="I10" s="149"/>
      <c r="J10" s="152"/>
      <c r="K10" s="155"/>
      <c r="L10" s="3"/>
      <c r="M10" s="4"/>
      <c r="N10" s="3"/>
      <c r="O10" s="4"/>
      <c r="P10" s="3"/>
      <c r="Q10" s="4"/>
      <c r="R10" s="3"/>
      <c r="S10" s="4"/>
      <c r="T10" s="3"/>
      <c r="U10" s="4"/>
    </row>
    <row r="11" spans="1:21" ht="15.75" thickBot="1">
      <c r="A11" s="21">
        <v>3</v>
      </c>
      <c r="B11" s="165"/>
      <c r="C11" s="162"/>
      <c r="D11" s="168"/>
      <c r="E11" s="159"/>
      <c r="F11" s="147"/>
      <c r="G11" s="22" t="s">
        <v>16</v>
      </c>
      <c r="H11" s="147"/>
      <c r="I11" s="150"/>
      <c r="J11" s="153"/>
      <c r="K11" s="156"/>
      <c r="L11" s="3"/>
      <c r="M11" s="4"/>
      <c r="N11" s="3"/>
      <c r="O11" s="4"/>
      <c r="P11" s="3"/>
      <c r="Q11" s="4"/>
      <c r="R11" s="3"/>
      <c r="S11" s="4"/>
      <c r="T11" s="3"/>
      <c r="U11" s="4"/>
    </row>
    <row r="12" spans="1:21">
      <c r="A12" s="18"/>
      <c r="B12" s="163" t="s">
        <v>23</v>
      </c>
      <c r="C12" s="145" t="s">
        <v>12</v>
      </c>
      <c r="D12" s="145" t="s">
        <v>24</v>
      </c>
      <c r="E12" s="157" t="s">
        <v>19</v>
      </c>
      <c r="F12" s="145" t="s">
        <v>15</v>
      </c>
      <c r="G12" s="145" t="s">
        <v>16</v>
      </c>
      <c r="H12" s="145">
        <v>1990</v>
      </c>
      <c r="I12" s="148">
        <v>200.59</v>
      </c>
      <c r="J12" s="151">
        <v>1391.41</v>
      </c>
      <c r="K12" s="154">
        <v>1232.21</v>
      </c>
      <c r="L12" s="3"/>
      <c r="M12" s="4"/>
      <c r="N12" s="3"/>
      <c r="O12" s="4"/>
      <c r="P12" s="3"/>
      <c r="Q12" s="4"/>
      <c r="R12" s="3"/>
      <c r="S12" s="4"/>
      <c r="T12" s="3"/>
      <c r="U12" s="4"/>
    </row>
    <row r="13" spans="1:21" ht="15.75" thickBot="1">
      <c r="A13" s="21">
        <v>4</v>
      </c>
      <c r="B13" s="165"/>
      <c r="C13" s="147"/>
      <c r="D13" s="147"/>
      <c r="E13" s="159"/>
      <c r="F13" s="147"/>
      <c r="G13" s="147"/>
      <c r="H13" s="147"/>
      <c r="I13" s="150"/>
      <c r="J13" s="153"/>
      <c r="K13" s="156"/>
      <c r="L13" s="3">
        <v>15</v>
      </c>
      <c r="M13" s="4">
        <f>K12*70*12*L13</f>
        <v>15525845.999999998</v>
      </c>
      <c r="N13" s="3">
        <v>18</v>
      </c>
      <c r="O13" s="4">
        <f>N13*70*K12*12</f>
        <v>18631015.200000003</v>
      </c>
      <c r="P13" s="3">
        <v>20</v>
      </c>
      <c r="Q13" s="4">
        <f>P13*K12*140*12</f>
        <v>41402256</v>
      </c>
      <c r="R13" s="3">
        <v>30</v>
      </c>
      <c r="S13" s="4">
        <f>R13*K12*210*12</f>
        <v>93155076.000000015</v>
      </c>
      <c r="T13" s="3">
        <v>40</v>
      </c>
      <c r="U13" s="4">
        <f>T13*K12*280*12</f>
        <v>165609024</v>
      </c>
    </row>
    <row r="14" spans="1:21">
      <c r="A14" s="16"/>
      <c r="B14" s="157" t="s">
        <v>25</v>
      </c>
      <c r="C14" s="160" t="s">
        <v>26</v>
      </c>
      <c r="D14" s="166" t="s">
        <v>27</v>
      </c>
      <c r="E14" s="157" t="s">
        <v>19</v>
      </c>
      <c r="F14" s="145" t="s">
        <v>15</v>
      </c>
      <c r="G14" s="145" t="s">
        <v>16</v>
      </c>
      <c r="H14" s="145">
        <v>1090</v>
      </c>
      <c r="I14" s="148">
        <v>109.87</v>
      </c>
      <c r="J14" s="151">
        <v>762.13</v>
      </c>
      <c r="K14" s="154">
        <v>674.93</v>
      </c>
      <c r="L14" s="3"/>
      <c r="M14" s="4"/>
      <c r="N14" s="3"/>
      <c r="O14" s="4"/>
      <c r="P14" s="3"/>
      <c r="Q14" s="4"/>
      <c r="R14" s="3"/>
      <c r="S14" s="4"/>
      <c r="T14" s="3"/>
      <c r="U14" s="4"/>
    </row>
    <row r="15" spans="1:21">
      <c r="A15" s="16"/>
      <c r="B15" s="158"/>
      <c r="C15" s="161"/>
      <c r="D15" s="167"/>
      <c r="E15" s="158"/>
      <c r="F15" s="146"/>
      <c r="G15" s="146"/>
      <c r="H15" s="146"/>
      <c r="I15" s="149"/>
      <c r="J15" s="152"/>
      <c r="K15" s="155"/>
      <c r="L15" s="3">
        <v>12</v>
      </c>
      <c r="M15" s="4">
        <f>K14*70*12*L15</f>
        <v>6803294.3999999994</v>
      </c>
      <c r="N15" s="3">
        <v>15</v>
      </c>
      <c r="O15" s="4">
        <f>N15*70*K14*12</f>
        <v>8504118</v>
      </c>
      <c r="P15" s="3">
        <v>17</v>
      </c>
      <c r="Q15" s="4">
        <f>P15*K14*140*12</f>
        <v>19276000.799999997</v>
      </c>
      <c r="R15" s="3">
        <v>20</v>
      </c>
      <c r="S15" s="4">
        <f>R15*K14*210*12</f>
        <v>34016471.999999993</v>
      </c>
      <c r="T15" s="3">
        <v>25</v>
      </c>
      <c r="U15" s="4">
        <f>T15*K14*280*12</f>
        <v>56694120</v>
      </c>
    </row>
    <row r="16" spans="1:21">
      <c r="A16" s="16"/>
      <c r="B16" s="158"/>
      <c r="C16" s="161"/>
      <c r="D16" s="167"/>
      <c r="E16" s="158"/>
      <c r="F16" s="146"/>
      <c r="G16" s="146"/>
      <c r="H16" s="146"/>
      <c r="I16" s="149"/>
      <c r="J16" s="152"/>
      <c r="K16" s="155"/>
      <c r="L16" s="3"/>
      <c r="M16" s="4"/>
      <c r="N16" s="3"/>
      <c r="O16" s="4"/>
      <c r="P16" s="3"/>
      <c r="Q16" s="4"/>
      <c r="R16" s="3"/>
      <c r="S16" s="4"/>
      <c r="T16" s="3"/>
      <c r="U16" s="4"/>
    </row>
    <row r="17" spans="1:21">
      <c r="A17" s="16"/>
      <c r="B17" s="158"/>
      <c r="C17" s="161"/>
      <c r="D17" s="167"/>
      <c r="E17" s="158"/>
      <c r="F17" s="146"/>
      <c r="G17" s="146"/>
      <c r="H17" s="146"/>
      <c r="I17" s="149"/>
      <c r="J17" s="152"/>
      <c r="K17" s="155"/>
      <c r="L17" s="3"/>
      <c r="M17" s="4"/>
      <c r="N17" s="3"/>
      <c r="O17" s="4"/>
      <c r="P17" s="3"/>
      <c r="Q17" s="4"/>
      <c r="R17" s="3"/>
      <c r="S17" s="4"/>
      <c r="T17" s="3"/>
      <c r="U17" s="4"/>
    </row>
    <row r="18" spans="1:21">
      <c r="A18" s="16"/>
      <c r="B18" s="158"/>
      <c r="C18" s="161"/>
      <c r="D18" s="167"/>
      <c r="E18" s="158"/>
      <c r="F18" s="146"/>
      <c r="G18" s="146"/>
      <c r="H18" s="146"/>
      <c r="I18" s="149"/>
      <c r="J18" s="152"/>
      <c r="K18" s="155"/>
      <c r="L18" s="3"/>
      <c r="M18" s="4"/>
      <c r="N18" s="3"/>
      <c r="O18" s="4"/>
      <c r="P18" s="3"/>
      <c r="Q18" s="4"/>
      <c r="R18" s="3"/>
      <c r="S18" s="4"/>
      <c r="T18" s="3"/>
      <c r="U18" s="4"/>
    </row>
    <row r="19" spans="1:21">
      <c r="A19" s="16"/>
      <c r="B19" s="158"/>
      <c r="C19" s="161"/>
      <c r="D19" s="167"/>
      <c r="E19" s="158"/>
      <c r="F19" s="146"/>
      <c r="G19" s="146"/>
      <c r="H19" s="146"/>
      <c r="I19" s="149"/>
      <c r="J19" s="152"/>
      <c r="K19" s="155"/>
      <c r="L19" s="3"/>
      <c r="M19" s="4"/>
      <c r="N19" s="3"/>
      <c r="O19" s="4"/>
      <c r="P19" s="3"/>
      <c r="Q19" s="4"/>
      <c r="R19" s="3"/>
      <c r="S19" s="4"/>
      <c r="T19" s="3"/>
      <c r="U19" s="4"/>
    </row>
    <row r="20" spans="1:21">
      <c r="A20" s="16"/>
      <c r="B20" s="158"/>
      <c r="C20" s="161"/>
      <c r="D20" s="167"/>
      <c r="E20" s="158"/>
      <c r="F20" s="146"/>
      <c r="G20" s="146"/>
      <c r="H20" s="146"/>
      <c r="I20" s="149"/>
      <c r="J20" s="152"/>
      <c r="K20" s="155"/>
      <c r="L20" s="3"/>
      <c r="M20" s="4"/>
      <c r="N20" s="3"/>
      <c r="O20" s="4"/>
      <c r="P20" s="3"/>
      <c r="Q20" s="4"/>
      <c r="R20" s="3"/>
      <c r="S20" s="4"/>
      <c r="T20" s="3"/>
      <c r="U20" s="4"/>
    </row>
    <row r="21" spans="1:21">
      <c r="A21" s="16"/>
      <c r="B21" s="158"/>
      <c r="C21" s="161"/>
      <c r="D21" s="167"/>
      <c r="E21" s="158"/>
      <c r="F21" s="146"/>
      <c r="G21" s="146"/>
      <c r="H21" s="146"/>
      <c r="I21" s="149"/>
      <c r="J21" s="152"/>
      <c r="K21" s="155"/>
      <c r="L21" s="3"/>
      <c r="M21" s="4"/>
      <c r="N21" s="3"/>
      <c r="O21" s="4"/>
      <c r="P21" s="3"/>
      <c r="Q21" s="4"/>
      <c r="R21" s="3"/>
      <c r="S21" s="4"/>
      <c r="T21" s="3"/>
      <c r="U21" s="4"/>
    </row>
    <row r="22" spans="1:21">
      <c r="A22" s="16"/>
      <c r="B22" s="158"/>
      <c r="C22" s="161"/>
      <c r="D22" s="167"/>
      <c r="E22" s="158"/>
      <c r="F22" s="146"/>
      <c r="G22" s="146"/>
      <c r="H22" s="146"/>
      <c r="I22" s="149"/>
      <c r="J22" s="152"/>
      <c r="K22" s="155"/>
      <c r="L22" s="3"/>
      <c r="M22" s="4"/>
      <c r="N22" s="3"/>
      <c r="O22" s="4"/>
      <c r="P22" s="3"/>
      <c r="Q22" s="4"/>
      <c r="R22" s="3"/>
      <c r="S22" s="4"/>
      <c r="T22" s="3"/>
      <c r="U22" s="4"/>
    </row>
    <row r="23" spans="1:21">
      <c r="A23" s="16"/>
      <c r="B23" s="158"/>
      <c r="C23" s="161"/>
      <c r="D23" s="167"/>
      <c r="E23" s="158"/>
      <c r="F23" s="146"/>
      <c r="G23" s="146"/>
      <c r="H23" s="146"/>
      <c r="I23" s="149"/>
      <c r="J23" s="152"/>
      <c r="K23" s="155"/>
      <c r="L23" s="3"/>
      <c r="M23" s="4"/>
      <c r="N23" s="3"/>
      <c r="O23" s="4"/>
      <c r="P23" s="3"/>
      <c r="Q23" s="4"/>
      <c r="R23" s="3"/>
      <c r="S23" s="4"/>
      <c r="T23" s="3"/>
      <c r="U23" s="4"/>
    </row>
    <row r="24" spans="1:21" ht="15.75" thickBot="1">
      <c r="A24" s="17">
        <v>5</v>
      </c>
      <c r="B24" s="159"/>
      <c r="C24" s="162"/>
      <c r="D24" s="168"/>
      <c r="E24" s="159"/>
      <c r="F24" s="147"/>
      <c r="G24" s="147"/>
      <c r="H24" s="147"/>
      <c r="I24" s="150"/>
      <c r="J24" s="153"/>
      <c r="K24" s="156"/>
      <c r="L24" s="3"/>
      <c r="M24" s="4"/>
      <c r="N24" s="3"/>
      <c r="O24" s="4"/>
      <c r="P24" s="3"/>
      <c r="Q24" s="4"/>
      <c r="R24" s="3"/>
      <c r="S24" s="4"/>
      <c r="T24" s="3"/>
      <c r="U24" s="4"/>
    </row>
    <row r="25" spans="1:21">
      <c r="A25" s="169">
        <v>6</v>
      </c>
      <c r="B25" s="157" t="s">
        <v>28</v>
      </c>
      <c r="C25" s="160" t="s">
        <v>12</v>
      </c>
      <c r="D25" s="163" t="s">
        <v>29</v>
      </c>
      <c r="E25" s="157" t="s">
        <v>30</v>
      </c>
      <c r="F25" s="145" t="s">
        <v>31</v>
      </c>
      <c r="G25" s="145" t="s">
        <v>16</v>
      </c>
      <c r="H25" s="145">
        <v>270</v>
      </c>
      <c r="I25" s="148">
        <v>12.86</v>
      </c>
      <c r="J25" s="151">
        <v>205.71</v>
      </c>
      <c r="K25" s="154">
        <v>185.14</v>
      </c>
      <c r="L25" s="3"/>
      <c r="M25" s="4"/>
      <c r="N25" s="3"/>
      <c r="O25" s="4"/>
      <c r="P25" s="3"/>
      <c r="Q25" s="4"/>
      <c r="R25" s="3"/>
      <c r="S25" s="4"/>
      <c r="T25" s="3"/>
      <c r="U25" s="4"/>
    </row>
    <row r="26" spans="1:21" ht="15.75" thickBot="1">
      <c r="A26" s="170"/>
      <c r="B26" s="159"/>
      <c r="C26" s="162"/>
      <c r="D26" s="165"/>
      <c r="E26" s="159"/>
      <c r="F26" s="147"/>
      <c r="G26" s="147"/>
      <c r="H26" s="147"/>
      <c r="I26" s="150"/>
      <c r="J26" s="153"/>
      <c r="K26" s="156"/>
      <c r="L26" s="3">
        <v>15</v>
      </c>
      <c r="M26" s="4">
        <f>K25*70*12*L26</f>
        <v>2332763.9999999995</v>
      </c>
      <c r="N26" s="3">
        <v>20</v>
      </c>
      <c r="O26" s="4">
        <f>N26*70*K25*12</f>
        <v>3110351.9999999995</v>
      </c>
      <c r="P26" s="3">
        <v>22</v>
      </c>
      <c r="Q26" s="4">
        <f>P26*K25*140*12</f>
        <v>6842774.3999999994</v>
      </c>
      <c r="R26" s="3">
        <v>25</v>
      </c>
      <c r="S26" s="4">
        <f>R26*K25*210*12</f>
        <v>11663820</v>
      </c>
      <c r="T26" s="3">
        <v>30</v>
      </c>
      <c r="U26" s="4">
        <f>T26*K25*280*12</f>
        <v>18662112</v>
      </c>
    </row>
    <row r="27" spans="1:21">
      <c r="A27" s="16" t="s">
        <v>32</v>
      </c>
      <c r="B27" s="157" t="s">
        <v>33</v>
      </c>
      <c r="C27" s="160" t="s">
        <v>12</v>
      </c>
      <c r="D27" s="163" t="s">
        <v>34</v>
      </c>
      <c r="E27" s="157" t="s">
        <v>19</v>
      </c>
      <c r="F27" s="145" t="s">
        <v>31</v>
      </c>
      <c r="G27" s="145" t="s">
        <v>16</v>
      </c>
      <c r="H27" s="145">
        <v>1450</v>
      </c>
      <c r="I27" s="148">
        <v>69.05</v>
      </c>
      <c r="J27" s="151">
        <v>1104.76</v>
      </c>
      <c r="K27" s="154">
        <v>994.29</v>
      </c>
      <c r="L27" s="3"/>
      <c r="M27" s="4"/>
      <c r="N27" s="3"/>
      <c r="O27" s="4"/>
      <c r="P27" s="3"/>
      <c r="Q27" s="4"/>
      <c r="R27" s="3"/>
      <c r="S27" s="4"/>
      <c r="T27" s="3"/>
      <c r="U27" s="4"/>
    </row>
    <row r="28" spans="1:21" ht="15.75" thickBot="1">
      <c r="A28" s="17">
        <v>7</v>
      </c>
      <c r="B28" s="159"/>
      <c r="C28" s="162"/>
      <c r="D28" s="165"/>
      <c r="E28" s="159"/>
      <c r="F28" s="147"/>
      <c r="G28" s="147"/>
      <c r="H28" s="147"/>
      <c r="I28" s="150"/>
      <c r="J28" s="153"/>
      <c r="K28" s="156"/>
      <c r="L28" s="3">
        <v>15</v>
      </c>
      <c r="M28" s="4">
        <f>K27*70*12*L28</f>
        <v>12528054.000000002</v>
      </c>
      <c r="N28" s="3">
        <v>20</v>
      </c>
      <c r="O28" s="4">
        <f>N28*70*K27*12</f>
        <v>16704072</v>
      </c>
      <c r="P28" s="3">
        <v>20</v>
      </c>
      <c r="Q28" s="4">
        <f>P28*K27*140*12</f>
        <v>33408144</v>
      </c>
      <c r="R28" s="3">
        <v>22</v>
      </c>
      <c r="S28" s="4">
        <f>R28*K27*210*12</f>
        <v>55123437.599999994</v>
      </c>
      <c r="T28" s="3">
        <v>20</v>
      </c>
      <c r="U28" s="4">
        <f>T28*K27*280*12</f>
        <v>66816288</v>
      </c>
    </row>
    <row r="29" spans="1:21">
      <c r="A29" s="16"/>
      <c r="B29" s="163" t="s">
        <v>35</v>
      </c>
      <c r="C29" s="160" t="s">
        <v>12</v>
      </c>
      <c r="D29" s="163" t="s">
        <v>36</v>
      </c>
      <c r="E29" s="157" t="s">
        <v>19</v>
      </c>
      <c r="F29" s="145" t="s">
        <v>31</v>
      </c>
      <c r="G29" s="145" t="s">
        <v>16</v>
      </c>
      <c r="H29" s="145">
        <v>2790</v>
      </c>
      <c r="I29" s="175">
        <v>132.86000000000001</v>
      </c>
      <c r="J29" s="171">
        <v>2125.71</v>
      </c>
      <c r="K29" s="173">
        <v>1913.14</v>
      </c>
      <c r="L29" s="3"/>
      <c r="M29" s="4"/>
      <c r="N29" s="3"/>
      <c r="O29" s="4"/>
      <c r="P29" s="3"/>
      <c r="Q29" s="4"/>
      <c r="R29" s="3"/>
      <c r="S29" s="4"/>
      <c r="T29" s="3"/>
      <c r="U29" s="4"/>
    </row>
    <row r="30" spans="1:21" ht="15.75" thickBot="1">
      <c r="A30" s="17">
        <v>8</v>
      </c>
      <c r="B30" s="165"/>
      <c r="C30" s="162"/>
      <c r="D30" s="165"/>
      <c r="E30" s="159"/>
      <c r="F30" s="147"/>
      <c r="G30" s="147"/>
      <c r="H30" s="147"/>
      <c r="I30" s="176"/>
      <c r="J30" s="172"/>
      <c r="K30" s="174"/>
      <c r="L30" s="3">
        <v>5</v>
      </c>
      <c r="M30" s="4">
        <f>K29*70*12*L30</f>
        <v>8035188</v>
      </c>
      <c r="N30" s="3">
        <v>7</v>
      </c>
      <c r="O30" s="4">
        <f>N30*70*K29*12</f>
        <v>11249263.200000001</v>
      </c>
      <c r="P30" s="3">
        <v>7</v>
      </c>
      <c r="Q30" s="4">
        <f>P30*K29*140*12</f>
        <v>22498526.400000002</v>
      </c>
      <c r="R30" s="3">
        <v>8</v>
      </c>
      <c r="S30" s="4">
        <f>R30*K29*210*12</f>
        <v>38568902.400000006</v>
      </c>
      <c r="T30" s="3">
        <v>7</v>
      </c>
      <c r="U30" s="4">
        <f>T30*K29*280*12</f>
        <v>44997052.800000004</v>
      </c>
    </row>
    <row r="31" spans="1:21">
      <c r="A31" s="16"/>
      <c r="B31" s="163" t="s">
        <v>37</v>
      </c>
      <c r="C31" s="160" t="s">
        <v>12</v>
      </c>
      <c r="D31" s="163" t="s">
        <v>38</v>
      </c>
      <c r="E31" s="157" t="s">
        <v>19</v>
      </c>
      <c r="F31" s="145" t="s">
        <v>31</v>
      </c>
      <c r="G31" s="145" t="s">
        <v>16</v>
      </c>
      <c r="H31" s="145">
        <v>307</v>
      </c>
      <c r="I31" s="175">
        <v>14.62</v>
      </c>
      <c r="J31" s="171">
        <v>233.9</v>
      </c>
      <c r="K31" s="173">
        <v>210.51</v>
      </c>
      <c r="L31" s="3"/>
      <c r="M31" s="4"/>
      <c r="N31" s="3"/>
      <c r="O31" s="4"/>
      <c r="P31" s="3"/>
      <c r="Q31" s="4"/>
      <c r="R31" s="3"/>
      <c r="S31" s="4"/>
      <c r="T31" s="3"/>
      <c r="U31" s="4"/>
    </row>
    <row r="32" spans="1:21" ht="15.75" thickBot="1">
      <c r="A32" s="17">
        <v>9</v>
      </c>
      <c r="B32" s="165"/>
      <c r="C32" s="162"/>
      <c r="D32" s="165"/>
      <c r="E32" s="159"/>
      <c r="F32" s="147"/>
      <c r="G32" s="147"/>
      <c r="H32" s="147"/>
      <c r="I32" s="176"/>
      <c r="J32" s="172"/>
      <c r="K32" s="174"/>
      <c r="L32" s="3">
        <v>20</v>
      </c>
      <c r="M32" s="4">
        <f>K31*70*12*L32</f>
        <v>3536568</v>
      </c>
      <c r="N32" s="3">
        <v>25</v>
      </c>
      <c r="O32" s="4">
        <f>N32*70*K31*12</f>
        <v>4420710</v>
      </c>
      <c r="P32" s="3">
        <v>25</v>
      </c>
      <c r="Q32" s="4">
        <f>P32*K31*140*12</f>
        <v>8841420</v>
      </c>
      <c r="R32" s="3">
        <v>25</v>
      </c>
      <c r="S32" s="4">
        <f>R32*K31*210*12</f>
        <v>13262130</v>
      </c>
      <c r="T32" s="3">
        <v>30</v>
      </c>
      <c r="U32" s="4">
        <f>T32*K31*280*12</f>
        <v>21219407.999999996</v>
      </c>
    </row>
    <row r="33" spans="1:21">
      <c r="A33" s="16"/>
      <c r="B33" s="163" t="s">
        <v>39</v>
      </c>
      <c r="C33" s="160" t="s">
        <v>12</v>
      </c>
      <c r="D33" s="163" t="s">
        <v>40</v>
      </c>
      <c r="E33" s="157" t="s">
        <v>19</v>
      </c>
      <c r="F33" s="145" t="s">
        <v>31</v>
      </c>
      <c r="G33" s="145" t="s">
        <v>16</v>
      </c>
      <c r="H33" s="145">
        <v>307</v>
      </c>
      <c r="I33" s="175">
        <v>14.62</v>
      </c>
      <c r="J33" s="171">
        <v>233.9</v>
      </c>
      <c r="K33" s="173">
        <v>210.51</v>
      </c>
      <c r="L33" s="3"/>
      <c r="M33" s="4"/>
      <c r="N33" s="3"/>
      <c r="O33" s="4"/>
      <c r="P33" s="3"/>
      <c r="Q33" s="4"/>
      <c r="R33" s="3"/>
      <c r="S33" s="4"/>
      <c r="T33" s="3"/>
      <c r="U33" s="4"/>
    </row>
    <row r="34" spans="1:21">
      <c r="A34" s="16">
        <v>10</v>
      </c>
      <c r="B34" s="164"/>
      <c r="C34" s="161"/>
      <c r="D34" s="164"/>
      <c r="E34" s="158"/>
      <c r="F34" s="146"/>
      <c r="G34" s="146"/>
      <c r="H34" s="146"/>
      <c r="I34" s="177"/>
      <c r="J34" s="178"/>
      <c r="K34" s="179"/>
      <c r="L34" s="3">
        <v>30</v>
      </c>
      <c r="M34" s="4">
        <f>K33*70*12*L34</f>
        <v>5304852</v>
      </c>
      <c r="N34" s="3">
        <v>35</v>
      </c>
      <c r="O34" s="4">
        <f>N34*70*K33*12</f>
        <v>6188994</v>
      </c>
      <c r="P34" s="3">
        <v>40</v>
      </c>
      <c r="Q34" s="4">
        <f>P34*K33*140*12</f>
        <v>14146272</v>
      </c>
      <c r="R34" s="3">
        <v>40</v>
      </c>
      <c r="S34" s="4">
        <f>R34*K33*210*12</f>
        <v>21219408</v>
      </c>
      <c r="T34" s="3">
        <v>40</v>
      </c>
      <c r="U34" s="4">
        <f>T34*K33*280*12</f>
        <v>28292544</v>
      </c>
    </row>
    <row r="35" spans="1:21" ht="15.75" thickBot="1">
      <c r="A35" s="17"/>
      <c r="B35" s="165"/>
      <c r="C35" s="162"/>
      <c r="D35" s="165"/>
      <c r="E35" s="159"/>
      <c r="F35" s="147"/>
      <c r="G35" s="147"/>
      <c r="H35" s="147"/>
      <c r="I35" s="176"/>
      <c r="J35" s="172"/>
      <c r="K35" s="174"/>
      <c r="L35" s="3"/>
      <c r="M35" s="4"/>
      <c r="N35" s="3"/>
      <c r="O35" s="4"/>
      <c r="P35" s="3"/>
      <c r="Q35" s="4"/>
      <c r="R35" s="3"/>
      <c r="S35" s="4"/>
      <c r="T35" s="3"/>
      <c r="U35" s="4"/>
    </row>
    <row r="36" spans="1:2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3"/>
      <c r="M36" s="4">
        <f>SUM(M4:M35)</f>
        <v>65649830.399999999</v>
      </c>
      <c r="N36" s="3"/>
      <c r="O36" s="4">
        <f>SUM(O4:O35)</f>
        <v>82823907.600000009</v>
      </c>
      <c r="P36" s="3"/>
      <c r="Q36" s="4">
        <f>SUM(Q4:Q35)</f>
        <v>178925510.40000001</v>
      </c>
      <c r="R36" s="3"/>
      <c r="S36" s="4">
        <f>SUM(S4:S35)</f>
        <v>320288598</v>
      </c>
      <c r="T36" s="3"/>
      <c r="U36" s="4">
        <f>SUM(U4:U35)</f>
        <v>473329684.80000001</v>
      </c>
    </row>
    <row r="37" spans="1:2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" t="s">
        <v>49</v>
      </c>
      <c r="M37" s="4">
        <v>0</v>
      </c>
      <c r="N37" s="3">
        <v>70</v>
      </c>
      <c r="O37" s="4">
        <v>66533972.399999999</v>
      </c>
      <c r="P37" s="3">
        <v>70</v>
      </c>
      <c r="Q37" s="4">
        <v>66533972.399999999</v>
      </c>
      <c r="R37" s="3">
        <v>70</v>
      </c>
      <c r="S37" s="4">
        <v>66533972.399999999</v>
      </c>
      <c r="T37" s="3">
        <v>70</v>
      </c>
      <c r="U37" s="4">
        <v>66533972.399999999</v>
      </c>
    </row>
    <row r="38" spans="1:2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3" t="s">
        <v>50</v>
      </c>
      <c r="M38" s="4"/>
      <c r="N38" s="3"/>
      <c r="O38" s="4">
        <v>5000000</v>
      </c>
      <c r="P38" s="3"/>
      <c r="Q38" s="4">
        <v>50000000</v>
      </c>
      <c r="R38" s="3"/>
      <c r="S38" s="4">
        <v>70000000</v>
      </c>
      <c r="T38" s="3"/>
      <c r="U38" s="4">
        <v>100000000</v>
      </c>
    </row>
    <row r="39" spans="1:2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" t="s">
        <v>55</v>
      </c>
      <c r="M39" s="2">
        <f>SUM(M36:M38)</f>
        <v>65649830.399999999</v>
      </c>
      <c r="N39" s="1"/>
      <c r="O39" s="2">
        <f>SUM(O36:O38)</f>
        <v>154357880</v>
      </c>
      <c r="P39" s="1"/>
      <c r="Q39" s="2">
        <f>SUM(Q36:Q38)</f>
        <v>295459482.80000001</v>
      </c>
      <c r="R39" s="1"/>
      <c r="S39" s="2">
        <f>SUM(S36:S38)</f>
        <v>456822570.39999998</v>
      </c>
      <c r="T39" s="1"/>
      <c r="U39" s="2">
        <f>SUM(U36:U38)</f>
        <v>639863657.20000005</v>
      </c>
    </row>
    <row r="40" spans="1:2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3" t="s">
        <v>44</v>
      </c>
      <c r="M40" s="4">
        <f>M36*0.6</f>
        <v>39389898.239999995</v>
      </c>
      <c r="N40" s="3"/>
      <c r="O40" s="4">
        <f>O39*0.5</f>
        <v>77178940</v>
      </c>
      <c r="P40" s="3"/>
      <c r="Q40" s="4">
        <f>Q39*0.45</f>
        <v>132956767.26000001</v>
      </c>
      <c r="R40" s="3"/>
      <c r="S40" s="4">
        <f>S39*0.35</f>
        <v>159887899.63999999</v>
      </c>
      <c r="T40" s="3"/>
      <c r="U40" s="4">
        <f>U39*0.35</f>
        <v>223952280.02000001</v>
      </c>
    </row>
    <row r="41" spans="1:2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1" t="s">
        <v>45</v>
      </c>
      <c r="M41" s="2">
        <f>M36-M40</f>
        <v>26259932.160000004</v>
      </c>
      <c r="N41" s="1"/>
      <c r="O41" s="2">
        <f>O39-O40</f>
        <v>77178940</v>
      </c>
      <c r="P41" s="1"/>
      <c r="Q41" s="2">
        <f>Q39-Q40</f>
        <v>162502715.54000002</v>
      </c>
      <c r="R41" s="1"/>
      <c r="S41" s="2">
        <f>S39-S40</f>
        <v>296934670.75999999</v>
      </c>
      <c r="T41" s="1"/>
      <c r="U41" s="2">
        <f>U39-U40</f>
        <v>415911377.18000007</v>
      </c>
    </row>
    <row r="42" spans="1:2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3" t="s">
        <v>46</v>
      </c>
      <c r="M42" s="4">
        <f>500000*12</f>
        <v>6000000</v>
      </c>
      <c r="N42" s="3"/>
      <c r="O42" s="4">
        <f>1000000*12</f>
        <v>12000000</v>
      </c>
      <c r="P42" s="3"/>
      <c r="Q42" s="4">
        <f>2500000*12</f>
        <v>30000000</v>
      </c>
      <c r="R42" s="3"/>
      <c r="S42" s="4">
        <f>2500000*12</f>
        <v>30000000</v>
      </c>
      <c r="T42" s="3"/>
      <c r="U42" s="4">
        <f>2500000*12</f>
        <v>30000000</v>
      </c>
    </row>
    <row r="43" spans="1:2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3" t="s">
        <v>47</v>
      </c>
      <c r="M43" s="4">
        <f>22000*70*12</f>
        <v>18480000</v>
      </c>
      <c r="N43" s="3"/>
      <c r="O43" s="4">
        <f>23500*140*12</f>
        <v>39480000</v>
      </c>
      <c r="P43" s="3"/>
      <c r="Q43" s="4">
        <f>23500*210*12</f>
        <v>59220000</v>
      </c>
      <c r="R43" s="3"/>
      <c r="S43" s="4">
        <f>23500*280*12</f>
        <v>78960000</v>
      </c>
      <c r="T43" s="3"/>
      <c r="U43" s="4">
        <f>23500*350*12</f>
        <v>98700000</v>
      </c>
    </row>
    <row r="44" spans="1:2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3" t="s">
        <v>48</v>
      </c>
      <c r="M44" s="4">
        <f>1000000*12</f>
        <v>12000000</v>
      </c>
      <c r="N44" s="3"/>
      <c r="O44" s="4">
        <f>O39*0.1</f>
        <v>15435788</v>
      </c>
      <c r="P44" s="3"/>
      <c r="Q44" s="4">
        <f>Q39*0.1</f>
        <v>29545948.280000001</v>
      </c>
      <c r="R44" s="3"/>
      <c r="S44" s="4">
        <f>S39*0.12</f>
        <v>54818708.447999991</v>
      </c>
      <c r="T44" s="3"/>
      <c r="U44" s="4">
        <f>U39*0.12</f>
        <v>76783638.864000008</v>
      </c>
    </row>
    <row r="45" spans="1:2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1" t="s">
        <v>56</v>
      </c>
      <c r="M45" s="2">
        <f>M41-M42-M43-M44</f>
        <v>-10220067.839999996</v>
      </c>
      <c r="N45" s="1"/>
      <c r="O45" s="2">
        <f>O41-O42-O43-O44</f>
        <v>10263152</v>
      </c>
      <c r="P45" s="1"/>
      <c r="Q45" s="2">
        <f>Q41-Q42-Q43-Q44</f>
        <v>43736767.26000002</v>
      </c>
      <c r="R45" s="1"/>
      <c r="S45" s="2">
        <f>S41-S42-S43-S44</f>
        <v>133155962.31200001</v>
      </c>
      <c r="T45" s="1"/>
      <c r="U45" s="2">
        <f>U41-U42-U43-U44</f>
        <v>210427738.31600004</v>
      </c>
    </row>
    <row r="46" spans="1:2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" t="s">
        <v>51</v>
      </c>
      <c r="M46" s="6">
        <f>M45/M39*100</f>
        <v>-15.567546447157305</v>
      </c>
      <c r="N46" s="6"/>
      <c r="O46" s="6">
        <f>O45/O39*100</f>
        <v>6.6489329861228974</v>
      </c>
      <c r="P46" s="6"/>
      <c r="Q46" s="6">
        <f>Q45/Q39*100</f>
        <v>14.80296616155859</v>
      </c>
      <c r="R46" s="6"/>
      <c r="S46" s="6">
        <f>S45/S39*100</f>
        <v>29.148288841203019</v>
      </c>
      <c r="T46" s="6"/>
      <c r="U46" s="6">
        <f>U45/U39*100</f>
        <v>32.886340073886608</v>
      </c>
    </row>
  </sheetData>
  <mergeCells count="105">
    <mergeCell ref="H29:H30"/>
    <mergeCell ref="I29:I30"/>
    <mergeCell ref="J29:J30"/>
    <mergeCell ref="K29:K30"/>
    <mergeCell ref="G31:G32"/>
    <mergeCell ref="I33:I35"/>
    <mergeCell ref="J33:J35"/>
    <mergeCell ref="K33:K35"/>
    <mergeCell ref="H31:H32"/>
    <mergeCell ref="I31:I32"/>
    <mergeCell ref="B33:B35"/>
    <mergeCell ref="C33:C35"/>
    <mergeCell ref="D33:D35"/>
    <mergeCell ref="E33:E35"/>
    <mergeCell ref="F33:F35"/>
    <mergeCell ref="H33:H35"/>
    <mergeCell ref="G33:G35"/>
    <mergeCell ref="J31:J32"/>
    <mergeCell ref="K31:K32"/>
    <mergeCell ref="B29:B30"/>
    <mergeCell ref="C29:C30"/>
    <mergeCell ref="D29:D30"/>
    <mergeCell ref="E29:E30"/>
    <mergeCell ref="F29:F30"/>
    <mergeCell ref="G29:G30"/>
    <mergeCell ref="B31:B32"/>
    <mergeCell ref="C31:C32"/>
    <mergeCell ref="D31:D32"/>
    <mergeCell ref="E31:E32"/>
    <mergeCell ref="F31:F32"/>
    <mergeCell ref="J25:J26"/>
    <mergeCell ref="K25:K26"/>
    <mergeCell ref="H27:H28"/>
    <mergeCell ref="I27:I28"/>
    <mergeCell ref="J27:J28"/>
    <mergeCell ref="K27:K28"/>
    <mergeCell ref="G25:G26"/>
    <mergeCell ref="B27:B28"/>
    <mergeCell ref="C27:C28"/>
    <mergeCell ref="D27:D28"/>
    <mergeCell ref="E27:E28"/>
    <mergeCell ref="F27:F28"/>
    <mergeCell ref="G27:G28"/>
    <mergeCell ref="A25:A26"/>
    <mergeCell ref="B25:B26"/>
    <mergeCell ref="C25:C26"/>
    <mergeCell ref="D25:D26"/>
    <mergeCell ref="E25:E26"/>
    <mergeCell ref="F25:F26"/>
    <mergeCell ref="H25:H26"/>
    <mergeCell ref="I25:I26"/>
    <mergeCell ref="K12:K13"/>
    <mergeCell ref="B14:B24"/>
    <mergeCell ref="C14:C24"/>
    <mergeCell ref="D14:D24"/>
    <mergeCell ref="E14:E24"/>
    <mergeCell ref="F14:F24"/>
    <mergeCell ref="G14:G24"/>
    <mergeCell ref="H14:H24"/>
    <mergeCell ref="I14:I24"/>
    <mergeCell ref="J14:J24"/>
    <mergeCell ref="K14:K24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H6:H7"/>
    <mergeCell ref="I6:I7"/>
    <mergeCell ref="J6:J7"/>
    <mergeCell ref="K6:K7"/>
    <mergeCell ref="I8:I11"/>
    <mergeCell ref="J8:J11"/>
    <mergeCell ref="K8:K11"/>
    <mergeCell ref="B8:B11"/>
    <mergeCell ref="C8:C11"/>
    <mergeCell ref="D8:D11"/>
    <mergeCell ref="E8:E11"/>
    <mergeCell ref="F8:F11"/>
    <mergeCell ref="H8:H11"/>
    <mergeCell ref="B6:B7"/>
    <mergeCell ref="C6:C7"/>
    <mergeCell ref="D6:D7"/>
    <mergeCell ref="E6:E7"/>
    <mergeCell ref="F6:F7"/>
    <mergeCell ref="G6:G7"/>
    <mergeCell ref="B3:B5"/>
    <mergeCell ref="C3:C5"/>
    <mergeCell ref="D3:D5"/>
    <mergeCell ref="E3:E5"/>
    <mergeCell ref="F3:F5"/>
    <mergeCell ref="G3:G5"/>
    <mergeCell ref="T1:U1"/>
    <mergeCell ref="L1:M1"/>
    <mergeCell ref="N1:O1"/>
    <mergeCell ref="P1:Q1"/>
    <mergeCell ref="R1:S1"/>
    <mergeCell ref="H3:H5"/>
    <mergeCell ref="I3:I5"/>
    <mergeCell ref="J3:J5"/>
    <mergeCell ref="K3:K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82"/>
  <sheetViews>
    <sheetView tabSelected="1" topLeftCell="C131" workbookViewId="0">
      <selection activeCell="F37" sqref="F37"/>
    </sheetView>
  </sheetViews>
  <sheetFormatPr defaultRowHeight="15.75"/>
  <cols>
    <col min="1" max="1" width="5.42578125" style="32" customWidth="1"/>
    <col min="2" max="2" width="5.7109375" style="32" customWidth="1"/>
    <col min="3" max="3" width="51.5703125" style="32" customWidth="1"/>
    <col min="4" max="4" width="17" style="32" bestFit="1" customWidth="1"/>
    <col min="5" max="5" width="16.85546875" style="32" bestFit="1" customWidth="1"/>
    <col min="6" max="6" width="17.42578125" style="32" customWidth="1"/>
    <col min="7" max="7" width="17.5703125" style="32" customWidth="1"/>
    <col min="8" max="9" width="18.42578125" style="32" customWidth="1"/>
    <col min="10" max="10" width="16.28515625" style="32" customWidth="1"/>
    <col min="11" max="11" width="13.85546875" style="32" customWidth="1"/>
    <col min="12" max="12" width="9.140625" style="32"/>
    <col min="13" max="13" width="22.140625" style="32" customWidth="1"/>
    <col min="14" max="14" width="19" style="32" customWidth="1"/>
    <col min="15" max="15" width="18.7109375" style="32" customWidth="1"/>
    <col min="16" max="16" width="14.5703125" style="32" customWidth="1"/>
    <col min="17" max="17" width="13.42578125" style="32" customWidth="1"/>
    <col min="18" max="18" width="12.140625" style="32" customWidth="1"/>
    <col min="19" max="20" width="14" style="32" customWidth="1"/>
    <col min="21" max="21" width="13.28515625" style="32" customWidth="1"/>
    <col min="22" max="22" width="12.5703125" style="32" customWidth="1"/>
    <col min="23" max="23" width="12.140625" style="32" customWidth="1"/>
    <col min="24" max="24" width="12.5703125" style="32" customWidth="1"/>
    <col min="25" max="25" width="11.140625" style="32" customWidth="1"/>
    <col min="26" max="26" width="12.5703125" style="32" customWidth="1"/>
    <col min="27" max="16384" width="9.140625" style="32"/>
  </cols>
  <sheetData>
    <row r="1" spans="1:26">
      <c r="A1" s="26"/>
      <c r="B1" s="27"/>
      <c r="C1" s="27"/>
      <c r="D1" s="27"/>
      <c r="E1" s="27"/>
      <c r="F1" s="27"/>
      <c r="G1" s="27"/>
      <c r="H1" s="27"/>
      <c r="I1" s="29"/>
      <c r="J1" s="28"/>
      <c r="K1" s="31"/>
      <c r="L1" s="31"/>
      <c r="M1" s="29"/>
      <c r="N1" s="29"/>
      <c r="O1" s="29"/>
      <c r="P1" s="29"/>
      <c r="Q1" s="29"/>
    </row>
    <row r="2" spans="1:26">
      <c r="A2" s="33"/>
      <c r="B2" s="29"/>
      <c r="C2" s="34" t="s">
        <v>288</v>
      </c>
      <c r="D2" s="35"/>
      <c r="E2" s="35"/>
      <c r="F2" s="35"/>
      <c r="G2" s="35"/>
      <c r="H2" s="36"/>
      <c r="I2" s="35"/>
      <c r="J2" s="35"/>
      <c r="K2" s="31"/>
      <c r="L2" s="31"/>
      <c r="M2" s="135"/>
      <c r="N2" s="135"/>
      <c r="O2" s="135"/>
      <c r="P2" s="135"/>
      <c r="Q2" s="136" t="str">
        <f>+C2</f>
        <v>PADMASHRI LIFE SCIENCES P. LTD</v>
      </c>
      <c r="R2" s="135"/>
      <c r="S2" s="135"/>
      <c r="T2" s="135"/>
      <c r="U2" s="135"/>
      <c r="V2" s="135"/>
      <c r="W2" s="135"/>
    </row>
    <row r="3" spans="1:26">
      <c r="A3" s="33"/>
      <c r="B3" s="29"/>
      <c r="C3" s="29"/>
      <c r="D3" s="29"/>
      <c r="E3" s="29"/>
      <c r="F3" s="29"/>
      <c r="G3" s="29"/>
      <c r="H3" s="38"/>
      <c r="I3" s="29"/>
      <c r="J3" s="29"/>
      <c r="K3" s="31"/>
      <c r="L3" s="31"/>
      <c r="M3" s="135"/>
      <c r="N3" s="135"/>
      <c r="O3" s="135"/>
      <c r="P3" s="135"/>
      <c r="Q3" s="136"/>
      <c r="R3" s="135"/>
      <c r="S3" s="135"/>
      <c r="T3" s="135"/>
      <c r="U3" s="135"/>
      <c r="V3" s="135"/>
      <c r="W3" s="135"/>
    </row>
    <row r="4" spans="1:26">
      <c r="A4" s="33"/>
      <c r="B4" s="34"/>
      <c r="C4" s="34"/>
      <c r="D4" s="40"/>
      <c r="E4" s="40"/>
      <c r="F4" s="40"/>
      <c r="G4" s="40"/>
      <c r="H4" s="41"/>
      <c r="I4" s="40"/>
      <c r="J4" s="40"/>
      <c r="K4" s="31"/>
      <c r="L4" s="31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</row>
    <row r="5" spans="1:26">
      <c r="A5" s="33"/>
      <c r="B5" s="29"/>
      <c r="C5" s="34" t="s">
        <v>289</v>
      </c>
      <c r="D5" s="35"/>
      <c r="E5" s="35"/>
      <c r="F5" s="35"/>
      <c r="G5" s="35"/>
      <c r="H5" s="36"/>
      <c r="I5" s="35"/>
      <c r="J5" s="35"/>
      <c r="K5" s="29"/>
      <c r="L5" s="29"/>
      <c r="M5" s="135"/>
      <c r="N5" s="135"/>
      <c r="O5" s="135"/>
      <c r="P5" s="135"/>
      <c r="Q5" s="137" t="s">
        <v>305</v>
      </c>
      <c r="R5" s="135"/>
      <c r="S5" s="135"/>
      <c r="T5" s="135"/>
      <c r="U5" s="135"/>
      <c r="V5" s="135"/>
      <c r="W5" s="135"/>
    </row>
    <row r="6" spans="1:26">
      <c r="A6" s="33"/>
      <c r="B6" s="34"/>
      <c r="C6" s="34"/>
      <c r="D6" s="47"/>
      <c r="E6" s="47"/>
      <c r="F6" s="47"/>
      <c r="G6" s="47"/>
      <c r="H6" s="48"/>
      <c r="I6" s="47"/>
      <c r="J6" s="47"/>
      <c r="K6" s="29"/>
      <c r="L6" s="31"/>
      <c r="M6" s="135"/>
      <c r="N6" s="135"/>
      <c r="O6" s="135"/>
      <c r="P6" s="135"/>
      <c r="Q6" s="138" t="s">
        <v>306</v>
      </c>
      <c r="R6" s="135"/>
      <c r="S6" s="135"/>
      <c r="T6" s="135"/>
      <c r="U6" s="135"/>
      <c r="V6" s="135"/>
      <c r="W6" s="135" t="s">
        <v>307</v>
      </c>
    </row>
    <row r="7" spans="1:26">
      <c r="A7" s="26"/>
      <c r="B7" s="27"/>
      <c r="C7" s="112" t="s">
        <v>58</v>
      </c>
      <c r="D7" s="112"/>
      <c r="E7" s="112"/>
      <c r="F7" s="112"/>
      <c r="G7" s="112"/>
      <c r="H7" s="97"/>
      <c r="I7" s="35"/>
      <c r="J7" s="35"/>
      <c r="K7" s="29"/>
      <c r="L7" s="29"/>
      <c r="M7" s="139" t="s">
        <v>308</v>
      </c>
      <c r="N7" s="139" t="s">
        <v>308</v>
      </c>
      <c r="O7" s="139" t="s">
        <v>308</v>
      </c>
      <c r="P7" s="139" t="s">
        <v>308</v>
      </c>
      <c r="Q7" s="139" t="s">
        <v>308</v>
      </c>
      <c r="R7" s="139" t="s">
        <v>308</v>
      </c>
      <c r="S7" s="139" t="s">
        <v>308</v>
      </c>
      <c r="T7" s="139"/>
      <c r="U7" s="139" t="s">
        <v>308</v>
      </c>
      <c r="V7" s="139" t="s">
        <v>308</v>
      </c>
      <c r="W7" s="139" t="s">
        <v>308</v>
      </c>
      <c r="X7" s="139" t="s">
        <v>308</v>
      </c>
      <c r="Y7" s="139" t="s">
        <v>308</v>
      </c>
      <c r="Z7" s="139" t="s">
        <v>308</v>
      </c>
    </row>
    <row r="8" spans="1:26">
      <c r="A8" s="33"/>
      <c r="B8" s="29"/>
      <c r="C8" s="35" t="s">
        <v>62</v>
      </c>
      <c r="D8" s="35"/>
      <c r="E8" s="35"/>
      <c r="F8" s="35"/>
      <c r="G8" s="35"/>
      <c r="H8" s="36"/>
      <c r="I8" s="35"/>
      <c r="J8" s="35"/>
      <c r="K8" s="29"/>
      <c r="L8" s="29"/>
      <c r="M8" s="140" t="s">
        <v>137</v>
      </c>
      <c r="N8" s="137" t="s">
        <v>309</v>
      </c>
      <c r="P8" s="180" t="s">
        <v>316</v>
      </c>
      <c r="Q8" s="180"/>
      <c r="R8" s="180" t="s">
        <v>317</v>
      </c>
      <c r="S8" s="180"/>
      <c r="T8" s="140"/>
      <c r="U8" s="180" t="s">
        <v>319</v>
      </c>
      <c r="V8" s="180"/>
      <c r="W8" s="180" t="s">
        <v>320</v>
      </c>
      <c r="X8" s="180"/>
      <c r="Y8" s="180" t="s">
        <v>321</v>
      </c>
      <c r="Z8" s="180"/>
    </row>
    <row r="9" spans="1:26">
      <c r="A9" s="45"/>
      <c r="B9" s="52"/>
      <c r="C9" s="52"/>
      <c r="D9" s="52"/>
      <c r="E9" s="52"/>
      <c r="F9" s="52"/>
      <c r="G9" s="52" t="s">
        <v>287</v>
      </c>
      <c r="H9" s="53"/>
      <c r="I9" s="29"/>
      <c r="J9" s="29"/>
      <c r="K9" s="29"/>
      <c r="L9" s="29"/>
      <c r="M9" s="135"/>
      <c r="N9" s="135"/>
      <c r="O9" s="140" t="s">
        <v>318</v>
      </c>
      <c r="P9" s="140" t="s">
        <v>311</v>
      </c>
      <c r="Q9" s="140" t="s">
        <v>310</v>
      </c>
      <c r="R9" s="140" t="s">
        <v>311</v>
      </c>
      <c r="S9" s="140" t="s">
        <v>310</v>
      </c>
      <c r="T9" s="140" t="s">
        <v>322</v>
      </c>
      <c r="U9" s="140" t="s">
        <v>311</v>
      </c>
      <c r="V9" s="140" t="s">
        <v>310</v>
      </c>
      <c r="W9" s="140" t="s">
        <v>311</v>
      </c>
      <c r="X9" s="140" t="s">
        <v>310</v>
      </c>
      <c r="Y9" s="140" t="s">
        <v>311</v>
      </c>
      <c r="Z9" s="140" t="s">
        <v>310</v>
      </c>
    </row>
    <row r="10" spans="1:26">
      <c r="A10" s="26"/>
      <c r="B10" s="27"/>
      <c r="C10" s="43"/>
      <c r="D10" s="44"/>
      <c r="E10" s="44"/>
      <c r="F10" s="44"/>
      <c r="G10" s="44"/>
      <c r="H10" s="44"/>
      <c r="I10" s="55"/>
      <c r="J10" s="55"/>
      <c r="K10" s="29"/>
      <c r="L10" s="29"/>
      <c r="M10" s="139" t="s">
        <v>308</v>
      </c>
      <c r="N10" s="139" t="s">
        <v>308</v>
      </c>
      <c r="O10" s="139" t="s">
        <v>308</v>
      </c>
      <c r="P10" s="139" t="s">
        <v>308</v>
      </c>
      <c r="Q10" s="139" t="s">
        <v>308</v>
      </c>
      <c r="R10" s="139" t="s">
        <v>308</v>
      </c>
      <c r="S10" s="139" t="s">
        <v>308</v>
      </c>
      <c r="T10" s="139"/>
      <c r="U10" s="139" t="s">
        <v>308</v>
      </c>
      <c r="V10" s="139" t="s">
        <v>308</v>
      </c>
      <c r="W10" s="139" t="s">
        <v>308</v>
      </c>
      <c r="X10" s="139" t="s">
        <v>308</v>
      </c>
      <c r="Y10" s="139" t="s">
        <v>308</v>
      </c>
      <c r="Z10" s="139" t="s">
        <v>308</v>
      </c>
    </row>
    <row r="11" spans="1:26">
      <c r="A11" s="33"/>
      <c r="B11" s="29"/>
      <c r="C11" s="39"/>
      <c r="D11" s="49"/>
      <c r="E11" s="49"/>
      <c r="F11" s="49"/>
      <c r="G11" s="49"/>
      <c r="H11" s="49"/>
      <c r="I11" s="55"/>
      <c r="J11" s="55"/>
      <c r="K11" s="29"/>
      <c r="L11" s="29"/>
      <c r="M11" s="135" t="s">
        <v>312</v>
      </c>
      <c r="N11" s="135">
        <v>10</v>
      </c>
      <c r="O11" s="136">
        <v>300000</v>
      </c>
      <c r="P11" s="136">
        <f>+O11*N11%</f>
        <v>30000</v>
      </c>
      <c r="Q11" s="136">
        <f>O11-P11</f>
        <v>270000</v>
      </c>
      <c r="R11" s="136">
        <f>+Q11*$N11%</f>
        <v>27000</v>
      </c>
      <c r="S11" s="136">
        <f>Q11-R11</f>
        <v>243000</v>
      </c>
      <c r="T11" s="136">
        <v>500000</v>
      </c>
      <c r="U11" s="136">
        <f>(+S11+T11)*$N11%</f>
        <v>74300</v>
      </c>
      <c r="V11" s="136">
        <f>S11+T11-U11</f>
        <v>668700</v>
      </c>
      <c r="W11" s="136">
        <f>+V11*$N11%</f>
        <v>66870</v>
      </c>
      <c r="X11" s="136">
        <f>V11-W11</f>
        <v>601830</v>
      </c>
      <c r="Y11" s="136">
        <f>+X11*$N11%</f>
        <v>60183</v>
      </c>
      <c r="Z11" s="136">
        <f>X11-Y11</f>
        <v>541647</v>
      </c>
    </row>
    <row r="12" spans="1:26">
      <c r="A12" s="33"/>
      <c r="B12" s="29"/>
      <c r="C12" s="50" t="s">
        <v>59</v>
      </c>
      <c r="D12" s="123" t="s">
        <v>282</v>
      </c>
      <c r="E12" s="123" t="s">
        <v>283</v>
      </c>
      <c r="F12" s="123" t="s">
        <v>284</v>
      </c>
      <c r="G12" s="123" t="s">
        <v>285</v>
      </c>
      <c r="H12" s="123" t="s">
        <v>286</v>
      </c>
      <c r="I12" s="128"/>
      <c r="J12" s="55"/>
      <c r="K12" s="29"/>
      <c r="L12" s="29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>
      <c r="A13" s="33"/>
      <c r="B13" s="29"/>
      <c r="C13" s="39"/>
      <c r="D13" s="54">
        <v>1</v>
      </c>
      <c r="E13" s="54">
        <v>2</v>
      </c>
      <c r="F13" s="54">
        <v>3</v>
      </c>
      <c r="G13" s="54">
        <v>4</v>
      </c>
      <c r="H13" s="54">
        <v>5</v>
      </c>
      <c r="I13" s="59"/>
      <c r="J13" s="58"/>
      <c r="K13" s="29"/>
      <c r="L13" s="29"/>
      <c r="M13" s="135" t="s">
        <v>315</v>
      </c>
      <c r="N13" s="135">
        <v>60</v>
      </c>
      <c r="O13" s="136">
        <f>40000*75</f>
        <v>3000000</v>
      </c>
      <c r="P13" s="136">
        <f>+O13*N13%</f>
        <v>1800000</v>
      </c>
      <c r="Q13" s="136">
        <f>O13-P13</f>
        <v>1200000</v>
      </c>
      <c r="R13" s="136">
        <f>+Q13*$N13%</f>
        <v>720000</v>
      </c>
      <c r="S13" s="136">
        <f>Q13-R13</f>
        <v>480000</v>
      </c>
      <c r="T13" s="136">
        <f>45000*75</f>
        <v>3375000</v>
      </c>
      <c r="U13" s="136">
        <f>(+S13+T13)*$N13%</f>
        <v>2313000</v>
      </c>
      <c r="V13" s="136">
        <f>S13+T13-U13</f>
        <v>1542000</v>
      </c>
      <c r="W13" s="136">
        <f>+V13*$N13%</f>
        <v>925200</v>
      </c>
      <c r="X13" s="136">
        <f>V13-W13</f>
        <v>616800</v>
      </c>
      <c r="Y13" s="136">
        <f>+X13*$N13%</f>
        <v>370080</v>
      </c>
      <c r="Z13" s="136">
        <f>X13-Y13</f>
        <v>246720</v>
      </c>
    </row>
    <row r="14" spans="1:26">
      <c r="A14" s="45"/>
      <c r="B14" s="52"/>
      <c r="C14" s="25"/>
      <c r="E14" s="23"/>
      <c r="F14" s="23"/>
      <c r="G14" s="23"/>
      <c r="H14" s="23"/>
      <c r="I14" s="29"/>
      <c r="J14" s="59"/>
      <c r="K14" s="29"/>
      <c r="L14" s="29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spans="1:26">
      <c r="A15" s="33">
        <v>1</v>
      </c>
      <c r="B15" s="29"/>
      <c r="C15" s="39" t="s">
        <v>290</v>
      </c>
      <c r="D15" s="60"/>
      <c r="E15" s="60"/>
      <c r="F15" s="60"/>
      <c r="G15" s="60"/>
      <c r="H15" s="60"/>
      <c r="I15" s="61"/>
      <c r="J15" s="61"/>
      <c r="K15" s="29"/>
      <c r="L15" s="29"/>
      <c r="M15" s="135" t="s">
        <v>313</v>
      </c>
      <c r="N15" s="135">
        <v>10</v>
      </c>
      <c r="O15" s="136">
        <v>1250000</v>
      </c>
      <c r="P15" s="136">
        <f>+O15*N15%</f>
        <v>125000</v>
      </c>
      <c r="Q15" s="136">
        <f>O15-P15</f>
        <v>1125000</v>
      </c>
      <c r="R15" s="136">
        <f>+Q15*$N15%</f>
        <v>112500</v>
      </c>
      <c r="S15" s="136">
        <f>Q15-R15</f>
        <v>1012500</v>
      </c>
      <c r="T15" s="136">
        <v>1250000</v>
      </c>
      <c r="U15" s="136">
        <f>(+S15+T15)*$N15%</f>
        <v>226250</v>
      </c>
      <c r="V15" s="136">
        <f>S15+T15-U15</f>
        <v>2036250</v>
      </c>
      <c r="W15" s="136">
        <f>+V15*$N15%</f>
        <v>203625</v>
      </c>
      <c r="X15" s="136">
        <f>V15-W15</f>
        <v>1832625</v>
      </c>
      <c r="Y15" s="136">
        <f>+X15*$N15%</f>
        <v>183262.5</v>
      </c>
      <c r="Z15" s="136">
        <f>X15-Y15</f>
        <v>1649362.5</v>
      </c>
    </row>
    <row r="16" spans="1:26">
      <c r="A16" s="33"/>
      <c r="B16" s="29"/>
      <c r="C16" s="39" t="s">
        <v>68</v>
      </c>
      <c r="D16" s="113">
        <f>+Sheet1!M39</f>
        <v>65649830.399999999</v>
      </c>
      <c r="E16" s="113">
        <f>+Sheet1!O39</f>
        <v>154357880</v>
      </c>
      <c r="F16" s="113">
        <f>+Sheet1!Q39</f>
        <v>295459482.80000001</v>
      </c>
      <c r="G16" s="31">
        <f>+Sheet1!S39</f>
        <v>456822570.39999998</v>
      </c>
      <c r="H16" s="31">
        <f>+Sheet1!U39</f>
        <v>639863657.20000005</v>
      </c>
      <c r="I16" s="31"/>
      <c r="J16" s="61"/>
      <c r="L16" s="29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spans="1:26">
      <c r="A17" s="33"/>
      <c r="B17" s="29"/>
      <c r="C17" s="39" t="s">
        <v>69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29"/>
      <c r="J17" s="61"/>
      <c r="K17" s="29"/>
      <c r="L17" s="29"/>
      <c r="M17" s="135" t="s">
        <v>304</v>
      </c>
      <c r="N17" s="135">
        <v>15</v>
      </c>
      <c r="O17" s="136">
        <v>1800000</v>
      </c>
      <c r="P17" s="136">
        <f>+O17*N17%</f>
        <v>270000</v>
      </c>
      <c r="Q17" s="136">
        <f>O17-P17</f>
        <v>1530000</v>
      </c>
      <c r="R17" s="136">
        <f>+Q17*$N17%</f>
        <v>229500</v>
      </c>
      <c r="S17" s="136">
        <f>Q17-R17</f>
        <v>1300500</v>
      </c>
      <c r="T17" s="136">
        <v>1500000</v>
      </c>
      <c r="U17" s="136">
        <f>(+S17+T17)*$N17%</f>
        <v>420075</v>
      </c>
      <c r="V17" s="136">
        <f>S17+T17-U17</f>
        <v>2380425</v>
      </c>
      <c r="W17" s="136">
        <f>+V17*$N17%</f>
        <v>357063.75</v>
      </c>
      <c r="X17" s="136">
        <f>V17-W17</f>
        <v>2023361.25</v>
      </c>
      <c r="Y17" s="136">
        <f>+X17*$N17%</f>
        <v>303504.1875</v>
      </c>
      <c r="Z17" s="136">
        <f>X17-Y17</f>
        <v>1719857.0625</v>
      </c>
    </row>
    <row r="18" spans="1:26" ht="31.5">
      <c r="A18" s="33">
        <v>2</v>
      </c>
      <c r="B18" s="29"/>
      <c r="C18" s="114" t="s">
        <v>291</v>
      </c>
      <c r="D18" s="113">
        <f>D16*0.075</f>
        <v>4923737.2799999993</v>
      </c>
      <c r="E18" s="113">
        <f>E16*0.075</f>
        <v>11576841</v>
      </c>
      <c r="F18" s="113">
        <f>F16*0.075</f>
        <v>22159461.210000001</v>
      </c>
      <c r="G18" s="113">
        <f>G16*0.075</f>
        <v>34261692.779999994</v>
      </c>
      <c r="H18" s="113">
        <f>H16*0.075</f>
        <v>47989774.289999999</v>
      </c>
      <c r="I18" s="129"/>
      <c r="J18" s="61"/>
      <c r="K18" s="29"/>
      <c r="L18" s="29"/>
      <c r="M18" s="135"/>
      <c r="N18" s="135"/>
      <c r="O18" s="139" t="s">
        <v>308</v>
      </c>
      <c r="P18" s="139" t="s">
        <v>308</v>
      </c>
      <c r="Q18" s="139" t="s">
        <v>308</v>
      </c>
      <c r="R18" s="139" t="s">
        <v>308</v>
      </c>
      <c r="S18" s="139" t="s">
        <v>308</v>
      </c>
      <c r="T18" s="139"/>
      <c r="U18" s="139" t="s">
        <v>308</v>
      </c>
      <c r="V18" s="139" t="s">
        <v>308</v>
      </c>
      <c r="W18" s="139" t="s">
        <v>308</v>
      </c>
      <c r="X18" s="139" t="s">
        <v>308</v>
      </c>
      <c r="Y18" s="139" t="s">
        <v>308</v>
      </c>
      <c r="Z18" s="139" t="s">
        <v>308</v>
      </c>
    </row>
    <row r="19" spans="1:26">
      <c r="A19" s="33"/>
      <c r="B19" s="29"/>
      <c r="C19" s="114" t="s">
        <v>292</v>
      </c>
      <c r="D19" s="113">
        <f>(D16-D18)*0.025</f>
        <v>1518152.328</v>
      </c>
      <c r="E19" s="113">
        <f>(E16-E18)*0.025</f>
        <v>3569525.9750000001</v>
      </c>
      <c r="F19" s="113">
        <f>(F16-F18)*0.025</f>
        <v>6832500.5397500014</v>
      </c>
      <c r="G19" s="113">
        <f>(G16-G18)*0.025</f>
        <v>10564021.9405</v>
      </c>
      <c r="H19" s="113">
        <f>(H16-H18)*0.025</f>
        <v>14796847.072750002</v>
      </c>
      <c r="I19" s="129"/>
      <c r="J19" s="61"/>
      <c r="K19" s="29"/>
      <c r="L19" s="29"/>
      <c r="M19" s="137" t="s">
        <v>314</v>
      </c>
      <c r="N19" s="135"/>
      <c r="O19" s="136">
        <f t="shared" ref="O19:Z19" si="0">SUM(O11:O17)</f>
        <v>6350000</v>
      </c>
      <c r="P19" s="136">
        <f t="shared" si="0"/>
        <v>2225000</v>
      </c>
      <c r="Q19" s="136">
        <f t="shared" si="0"/>
        <v>4125000</v>
      </c>
      <c r="R19" s="136">
        <f t="shared" si="0"/>
        <v>1089000</v>
      </c>
      <c r="S19" s="136">
        <f t="shared" si="0"/>
        <v>3036000</v>
      </c>
      <c r="T19" s="136">
        <f t="shared" si="0"/>
        <v>6625000</v>
      </c>
      <c r="U19" s="136">
        <f t="shared" si="0"/>
        <v>3033625</v>
      </c>
      <c r="V19" s="136">
        <f t="shared" si="0"/>
        <v>6627375</v>
      </c>
      <c r="W19" s="136">
        <f t="shared" si="0"/>
        <v>1552758.75</v>
      </c>
      <c r="X19" s="136">
        <f t="shared" si="0"/>
        <v>5074616.25</v>
      </c>
      <c r="Y19" s="136">
        <f t="shared" si="0"/>
        <v>917029.6875</v>
      </c>
      <c r="Z19" s="136">
        <f t="shared" si="0"/>
        <v>4157586.5625</v>
      </c>
    </row>
    <row r="20" spans="1:26">
      <c r="A20" s="33">
        <v>3</v>
      </c>
      <c r="B20" s="29"/>
      <c r="C20" s="39" t="s">
        <v>70</v>
      </c>
      <c r="D20" s="115">
        <f>D16-D18-D19</f>
        <v>59207940.791999996</v>
      </c>
      <c r="E20" s="115">
        <f>E16-E18-E19</f>
        <v>139211513.02500001</v>
      </c>
      <c r="F20" s="115">
        <f>F16-F18-F19</f>
        <v>266467521.05025002</v>
      </c>
      <c r="G20" s="115">
        <f>G16-G18-G19</f>
        <v>411996855.67949998</v>
      </c>
      <c r="H20" s="115">
        <f>H16-H18-H19</f>
        <v>577077035.83725011</v>
      </c>
      <c r="I20" s="129"/>
      <c r="J20" s="61"/>
      <c r="K20" s="29"/>
      <c r="L20" s="29"/>
      <c r="M20" s="135"/>
      <c r="N20" s="135"/>
      <c r="O20" s="139" t="s">
        <v>308</v>
      </c>
      <c r="P20" s="139" t="s">
        <v>308</v>
      </c>
      <c r="Q20" s="139" t="s">
        <v>308</v>
      </c>
      <c r="R20" s="139" t="s">
        <v>308</v>
      </c>
      <c r="S20" s="139" t="s">
        <v>308</v>
      </c>
      <c r="T20" s="139"/>
      <c r="U20" s="139" t="s">
        <v>308</v>
      </c>
      <c r="V20" s="139" t="s">
        <v>308</v>
      </c>
      <c r="W20" s="139" t="s">
        <v>308</v>
      </c>
      <c r="X20" s="139" t="s">
        <v>308</v>
      </c>
      <c r="Y20" s="139" t="s">
        <v>308</v>
      </c>
      <c r="Z20" s="139" t="s">
        <v>308</v>
      </c>
    </row>
    <row r="21" spans="1:26">
      <c r="A21" s="33">
        <v>4</v>
      </c>
      <c r="B21" s="29"/>
      <c r="C21" s="39" t="s">
        <v>71</v>
      </c>
      <c r="D21" s="113"/>
      <c r="E21" s="113">
        <f>(E20-D20)*100/D20</f>
        <v>135.1230445829149</v>
      </c>
      <c r="F21" s="113">
        <f>(F20-E20)*100/E20</f>
        <v>91.411985445770583</v>
      </c>
      <c r="G21" s="113">
        <f>(G20-F20)*100/F20</f>
        <v>54.614286219822738</v>
      </c>
      <c r="H21" s="113">
        <f>(H20-G20)*100/G20</f>
        <v>40.068310687829396</v>
      </c>
      <c r="I21" s="129"/>
      <c r="J21" s="63"/>
      <c r="K21" s="29"/>
      <c r="L21" s="29"/>
    </row>
    <row r="22" spans="1:26">
      <c r="A22" s="33">
        <v>5</v>
      </c>
      <c r="B22" s="29"/>
      <c r="C22" s="39" t="s">
        <v>72</v>
      </c>
      <c r="D22" s="113"/>
      <c r="E22" s="113"/>
      <c r="F22" s="113">
        <f>E22*120/100</f>
        <v>0</v>
      </c>
      <c r="G22" s="113">
        <f>F22*120/100</f>
        <v>0</v>
      </c>
      <c r="H22" s="113">
        <f>G22*120%</f>
        <v>0</v>
      </c>
      <c r="I22" s="129"/>
      <c r="J22" s="61"/>
      <c r="K22" s="29"/>
      <c r="L22" s="29"/>
    </row>
    <row r="23" spans="1:26">
      <c r="A23" s="33"/>
      <c r="B23" s="29" t="s">
        <v>73</v>
      </c>
      <c r="C23" s="39" t="s">
        <v>74</v>
      </c>
      <c r="D23" s="116">
        <v>0</v>
      </c>
      <c r="E23" s="116">
        <f>+D26</f>
        <v>6564983.0399999991</v>
      </c>
      <c r="F23" s="116">
        <f>+E26</f>
        <v>12863156.666666666</v>
      </c>
      <c r="G23" s="116">
        <f>+F26</f>
        <v>22159461.210000001</v>
      </c>
      <c r="H23" s="116">
        <f>+G26</f>
        <v>26647983.27333333</v>
      </c>
      <c r="I23" s="130"/>
      <c r="J23" s="35"/>
      <c r="K23" s="29"/>
      <c r="L23" s="29"/>
    </row>
    <row r="24" spans="1:26">
      <c r="A24" s="33"/>
      <c r="B24" s="29" t="s">
        <v>75</v>
      </c>
      <c r="C24" s="39" t="s">
        <v>76</v>
      </c>
      <c r="D24" s="113">
        <f>+Sheet1!M40</f>
        <v>39389898.239999995</v>
      </c>
      <c r="E24" s="113">
        <f>+Sheet1!O40</f>
        <v>77178940</v>
      </c>
      <c r="F24" s="113">
        <f>+Sheet1!Q40</f>
        <v>132956767.26000001</v>
      </c>
      <c r="G24" s="31">
        <f>+Sheet1!S40</f>
        <v>159887899.63999999</v>
      </c>
      <c r="H24" s="70">
        <f>+Sheet1!U40</f>
        <v>223952280.02000001</v>
      </c>
      <c r="I24" s="70"/>
      <c r="J24" s="61"/>
      <c r="L24" s="29"/>
    </row>
    <row r="25" spans="1:26">
      <c r="A25" s="33"/>
      <c r="B25" s="29" t="s">
        <v>77</v>
      </c>
      <c r="C25" s="39" t="s">
        <v>78</v>
      </c>
      <c r="D25" s="113"/>
      <c r="E25" s="113"/>
      <c r="F25" s="113"/>
      <c r="G25" s="113"/>
      <c r="H25" s="113"/>
      <c r="I25" s="129"/>
      <c r="J25" s="61"/>
      <c r="K25" s="29"/>
      <c r="L25" s="29"/>
    </row>
    <row r="26" spans="1:26">
      <c r="A26" s="33"/>
      <c r="B26" s="29" t="s">
        <v>79</v>
      </c>
      <c r="C26" s="66" t="s">
        <v>80</v>
      </c>
      <c r="D26" s="113">
        <f>D24/6</f>
        <v>6564983.0399999991</v>
      </c>
      <c r="E26" s="113">
        <f>E24/6</f>
        <v>12863156.666666666</v>
      </c>
      <c r="F26" s="113">
        <f>F24/6</f>
        <v>22159461.210000001</v>
      </c>
      <c r="G26" s="113">
        <f>G24/6</f>
        <v>26647983.27333333</v>
      </c>
      <c r="H26" s="113">
        <f>H24/6</f>
        <v>37325380.003333338</v>
      </c>
      <c r="I26" s="129"/>
      <c r="J26" s="61"/>
      <c r="K26" s="29"/>
      <c r="L26" s="29"/>
    </row>
    <row r="27" spans="1:26">
      <c r="A27" s="33"/>
      <c r="B27" s="29"/>
      <c r="C27" s="50" t="s">
        <v>81</v>
      </c>
      <c r="D27" s="117">
        <f>(D23+D24+D25)-D26</f>
        <v>32824915.199999996</v>
      </c>
      <c r="E27" s="117">
        <f>(E23+E24+E25)-E26</f>
        <v>70880766.37333332</v>
      </c>
      <c r="F27" s="117">
        <f>(F23+F24+F25)-F26</f>
        <v>123660462.71666667</v>
      </c>
      <c r="G27" s="117">
        <f>(G23+G24+G25)-G26</f>
        <v>155399377.57666665</v>
      </c>
      <c r="H27" s="117">
        <f>(H23+H24+H25)-H26</f>
        <v>213274883.29000002</v>
      </c>
      <c r="I27" s="131"/>
      <c r="J27" s="40"/>
      <c r="K27" s="29"/>
      <c r="L27" s="29"/>
    </row>
    <row r="28" spans="1:26">
      <c r="A28" s="33">
        <v>6</v>
      </c>
      <c r="B28" s="29"/>
      <c r="C28" s="50" t="s">
        <v>82</v>
      </c>
      <c r="D28" s="117">
        <f>(D20+D22)-D27</f>
        <v>26383025.592</v>
      </c>
      <c r="E28" s="118">
        <f>(E20+E22)-E27</f>
        <v>68330746.651666686</v>
      </c>
      <c r="F28" s="118">
        <f>(F20+F22)-F27</f>
        <v>142807058.33358335</v>
      </c>
      <c r="G28" s="118">
        <f>(G20+G22)-G27</f>
        <v>256597478.10283333</v>
      </c>
      <c r="H28" s="118">
        <f>(H20+H22)-H27</f>
        <v>363802152.54725009</v>
      </c>
      <c r="I28" s="131"/>
      <c r="J28" s="40"/>
      <c r="K28" s="29"/>
      <c r="L28" s="29"/>
    </row>
    <row r="29" spans="1:26">
      <c r="A29" s="33">
        <v>7</v>
      </c>
      <c r="B29" s="29"/>
      <c r="C29" s="39" t="s">
        <v>83</v>
      </c>
      <c r="D29" s="119">
        <v>0</v>
      </c>
      <c r="E29" s="113">
        <f>D29*120/100</f>
        <v>0</v>
      </c>
      <c r="F29" s="113">
        <f>E29*120/100</f>
        <v>0</v>
      </c>
      <c r="G29" s="113">
        <f>F29*120/100</f>
        <v>0</v>
      </c>
      <c r="H29" s="113">
        <f>G29*120%</f>
        <v>0</v>
      </c>
      <c r="I29" s="129"/>
      <c r="J29" s="61"/>
      <c r="K29" s="29"/>
      <c r="L29" s="29"/>
      <c r="O29" s="70"/>
      <c r="P29" s="70"/>
      <c r="Q29" s="70"/>
      <c r="R29" s="70"/>
    </row>
    <row r="30" spans="1:26">
      <c r="A30" s="33">
        <v>8</v>
      </c>
      <c r="B30" s="29"/>
      <c r="C30" s="50" t="s">
        <v>84</v>
      </c>
      <c r="D30" s="120">
        <f>D28+D29</f>
        <v>26383025.592</v>
      </c>
      <c r="E30" s="120">
        <f>E28+E29</f>
        <v>68330746.651666686</v>
      </c>
      <c r="F30" s="120">
        <f>F28+F29</f>
        <v>142807058.33358335</v>
      </c>
      <c r="G30" s="120">
        <f>G28+G29</f>
        <v>256597478.10283333</v>
      </c>
      <c r="H30" s="120">
        <f>H28+H29</f>
        <v>363802152.54725009</v>
      </c>
      <c r="I30" s="131"/>
      <c r="J30" s="40"/>
      <c r="K30" s="29"/>
      <c r="L30" s="29"/>
      <c r="O30" s="71"/>
      <c r="P30" s="71"/>
      <c r="Q30" s="71"/>
      <c r="R30" s="71"/>
    </row>
    <row r="31" spans="1:26">
      <c r="A31" s="33">
        <v>8</v>
      </c>
      <c r="B31" s="29"/>
      <c r="C31" s="39" t="s">
        <v>85</v>
      </c>
      <c r="D31" s="115">
        <f>+Sheet1!M42+Sheet1!M43</f>
        <v>24480000</v>
      </c>
      <c r="E31" s="115">
        <f>+Sheet1!O42+Sheet1!O43</f>
        <v>51480000</v>
      </c>
      <c r="F31" s="115">
        <f>+Sheet1!Q42+Sheet1!Q43</f>
        <v>89220000</v>
      </c>
      <c r="G31" s="115">
        <f>+Sheet1!S42+Sheet1!S43</f>
        <v>108960000</v>
      </c>
      <c r="H31" s="115">
        <f>+Sheet1!U42+Sheet1!U43</f>
        <v>128700000</v>
      </c>
      <c r="I31" s="129"/>
      <c r="J31" s="61"/>
      <c r="K31" s="65"/>
      <c r="L31" s="65"/>
    </row>
    <row r="32" spans="1:26" ht="31.5">
      <c r="A32" s="33"/>
      <c r="B32" s="29"/>
      <c r="C32" s="114" t="s">
        <v>293</v>
      </c>
      <c r="D32" s="119">
        <f>+Sheet1!M44</f>
        <v>12000000</v>
      </c>
      <c r="E32" s="113">
        <f>+Sheet1!O44</f>
        <v>15435788</v>
      </c>
      <c r="F32" s="113">
        <f>+Sheet1!Q44</f>
        <v>29545948.280000001</v>
      </c>
      <c r="G32" s="113">
        <f>+Sheet1!S44</f>
        <v>54818708.447999991</v>
      </c>
      <c r="H32" s="113">
        <f>+Sheet1!U44</f>
        <v>76783638.864000008</v>
      </c>
      <c r="I32" s="129"/>
      <c r="J32" s="61"/>
      <c r="K32" s="29"/>
      <c r="L32" s="29"/>
      <c r="O32" s="71"/>
      <c r="P32" s="71"/>
      <c r="Q32" s="71"/>
      <c r="R32" s="71"/>
    </row>
    <row r="33" spans="1:13">
      <c r="A33" s="33">
        <v>9</v>
      </c>
      <c r="B33" s="29"/>
      <c r="C33" s="50" t="s">
        <v>86</v>
      </c>
      <c r="D33" s="117">
        <f>D30-D31-D32</f>
        <v>-10096974.408</v>
      </c>
      <c r="E33" s="117">
        <f>E30-E31-E32</f>
        <v>1414958.6516666859</v>
      </c>
      <c r="F33" s="117">
        <f>F30-F31-F32</f>
        <v>24041110.053583354</v>
      </c>
      <c r="G33" s="117">
        <f>G30-G31-G32</f>
        <v>92818769.654833347</v>
      </c>
      <c r="H33" s="117">
        <f>H30-H31-H32</f>
        <v>158318513.68325007</v>
      </c>
      <c r="I33" s="131"/>
      <c r="J33" s="40"/>
      <c r="K33" s="29"/>
      <c r="L33" s="29"/>
    </row>
    <row r="34" spans="1:13">
      <c r="A34" s="33">
        <v>10</v>
      </c>
      <c r="B34" s="29"/>
      <c r="C34" s="39" t="s">
        <v>87</v>
      </c>
      <c r="D34" s="121">
        <f>+P19</f>
        <v>2225000</v>
      </c>
      <c r="E34" s="121">
        <f>+R19</f>
        <v>1089000</v>
      </c>
      <c r="F34" s="121">
        <f>+U19</f>
        <v>3033625</v>
      </c>
      <c r="G34" s="121">
        <f>+W19</f>
        <v>1552758.75</v>
      </c>
      <c r="H34" s="121">
        <f>+Y19</f>
        <v>917029.6875</v>
      </c>
      <c r="I34" s="129"/>
      <c r="J34" s="61"/>
    </row>
    <row r="35" spans="1:13">
      <c r="A35" s="33">
        <v>11</v>
      </c>
      <c r="B35" s="29"/>
      <c r="C35" s="39" t="s">
        <v>88</v>
      </c>
      <c r="D35" s="119">
        <f>D33-D34</f>
        <v>-12321974.408</v>
      </c>
      <c r="E35" s="119">
        <f>E33-E34</f>
        <v>325958.65166668594</v>
      </c>
      <c r="F35" s="119">
        <f>F33-F34</f>
        <v>21007485.053583354</v>
      </c>
      <c r="G35" s="119">
        <f>G33-G34</f>
        <v>91266010.904833347</v>
      </c>
      <c r="H35" s="119">
        <f>H33-H34</f>
        <v>157401483.99575007</v>
      </c>
      <c r="I35" s="130"/>
      <c r="J35" s="35"/>
    </row>
    <row r="36" spans="1:13">
      <c r="A36" s="33">
        <v>12</v>
      </c>
      <c r="B36" s="29"/>
      <c r="C36" s="39" t="s">
        <v>89</v>
      </c>
      <c r="D36" s="127">
        <f>+D72*13%</f>
        <v>390000</v>
      </c>
      <c r="E36" s="127">
        <f>+E72*13%</f>
        <v>1299178.8233333332</v>
      </c>
      <c r="F36" s="127">
        <f>+F72*13%</f>
        <v>3645231.3690449996</v>
      </c>
      <c r="G36" s="127">
        <f>+G72*13%</f>
        <v>5373375.4843300004</v>
      </c>
      <c r="H36" s="127">
        <f>+H72*13%</f>
        <v>7526396.2678150004</v>
      </c>
      <c r="I36" s="132"/>
      <c r="J36" s="61"/>
    </row>
    <row r="37" spans="1:13">
      <c r="A37" s="33">
        <v>13</v>
      </c>
      <c r="B37" s="29"/>
      <c r="C37" s="50" t="s">
        <v>90</v>
      </c>
      <c r="D37" s="118">
        <f>D35-D36</f>
        <v>-12711974.408</v>
      </c>
      <c r="E37" s="118">
        <f>E35-E36</f>
        <v>-973220.17166664731</v>
      </c>
      <c r="F37" s="118">
        <f>F35-F36</f>
        <v>17362253.684538353</v>
      </c>
      <c r="G37" s="118">
        <f>G35-G36</f>
        <v>85892635.420503348</v>
      </c>
      <c r="H37" s="118">
        <f>H35-H36</f>
        <v>149875087.72793508</v>
      </c>
      <c r="I37" s="131"/>
      <c r="J37" s="40"/>
    </row>
    <row r="38" spans="1:13">
      <c r="A38" s="33">
        <v>14</v>
      </c>
      <c r="B38" s="29"/>
      <c r="C38" s="39" t="s">
        <v>91</v>
      </c>
      <c r="D38" s="113">
        <v>0</v>
      </c>
      <c r="E38" s="113">
        <f>D38*120/100</f>
        <v>0</v>
      </c>
      <c r="F38" s="113">
        <f>E38*120/100</f>
        <v>0</v>
      </c>
      <c r="G38" s="113">
        <f>F38*120/100</f>
        <v>0</v>
      </c>
      <c r="H38" s="113">
        <f>G38*120%</f>
        <v>0</v>
      </c>
      <c r="I38" s="129"/>
      <c r="J38" s="61"/>
    </row>
    <row r="39" spans="1:13">
      <c r="A39" s="33">
        <v>15</v>
      </c>
      <c r="B39" s="29"/>
      <c r="C39" s="39" t="s">
        <v>92</v>
      </c>
      <c r="D39" s="113"/>
      <c r="E39" s="113"/>
      <c r="F39" s="113"/>
      <c r="G39" s="113"/>
      <c r="H39" s="113"/>
      <c r="I39" s="129"/>
      <c r="J39" s="61"/>
      <c r="K39" s="70">
        <v>2019</v>
      </c>
      <c r="L39" s="70">
        <v>2020</v>
      </c>
    </row>
    <row r="40" spans="1:13">
      <c r="A40" s="33">
        <v>16</v>
      </c>
      <c r="B40" s="29"/>
      <c r="C40" s="39" t="s">
        <v>93</v>
      </c>
      <c r="D40" s="113"/>
      <c r="E40" s="113"/>
      <c r="F40" s="113"/>
      <c r="G40" s="113"/>
      <c r="H40" s="113"/>
      <c r="I40" s="129"/>
      <c r="J40" s="61"/>
      <c r="K40" s="71" t="e">
        <f>#REF!</f>
        <v>#REF!</v>
      </c>
      <c r="L40" s="71" t="e">
        <f>K40+50</f>
        <v>#REF!</v>
      </c>
    </row>
    <row r="41" spans="1:13">
      <c r="A41" s="33"/>
      <c r="B41" s="29"/>
      <c r="C41" s="50" t="s">
        <v>94</v>
      </c>
      <c r="D41" s="116">
        <f>D39-D40</f>
        <v>0</v>
      </c>
      <c r="E41" s="116">
        <f>E39-E40</f>
        <v>0</v>
      </c>
      <c r="F41" s="116">
        <f>F39-F40</f>
        <v>0</v>
      </c>
      <c r="G41" s="116">
        <f>G39-G40</f>
        <v>0</v>
      </c>
      <c r="H41" s="116">
        <f>H39-H40</f>
        <v>0</v>
      </c>
      <c r="I41" s="130"/>
      <c r="J41" s="35"/>
      <c r="K41" s="71" t="e">
        <f>447.9*15%+#REF!</f>
        <v>#REF!</v>
      </c>
      <c r="L41" s="71" t="e">
        <f>447.9*15%+K41</f>
        <v>#REF!</v>
      </c>
    </row>
    <row r="42" spans="1:13">
      <c r="A42" s="33">
        <v>17</v>
      </c>
      <c r="B42" s="29"/>
      <c r="C42" s="39" t="s">
        <v>95</v>
      </c>
      <c r="D42" s="119">
        <f>D37+D39-D40</f>
        <v>-12711974.408</v>
      </c>
      <c r="E42" s="119">
        <f>E37+E39-E40</f>
        <v>-973220.17166664731</v>
      </c>
      <c r="F42" s="119">
        <f>F37+F39-F40</f>
        <v>17362253.684538353</v>
      </c>
      <c r="G42" s="119">
        <f>G37+G39-G40</f>
        <v>85892635.420503348</v>
      </c>
      <c r="H42" s="119">
        <f>H37+H39-H40</f>
        <v>149875087.72793508</v>
      </c>
      <c r="I42" s="130"/>
      <c r="J42" s="35"/>
      <c r="K42" s="71" t="e">
        <f>K40-K41</f>
        <v>#REF!</v>
      </c>
      <c r="L42" s="71" t="e">
        <f>L40-L41</f>
        <v>#REF!</v>
      </c>
    </row>
    <row r="43" spans="1:13">
      <c r="A43" s="33">
        <v>18</v>
      </c>
      <c r="B43" s="29"/>
      <c r="C43" s="39" t="s">
        <v>96</v>
      </c>
      <c r="D43" s="115">
        <v>0</v>
      </c>
      <c r="E43" s="115">
        <v>0</v>
      </c>
      <c r="F43" s="115">
        <f>(+D42+E42+F42)*30.9%</f>
        <v>1136211.2634053568</v>
      </c>
      <c r="G43" s="115">
        <f>+G42*30.9%</f>
        <v>26540824.344935533</v>
      </c>
      <c r="H43" s="115">
        <f>+H42*30.9%</f>
        <v>46311402.107931934</v>
      </c>
      <c r="I43" s="129"/>
      <c r="J43" s="61"/>
      <c r="M43" s="70">
        <f>+F42+E42+D42</f>
        <v>3677059.1048717052</v>
      </c>
    </row>
    <row r="44" spans="1:13">
      <c r="A44" s="33">
        <v>19</v>
      </c>
      <c r="B44" s="29"/>
      <c r="C44" s="50" t="s">
        <v>97</v>
      </c>
      <c r="D44" s="118">
        <f>D42-D43</f>
        <v>-12711974.408</v>
      </c>
      <c r="E44" s="118">
        <f>E42-E43</f>
        <v>-973220.17166664731</v>
      </c>
      <c r="F44" s="118">
        <f>F42-F43</f>
        <v>16226042.421132997</v>
      </c>
      <c r="G44" s="118">
        <f>G42-G43</f>
        <v>59351811.075567812</v>
      </c>
      <c r="H44" s="118">
        <f>H42-H43</f>
        <v>103563685.62000313</v>
      </c>
      <c r="I44" s="131"/>
      <c r="J44" s="40"/>
    </row>
    <row r="45" spans="1:13">
      <c r="A45" s="33">
        <v>20</v>
      </c>
      <c r="B45" s="29"/>
      <c r="C45" s="39" t="s">
        <v>98</v>
      </c>
      <c r="D45" s="113">
        <v>0</v>
      </c>
      <c r="E45" s="113">
        <f>D50</f>
        <v>-12711974.408</v>
      </c>
      <c r="F45" s="113">
        <f>E50</f>
        <v>-13685194.579666648</v>
      </c>
      <c r="G45" s="113">
        <f>F50</f>
        <v>-6705662.1585336514</v>
      </c>
      <c r="H45" s="113">
        <f>G50</f>
        <v>38136240.917034164</v>
      </c>
      <c r="I45" s="129"/>
      <c r="J45" s="61"/>
    </row>
    <row r="46" spans="1:13">
      <c r="A46" s="33">
        <v>21</v>
      </c>
      <c r="B46" s="29"/>
      <c r="C46" s="39" t="s">
        <v>99</v>
      </c>
      <c r="D46" s="113"/>
      <c r="E46" s="113">
        <v>0</v>
      </c>
      <c r="F46" s="113">
        <v>0</v>
      </c>
      <c r="G46" s="113">
        <v>0</v>
      </c>
      <c r="H46" s="113"/>
      <c r="I46" s="129"/>
      <c r="J46" s="61"/>
    </row>
    <row r="47" spans="1:13">
      <c r="A47" s="33"/>
      <c r="B47" s="29"/>
      <c r="C47" s="39" t="s">
        <v>100</v>
      </c>
      <c r="D47" s="113"/>
      <c r="E47" s="113">
        <v>0</v>
      </c>
      <c r="F47" s="113">
        <f>+E113*F54</f>
        <v>7800000</v>
      </c>
      <c r="G47" s="113">
        <f>+F113*G54</f>
        <v>12240000</v>
      </c>
      <c r="H47" s="113">
        <f>+G113*H54</f>
        <v>14687999.999999998</v>
      </c>
      <c r="I47" s="129"/>
      <c r="J47" s="61"/>
    </row>
    <row r="48" spans="1:13">
      <c r="A48" s="33"/>
      <c r="B48" s="29"/>
      <c r="C48" s="39" t="s">
        <v>297</v>
      </c>
      <c r="D48" s="113">
        <v>0</v>
      </c>
      <c r="E48" s="113">
        <f>+E47*18.545%</f>
        <v>0</v>
      </c>
      <c r="F48" s="113">
        <f>+F47*18.545%</f>
        <v>1446510</v>
      </c>
      <c r="G48" s="113">
        <f>+G47*18.545%</f>
        <v>2269908</v>
      </c>
      <c r="H48" s="113">
        <f>+H47*18.545%</f>
        <v>2723889.5999999996</v>
      </c>
      <c r="I48" s="129"/>
      <c r="J48" s="61"/>
    </row>
    <row r="49" spans="1:11">
      <c r="A49" s="33"/>
      <c r="B49" s="29"/>
      <c r="C49" s="39" t="s">
        <v>101</v>
      </c>
      <c r="D49" s="113"/>
      <c r="E49" s="113">
        <f>D49*120/100</f>
        <v>0</v>
      </c>
      <c r="F49" s="113">
        <f>E49*120/100</f>
        <v>0</v>
      </c>
      <c r="G49" s="113">
        <f>F49*120/100</f>
        <v>0</v>
      </c>
      <c r="H49" s="113"/>
      <c r="I49" s="129"/>
      <c r="J49" s="61"/>
    </row>
    <row r="50" spans="1:11" ht="16.5" thickBot="1">
      <c r="A50" s="33">
        <v>22</v>
      </c>
      <c r="B50" s="29"/>
      <c r="C50" s="50" t="s">
        <v>102</v>
      </c>
      <c r="D50" s="122">
        <f>+D44-D45-D46-D47-D48-D49</f>
        <v>-12711974.408</v>
      </c>
      <c r="E50" s="122">
        <f>+E44+E45-E46-E47-E48-E49</f>
        <v>-13685194.579666648</v>
      </c>
      <c r="F50" s="122">
        <f>+F44+F45-F46-F47-F48-F49</f>
        <v>-6705662.1585336514</v>
      </c>
      <c r="G50" s="122">
        <f>+G44+G45-G46-G47-G48-G49</f>
        <v>38136240.917034164</v>
      </c>
      <c r="H50" s="122">
        <f>+H44+H45-H46-H47-H48-H49</f>
        <v>124288036.93703732</v>
      </c>
      <c r="I50" s="131"/>
      <c r="J50" s="40"/>
    </row>
    <row r="51" spans="1:11" ht="16.5" thickTop="1">
      <c r="A51" s="33"/>
      <c r="B51" s="29"/>
      <c r="C51" s="39"/>
      <c r="D51" s="60"/>
      <c r="E51" s="60">
        <f>D51*120/100</f>
        <v>0</v>
      </c>
      <c r="F51" s="60">
        <f>E51*120/100</f>
        <v>0</v>
      </c>
      <c r="G51" s="60">
        <f>F51*120/100</f>
        <v>0</v>
      </c>
      <c r="H51" s="64"/>
      <c r="I51" s="61"/>
      <c r="J51" s="61"/>
    </row>
    <row r="52" spans="1:11">
      <c r="A52" s="33"/>
      <c r="B52" s="29"/>
      <c r="C52" s="39" t="s">
        <v>103</v>
      </c>
      <c r="D52" s="73">
        <f>D42/D20</f>
        <v>-0.21470049858105528</v>
      </c>
      <c r="E52" s="73">
        <f>E42/E20</f>
        <v>-6.990946010994605E-3</v>
      </c>
      <c r="F52" s="73">
        <f>F42/F20</f>
        <v>6.5157110390441197E-2</v>
      </c>
      <c r="G52" s="73">
        <f>G42/G20</f>
        <v>0.20847886151665396</v>
      </c>
      <c r="H52" s="73">
        <f>H42/H20</f>
        <v>0.25971417751962589</v>
      </c>
      <c r="I52" s="74"/>
      <c r="J52" s="74"/>
    </row>
    <row r="53" spans="1:11">
      <c r="A53" s="33"/>
      <c r="B53" s="29"/>
      <c r="C53" s="39" t="s">
        <v>104</v>
      </c>
      <c r="D53" s="73">
        <f>D44/D20</f>
        <v>-0.21470049858105528</v>
      </c>
      <c r="E53" s="73">
        <f>E44/E20</f>
        <v>-6.990946010994605E-3</v>
      </c>
      <c r="F53" s="73">
        <f>F44/F20</f>
        <v>6.0893133831770495E-2</v>
      </c>
      <c r="G53" s="73">
        <f>G44/G20</f>
        <v>0.14405889330800789</v>
      </c>
      <c r="H53" s="73">
        <f>H44/H20</f>
        <v>0.17946249666606148</v>
      </c>
      <c r="I53" s="74"/>
      <c r="J53" s="74"/>
    </row>
    <row r="54" spans="1:11">
      <c r="A54" s="33"/>
      <c r="B54" s="29"/>
      <c r="C54" s="39" t="s">
        <v>105</v>
      </c>
      <c r="D54" s="60">
        <v>0</v>
      </c>
      <c r="E54" s="134">
        <v>0</v>
      </c>
      <c r="F54" s="134">
        <v>0.12</v>
      </c>
      <c r="G54" s="60">
        <f>F54*120/100</f>
        <v>0.14399999999999999</v>
      </c>
      <c r="H54" s="60">
        <f>G54*120/100</f>
        <v>0.17279999999999998</v>
      </c>
      <c r="I54" s="61"/>
      <c r="J54" s="61"/>
    </row>
    <row r="55" spans="1:11">
      <c r="A55" s="45"/>
      <c r="B55" s="52"/>
      <c r="C55" s="25"/>
      <c r="D55" s="57"/>
      <c r="E55" s="57"/>
      <c r="F55" s="57"/>
      <c r="G55" s="57"/>
      <c r="H55" s="57"/>
      <c r="I55" s="61"/>
      <c r="J55" s="61"/>
    </row>
    <row r="56" spans="1:11">
      <c r="G56" s="29"/>
      <c r="J56" s="29"/>
    </row>
    <row r="57" spans="1:11">
      <c r="C57" s="75" t="s">
        <v>106</v>
      </c>
      <c r="D57" s="76"/>
      <c r="E57" s="76"/>
      <c r="F57" s="76"/>
      <c r="G57" s="35"/>
      <c r="H57" s="76"/>
      <c r="I57" s="76"/>
      <c r="J57" s="35"/>
    </row>
    <row r="58" spans="1:11">
      <c r="D58" s="47"/>
      <c r="E58" s="47"/>
      <c r="F58" s="47"/>
      <c r="G58" s="47"/>
      <c r="H58" s="76"/>
      <c r="I58" s="76"/>
      <c r="J58" s="35"/>
    </row>
    <row r="59" spans="1:11">
      <c r="A59" s="26"/>
      <c r="B59" s="124"/>
      <c r="C59" s="43"/>
      <c r="D59" s="56"/>
      <c r="E59" s="56"/>
      <c r="F59" s="44"/>
      <c r="G59" s="44"/>
      <c r="H59" s="44"/>
      <c r="I59" s="55"/>
      <c r="J59" s="55"/>
    </row>
    <row r="60" spans="1:11">
      <c r="A60" s="33"/>
      <c r="B60" s="38"/>
      <c r="C60" s="39"/>
      <c r="D60" s="49"/>
      <c r="E60" s="49"/>
      <c r="F60" s="49"/>
      <c r="G60" s="49"/>
      <c r="H60" s="49"/>
      <c r="I60" s="55"/>
      <c r="J60" s="55"/>
    </row>
    <row r="61" spans="1:11">
      <c r="A61" s="33"/>
      <c r="B61" s="38"/>
      <c r="C61" s="50" t="s">
        <v>59</v>
      </c>
      <c r="D61" s="123" t="s">
        <v>282</v>
      </c>
      <c r="E61" s="123" t="s">
        <v>283</v>
      </c>
      <c r="F61" s="123" t="s">
        <v>284</v>
      </c>
      <c r="G61" s="123" t="s">
        <v>285</v>
      </c>
      <c r="H61" s="123" t="s">
        <v>286</v>
      </c>
      <c r="I61" s="128"/>
      <c r="J61" s="55"/>
      <c r="K61" s="29"/>
    </row>
    <row r="62" spans="1:11">
      <c r="A62" s="45"/>
      <c r="B62" s="53"/>
      <c r="C62" s="25"/>
      <c r="D62" s="54">
        <v>1</v>
      </c>
      <c r="E62" s="54">
        <v>2</v>
      </c>
      <c r="F62" s="54">
        <v>3</v>
      </c>
      <c r="G62" s="54">
        <v>4</v>
      </c>
      <c r="H62" s="54">
        <v>5</v>
      </c>
      <c r="I62" s="59"/>
      <c r="J62" s="58"/>
    </row>
    <row r="63" spans="1:11">
      <c r="A63" s="33"/>
      <c r="B63" s="29"/>
      <c r="C63" s="33"/>
      <c r="D63" s="77"/>
      <c r="E63" s="77"/>
      <c r="F63" s="77"/>
      <c r="G63" s="77"/>
      <c r="H63" s="77"/>
      <c r="I63" s="35"/>
      <c r="J63" s="59"/>
    </row>
    <row r="64" spans="1:11">
      <c r="A64" s="78"/>
      <c r="B64" s="38"/>
      <c r="C64" s="34" t="s">
        <v>107</v>
      </c>
      <c r="D64" s="37"/>
      <c r="E64" s="37"/>
      <c r="F64" s="37"/>
      <c r="G64" s="37"/>
      <c r="H64" s="37"/>
      <c r="I64" s="35"/>
      <c r="J64" s="35"/>
    </row>
    <row r="65" spans="1:16">
      <c r="A65" s="78"/>
      <c r="B65" s="29"/>
      <c r="C65" s="78" t="s">
        <v>108</v>
      </c>
      <c r="D65" s="37"/>
      <c r="E65" s="37"/>
      <c r="F65" s="37"/>
      <c r="G65" s="37"/>
      <c r="H65" s="37"/>
      <c r="I65" s="35"/>
      <c r="J65" s="35"/>
    </row>
    <row r="66" spans="1:16">
      <c r="A66" s="33"/>
      <c r="B66" s="79"/>
      <c r="C66" s="33"/>
      <c r="D66" s="37"/>
      <c r="E66" s="37"/>
      <c r="F66" s="37"/>
      <c r="G66" s="37"/>
      <c r="H66" s="37"/>
      <c r="I66" s="35"/>
      <c r="J66" s="35"/>
    </row>
    <row r="67" spans="1:16">
      <c r="A67" s="33">
        <v>1</v>
      </c>
      <c r="B67" s="29"/>
      <c r="C67" s="33" t="s">
        <v>109</v>
      </c>
      <c r="D67" s="37"/>
      <c r="E67" s="37"/>
      <c r="F67" s="37"/>
      <c r="G67" s="37"/>
      <c r="H67" s="37"/>
      <c r="I67" s="35"/>
      <c r="J67" s="35"/>
    </row>
    <row r="68" spans="1:16">
      <c r="A68" s="33"/>
      <c r="B68" s="29"/>
      <c r="C68" s="33" t="s">
        <v>110</v>
      </c>
      <c r="D68" s="37"/>
      <c r="E68" s="37"/>
      <c r="F68" s="37"/>
      <c r="G68" s="37"/>
      <c r="H68" s="37"/>
      <c r="I68" s="35"/>
      <c r="J68" s="35"/>
    </row>
    <row r="69" spans="1:16">
      <c r="A69" s="33"/>
      <c r="B69" s="29" t="s">
        <v>73</v>
      </c>
      <c r="C69" s="33" t="s">
        <v>111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5"/>
      <c r="J69" s="35"/>
    </row>
    <row r="70" spans="1:16">
      <c r="A70" s="33"/>
      <c r="B70" s="29"/>
      <c r="C70" s="33"/>
      <c r="D70" s="80"/>
      <c r="E70" s="80"/>
      <c r="F70" s="80"/>
      <c r="G70" s="80"/>
      <c r="H70" s="80"/>
      <c r="I70" s="81"/>
      <c r="J70" s="35"/>
      <c r="K70" s="71"/>
      <c r="L70" s="71"/>
      <c r="M70" s="83">
        <f>+E136</f>
        <v>38589470</v>
      </c>
      <c r="N70" s="83">
        <f>+F136</f>
        <v>73864870.700000003</v>
      </c>
      <c r="O70" s="83">
        <f>+G136</f>
        <v>114205642.59999999</v>
      </c>
      <c r="P70" s="83">
        <f>+H136</f>
        <v>159965914.30000001</v>
      </c>
    </row>
    <row r="71" spans="1:16">
      <c r="A71" s="33"/>
      <c r="B71" s="29"/>
      <c r="C71" s="33" t="s">
        <v>110</v>
      </c>
      <c r="D71" s="80"/>
      <c r="E71" s="80"/>
      <c r="F71" s="80"/>
      <c r="G71" s="80"/>
      <c r="H71" s="80"/>
      <c r="I71" s="81"/>
      <c r="J71" s="81"/>
      <c r="M71" s="83">
        <f>+E138</f>
        <v>12863156.666666666</v>
      </c>
      <c r="N71" s="83">
        <f>+F138</f>
        <v>22159461.210000001</v>
      </c>
      <c r="O71" s="83">
        <f>+G138</f>
        <v>26647983.27333333</v>
      </c>
      <c r="P71" s="83">
        <f>+H138</f>
        <v>37325380.003333338</v>
      </c>
    </row>
    <row r="72" spans="1:16">
      <c r="A72" s="33"/>
      <c r="B72" s="29" t="s">
        <v>112</v>
      </c>
      <c r="C72" s="33" t="s">
        <v>113</v>
      </c>
      <c r="D72" s="37">
        <v>3000000</v>
      </c>
      <c r="E72" s="37">
        <f>+M75</f>
        <v>9993683.256410256</v>
      </c>
      <c r="F72" s="37">
        <f>+N75</f>
        <v>28040241.300346151</v>
      </c>
      <c r="G72" s="37">
        <f>+O75</f>
        <v>41333657.57176923</v>
      </c>
      <c r="H72" s="37">
        <f>+P75</f>
        <v>57895355.90626923</v>
      </c>
      <c r="I72" s="35"/>
      <c r="J72" s="81"/>
      <c r="M72" s="83">
        <f>SUM(M70:M71)</f>
        <v>51452626.666666664</v>
      </c>
      <c r="N72" s="83">
        <f>SUM(N70:N71)</f>
        <v>96024331.909999996</v>
      </c>
      <c r="O72" s="83">
        <f>SUM(O70:O71)</f>
        <v>140853625.87333333</v>
      </c>
      <c r="P72" s="83">
        <f>SUM(P70:P71)</f>
        <v>197291294.30333334</v>
      </c>
    </row>
    <row r="73" spans="1:16">
      <c r="A73" s="33"/>
      <c r="B73" s="29"/>
      <c r="C73" s="33" t="s">
        <v>114</v>
      </c>
      <c r="D73" s="37"/>
      <c r="E73" s="37"/>
      <c r="F73" s="37"/>
      <c r="G73" s="37"/>
      <c r="H73" s="37"/>
      <c r="I73" s="35"/>
      <c r="J73" s="35"/>
      <c r="M73" s="83">
        <f>+E76</f>
        <v>1484210.3846153845</v>
      </c>
      <c r="N73" s="83">
        <f>+F76</f>
        <v>2556860.9088461539</v>
      </c>
      <c r="O73" s="83">
        <f>+G76</f>
        <v>3074767.3007692304</v>
      </c>
      <c r="P73" s="83">
        <f>+H76</f>
        <v>4306774.6157692308</v>
      </c>
    </row>
    <row r="74" spans="1:16">
      <c r="A74" s="33"/>
      <c r="B74" s="29"/>
      <c r="C74" s="78" t="s">
        <v>115</v>
      </c>
      <c r="D74" s="67">
        <f>D72+D73</f>
        <v>3000000</v>
      </c>
      <c r="E74" s="67">
        <f>E72+E73</f>
        <v>9993683.256410256</v>
      </c>
      <c r="F74" s="67">
        <f>F72+F73</f>
        <v>28040241.300346151</v>
      </c>
      <c r="G74" s="67">
        <f>G72+G73</f>
        <v>41333657.57176923</v>
      </c>
      <c r="H74" s="67">
        <f>H72+H73</f>
        <v>57895355.90626923</v>
      </c>
      <c r="I74" s="40"/>
      <c r="J74" s="35"/>
      <c r="M74" s="83">
        <f>+M72-M73</f>
        <v>49968416.28205128</v>
      </c>
      <c r="N74" s="83">
        <f>+N72-N73</f>
        <v>93467471.001153842</v>
      </c>
      <c r="O74" s="83">
        <f>+O72-O73</f>
        <v>137778858.5725641</v>
      </c>
      <c r="P74" s="83">
        <f>+P72-P73</f>
        <v>192984519.6875641</v>
      </c>
    </row>
    <row r="75" spans="1:16">
      <c r="A75" s="33"/>
      <c r="B75" s="29"/>
      <c r="C75" s="33"/>
      <c r="D75" s="37"/>
      <c r="E75" s="37"/>
      <c r="F75" s="37"/>
      <c r="G75" s="37"/>
      <c r="H75" s="37"/>
      <c r="I75" s="35"/>
      <c r="J75" s="40"/>
      <c r="M75" s="32">
        <f>+M74*20%</f>
        <v>9993683.256410256</v>
      </c>
      <c r="N75" s="32">
        <f>+N74*30%</f>
        <v>28040241.300346151</v>
      </c>
      <c r="O75" s="32">
        <f>+O74*30%</f>
        <v>41333657.57176923</v>
      </c>
      <c r="P75" s="32">
        <f>+P74*30%</f>
        <v>57895355.90626923</v>
      </c>
    </row>
    <row r="76" spans="1:16">
      <c r="A76" s="33">
        <v>2</v>
      </c>
      <c r="B76" s="29"/>
      <c r="C76" s="33" t="s">
        <v>116</v>
      </c>
      <c r="D76" s="80">
        <f>+D24/52</f>
        <v>757498.043076923</v>
      </c>
      <c r="E76" s="80">
        <f>+E24/52</f>
        <v>1484210.3846153845</v>
      </c>
      <c r="F76" s="80">
        <f>+F24/52</f>
        <v>2556860.9088461539</v>
      </c>
      <c r="G76" s="80">
        <f>+G24/52</f>
        <v>3074767.3007692304</v>
      </c>
      <c r="H76" s="80">
        <f>+H24/52</f>
        <v>4306774.6157692308</v>
      </c>
      <c r="I76" s="81"/>
      <c r="J76" s="35"/>
      <c r="K76" s="71"/>
      <c r="L76" s="71"/>
      <c r="M76" s="71"/>
    </row>
    <row r="77" spans="1:16">
      <c r="A77" s="33"/>
      <c r="B77" s="29"/>
      <c r="C77" s="33"/>
      <c r="D77" s="37"/>
      <c r="E77" s="37"/>
      <c r="F77" s="37"/>
      <c r="G77" s="37"/>
      <c r="H77" s="37"/>
      <c r="I77" s="35"/>
      <c r="J77" s="81"/>
    </row>
    <row r="78" spans="1:16">
      <c r="A78" s="33">
        <v>3</v>
      </c>
      <c r="B78" s="29"/>
      <c r="C78" s="33" t="s">
        <v>117</v>
      </c>
      <c r="D78" s="37">
        <v>0</v>
      </c>
      <c r="E78" s="37"/>
      <c r="F78" s="37"/>
      <c r="G78" s="37"/>
      <c r="H78" s="37"/>
      <c r="I78" s="35"/>
      <c r="J78" s="35"/>
    </row>
    <row r="79" spans="1:16">
      <c r="A79" s="33"/>
      <c r="B79" s="29"/>
      <c r="C79" s="33"/>
      <c r="D79" s="37"/>
      <c r="E79" s="37"/>
      <c r="F79" s="37"/>
      <c r="G79" s="37"/>
      <c r="H79" s="37"/>
      <c r="I79" s="35"/>
      <c r="J79" s="35"/>
      <c r="K79" s="71"/>
      <c r="L79" s="71"/>
    </row>
    <row r="80" spans="1:16">
      <c r="A80" s="33">
        <v>4</v>
      </c>
      <c r="B80" s="29"/>
      <c r="C80" s="33" t="s">
        <v>118</v>
      </c>
      <c r="D80" s="37"/>
      <c r="E80" s="37"/>
      <c r="F80" s="37"/>
      <c r="G80" s="37"/>
      <c r="H80" s="37"/>
      <c r="I80" s="35"/>
      <c r="J80" s="35"/>
      <c r="K80" s="71"/>
      <c r="L80" s="71"/>
    </row>
    <row r="81" spans="1:13">
      <c r="A81" s="33"/>
      <c r="B81" s="29"/>
      <c r="C81" s="33" t="s">
        <v>119</v>
      </c>
      <c r="D81" s="37"/>
      <c r="E81" s="37"/>
      <c r="F81" s="37"/>
      <c r="G81" s="37"/>
      <c r="H81" s="37"/>
      <c r="I81" s="35"/>
      <c r="J81" s="35"/>
    </row>
    <row r="82" spans="1:13">
      <c r="A82" s="33"/>
      <c r="B82" s="29"/>
      <c r="C82" s="33"/>
      <c r="D82" s="37"/>
      <c r="E82" s="37"/>
      <c r="F82" s="37"/>
      <c r="G82" s="37"/>
      <c r="H82" s="37"/>
      <c r="I82" s="35"/>
      <c r="J82" s="35"/>
      <c r="K82" s="71"/>
      <c r="L82" s="71"/>
    </row>
    <row r="83" spans="1:13">
      <c r="A83" s="33">
        <v>5</v>
      </c>
      <c r="B83" s="29"/>
      <c r="C83" s="33" t="s">
        <v>120</v>
      </c>
      <c r="D83" s="37"/>
      <c r="E83" s="37"/>
      <c r="F83" s="37"/>
      <c r="G83" s="37"/>
      <c r="H83" s="37"/>
      <c r="I83" s="35"/>
      <c r="J83" s="35"/>
    </row>
    <row r="84" spans="1:13">
      <c r="A84" s="33"/>
      <c r="B84" s="29"/>
      <c r="C84" s="33"/>
      <c r="D84" s="37"/>
      <c r="E84" s="37"/>
      <c r="F84" s="37"/>
      <c r="G84" s="37"/>
      <c r="H84" s="37"/>
      <c r="I84" s="35"/>
      <c r="J84" s="35"/>
    </row>
    <row r="85" spans="1:13">
      <c r="A85" s="33">
        <v>6</v>
      </c>
      <c r="B85" s="29"/>
      <c r="C85" s="33" t="s">
        <v>121</v>
      </c>
      <c r="D85" s="37">
        <f>+D43+D48</f>
        <v>0</v>
      </c>
      <c r="E85" s="37">
        <f>+E43+E48</f>
        <v>0</v>
      </c>
      <c r="F85" s="37">
        <f>+F43+F48</f>
        <v>2582721.2634053566</v>
      </c>
      <c r="G85" s="37">
        <f>+G43+G48</f>
        <v>28810732.344935533</v>
      </c>
      <c r="H85" s="37">
        <f>+H43+H48</f>
        <v>49035291.707931936</v>
      </c>
      <c r="I85" s="35"/>
      <c r="J85" s="35"/>
    </row>
    <row r="86" spans="1:13">
      <c r="A86" s="33"/>
      <c r="B86" s="29"/>
      <c r="C86" s="33"/>
      <c r="D86" s="37"/>
      <c r="E86" s="37"/>
      <c r="F86" s="37"/>
      <c r="G86" s="37"/>
      <c r="H86" s="37"/>
      <c r="I86" s="35"/>
      <c r="J86" s="35"/>
    </row>
    <row r="87" spans="1:13">
      <c r="A87" s="33">
        <v>7</v>
      </c>
      <c r="B87" s="29"/>
      <c r="C87" s="33" t="s">
        <v>122</v>
      </c>
      <c r="D87" s="37"/>
      <c r="E87" s="37"/>
      <c r="F87" s="82"/>
      <c r="G87" s="37"/>
      <c r="H87" s="37"/>
      <c r="I87" s="35"/>
      <c r="J87" s="35"/>
    </row>
    <row r="88" spans="1:13">
      <c r="A88" s="33"/>
      <c r="B88" s="29"/>
      <c r="C88" s="33"/>
      <c r="D88" s="37"/>
      <c r="E88" s="37"/>
      <c r="F88" s="37"/>
      <c r="G88" s="37"/>
      <c r="H88" s="37"/>
      <c r="I88" s="35"/>
      <c r="J88" s="35"/>
      <c r="K88" s="71"/>
      <c r="L88" s="71"/>
      <c r="M88" s="71"/>
    </row>
    <row r="89" spans="1:13">
      <c r="A89" s="33">
        <v>8</v>
      </c>
      <c r="B89" s="29"/>
      <c r="C89" s="33" t="s">
        <v>298</v>
      </c>
      <c r="D89" s="37">
        <f>+D47</f>
        <v>0</v>
      </c>
      <c r="E89" s="37">
        <f>+E47</f>
        <v>0</v>
      </c>
      <c r="F89" s="37">
        <f>+F47</f>
        <v>7800000</v>
      </c>
      <c r="G89" s="37">
        <f>+G47</f>
        <v>12240000</v>
      </c>
      <c r="H89" s="37">
        <f>+H47</f>
        <v>14687999.999999998</v>
      </c>
      <c r="I89" s="35"/>
      <c r="J89" s="35"/>
    </row>
    <row r="90" spans="1:13">
      <c r="A90" s="33"/>
      <c r="B90" s="29"/>
      <c r="C90" s="33" t="s">
        <v>123</v>
      </c>
      <c r="D90" s="37"/>
      <c r="E90" s="37"/>
      <c r="F90" s="37"/>
      <c r="G90" s="37"/>
      <c r="H90" s="37"/>
      <c r="I90" s="35"/>
      <c r="J90" s="35"/>
    </row>
    <row r="91" spans="1:13">
      <c r="A91" s="33"/>
      <c r="B91" s="29"/>
      <c r="C91" s="33"/>
      <c r="D91" s="37"/>
      <c r="E91" s="37"/>
      <c r="F91" s="37"/>
      <c r="G91" s="37"/>
      <c r="H91" s="37"/>
      <c r="I91" s="35"/>
      <c r="J91" s="35"/>
      <c r="K91" s="71"/>
      <c r="L91" s="71"/>
    </row>
    <row r="92" spans="1:13">
      <c r="A92" s="33"/>
      <c r="B92" s="29"/>
      <c r="C92" s="78" t="s">
        <v>124</v>
      </c>
      <c r="D92" s="67">
        <f>SUM(D76:D89)</f>
        <v>757498.043076923</v>
      </c>
      <c r="E92" s="67">
        <f>SUM(E76:E89)</f>
        <v>1484210.3846153845</v>
      </c>
      <c r="F92" s="67">
        <f>SUM(F76:F89)</f>
        <v>12939582.172251511</v>
      </c>
      <c r="G92" s="67">
        <f>SUM(G76:G89)</f>
        <v>44125499.645704761</v>
      </c>
      <c r="H92" s="67">
        <f>SUM(H76:H89)</f>
        <v>68030066.323701158</v>
      </c>
      <c r="I92" s="40"/>
      <c r="J92" s="35"/>
    </row>
    <row r="93" spans="1:13">
      <c r="A93" s="33"/>
      <c r="B93" s="29"/>
      <c r="C93" s="33"/>
      <c r="D93" s="37"/>
      <c r="E93" s="37"/>
      <c r="F93" s="37"/>
      <c r="G93" s="37"/>
      <c r="H93" s="37"/>
      <c r="I93" s="35"/>
      <c r="J93" s="40"/>
    </row>
    <row r="94" spans="1:13" ht="16.5" thickBot="1">
      <c r="A94" s="33"/>
      <c r="B94" s="29"/>
      <c r="C94" s="78" t="s">
        <v>125</v>
      </c>
      <c r="D94" s="72">
        <f>D74+D92</f>
        <v>3757498.0430769231</v>
      </c>
      <c r="E94" s="72">
        <f>E74+E92</f>
        <v>11477893.64102564</v>
      </c>
      <c r="F94" s="72">
        <f>F74+F92</f>
        <v>40979823.472597659</v>
      </c>
      <c r="G94" s="72">
        <f>G74+G92</f>
        <v>85459157.217473984</v>
      </c>
      <c r="H94" s="72">
        <f>H74+H92</f>
        <v>125925422.2299704</v>
      </c>
      <c r="I94" s="40"/>
      <c r="J94" s="35"/>
      <c r="K94" s="71"/>
      <c r="L94" s="71"/>
    </row>
    <row r="95" spans="1:13" ht="16.5" thickTop="1">
      <c r="A95" s="33"/>
      <c r="B95" s="29"/>
      <c r="C95" s="33"/>
      <c r="D95" s="37"/>
      <c r="E95" s="37"/>
      <c r="F95" s="37"/>
      <c r="G95" s="37"/>
      <c r="H95" s="37"/>
      <c r="I95" s="35"/>
      <c r="J95" s="40"/>
    </row>
    <row r="96" spans="1:13">
      <c r="A96" s="78"/>
      <c r="B96" s="29"/>
      <c r="C96" s="78" t="s">
        <v>126</v>
      </c>
      <c r="D96" s="37"/>
      <c r="E96" s="37"/>
      <c r="F96" s="37"/>
      <c r="G96" s="37"/>
      <c r="H96" s="37"/>
      <c r="I96" s="35"/>
      <c r="J96" s="35"/>
    </row>
    <row r="97" spans="1:15">
      <c r="A97" s="78"/>
      <c r="B97" s="79"/>
      <c r="C97" s="84"/>
      <c r="D97" s="37"/>
      <c r="E97" s="37"/>
      <c r="F97" s="37"/>
      <c r="G97" s="37"/>
      <c r="H97" s="37"/>
      <c r="I97" s="35"/>
      <c r="J97" s="35"/>
    </row>
    <row r="98" spans="1:15">
      <c r="A98" s="33">
        <v>9</v>
      </c>
      <c r="B98" s="79"/>
      <c r="C98" s="33" t="s">
        <v>127</v>
      </c>
      <c r="D98" s="80"/>
      <c r="E98" s="80"/>
      <c r="F98" s="80"/>
      <c r="G98" s="80"/>
      <c r="H98" s="80"/>
      <c r="I98" s="81"/>
      <c r="J98" s="35"/>
    </row>
    <row r="99" spans="1:15">
      <c r="A99" s="33"/>
      <c r="B99" s="29"/>
      <c r="C99" s="33" t="s">
        <v>128</v>
      </c>
      <c r="D99" s="37"/>
      <c r="E99" s="37"/>
      <c r="F99" s="37"/>
      <c r="G99" s="37"/>
      <c r="H99" s="37"/>
      <c r="I99" s="35"/>
      <c r="J99" s="81"/>
    </row>
    <row r="100" spans="1:15">
      <c r="A100" s="33"/>
      <c r="B100" s="29"/>
      <c r="C100" s="33"/>
      <c r="D100" s="37"/>
      <c r="E100" s="37"/>
      <c r="F100" s="37"/>
      <c r="G100" s="37"/>
      <c r="H100" s="37"/>
      <c r="I100" s="35"/>
      <c r="J100" s="35"/>
      <c r="K100" s="71"/>
      <c r="L100" s="71"/>
      <c r="M100" s="71"/>
    </row>
    <row r="101" spans="1:15">
      <c r="A101" s="33">
        <v>10</v>
      </c>
      <c r="B101" s="29"/>
      <c r="C101" s="33" t="s">
        <v>129</v>
      </c>
      <c r="D101" s="37"/>
      <c r="E101" s="37"/>
      <c r="F101" s="37"/>
      <c r="G101" s="37"/>
      <c r="H101" s="37"/>
      <c r="I101" s="35"/>
      <c r="J101" s="35"/>
    </row>
    <row r="102" spans="1:15">
      <c r="A102" s="33"/>
      <c r="B102" s="29"/>
      <c r="C102" s="33"/>
      <c r="D102" s="37"/>
      <c r="E102" s="37"/>
      <c r="F102" s="37"/>
      <c r="G102" s="37"/>
      <c r="H102" s="37"/>
      <c r="I102" s="35"/>
      <c r="J102" s="35"/>
    </row>
    <row r="103" spans="1:15">
      <c r="A103" s="33">
        <v>11</v>
      </c>
      <c r="B103" s="29"/>
      <c r="C103" s="33" t="s">
        <v>130</v>
      </c>
      <c r="D103" s="37"/>
      <c r="E103" s="37"/>
      <c r="F103" s="37"/>
      <c r="G103" s="37"/>
      <c r="H103" s="37"/>
      <c r="I103" s="35"/>
      <c r="J103" s="35"/>
      <c r="K103" s="71"/>
      <c r="L103" s="71"/>
    </row>
    <row r="104" spans="1:15">
      <c r="A104" s="33"/>
      <c r="B104" s="29"/>
      <c r="C104" s="33"/>
      <c r="D104" s="37"/>
      <c r="E104" s="37"/>
      <c r="F104" s="37"/>
      <c r="G104" s="37"/>
      <c r="H104" s="37"/>
      <c r="I104" s="35"/>
      <c r="J104" s="35"/>
      <c r="M104" s="32" t="s">
        <v>299</v>
      </c>
      <c r="N104" s="32" t="s">
        <v>301</v>
      </c>
      <c r="O104" s="32" t="s">
        <v>302</v>
      </c>
    </row>
    <row r="105" spans="1:15">
      <c r="A105" s="33"/>
      <c r="B105" s="29"/>
      <c r="C105" s="78" t="s">
        <v>131</v>
      </c>
      <c r="D105" s="67">
        <f>SUM(D98:D103)</f>
        <v>0</v>
      </c>
      <c r="E105" s="67">
        <f>SUM(E98:E103)</f>
        <v>0</v>
      </c>
      <c r="F105" s="67">
        <f>SUM(F98:F103)</f>
        <v>0</v>
      </c>
      <c r="G105" s="67">
        <f>SUM(G98:G103)</f>
        <v>0</v>
      </c>
      <c r="H105" s="67">
        <f>SUM(H98:H103)</f>
        <v>0</v>
      </c>
      <c r="I105" s="40"/>
      <c r="J105" s="35"/>
      <c r="M105" s="32" t="s">
        <v>300</v>
      </c>
      <c r="N105" s="32">
        <f>35000*70</f>
        <v>2450000</v>
      </c>
      <c r="O105" s="32">
        <f>37500*140</f>
        <v>5250000</v>
      </c>
    </row>
    <row r="106" spans="1:15">
      <c r="A106" s="33"/>
      <c r="B106" s="29"/>
      <c r="C106" s="33"/>
      <c r="D106" s="37"/>
      <c r="E106" s="37"/>
      <c r="F106" s="37"/>
      <c r="G106" s="37"/>
      <c r="H106" s="37"/>
      <c r="I106" s="35"/>
      <c r="J106" s="40"/>
      <c r="K106" s="71"/>
      <c r="L106" s="71"/>
      <c r="M106" s="32" t="s">
        <v>303</v>
      </c>
      <c r="N106" s="32">
        <v>1250000</v>
      </c>
      <c r="O106" s="32">
        <v>2500000</v>
      </c>
    </row>
    <row r="107" spans="1:15" ht="16.5" thickBot="1">
      <c r="A107" s="33"/>
      <c r="B107" s="29"/>
      <c r="C107" s="78" t="s">
        <v>132</v>
      </c>
      <c r="D107" s="72">
        <f>D94+D105</f>
        <v>3757498.0430769231</v>
      </c>
      <c r="E107" s="72">
        <f>E94+E105</f>
        <v>11477893.64102564</v>
      </c>
      <c r="F107" s="72">
        <f>F94+F105</f>
        <v>40979823.472597659</v>
      </c>
      <c r="G107" s="72">
        <f>G94+G105</f>
        <v>85459157.217473984</v>
      </c>
      <c r="H107" s="72">
        <f>H94+H105</f>
        <v>125925422.2299704</v>
      </c>
      <c r="I107" s="40"/>
      <c r="J107" s="35"/>
      <c r="K107" s="71"/>
      <c r="L107" s="71"/>
      <c r="M107" s="32" t="s">
        <v>304</v>
      </c>
      <c r="N107" s="32">
        <v>700000</v>
      </c>
      <c r="O107" s="32">
        <v>1500000</v>
      </c>
    </row>
    <row r="108" spans="1:15" ht="16.5" thickTop="1">
      <c r="A108" s="33"/>
      <c r="B108" s="29"/>
      <c r="C108" s="33"/>
      <c r="D108" s="37"/>
      <c r="E108" s="37"/>
      <c r="F108" s="37"/>
      <c r="G108" s="37"/>
      <c r="H108" s="37"/>
      <c r="I108" s="35"/>
      <c r="J108" s="40"/>
      <c r="K108" s="71"/>
      <c r="L108" s="71"/>
    </row>
    <row r="109" spans="1:15">
      <c r="A109" s="78"/>
      <c r="B109" s="29"/>
      <c r="C109" s="78" t="s">
        <v>133</v>
      </c>
      <c r="D109" s="37"/>
      <c r="E109" s="37"/>
      <c r="F109" s="37"/>
      <c r="G109" s="37"/>
      <c r="H109" s="37"/>
      <c r="I109" s="35"/>
      <c r="J109" s="35"/>
      <c r="K109" s="71"/>
      <c r="L109" s="71"/>
    </row>
    <row r="110" spans="1:15">
      <c r="A110" s="78"/>
      <c r="B110" s="79"/>
      <c r="C110" s="84"/>
      <c r="D110" s="37"/>
      <c r="E110" s="37"/>
      <c r="F110" s="37"/>
      <c r="G110" s="37"/>
      <c r="H110" s="37"/>
      <c r="I110" s="35"/>
      <c r="J110" s="35"/>
      <c r="K110" s="71"/>
      <c r="L110" s="71"/>
    </row>
    <row r="111" spans="1:15">
      <c r="A111" s="33">
        <v>12</v>
      </c>
      <c r="B111" s="79"/>
      <c r="C111" s="33" t="s">
        <v>323</v>
      </c>
      <c r="D111" s="80">
        <v>2000000</v>
      </c>
      <c r="E111" s="80">
        <f>+D111</f>
        <v>2000000</v>
      </c>
      <c r="F111" s="80">
        <f>+E111</f>
        <v>2000000</v>
      </c>
      <c r="G111" s="80">
        <f>+F111</f>
        <v>2000000</v>
      </c>
      <c r="H111" s="80">
        <f>+G111</f>
        <v>2000000</v>
      </c>
      <c r="I111" s="81"/>
      <c r="J111" s="35"/>
      <c r="K111" s="71"/>
      <c r="L111" s="71"/>
    </row>
    <row r="112" spans="1:15">
      <c r="A112" s="33"/>
      <c r="B112" s="29"/>
      <c r="C112" s="33"/>
      <c r="D112" s="37"/>
      <c r="E112" s="37"/>
      <c r="F112" s="37"/>
      <c r="G112" s="37"/>
      <c r="H112" s="37"/>
      <c r="I112" s="35"/>
      <c r="J112" s="81"/>
      <c r="K112" s="71"/>
      <c r="L112" s="71"/>
      <c r="M112" s="71"/>
    </row>
    <row r="113" spans="1:13">
      <c r="A113" s="33">
        <v>13</v>
      </c>
      <c r="B113" s="29"/>
      <c r="C113" s="33" t="s">
        <v>324</v>
      </c>
      <c r="D113" s="80">
        <v>35000000</v>
      </c>
      <c r="E113" s="80">
        <f>+D113+30000000</f>
        <v>65000000</v>
      </c>
      <c r="F113" s="80">
        <f>+E113+20000000</f>
        <v>85000000</v>
      </c>
      <c r="G113" s="80">
        <f>+F113</f>
        <v>85000000</v>
      </c>
      <c r="H113" s="80">
        <f>+G113</f>
        <v>85000000</v>
      </c>
      <c r="I113" s="81"/>
      <c r="J113" s="35"/>
      <c r="K113" s="71"/>
      <c r="L113" s="71"/>
    </row>
    <row r="114" spans="1:13">
      <c r="A114" s="33"/>
      <c r="B114" s="29"/>
      <c r="C114" s="33"/>
      <c r="D114" s="80"/>
      <c r="E114" s="80"/>
      <c r="F114" s="80"/>
      <c r="G114" s="80"/>
      <c r="H114" s="80"/>
      <c r="I114" s="81"/>
      <c r="J114" s="81"/>
      <c r="K114" s="71"/>
      <c r="L114" s="71"/>
    </row>
    <row r="115" spans="1:13">
      <c r="A115" s="33">
        <v>14</v>
      </c>
      <c r="B115" s="29"/>
      <c r="C115" s="33" t="s">
        <v>134</v>
      </c>
      <c r="D115" s="37">
        <f>+D50</f>
        <v>-12711974.408</v>
      </c>
      <c r="E115" s="37">
        <f>+E50</f>
        <v>-13685194.579666648</v>
      </c>
      <c r="F115" s="37">
        <f>+F50</f>
        <v>-6705662.1585336514</v>
      </c>
      <c r="G115" s="37">
        <f>+G50</f>
        <v>38136240.917034164</v>
      </c>
      <c r="H115" s="37">
        <f>+H50</f>
        <v>124288036.93703732</v>
      </c>
      <c r="I115" s="86"/>
      <c r="J115" s="81"/>
      <c r="K115" s="71"/>
      <c r="L115" s="71"/>
    </row>
    <row r="116" spans="1:13">
      <c r="A116" s="33"/>
      <c r="B116" s="29"/>
      <c r="C116" s="33"/>
      <c r="D116" s="37"/>
      <c r="E116" s="37"/>
      <c r="F116" s="37"/>
      <c r="G116" s="37"/>
      <c r="H116" s="37"/>
      <c r="I116" s="35"/>
      <c r="J116" s="86"/>
      <c r="K116" s="71"/>
      <c r="L116" s="71"/>
    </row>
    <row r="117" spans="1:13">
      <c r="A117" s="33"/>
      <c r="B117" s="29"/>
      <c r="C117" s="78" t="s">
        <v>131</v>
      </c>
      <c r="D117" s="67">
        <f>SUM(D111:D115)</f>
        <v>24288025.592</v>
      </c>
      <c r="E117" s="67">
        <f>SUM(E111:E115)</f>
        <v>53314805.420333356</v>
      </c>
      <c r="F117" s="67">
        <f>SUM(F111:F115)</f>
        <v>80294337.841466352</v>
      </c>
      <c r="G117" s="67">
        <f>SUM(G111:G115)</f>
        <v>125136240.91703416</v>
      </c>
      <c r="H117" s="67">
        <f>SUM(H111:H115)</f>
        <v>211288036.93703732</v>
      </c>
      <c r="I117" s="40"/>
      <c r="J117" s="35"/>
      <c r="K117" s="71"/>
      <c r="L117" s="71"/>
    </row>
    <row r="118" spans="1:13">
      <c r="A118" s="33"/>
      <c r="B118" s="29"/>
      <c r="C118" s="33"/>
      <c r="D118" s="37"/>
      <c r="E118" s="37"/>
      <c r="F118" s="37"/>
      <c r="G118" s="37"/>
      <c r="H118" s="37"/>
      <c r="I118" s="35"/>
      <c r="J118" s="40"/>
      <c r="K118" s="71"/>
      <c r="L118" s="71"/>
    </row>
    <row r="119" spans="1:13">
      <c r="A119" s="87"/>
      <c r="B119" s="52"/>
      <c r="C119" s="87" t="s">
        <v>135</v>
      </c>
      <c r="D119" s="67">
        <f>D107+D117</f>
        <v>28045523.635076925</v>
      </c>
      <c r="E119" s="67">
        <f>E107+E117</f>
        <v>64792699.061358996</v>
      </c>
      <c r="F119" s="67">
        <f>F107+F117</f>
        <v>121274161.31406401</v>
      </c>
      <c r="G119" s="67">
        <f>G107+G117</f>
        <v>210595398.13450813</v>
      </c>
      <c r="H119" s="67">
        <f>H107+H117</f>
        <v>337213459.16700768</v>
      </c>
      <c r="I119" s="40"/>
      <c r="J119" s="35"/>
    </row>
    <row r="120" spans="1:13">
      <c r="D120" s="76"/>
      <c r="E120" s="76"/>
      <c r="F120" s="76"/>
      <c r="G120" s="35"/>
      <c r="H120" s="76"/>
      <c r="I120" s="76"/>
      <c r="J120" s="40"/>
    </row>
    <row r="121" spans="1:13">
      <c r="D121" s="76"/>
      <c r="E121" s="76"/>
      <c r="F121" s="76"/>
      <c r="G121" s="35"/>
      <c r="H121" s="76" t="s">
        <v>136</v>
      </c>
      <c r="I121" s="76"/>
      <c r="J121" s="35"/>
      <c r="K121" s="71"/>
      <c r="L121" s="71"/>
    </row>
    <row r="122" spans="1:13">
      <c r="A122" s="26"/>
      <c r="B122" s="43"/>
      <c r="C122" s="124"/>
      <c r="D122" s="56"/>
      <c r="E122" s="56"/>
      <c r="F122" s="44"/>
      <c r="G122" s="44"/>
      <c r="H122" s="44"/>
      <c r="I122" s="55"/>
      <c r="J122" s="35"/>
    </row>
    <row r="123" spans="1:13">
      <c r="A123" s="33"/>
      <c r="B123" s="39"/>
      <c r="C123" s="38"/>
      <c r="D123" s="49"/>
      <c r="E123" s="49"/>
      <c r="F123" s="49"/>
      <c r="G123" s="49"/>
      <c r="H123" s="49"/>
      <c r="I123" s="55"/>
      <c r="J123" s="55"/>
      <c r="K123" s="71"/>
      <c r="L123" s="71"/>
    </row>
    <row r="124" spans="1:13">
      <c r="A124" s="33"/>
      <c r="B124" s="39"/>
      <c r="D124" s="44"/>
      <c r="E124" s="44"/>
      <c r="F124" s="44"/>
      <c r="G124" s="44"/>
      <c r="H124" s="44"/>
      <c r="I124" s="55"/>
      <c r="J124" s="55"/>
      <c r="K124" s="71"/>
      <c r="L124" s="71"/>
      <c r="M124" s="71"/>
    </row>
    <row r="125" spans="1:13">
      <c r="A125" s="33"/>
      <c r="B125" s="39"/>
      <c r="C125" s="125" t="s">
        <v>59</v>
      </c>
      <c r="D125" s="123" t="s">
        <v>282</v>
      </c>
      <c r="E125" s="123" t="s">
        <v>283</v>
      </c>
      <c r="F125" s="123" t="s">
        <v>284</v>
      </c>
      <c r="G125" s="123" t="s">
        <v>285</v>
      </c>
      <c r="H125" s="123" t="s">
        <v>286</v>
      </c>
      <c r="I125" s="128"/>
      <c r="J125" s="55"/>
      <c r="K125" s="71"/>
      <c r="L125" s="71"/>
    </row>
    <row r="126" spans="1:13">
      <c r="A126" s="45"/>
      <c r="B126" s="25"/>
      <c r="C126" s="53"/>
      <c r="D126" s="54">
        <v>1</v>
      </c>
      <c r="E126" s="54">
        <v>2</v>
      </c>
      <c r="F126" s="54">
        <v>3</v>
      </c>
      <c r="G126" s="54">
        <v>4</v>
      </c>
      <c r="H126" s="54">
        <v>5</v>
      </c>
      <c r="I126" s="59"/>
      <c r="J126" s="58"/>
      <c r="K126" s="71"/>
      <c r="L126" s="71"/>
    </row>
    <row r="127" spans="1:13">
      <c r="C127" s="39"/>
      <c r="D127" s="77"/>
      <c r="E127" s="77"/>
      <c r="F127" s="77"/>
      <c r="G127" s="77"/>
      <c r="H127" s="77"/>
      <c r="I127" s="35"/>
      <c r="J127" s="59"/>
      <c r="K127" s="71"/>
      <c r="L127" s="71"/>
    </row>
    <row r="128" spans="1:13">
      <c r="A128" s="33"/>
      <c r="B128" s="29"/>
      <c r="C128" s="50" t="s">
        <v>137</v>
      </c>
      <c r="D128" s="37"/>
      <c r="E128" s="37"/>
      <c r="F128" s="37"/>
      <c r="G128" s="37"/>
      <c r="H128" s="37"/>
      <c r="I128" s="35"/>
      <c r="J128" s="35"/>
      <c r="K128" s="71"/>
      <c r="L128" s="71"/>
    </row>
    <row r="129" spans="1:13">
      <c r="A129" s="78"/>
      <c r="B129" s="29"/>
      <c r="C129" s="39"/>
      <c r="D129" s="37"/>
      <c r="E129" s="37"/>
      <c r="F129" s="37"/>
      <c r="G129" s="37"/>
      <c r="H129" s="37"/>
      <c r="I129" s="35"/>
      <c r="J129" s="35"/>
    </row>
    <row r="130" spans="1:13">
      <c r="A130" s="33"/>
      <c r="B130" s="29"/>
      <c r="C130" s="50" t="s">
        <v>138</v>
      </c>
      <c r="D130" s="37"/>
      <c r="E130" s="37"/>
      <c r="F130" s="37"/>
      <c r="G130" s="37"/>
      <c r="H130" s="37"/>
      <c r="I130" s="35"/>
      <c r="J130" s="35"/>
      <c r="K130" s="71"/>
      <c r="L130" s="71"/>
    </row>
    <row r="131" spans="1:13">
      <c r="A131" s="78"/>
      <c r="B131" s="29"/>
      <c r="C131" s="39"/>
      <c r="D131" s="37"/>
      <c r="E131" s="37"/>
      <c r="F131" s="37"/>
      <c r="G131" s="37"/>
      <c r="H131" s="37"/>
      <c r="I131" s="35"/>
      <c r="J131" s="35"/>
    </row>
    <row r="132" spans="1:13">
      <c r="A132" s="33">
        <v>1</v>
      </c>
      <c r="B132" s="29"/>
      <c r="C132" s="39" t="s">
        <v>139</v>
      </c>
      <c r="D132" s="80">
        <f>+D146-SUM(D134:D144)</f>
        <v>43082.995076924562</v>
      </c>
      <c r="E132" s="80">
        <f>+E146-SUM(E134:E144)</f>
        <v>304072.39469233155</v>
      </c>
      <c r="F132" s="80">
        <f>+F146-SUM(F134:F144)</f>
        <v>39733.140658661723</v>
      </c>
      <c r="G132" s="80">
        <f>+G146-SUM(G134:G144)</f>
        <v>356423.66623926163</v>
      </c>
      <c r="H132" s="80">
        <f>+H146-SUM(H134:H144)</f>
        <v>229286.59324240685</v>
      </c>
      <c r="I132" s="81"/>
      <c r="J132" s="35"/>
    </row>
    <row r="133" spans="1:13">
      <c r="A133" s="33"/>
      <c r="B133" s="29"/>
      <c r="C133" s="39"/>
      <c r="D133" s="37"/>
      <c r="E133" s="37"/>
      <c r="F133" s="37"/>
      <c r="G133" s="37"/>
      <c r="H133" s="37"/>
      <c r="I133" s="35"/>
      <c r="J133" s="81"/>
      <c r="K133" s="29"/>
    </row>
    <row r="134" spans="1:13">
      <c r="A134" s="33">
        <v>2</v>
      </c>
      <c r="B134" s="29"/>
      <c r="C134" s="39" t="s">
        <v>140</v>
      </c>
      <c r="D134" s="37"/>
      <c r="E134" s="37"/>
      <c r="F134" s="37"/>
      <c r="G134" s="37"/>
      <c r="H134" s="37"/>
      <c r="I134" s="35"/>
      <c r="J134" s="35"/>
    </row>
    <row r="135" spans="1:13">
      <c r="A135" s="33"/>
      <c r="B135" s="29"/>
      <c r="C135" s="39"/>
      <c r="D135" s="37"/>
      <c r="E135" s="37"/>
      <c r="F135" s="37"/>
      <c r="G135" s="37"/>
      <c r="H135" s="37"/>
      <c r="I135" s="35"/>
      <c r="J135" s="35"/>
    </row>
    <row r="136" spans="1:13">
      <c r="A136" s="33">
        <v>3</v>
      </c>
      <c r="B136" s="29"/>
      <c r="C136" s="39" t="s">
        <v>141</v>
      </c>
      <c r="D136" s="37">
        <f>+D16/4</f>
        <v>16412457.6</v>
      </c>
      <c r="E136" s="37">
        <f>+E16/4</f>
        <v>38589470</v>
      </c>
      <c r="F136" s="37">
        <f>+F16/4</f>
        <v>73864870.700000003</v>
      </c>
      <c r="G136" s="37">
        <f>+G16/4</f>
        <v>114205642.59999999</v>
      </c>
      <c r="H136" s="37">
        <f>+H16/4</f>
        <v>159965914.30000001</v>
      </c>
      <c r="I136" s="35"/>
      <c r="J136" s="35"/>
      <c r="K136" s="71"/>
      <c r="L136" s="71"/>
      <c r="M136" s="71"/>
    </row>
    <row r="137" spans="1:13">
      <c r="A137" s="33"/>
      <c r="B137" s="29"/>
      <c r="C137" s="39"/>
      <c r="D137" s="37"/>
      <c r="E137" s="37"/>
      <c r="F137" s="37"/>
      <c r="G137" s="37"/>
      <c r="H137" s="37"/>
      <c r="I137" s="35"/>
      <c r="J137" s="35"/>
    </row>
    <row r="138" spans="1:13">
      <c r="A138" s="33">
        <v>4</v>
      </c>
      <c r="B138" s="29"/>
      <c r="C138" s="39" t="s">
        <v>142</v>
      </c>
      <c r="D138" s="37">
        <f>+D26</f>
        <v>6564983.0399999991</v>
      </c>
      <c r="E138" s="37">
        <f>+E26</f>
        <v>12863156.666666666</v>
      </c>
      <c r="F138" s="37">
        <f>+F26</f>
        <v>22159461.210000001</v>
      </c>
      <c r="G138" s="37">
        <f>+G26</f>
        <v>26647983.27333333</v>
      </c>
      <c r="H138" s="37">
        <f>+H26</f>
        <v>37325380.003333338</v>
      </c>
      <c r="I138" s="35"/>
      <c r="J138" s="35"/>
    </row>
    <row r="139" spans="1:13">
      <c r="A139" s="33"/>
      <c r="B139" s="29"/>
      <c r="C139" s="39"/>
      <c r="D139" s="37"/>
      <c r="E139" s="37"/>
      <c r="F139" s="37"/>
      <c r="G139" s="37"/>
      <c r="H139" s="37"/>
      <c r="I139" s="35"/>
      <c r="J139" s="35"/>
      <c r="K139" s="71"/>
      <c r="L139" s="71"/>
      <c r="M139" s="71"/>
    </row>
    <row r="140" spans="1:13">
      <c r="A140" s="33">
        <v>5</v>
      </c>
      <c r="B140" s="29"/>
      <c r="C140" s="39" t="s">
        <v>143</v>
      </c>
      <c r="D140" s="37">
        <f>+D85</f>
        <v>0</v>
      </c>
      <c r="E140" s="37">
        <f>+E85</f>
        <v>0</v>
      </c>
      <c r="F140" s="37">
        <f>+F85</f>
        <v>2582721.2634053566</v>
      </c>
      <c r="G140" s="37">
        <f>+G85</f>
        <v>28810732.344935533</v>
      </c>
      <c r="H140" s="37">
        <f>+H85</f>
        <v>49035291.707931936</v>
      </c>
      <c r="I140" s="35"/>
      <c r="J140" s="35"/>
    </row>
    <row r="141" spans="1:13">
      <c r="A141" s="33"/>
      <c r="B141" s="29"/>
      <c r="C141" s="39"/>
      <c r="D141" s="37"/>
      <c r="E141" s="37"/>
      <c r="F141" s="37"/>
      <c r="G141" s="37"/>
      <c r="H141" s="37"/>
      <c r="I141" s="35"/>
      <c r="J141" s="35"/>
    </row>
    <row r="142" spans="1:13">
      <c r="A142" s="33">
        <v>6</v>
      </c>
      <c r="B142" s="29"/>
      <c r="C142" s="39" t="s">
        <v>144</v>
      </c>
      <c r="D142" s="37"/>
      <c r="E142" s="37">
        <v>7500000</v>
      </c>
      <c r="F142" s="37">
        <v>12500000</v>
      </c>
      <c r="G142" s="37">
        <f>+F142</f>
        <v>12500000</v>
      </c>
      <c r="H142" s="37">
        <f>+G142</f>
        <v>12500000</v>
      </c>
      <c r="I142" s="35"/>
      <c r="J142" s="35"/>
      <c r="K142" s="71"/>
      <c r="L142" s="71"/>
    </row>
    <row r="143" spans="1:13">
      <c r="A143" s="33"/>
      <c r="B143" s="29"/>
      <c r="C143" s="39"/>
      <c r="D143" s="37"/>
      <c r="E143" s="37"/>
      <c r="F143" s="37"/>
      <c r="G143" s="37"/>
      <c r="H143" s="37"/>
      <c r="I143" s="35"/>
      <c r="J143" s="35"/>
    </row>
    <row r="144" spans="1:13">
      <c r="A144" s="33">
        <v>7</v>
      </c>
      <c r="B144" s="29"/>
      <c r="C144" s="39" t="s">
        <v>145</v>
      </c>
      <c r="D144" s="80">
        <v>900000</v>
      </c>
      <c r="E144" s="80">
        <v>2500000</v>
      </c>
      <c r="F144" s="80">
        <v>3500000</v>
      </c>
      <c r="G144" s="80">
        <v>23000000</v>
      </c>
      <c r="H144" s="80">
        <v>74000000</v>
      </c>
      <c r="I144" s="81"/>
      <c r="J144" s="35"/>
    </row>
    <row r="145" spans="1:12">
      <c r="A145" s="33"/>
      <c r="B145" s="29"/>
      <c r="C145" s="39"/>
      <c r="D145" s="37"/>
      <c r="E145" s="37"/>
      <c r="F145" s="37"/>
      <c r="G145" s="37"/>
      <c r="H145" s="37" t="s">
        <v>136</v>
      </c>
      <c r="I145" s="35"/>
      <c r="J145" s="81"/>
    </row>
    <row r="146" spans="1:12">
      <c r="A146" s="78"/>
      <c r="B146" s="29"/>
      <c r="C146" s="50" t="s">
        <v>146</v>
      </c>
      <c r="D146" s="67">
        <f>+D119-D154</f>
        <v>23920523.635076925</v>
      </c>
      <c r="E146" s="67">
        <f>+E119-E154</f>
        <v>61756699.061358996</v>
      </c>
      <c r="F146" s="67">
        <f>+F119-F154</f>
        <v>114646786.31406401</v>
      </c>
      <c r="G146" s="67">
        <f>+G119-G154</f>
        <v>205520781.88450813</v>
      </c>
      <c r="H146" s="67">
        <f>+H119-H154</f>
        <v>333055872.60450768</v>
      </c>
      <c r="I146" s="40"/>
      <c r="J146" s="35"/>
    </row>
    <row r="147" spans="1:12">
      <c r="A147" s="33"/>
      <c r="B147" s="29"/>
      <c r="C147" s="39"/>
      <c r="D147" s="37"/>
      <c r="E147" s="37"/>
      <c r="F147" s="37"/>
      <c r="G147" s="37"/>
      <c r="H147" s="37"/>
      <c r="I147" s="35"/>
      <c r="J147" s="40"/>
    </row>
    <row r="148" spans="1:12">
      <c r="A148" s="78"/>
      <c r="B148" s="29"/>
      <c r="C148" s="50" t="s">
        <v>147</v>
      </c>
      <c r="D148" s="37"/>
      <c r="E148" s="37"/>
      <c r="F148" s="37"/>
      <c r="G148" s="37"/>
      <c r="H148" s="37"/>
      <c r="I148" s="35"/>
      <c r="J148" s="35"/>
    </row>
    <row r="149" spans="1:12">
      <c r="A149" s="33"/>
      <c r="B149" s="79"/>
      <c r="C149" s="39"/>
      <c r="D149" s="37"/>
      <c r="E149" s="37"/>
      <c r="F149" s="37"/>
      <c r="G149" s="37"/>
      <c r="H149" s="37"/>
      <c r="I149" s="35"/>
      <c r="J149" s="35"/>
    </row>
    <row r="150" spans="1:12">
      <c r="A150" s="33">
        <v>8</v>
      </c>
      <c r="B150" s="29"/>
      <c r="C150" s="39" t="s">
        <v>148</v>
      </c>
      <c r="D150" s="80">
        <f>+O19</f>
        <v>6350000</v>
      </c>
      <c r="E150" s="80">
        <f>+D150</f>
        <v>6350000</v>
      </c>
      <c r="F150" s="80">
        <f>+E150+T19</f>
        <v>12975000</v>
      </c>
      <c r="G150" s="80">
        <f>+F150</f>
        <v>12975000</v>
      </c>
      <c r="H150" s="80">
        <f>+G150</f>
        <v>12975000</v>
      </c>
      <c r="I150" s="81"/>
      <c r="J150" s="35"/>
      <c r="K150" s="71"/>
      <c r="L150" s="71"/>
    </row>
    <row r="151" spans="1:12">
      <c r="A151" s="33"/>
      <c r="B151" s="29"/>
      <c r="C151" s="39"/>
      <c r="D151" s="37"/>
      <c r="E151" s="37"/>
      <c r="F151" s="37"/>
      <c r="G151" s="37"/>
      <c r="H151" s="37"/>
      <c r="I151" s="35"/>
      <c r="J151" s="81"/>
      <c r="K151" s="71"/>
      <c r="L151" s="71"/>
    </row>
    <row r="152" spans="1:12">
      <c r="A152" s="33">
        <v>9</v>
      </c>
      <c r="B152" s="29"/>
      <c r="C152" s="39" t="s">
        <v>149</v>
      </c>
      <c r="D152" s="37">
        <f>+D34</f>
        <v>2225000</v>
      </c>
      <c r="E152" s="37">
        <f>+D152+E34</f>
        <v>3314000</v>
      </c>
      <c r="F152" s="37">
        <f>+E152+F34</f>
        <v>6347625</v>
      </c>
      <c r="G152" s="37">
        <f>+F152+G34</f>
        <v>7900383.75</v>
      </c>
      <c r="H152" s="37">
        <f>+G152+H34</f>
        <v>8817413.4375</v>
      </c>
      <c r="I152" s="35"/>
      <c r="J152" s="35"/>
      <c r="K152" s="71"/>
      <c r="L152" s="71"/>
    </row>
    <row r="153" spans="1:12">
      <c r="A153" s="33"/>
      <c r="B153" s="29"/>
      <c r="C153" s="39"/>
      <c r="D153" s="37"/>
      <c r="E153" s="37"/>
      <c r="F153" s="37"/>
      <c r="G153" s="37"/>
      <c r="H153" s="37"/>
      <c r="I153" s="35"/>
      <c r="J153" s="35"/>
      <c r="K153" s="83"/>
      <c r="L153" s="83"/>
    </row>
    <row r="154" spans="1:12">
      <c r="A154" s="33">
        <v>10</v>
      </c>
      <c r="B154" s="29"/>
      <c r="C154" s="50" t="s">
        <v>150</v>
      </c>
      <c r="D154" s="68">
        <f>D150-D152</f>
        <v>4125000</v>
      </c>
      <c r="E154" s="68">
        <f>E150-E152</f>
        <v>3036000</v>
      </c>
      <c r="F154" s="68">
        <f>F150-F152</f>
        <v>6627375</v>
      </c>
      <c r="G154" s="68">
        <f>G150-G152</f>
        <v>5074616.25</v>
      </c>
      <c r="H154" s="68">
        <f>H150-H152</f>
        <v>4157586.5625</v>
      </c>
      <c r="I154" s="40"/>
      <c r="J154" s="35"/>
      <c r="K154" s="71"/>
      <c r="L154" s="71"/>
    </row>
    <row r="155" spans="1:12">
      <c r="A155" s="33" t="s">
        <v>136</v>
      </c>
      <c r="B155" s="29"/>
      <c r="C155" s="39"/>
      <c r="D155" s="37"/>
      <c r="E155" s="37"/>
      <c r="F155" s="37"/>
      <c r="G155" s="37"/>
      <c r="H155" s="37"/>
      <c r="I155" s="35"/>
      <c r="J155" s="40"/>
    </row>
    <row r="156" spans="1:12">
      <c r="A156" s="33">
        <v>11</v>
      </c>
      <c r="B156" s="29"/>
      <c r="C156" s="39" t="s">
        <v>151</v>
      </c>
      <c r="D156" s="37"/>
      <c r="E156" s="37"/>
      <c r="F156" s="37"/>
      <c r="G156" s="37"/>
      <c r="H156" s="37"/>
      <c r="I156" s="35"/>
      <c r="J156" s="35"/>
    </row>
    <row r="157" spans="1:12">
      <c r="A157" s="33"/>
      <c r="B157" s="29"/>
      <c r="C157" s="39"/>
      <c r="D157" s="37"/>
      <c r="E157" s="37"/>
      <c r="F157" s="37"/>
      <c r="G157" s="37"/>
      <c r="H157" s="37"/>
      <c r="I157" s="35"/>
      <c r="J157" s="35"/>
    </row>
    <row r="158" spans="1:12">
      <c r="A158" s="33">
        <v>11</v>
      </c>
      <c r="B158" s="29"/>
      <c r="C158" s="39" t="s">
        <v>152</v>
      </c>
      <c r="D158" s="80"/>
      <c r="E158" s="80"/>
      <c r="F158" s="80"/>
      <c r="G158" s="80"/>
      <c r="H158" s="80"/>
      <c r="I158" s="81"/>
      <c r="J158" s="35"/>
    </row>
    <row r="159" spans="1:12">
      <c r="A159" s="33"/>
      <c r="B159" s="29"/>
      <c r="C159" s="39" t="s">
        <v>153</v>
      </c>
      <c r="D159" s="37"/>
      <c r="E159" s="37"/>
      <c r="F159" s="37"/>
      <c r="G159" s="37"/>
      <c r="H159" s="37"/>
      <c r="I159" s="35"/>
      <c r="J159" s="81"/>
    </row>
    <row r="160" spans="1:12">
      <c r="A160" s="33"/>
      <c r="B160" s="29"/>
      <c r="C160" s="39" t="s">
        <v>154</v>
      </c>
      <c r="D160" s="37"/>
      <c r="E160" s="37"/>
      <c r="F160" s="37"/>
      <c r="G160" s="37"/>
      <c r="H160" s="37"/>
      <c r="I160" s="35"/>
      <c r="J160" s="35"/>
    </row>
    <row r="161" spans="1:12">
      <c r="A161" s="33"/>
      <c r="B161" s="29"/>
      <c r="C161" s="39"/>
      <c r="D161" s="37"/>
      <c r="E161" s="37"/>
      <c r="F161" s="37"/>
      <c r="G161" s="37"/>
      <c r="H161" s="37"/>
      <c r="I161" s="35"/>
      <c r="J161" s="35"/>
    </row>
    <row r="162" spans="1:12">
      <c r="A162" s="33">
        <v>12</v>
      </c>
      <c r="B162" s="29"/>
      <c r="C162" s="39" t="s">
        <v>155</v>
      </c>
      <c r="D162" s="37"/>
      <c r="E162" s="37"/>
      <c r="F162" s="37"/>
      <c r="G162" s="37"/>
      <c r="H162" s="37"/>
      <c r="I162" s="35"/>
      <c r="J162" s="35"/>
    </row>
    <row r="163" spans="1:12">
      <c r="A163" s="33"/>
      <c r="B163" s="29"/>
      <c r="C163" s="39" t="s">
        <v>156</v>
      </c>
      <c r="D163" s="37"/>
      <c r="E163" s="37"/>
      <c r="F163" s="37"/>
      <c r="G163" s="37"/>
      <c r="H163" s="37"/>
      <c r="I163" s="35"/>
      <c r="J163" s="35"/>
    </row>
    <row r="164" spans="1:12">
      <c r="A164" s="33"/>
      <c r="B164" s="29"/>
      <c r="C164" s="39"/>
      <c r="D164" s="37"/>
      <c r="E164" s="37"/>
      <c r="F164" s="37"/>
      <c r="G164" s="37"/>
      <c r="H164" s="37"/>
      <c r="I164" s="35"/>
      <c r="J164" s="35"/>
    </row>
    <row r="165" spans="1:12" ht="16.5" thickBot="1">
      <c r="A165" s="50"/>
      <c r="B165" s="29"/>
      <c r="C165" s="50" t="s">
        <v>157</v>
      </c>
      <c r="D165" s="72">
        <f>D146+D154+D162+D158</f>
        <v>28045523.635076925</v>
      </c>
      <c r="E165" s="72">
        <f>E146+E154+E162+E156</f>
        <v>64792699.061358996</v>
      </c>
      <c r="F165" s="72">
        <f>F146+F154+F162+F158</f>
        <v>121274161.31406401</v>
      </c>
      <c r="G165" s="72">
        <f>G146+G154+G162+G158</f>
        <v>210595398.13450813</v>
      </c>
      <c r="H165" s="72">
        <f>H146+H154+H162+H158</f>
        <v>337213459.16700768</v>
      </c>
      <c r="I165" s="40"/>
      <c r="J165" s="35"/>
    </row>
    <row r="166" spans="1:12" ht="16.5" thickTop="1">
      <c r="A166" s="78"/>
      <c r="B166" s="29"/>
      <c r="C166" s="39"/>
      <c r="D166" s="126">
        <f>D119-D165</f>
        <v>0</v>
      </c>
      <c r="E166" s="126">
        <f>E119-E165</f>
        <v>0</v>
      </c>
      <c r="F166" s="126">
        <f>F119-F165</f>
        <v>0</v>
      </c>
      <c r="G166" s="126">
        <f>G119-G165</f>
        <v>0</v>
      </c>
      <c r="H166" s="126">
        <f>H119-H165</f>
        <v>0</v>
      </c>
      <c r="I166" s="133"/>
      <c r="J166" s="40"/>
      <c r="K166" s="71"/>
      <c r="L166" s="71"/>
    </row>
    <row r="167" spans="1:12">
      <c r="A167" s="78"/>
      <c r="B167" s="29"/>
      <c r="C167" s="39" t="s">
        <v>158</v>
      </c>
      <c r="D167" s="37">
        <f>D117+D98</f>
        <v>24288025.592</v>
      </c>
      <c r="E167" s="37">
        <f>E117+E98</f>
        <v>53314805.420333356</v>
      </c>
      <c r="F167" s="37">
        <f>F117+F99</f>
        <v>80294337.841466352</v>
      </c>
      <c r="G167" s="37">
        <f>G117+G99</f>
        <v>125136240.91703416</v>
      </c>
      <c r="H167" s="37">
        <f>H117+H99</f>
        <v>211288036.93703732</v>
      </c>
      <c r="I167" s="35"/>
      <c r="J167" s="35"/>
    </row>
    <row r="168" spans="1:12">
      <c r="A168" s="78"/>
      <c r="B168" s="29"/>
      <c r="C168" s="39"/>
      <c r="D168" s="37"/>
      <c r="E168" s="37"/>
      <c r="F168" s="37"/>
      <c r="G168" s="37"/>
      <c r="H168" s="37"/>
      <c r="I168" s="35"/>
      <c r="J168" s="35"/>
    </row>
    <row r="169" spans="1:12">
      <c r="A169" s="78"/>
      <c r="B169" s="29"/>
      <c r="C169" s="39" t="s">
        <v>159</v>
      </c>
      <c r="D169" s="37">
        <f>D146-D94</f>
        <v>20163025.592</v>
      </c>
      <c r="E169" s="37">
        <f>E146-E94</f>
        <v>50278805.420333356</v>
      </c>
      <c r="F169" s="37">
        <f>F146-F94</f>
        <v>73666962.841466352</v>
      </c>
      <c r="G169" s="37">
        <f>G146-G94</f>
        <v>120061624.66703415</v>
      </c>
      <c r="H169" s="37">
        <f>H146-H94</f>
        <v>207130450.37453729</v>
      </c>
      <c r="I169" s="35"/>
      <c r="J169" s="35"/>
    </row>
    <row r="170" spans="1:12">
      <c r="A170" s="78"/>
      <c r="B170" s="29"/>
      <c r="C170" s="39"/>
      <c r="D170" s="37"/>
      <c r="E170" s="37"/>
      <c r="F170" s="37"/>
      <c r="G170" s="37"/>
      <c r="H170" s="37"/>
      <c r="I170" s="35"/>
      <c r="J170" s="35"/>
    </row>
    <row r="171" spans="1:12">
      <c r="A171" s="78"/>
      <c r="B171" s="29"/>
      <c r="C171" s="39" t="s">
        <v>160</v>
      </c>
      <c r="D171" s="37">
        <f>D146/D94</f>
        <v>6.3660774698605014</v>
      </c>
      <c r="E171" s="37">
        <f>E146/E94</f>
        <v>5.3804906189948412</v>
      </c>
      <c r="F171" s="37">
        <f>F146/F94</f>
        <v>2.7976398285543103</v>
      </c>
      <c r="G171" s="37">
        <f>G146/G94</f>
        <v>2.4049006399806263</v>
      </c>
      <c r="H171" s="37">
        <f>H146/H94</f>
        <v>2.6448660382195643</v>
      </c>
      <c r="I171" s="35"/>
      <c r="J171" s="35"/>
    </row>
    <row r="172" spans="1:12">
      <c r="A172" s="78"/>
      <c r="B172" s="29"/>
      <c r="C172" s="39"/>
      <c r="D172" s="37"/>
      <c r="E172" s="37"/>
      <c r="F172" s="37"/>
      <c r="G172" s="37"/>
      <c r="H172" s="37"/>
      <c r="I172" s="35"/>
      <c r="J172" s="35"/>
    </row>
    <row r="173" spans="1:12">
      <c r="A173" s="78"/>
      <c r="B173" s="29"/>
      <c r="C173" s="39" t="s">
        <v>161</v>
      </c>
      <c r="D173" s="37">
        <f>(D107-D99)/D167</f>
        <v>0.15470578408458896</v>
      </c>
      <c r="E173" s="37">
        <f>(E107-E99)/E167</f>
        <v>0.21528529552971354</v>
      </c>
      <c r="F173" s="37">
        <f>(F107-F99)/F167</f>
        <v>0.51037002825166178</v>
      </c>
      <c r="G173" s="37">
        <f>(G107-G99)/G167</f>
        <v>0.68292891484676888</v>
      </c>
      <c r="H173" s="37">
        <f>(H107-H99)/H167</f>
        <v>0.59598936151551019</v>
      </c>
      <c r="I173" s="35"/>
      <c r="J173" s="35"/>
    </row>
    <row r="174" spans="1:12">
      <c r="A174" s="78"/>
      <c r="B174" s="29"/>
      <c r="C174" s="39"/>
      <c r="D174" s="37"/>
      <c r="E174" s="37"/>
      <c r="F174" s="37"/>
      <c r="G174" s="37"/>
      <c r="H174" s="37"/>
      <c r="I174" s="35"/>
      <c r="J174" s="35"/>
    </row>
    <row r="175" spans="1:12">
      <c r="A175" s="78"/>
      <c r="B175" s="29"/>
      <c r="C175" s="39" t="s">
        <v>162</v>
      </c>
      <c r="D175" s="85">
        <f>(D105-D99)/(D167)</f>
        <v>0</v>
      </c>
      <c r="E175" s="85">
        <f>(E105-E99)/(E167)</f>
        <v>0</v>
      </c>
      <c r="F175" s="85">
        <f>(F105-F99)/(F167)</f>
        <v>0</v>
      </c>
      <c r="G175" s="85">
        <f>(G105-G99)/(G167)</f>
        <v>0</v>
      </c>
      <c r="H175" s="85">
        <f>(H105-H99)/(H167)</f>
        <v>0</v>
      </c>
      <c r="I175" s="86"/>
      <c r="J175" s="35"/>
    </row>
    <row r="176" spans="1:12">
      <c r="A176" s="87"/>
      <c r="B176" s="52"/>
      <c r="C176" s="25"/>
      <c r="D176" s="69"/>
      <c r="E176" s="69"/>
      <c r="F176" s="69"/>
      <c r="G176" s="69"/>
      <c r="H176" s="69"/>
      <c r="I176" s="35"/>
      <c r="J176" s="86"/>
    </row>
    <row r="177" spans="1:12">
      <c r="G177" s="29"/>
      <c r="J177" s="35"/>
    </row>
    <row r="178" spans="1:12">
      <c r="G178" s="29"/>
      <c r="J178" s="29"/>
      <c r="K178" s="71"/>
      <c r="L178" s="71"/>
    </row>
    <row r="179" spans="1:12">
      <c r="A179" s="75"/>
      <c r="C179" s="75" t="s">
        <v>163</v>
      </c>
      <c r="D179" s="88"/>
      <c r="E179" s="88"/>
      <c r="F179" s="88"/>
      <c r="G179" s="40"/>
      <c r="H179" s="88"/>
      <c r="I179" s="88"/>
      <c r="J179" s="29"/>
      <c r="K179" s="71"/>
      <c r="L179" s="71"/>
    </row>
    <row r="180" spans="1:12">
      <c r="B180" s="75"/>
      <c r="G180" s="29"/>
      <c r="J180" s="40"/>
      <c r="K180" s="71"/>
      <c r="L180" s="71"/>
    </row>
    <row r="181" spans="1:12">
      <c r="A181" s="46"/>
      <c r="B181" s="46"/>
      <c r="C181" s="46"/>
      <c r="D181" s="47"/>
      <c r="E181" s="47"/>
      <c r="F181" s="47"/>
      <c r="G181" s="35"/>
      <c r="H181" s="89"/>
      <c r="I181" s="35"/>
      <c r="J181" s="29"/>
      <c r="K181" s="71"/>
      <c r="L181" s="71"/>
    </row>
    <row r="182" spans="1:12">
      <c r="D182" s="76"/>
      <c r="E182" s="76"/>
      <c r="F182" s="76"/>
      <c r="G182" s="35"/>
      <c r="H182" s="76"/>
      <c r="I182" s="76"/>
      <c r="J182" s="35"/>
      <c r="K182" s="71"/>
      <c r="L182" s="71"/>
    </row>
    <row r="183" spans="1:12">
      <c r="D183" s="76"/>
      <c r="E183" s="76"/>
      <c r="F183" s="76"/>
      <c r="G183" s="35"/>
      <c r="H183" s="76" t="s">
        <v>136</v>
      </c>
      <c r="I183" s="76"/>
      <c r="J183" s="35"/>
      <c r="K183" s="71"/>
      <c r="L183" s="71"/>
    </row>
    <row r="184" spans="1:12">
      <c r="A184" s="26"/>
      <c r="B184" s="27"/>
      <c r="C184" s="43"/>
      <c r="D184" s="56"/>
      <c r="E184" s="56"/>
      <c r="F184" s="44"/>
      <c r="G184" s="44"/>
      <c r="H184" s="44"/>
      <c r="I184" s="55"/>
      <c r="J184" s="35"/>
      <c r="K184" s="71"/>
      <c r="L184" s="71"/>
    </row>
    <row r="185" spans="1:12">
      <c r="A185" s="33"/>
      <c r="B185" s="29"/>
      <c r="C185" s="39"/>
      <c r="D185" s="90"/>
      <c r="E185" s="90"/>
      <c r="F185" s="49"/>
      <c r="G185" s="49"/>
      <c r="H185" s="49"/>
      <c r="I185" s="55"/>
      <c r="J185" s="55"/>
      <c r="K185" s="71"/>
      <c r="L185" s="71"/>
    </row>
    <row r="186" spans="1:12">
      <c r="A186" s="33"/>
      <c r="B186" s="29"/>
      <c r="C186" s="44"/>
      <c r="D186" s="44"/>
      <c r="E186" s="44"/>
      <c r="F186" s="44"/>
      <c r="G186" s="44"/>
      <c r="H186" s="44"/>
      <c r="I186" s="55"/>
      <c r="J186" s="55"/>
      <c r="K186" s="71"/>
      <c r="L186" s="71"/>
    </row>
    <row r="187" spans="1:12">
      <c r="A187" s="33"/>
      <c r="B187" s="29"/>
      <c r="C187" s="51"/>
      <c r="D187" s="123" t="s">
        <v>282</v>
      </c>
      <c r="E187" s="123" t="s">
        <v>283</v>
      </c>
      <c r="F187" s="123" t="s">
        <v>284</v>
      </c>
      <c r="G187" s="123" t="s">
        <v>285</v>
      </c>
      <c r="H187" s="123" t="s">
        <v>286</v>
      </c>
      <c r="I187" s="128"/>
      <c r="J187" s="55"/>
      <c r="K187" s="71"/>
      <c r="L187" s="71"/>
    </row>
    <row r="188" spans="1:12">
      <c r="A188" s="45"/>
      <c r="B188" s="52"/>
      <c r="C188" s="25"/>
      <c r="D188" s="54">
        <v>1</v>
      </c>
      <c r="E188" s="54">
        <v>2</v>
      </c>
      <c r="F188" s="54">
        <v>3</v>
      </c>
      <c r="G188" s="54">
        <v>4</v>
      </c>
      <c r="H188" s="54">
        <v>5</v>
      </c>
      <c r="I188" s="59"/>
      <c r="J188" s="58"/>
      <c r="K188" s="71"/>
      <c r="L188" s="71"/>
    </row>
    <row r="189" spans="1:12">
      <c r="A189" s="33"/>
      <c r="C189" s="39"/>
      <c r="D189" s="77"/>
      <c r="E189" s="77"/>
      <c r="F189" s="77"/>
      <c r="G189" s="77"/>
      <c r="H189" s="77"/>
      <c r="I189" s="35"/>
      <c r="J189" s="59"/>
      <c r="K189" s="71"/>
      <c r="L189" s="71"/>
    </row>
    <row r="190" spans="1:12">
      <c r="A190" s="91" t="s">
        <v>164</v>
      </c>
      <c r="B190" s="29"/>
      <c r="C190" s="50" t="s">
        <v>165</v>
      </c>
      <c r="D190" s="37"/>
      <c r="E190" s="37"/>
      <c r="F190" s="37"/>
      <c r="G190" s="37"/>
      <c r="H190" s="37"/>
      <c r="I190" s="35"/>
      <c r="J190" s="35"/>
      <c r="K190" s="71"/>
      <c r="L190" s="71"/>
    </row>
    <row r="191" spans="1:12">
      <c r="A191" s="33"/>
      <c r="B191" s="29"/>
      <c r="C191" s="39"/>
      <c r="D191" s="37"/>
      <c r="E191" s="37"/>
      <c r="F191" s="37"/>
      <c r="G191" s="37"/>
      <c r="H191" s="37"/>
      <c r="I191" s="35"/>
      <c r="J191" s="35"/>
    </row>
    <row r="192" spans="1:12">
      <c r="A192" s="33"/>
      <c r="B192" s="29" t="s">
        <v>166</v>
      </c>
      <c r="C192" s="39" t="s">
        <v>142</v>
      </c>
      <c r="D192" s="37">
        <f>D138</f>
        <v>6564983.0399999991</v>
      </c>
      <c r="E192" s="37">
        <f>E138</f>
        <v>12863156.666666666</v>
      </c>
      <c r="F192" s="37">
        <f>F138</f>
        <v>22159461.210000001</v>
      </c>
      <c r="G192" s="37">
        <f>G138</f>
        <v>26647983.27333333</v>
      </c>
      <c r="H192" s="37">
        <f>H138</f>
        <v>37325380.003333338</v>
      </c>
      <c r="I192" s="35"/>
      <c r="J192" s="35"/>
    </row>
    <row r="193" spans="1:12">
      <c r="A193" s="33"/>
      <c r="B193" s="29"/>
      <c r="C193" s="39" t="s">
        <v>167</v>
      </c>
      <c r="D193" s="92">
        <f>D138/D24*12</f>
        <v>2</v>
      </c>
      <c r="E193" s="92">
        <f>E138/E24*12</f>
        <v>2</v>
      </c>
      <c r="F193" s="92">
        <f>F138/F24*12</f>
        <v>2</v>
      </c>
      <c r="G193" s="92">
        <f>G138/G24*12</f>
        <v>2</v>
      </c>
      <c r="H193" s="92">
        <f>H138/H24*12</f>
        <v>2</v>
      </c>
      <c r="I193" s="93"/>
      <c r="J193" s="35"/>
      <c r="K193" s="71"/>
      <c r="L193" s="71"/>
    </row>
    <row r="194" spans="1:12">
      <c r="A194" s="33"/>
      <c r="B194" s="29"/>
      <c r="C194" s="39"/>
      <c r="D194" s="37"/>
      <c r="E194" s="37"/>
      <c r="F194" s="37"/>
      <c r="G194" s="37"/>
      <c r="H194" s="37"/>
      <c r="I194" s="35"/>
      <c r="J194" s="93"/>
    </row>
    <row r="195" spans="1:12">
      <c r="A195" s="33"/>
      <c r="B195" s="29" t="s">
        <v>181</v>
      </c>
      <c r="C195" s="39" t="s">
        <v>169</v>
      </c>
      <c r="D195" s="37">
        <f>D136</f>
        <v>16412457.6</v>
      </c>
      <c r="E195" s="37">
        <f>E136</f>
        <v>38589470</v>
      </c>
      <c r="F195" s="37">
        <f>F136</f>
        <v>73864870.700000003</v>
      </c>
      <c r="G195" s="37">
        <f>G136</f>
        <v>114205642.59999999</v>
      </c>
      <c r="H195" s="37">
        <f>H136</f>
        <v>159965914.30000001</v>
      </c>
      <c r="I195" s="35"/>
      <c r="J195" s="35"/>
      <c r="K195" s="71"/>
      <c r="L195" s="71"/>
    </row>
    <row r="196" spans="1:12">
      <c r="A196" s="33"/>
      <c r="B196" s="29"/>
      <c r="C196" s="39" t="s">
        <v>170</v>
      </c>
      <c r="D196" s="92">
        <f>+D136/D16</f>
        <v>0.25</v>
      </c>
      <c r="E196" s="92">
        <f>+E136/E16</f>
        <v>0.25</v>
      </c>
      <c r="F196" s="92">
        <f>+F136/F16</f>
        <v>0.25</v>
      </c>
      <c r="G196" s="92">
        <f>+G136/G16</f>
        <v>0.25</v>
      </c>
      <c r="H196" s="92">
        <f>+H136/H16</f>
        <v>0.25</v>
      </c>
      <c r="I196" s="93"/>
      <c r="J196" s="35"/>
      <c r="K196" s="71"/>
      <c r="L196" s="71"/>
    </row>
    <row r="197" spans="1:12">
      <c r="A197" s="33"/>
      <c r="B197" s="29"/>
      <c r="C197" s="39"/>
      <c r="D197" s="37"/>
      <c r="E197" s="37"/>
      <c r="F197" s="37"/>
      <c r="G197" s="37"/>
      <c r="H197" s="37"/>
      <c r="I197" s="35"/>
      <c r="J197" s="93"/>
      <c r="K197" s="71"/>
      <c r="L197" s="71"/>
    </row>
    <row r="198" spans="1:12">
      <c r="A198" s="33"/>
      <c r="B198" s="29" t="s">
        <v>294</v>
      </c>
      <c r="C198" s="39" t="s">
        <v>172</v>
      </c>
      <c r="D198" s="37">
        <f>D134</f>
        <v>0</v>
      </c>
      <c r="E198" s="37">
        <f>E134</f>
        <v>0</v>
      </c>
      <c r="F198" s="37">
        <f>F134</f>
        <v>0</v>
      </c>
      <c r="G198" s="37">
        <f>G134</f>
        <v>0</v>
      </c>
      <c r="H198" s="37">
        <f>H134</f>
        <v>0</v>
      </c>
      <c r="I198" s="35"/>
      <c r="J198" s="35"/>
      <c r="K198" s="71"/>
      <c r="L198" s="71"/>
    </row>
    <row r="199" spans="1:12">
      <c r="A199" s="33"/>
      <c r="B199" s="29"/>
      <c r="C199" s="39"/>
      <c r="D199" s="37"/>
      <c r="E199" s="37"/>
      <c r="F199" s="37"/>
      <c r="G199" s="37"/>
      <c r="H199" s="37"/>
      <c r="I199" s="35"/>
      <c r="J199" s="35"/>
    </row>
    <row r="200" spans="1:12">
      <c r="A200" s="33"/>
      <c r="B200" s="29" t="s">
        <v>168</v>
      </c>
      <c r="C200" s="39" t="s">
        <v>174</v>
      </c>
      <c r="D200" s="37">
        <f>D132+D142+D140+D144</f>
        <v>943082.99507692456</v>
      </c>
      <c r="E200" s="37">
        <f>E132+E142+E140+E144</f>
        <v>10304072.394692332</v>
      </c>
      <c r="F200" s="37">
        <f>F132+F142+F140+F144</f>
        <v>18622454.404064018</v>
      </c>
      <c r="G200" s="37">
        <f>G132+G142+G140+G144</f>
        <v>64667156.011174798</v>
      </c>
      <c r="H200" s="37">
        <f>H132+H142+H140+H144</f>
        <v>135764578.30117434</v>
      </c>
      <c r="I200" s="35"/>
      <c r="J200" s="35"/>
      <c r="K200" s="71"/>
      <c r="L200" s="71"/>
    </row>
    <row r="201" spans="1:12">
      <c r="A201" s="33"/>
      <c r="B201" s="29"/>
      <c r="C201" s="39" t="s">
        <v>175</v>
      </c>
      <c r="D201" s="37"/>
      <c r="E201" s="37"/>
      <c r="F201" s="37"/>
      <c r="G201" s="37"/>
      <c r="H201" s="37"/>
      <c r="I201" s="35"/>
      <c r="J201" s="35"/>
    </row>
    <row r="202" spans="1:12">
      <c r="A202" s="33"/>
      <c r="B202" s="29"/>
      <c r="C202" s="39"/>
      <c r="D202" s="37"/>
      <c r="E202" s="37"/>
      <c r="F202" s="37"/>
      <c r="G202" s="37"/>
      <c r="H202" s="37"/>
      <c r="I202" s="35"/>
      <c r="J202" s="35"/>
    </row>
    <row r="203" spans="1:12" ht="16.5" thickBot="1">
      <c r="A203" s="33"/>
      <c r="B203" s="29"/>
      <c r="C203" s="50" t="s">
        <v>176</v>
      </c>
      <c r="D203" s="72">
        <f>D192+D195+D198+D200</f>
        <v>23920523.635076925</v>
      </c>
      <c r="E203" s="72">
        <f>E192+E195+E198+E200</f>
        <v>61756699.061358996</v>
      </c>
      <c r="F203" s="72">
        <f>F192+F195+F198+F200</f>
        <v>114646786.31406401</v>
      </c>
      <c r="G203" s="72">
        <f>G192+G195+G198+G200</f>
        <v>205520781.88450813</v>
      </c>
      <c r="H203" s="72">
        <f>H192+H195+H198+H200</f>
        <v>333055872.60450768</v>
      </c>
      <c r="I203" s="40"/>
      <c r="J203" s="35"/>
    </row>
    <row r="204" spans="1:12" ht="16.5" thickTop="1">
      <c r="A204" s="33"/>
      <c r="B204" s="29"/>
      <c r="C204" s="39"/>
      <c r="D204" s="37"/>
      <c r="E204" s="37"/>
      <c r="F204" s="37"/>
      <c r="G204" s="37"/>
      <c r="H204" s="37"/>
      <c r="I204" s="35"/>
      <c r="J204" s="40"/>
    </row>
    <row r="205" spans="1:12">
      <c r="A205" s="91" t="s">
        <v>177</v>
      </c>
      <c r="B205" s="29"/>
      <c r="C205" s="50" t="s">
        <v>108</v>
      </c>
      <c r="D205" s="37"/>
      <c r="E205" s="37"/>
      <c r="F205" s="37"/>
      <c r="G205" s="37"/>
      <c r="H205" s="37"/>
      <c r="I205" s="35"/>
      <c r="J205" s="35"/>
    </row>
    <row r="206" spans="1:12">
      <c r="A206" s="33"/>
      <c r="B206" s="29"/>
      <c r="C206" s="39" t="s">
        <v>178</v>
      </c>
      <c r="D206" s="37"/>
      <c r="E206" s="37"/>
      <c r="F206" s="37"/>
      <c r="G206" s="37"/>
      <c r="H206" s="37"/>
      <c r="I206" s="35"/>
      <c r="J206" s="35"/>
    </row>
    <row r="207" spans="1:12">
      <c r="A207" s="33"/>
      <c r="B207" s="29" t="s">
        <v>166</v>
      </c>
      <c r="C207" s="39" t="s">
        <v>179</v>
      </c>
      <c r="D207" s="37">
        <f>D76</f>
        <v>757498.043076923</v>
      </c>
      <c r="E207" s="37">
        <f>E76</f>
        <v>1484210.3846153845</v>
      </c>
      <c r="F207" s="37">
        <f>F76</f>
        <v>2556860.9088461539</v>
      </c>
      <c r="G207" s="37">
        <f>G76</f>
        <v>3074767.3007692304</v>
      </c>
      <c r="H207" s="37">
        <f>H76</f>
        <v>4306774.6157692308</v>
      </c>
      <c r="I207" s="35"/>
      <c r="J207" s="35"/>
    </row>
    <row r="208" spans="1:12">
      <c r="A208" s="33"/>
      <c r="B208" s="29"/>
      <c r="C208" s="39" t="s">
        <v>180</v>
      </c>
      <c r="D208" s="92">
        <f>D76/D24*12</f>
        <v>0.23076923076923078</v>
      </c>
      <c r="E208" s="92">
        <f>E76/E24*12</f>
        <v>0.23076923076923073</v>
      </c>
      <c r="F208" s="92">
        <f>F76/F24*12</f>
        <v>0.23076923076923078</v>
      </c>
      <c r="G208" s="92">
        <f>G76/G24*12</f>
        <v>0.23076923076923073</v>
      </c>
      <c r="H208" s="92">
        <f>H76/H24*12</f>
        <v>0.23076923076923073</v>
      </c>
      <c r="I208" s="93"/>
      <c r="J208" s="35"/>
    </row>
    <row r="209" spans="1:12">
      <c r="A209" s="33"/>
      <c r="B209" s="29" t="s">
        <v>181</v>
      </c>
      <c r="C209" s="39" t="s">
        <v>117</v>
      </c>
      <c r="D209" s="37">
        <f>D78</f>
        <v>0</v>
      </c>
      <c r="E209" s="37">
        <f>E78</f>
        <v>0</v>
      </c>
      <c r="F209" s="37">
        <f>F78</f>
        <v>0</v>
      </c>
      <c r="G209" s="37">
        <f>G78</f>
        <v>0</v>
      </c>
      <c r="H209" s="37">
        <f>H78</f>
        <v>0</v>
      </c>
      <c r="I209" s="35"/>
      <c r="J209" s="93"/>
    </row>
    <row r="210" spans="1:12">
      <c r="A210" s="33"/>
      <c r="B210" s="29" t="s">
        <v>294</v>
      </c>
      <c r="C210" s="39" t="s">
        <v>182</v>
      </c>
      <c r="D210" s="37">
        <f>D80</f>
        <v>0</v>
      </c>
      <c r="E210" s="37">
        <f>E80</f>
        <v>0</v>
      </c>
      <c r="F210" s="37">
        <f>F80</f>
        <v>0</v>
      </c>
      <c r="G210" s="37">
        <f>G80</f>
        <v>0</v>
      </c>
      <c r="H210" s="37">
        <f>H80</f>
        <v>0</v>
      </c>
      <c r="I210" s="35"/>
      <c r="J210" s="35"/>
      <c r="K210" s="71"/>
      <c r="L210" s="71"/>
    </row>
    <row r="211" spans="1:12">
      <c r="A211" s="33"/>
      <c r="B211" s="29" t="s">
        <v>168</v>
      </c>
      <c r="C211" s="39" t="s">
        <v>119</v>
      </c>
      <c r="D211" s="37"/>
      <c r="E211" s="37"/>
      <c r="F211" s="37"/>
      <c r="G211" s="37"/>
      <c r="H211" s="37"/>
      <c r="I211" s="35"/>
      <c r="J211" s="35"/>
    </row>
    <row r="212" spans="1:12">
      <c r="A212" s="33"/>
      <c r="B212" s="29" t="s">
        <v>171</v>
      </c>
      <c r="C212" s="39" t="s">
        <v>183</v>
      </c>
      <c r="D212" s="37">
        <f>D89+D87</f>
        <v>0</v>
      </c>
      <c r="E212" s="37">
        <f>E89+E87</f>
        <v>0</v>
      </c>
      <c r="F212" s="37">
        <f>F89+F87</f>
        <v>7800000</v>
      </c>
      <c r="G212" s="37">
        <f>G89+G87</f>
        <v>12240000</v>
      </c>
      <c r="H212" s="37">
        <f>H89+H87</f>
        <v>14687999.999999998</v>
      </c>
      <c r="I212" s="35"/>
      <c r="J212" s="35"/>
    </row>
    <row r="213" spans="1:12">
      <c r="A213" s="33"/>
      <c r="B213" s="29" t="s">
        <v>173</v>
      </c>
      <c r="C213" s="39" t="s">
        <v>120</v>
      </c>
      <c r="D213" s="37">
        <f>D83</f>
        <v>0</v>
      </c>
      <c r="E213" s="37">
        <f>E83</f>
        <v>0</v>
      </c>
      <c r="F213" s="37">
        <f>F83</f>
        <v>0</v>
      </c>
      <c r="G213" s="37">
        <f>G83</f>
        <v>0</v>
      </c>
      <c r="H213" s="37">
        <f>H83</f>
        <v>0</v>
      </c>
      <c r="I213" s="35"/>
      <c r="J213" s="35"/>
    </row>
    <row r="214" spans="1:12">
      <c r="A214" s="33"/>
      <c r="B214" s="29" t="s">
        <v>295</v>
      </c>
      <c r="C214" s="39" t="s">
        <v>184</v>
      </c>
      <c r="D214" s="37">
        <f>D85</f>
        <v>0</v>
      </c>
      <c r="E214" s="37">
        <f>E85</f>
        <v>0</v>
      </c>
      <c r="F214" s="37">
        <f>F85</f>
        <v>2582721.2634053566</v>
      </c>
      <c r="G214" s="37">
        <f>G85</f>
        <v>28810732.344935533</v>
      </c>
      <c r="H214" s="37">
        <f>H85</f>
        <v>49035291.707931936</v>
      </c>
      <c r="I214" s="35"/>
      <c r="J214" s="35"/>
    </row>
    <row r="215" spans="1:12">
      <c r="A215" s="33"/>
      <c r="B215" s="29" t="s">
        <v>296</v>
      </c>
      <c r="C215" s="39" t="s">
        <v>185</v>
      </c>
      <c r="D215" s="37"/>
      <c r="E215" s="37"/>
      <c r="F215" s="37"/>
      <c r="G215" s="37"/>
      <c r="H215" s="37"/>
      <c r="I215" s="35"/>
      <c r="J215" s="35"/>
    </row>
    <row r="216" spans="1:12">
      <c r="A216" s="33"/>
      <c r="B216" s="29"/>
      <c r="C216" s="39"/>
      <c r="D216" s="37"/>
      <c r="E216" s="37"/>
      <c r="F216" s="37"/>
      <c r="G216" s="37"/>
      <c r="H216" s="37"/>
      <c r="I216" s="35"/>
      <c r="J216" s="35"/>
    </row>
    <row r="217" spans="1:12" ht="16.5" thickBot="1">
      <c r="A217" s="33"/>
      <c r="B217" s="29"/>
      <c r="C217" s="50" t="s">
        <v>186</v>
      </c>
      <c r="D217" s="72">
        <f>D207+D209+D210+D212+D213+D214+D215</f>
        <v>757498.043076923</v>
      </c>
      <c r="E217" s="72">
        <f>E207+E209+E210+E212+E213+E214+E215</f>
        <v>1484210.3846153845</v>
      </c>
      <c r="F217" s="72">
        <f>F207+F209+F210+F212+F213+F214+F215</f>
        <v>12939582.172251511</v>
      </c>
      <c r="G217" s="72">
        <f>G207+G209+G210+G212+G213+G214+G215</f>
        <v>44125499.645704761</v>
      </c>
      <c r="H217" s="72">
        <f>H207+H209+H210+H212+H213+H214+H215</f>
        <v>68030066.323701173</v>
      </c>
      <c r="I217" s="40"/>
      <c r="J217" s="35"/>
    </row>
    <row r="218" spans="1:12" ht="16.5" thickTop="1">
      <c r="A218" s="33"/>
      <c r="B218" s="29"/>
      <c r="C218" s="39"/>
      <c r="D218" s="37"/>
      <c r="E218" s="37"/>
      <c r="F218" s="37"/>
      <c r="G218" s="37"/>
      <c r="H218" s="37"/>
      <c r="I218" s="35"/>
      <c r="J218" s="40"/>
    </row>
    <row r="219" spans="1:12">
      <c r="A219" s="91" t="s">
        <v>187</v>
      </c>
      <c r="B219" s="29"/>
      <c r="C219" s="50" t="s">
        <v>188</v>
      </c>
      <c r="D219" s="42">
        <f>D203-D217</f>
        <v>23163025.592000004</v>
      </c>
      <c r="E219" s="42">
        <f>E203-E217</f>
        <v>60272488.676743612</v>
      </c>
      <c r="F219" s="42">
        <f>F203-F217</f>
        <v>101707204.1418125</v>
      </c>
      <c r="G219" s="42">
        <f>G203-G217</f>
        <v>161395282.23880339</v>
      </c>
      <c r="H219" s="42">
        <f>H203-H217</f>
        <v>265025806.28080651</v>
      </c>
      <c r="I219" s="40"/>
      <c r="J219" s="35"/>
    </row>
    <row r="220" spans="1:12">
      <c r="A220" s="91"/>
      <c r="B220" s="29"/>
      <c r="C220" s="39"/>
      <c r="D220" s="37"/>
      <c r="E220" s="37"/>
      <c r="F220" s="37"/>
      <c r="G220" s="37"/>
      <c r="H220" s="37"/>
      <c r="I220" s="35"/>
      <c r="J220" s="40"/>
    </row>
    <row r="221" spans="1:12">
      <c r="A221" s="91" t="s">
        <v>189</v>
      </c>
      <c r="B221" s="29"/>
      <c r="C221" s="39" t="s">
        <v>190</v>
      </c>
      <c r="D221" s="37"/>
      <c r="E221" s="37"/>
      <c r="F221" s="37"/>
      <c r="G221" s="37"/>
      <c r="H221" s="37"/>
      <c r="I221" s="35"/>
      <c r="J221" s="35"/>
    </row>
    <row r="222" spans="1:12">
      <c r="A222" s="91"/>
      <c r="B222" s="29"/>
      <c r="C222" s="39" t="s">
        <v>191</v>
      </c>
      <c r="D222" s="37"/>
      <c r="E222" s="37"/>
      <c r="F222" s="37"/>
      <c r="G222" s="37"/>
      <c r="H222" s="37"/>
      <c r="I222" s="35"/>
      <c r="J222" s="35"/>
      <c r="K222" s="71"/>
      <c r="L222" s="71"/>
    </row>
    <row r="223" spans="1:12">
      <c r="A223" s="91"/>
      <c r="B223" s="29"/>
      <c r="C223" s="39" t="s">
        <v>192</v>
      </c>
      <c r="D223" s="37">
        <f>D74</f>
        <v>3000000</v>
      </c>
      <c r="E223" s="37">
        <f>E74</f>
        <v>9993683.256410256</v>
      </c>
      <c r="F223" s="37">
        <f>F74</f>
        <v>28040241.300346151</v>
      </c>
      <c r="G223" s="37">
        <f>G74</f>
        <v>41333657.57176923</v>
      </c>
      <c r="H223" s="37">
        <f>H74</f>
        <v>57895355.90626923</v>
      </c>
      <c r="I223" s="35"/>
      <c r="J223" s="35"/>
    </row>
    <row r="224" spans="1:12">
      <c r="A224" s="91"/>
      <c r="B224" s="29"/>
      <c r="C224" s="39" t="s">
        <v>193</v>
      </c>
      <c r="D224" s="37"/>
      <c r="E224" s="37"/>
      <c r="F224" s="37"/>
      <c r="G224" s="37"/>
      <c r="H224" s="37"/>
      <c r="I224" s="35"/>
      <c r="J224" s="35"/>
    </row>
    <row r="225" spans="1:12">
      <c r="A225" s="91"/>
      <c r="B225" s="29"/>
      <c r="C225" s="39" t="s">
        <v>194</v>
      </c>
      <c r="D225" s="37"/>
      <c r="E225" s="37"/>
      <c r="F225" s="37"/>
      <c r="G225" s="37"/>
      <c r="H225" s="37"/>
      <c r="I225" s="35"/>
      <c r="J225" s="35"/>
    </row>
    <row r="226" spans="1:12">
      <c r="A226" s="91"/>
      <c r="B226" s="29"/>
      <c r="C226" s="39"/>
      <c r="D226" s="37"/>
      <c r="E226" s="37"/>
      <c r="F226" s="37"/>
      <c r="G226" s="37"/>
      <c r="H226" s="37"/>
      <c r="I226" s="35"/>
      <c r="J226" s="35"/>
    </row>
    <row r="227" spans="1:12">
      <c r="A227" s="94" t="s">
        <v>195</v>
      </c>
      <c r="B227" s="29"/>
      <c r="C227" s="50" t="s">
        <v>196</v>
      </c>
      <c r="D227" s="67">
        <f>D94</f>
        <v>3757498.0430769231</v>
      </c>
      <c r="E227" s="67">
        <f>E94</f>
        <v>11477893.64102564</v>
      </c>
      <c r="F227" s="67">
        <f>F94</f>
        <v>40979823.472597659</v>
      </c>
      <c r="G227" s="67">
        <f>G94</f>
        <v>85459157.217473984</v>
      </c>
      <c r="H227" s="67">
        <f>H94</f>
        <v>125925422.2299704</v>
      </c>
      <c r="I227" s="40"/>
      <c r="J227" s="35"/>
    </row>
    <row r="228" spans="1:12">
      <c r="A228" s="91"/>
      <c r="B228" s="29"/>
      <c r="C228" s="39"/>
      <c r="D228" s="37"/>
      <c r="E228" s="37"/>
      <c r="F228" s="37"/>
      <c r="G228" s="37"/>
      <c r="H228" s="37"/>
      <c r="I228" s="35"/>
      <c r="J228" s="40"/>
    </row>
    <row r="229" spans="1:12">
      <c r="A229" s="95" t="s">
        <v>197</v>
      </c>
      <c r="B229" s="29"/>
      <c r="C229" s="96" t="s">
        <v>198</v>
      </c>
      <c r="D229" s="67">
        <f>D219-D223</f>
        <v>20163025.592000004</v>
      </c>
      <c r="E229" s="67">
        <f>E219-E223</f>
        <v>50278805.420333356</v>
      </c>
      <c r="F229" s="67">
        <f>F219-F223</f>
        <v>73666962.841466352</v>
      </c>
      <c r="G229" s="67">
        <f>G219-G223</f>
        <v>120061624.66703415</v>
      </c>
      <c r="H229" s="67">
        <f>H219-H223</f>
        <v>207130450.37453729</v>
      </c>
      <c r="I229" s="40"/>
      <c r="J229" s="35"/>
    </row>
    <row r="230" spans="1:12">
      <c r="B230" s="46"/>
      <c r="G230" s="29"/>
      <c r="J230" s="40"/>
    </row>
    <row r="231" spans="1:12">
      <c r="G231" s="29"/>
      <c r="J231" s="29"/>
    </row>
    <row r="232" spans="1:12">
      <c r="G232" s="29"/>
      <c r="J232" s="29"/>
    </row>
    <row r="233" spans="1:12">
      <c r="A233" s="75"/>
      <c r="C233" s="75" t="s">
        <v>199</v>
      </c>
      <c r="D233" s="88"/>
      <c r="E233" s="88"/>
      <c r="F233" s="88"/>
      <c r="G233" s="40"/>
      <c r="H233" s="88"/>
      <c r="I233" s="88"/>
      <c r="J233" s="29"/>
    </row>
    <row r="234" spans="1:12">
      <c r="B234" s="75"/>
      <c r="G234" s="29"/>
      <c r="J234" s="40"/>
      <c r="K234" s="71"/>
      <c r="L234" s="71"/>
    </row>
    <row r="235" spans="1:12">
      <c r="A235" s="46"/>
      <c r="C235" s="46"/>
      <c r="D235" s="89"/>
      <c r="E235" s="89"/>
      <c r="F235" s="89"/>
      <c r="G235" s="35"/>
      <c r="H235" s="89"/>
      <c r="I235" s="35"/>
      <c r="J235" s="29"/>
    </row>
    <row r="236" spans="1:12">
      <c r="B236" s="46"/>
      <c r="D236" s="76"/>
      <c r="E236" s="76"/>
      <c r="F236" s="97"/>
      <c r="G236" s="97"/>
      <c r="H236" s="97"/>
      <c r="I236" s="35"/>
      <c r="J236" s="35"/>
    </row>
    <row r="237" spans="1:12">
      <c r="D237" s="47"/>
      <c r="E237" s="47"/>
      <c r="F237" s="48"/>
      <c r="G237" s="48"/>
      <c r="H237" s="48"/>
      <c r="I237" s="47"/>
      <c r="J237" s="35"/>
    </row>
    <row r="238" spans="1:12">
      <c r="A238" s="26"/>
      <c r="C238" s="43"/>
      <c r="D238" s="56"/>
      <c r="E238" s="56"/>
      <c r="F238" s="44"/>
      <c r="G238" s="44"/>
      <c r="H238" s="44"/>
      <c r="I238" s="55"/>
      <c r="J238" s="47"/>
      <c r="K238" s="71"/>
      <c r="L238" s="71"/>
    </row>
    <row r="239" spans="1:12">
      <c r="A239" s="33"/>
      <c r="B239" s="27"/>
      <c r="C239" s="39"/>
      <c r="D239" s="49"/>
      <c r="E239" s="49"/>
      <c r="F239" s="49"/>
      <c r="G239" s="49"/>
      <c r="H239" s="49"/>
      <c r="I239" s="55"/>
      <c r="J239" s="55"/>
    </row>
    <row r="240" spans="1:12">
      <c r="A240" s="33"/>
      <c r="B240" s="29"/>
      <c r="C240" s="50" t="s">
        <v>59</v>
      </c>
      <c r="D240" s="44" t="s">
        <v>60</v>
      </c>
      <c r="E240" s="44" t="s">
        <v>60</v>
      </c>
      <c r="F240" s="44" t="s">
        <v>60</v>
      </c>
      <c r="G240" s="44" t="s">
        <v>61</v>
      </c>
      <c r="H240" s="44" t="s">
        <v>61</v>
      </c>
      <c r="I240" s="55"/>
      <c r="J240" s="55"/>
    </row>
    <row r="241" spans="1:17">
      <c r="A241" s="33"/>
      <c r="B241" s="29"/>
      <c r="C241" s="39"/>
      <c r="D241" s="51" t="s">
        <v>63</v>
      </c>
      <c r="E241" s="51" t="s">
        <v>64</v>
      </c>
      <c r="F241" s="51" t="s">
        <v>65</v>
      </c>
      <c r="G241" s="51" t="s">
        <v>66</v>
      </c>
      <c r="H241" s="51" t="s">
        <v>67</v>
      </c>
      <c r="I241" s="58"/>
      <c r="J241" s="55"/>
    </row>
    <row r="242" spans="1:17">
      <c r="A242" s="45"/>
      <c r="B242" s="29"/>
      <c r="C242" s="25"/>
      <c r="D242" s="54">
        <v>1</v>
      </c>
      <c r="E242" s="54">
        <v>2</v>
      </c>
      <c r="F242" s="54">
        <v>3</v>
      </c>
      <c r="G242" s="54">
        <v>4</v>
      </c>
      <c r="H242" s="54">
        <v>5</v>
      </c>
      <c r="I242" s="59"/>
      <c r="J242" s="58"/>
    </row>
    <row r="243" spans="1:17">
      <c r="A243" s="33"/>
      <c r="B243" s="52"/>
      <c r="C243" s="39"/>
      <c r="D243" s="77"/>
      <c r="E243" s="77"/>
      <c r="F243" s="77"/>
      <c r="G243" s="77"/>
      <c r="H243" s="77"/>
      <c r="I243" s="35"/>
      <c r="J243" s="59"/>
    </row>
    <row r="244" spans="1:17">
      <c r="A244" s="33"/>
      <c r="B244" s="29"/>
      <c r="C244" s="98" t="s">
        <v>200</v>
      </c>
      <c r="D244" s="37"/>
      <c r="E244" s="37"/>
      <c r="F244" s="37"/>
      <c r="G244" s="37"/>
      <c r="H244" s="37"/>
      <c r="I244" s="35"/>
      <c r="J244" s="35"/>
    </row>
    <row r="245" spans="1:17">
      <c r="A245" s="33"/>
      <c r="B245" s="29"/>
      <c r="C245" s="39"/>
      <c r="D245" s="37"/>
      <c r="E245" s="37"/>
      <c r="F245" s="37"/>
      <c r="G245" s="37"/>
      <c r="H245" s="37"/>
      <c r="I245" s="35"/>
      <c r="J245" s="35"/>
    </row>
    <row r="246" spans="1:17">
      <c r="A246" s="33">
        <v>8</v>
      </c>
      <c r="B246" s="29"/>
      <c r="C246" s="39" t="s">
        <v>201</v>
      </c>
      <c r="D246" s="37">
        <f>D219</f>
        <v>23163025.592000004</v>
      </c>
      <c r="E246" s="37">
        <f>E219</f>
        <v>60272488.676743612</v>
      </c>
      <c r="F246" s="37">
        <f>F219</f>
        <v>101707204.1418125</v>
      </c>
      <c r="G246" s="37">
        <f>G219</f>
        <v>161395282.23880339</v>
      </c>
      <c r="H246" s="37">
        <f>H219</f>
        <v>265025806.28080651</v>
      </c>
      <c r="I246" s="35"/>
      <c r="J246" s="35"/>
      <c r="K246" s="71"/>
      <c r="L246" s="71"/>
    </row>
    <row r="247" spans="1:17">
      <c r="A247" s="33"/>
      <c r="B247" s="29"/>
      <c r="C247" s="39" t="s">
        <v>202</v>
      </c>
      <c r="D247" s="37"/>
      <c r="E247" s="37"/>
      <c r="F247" s="37"/>
      <c r="G247" s="37"/>
      <c r="H247" s="37"/>
      <c r="I247" s="35"/>
      <c r="J247" s="35"/>
      <c r="K247" s="71"/>
      <c r="L247" s="71"/>
    </row>
    <row r="248" spans="1:17">
      <c r="A248" s="33"/>
      <c r="B248" s="29"/>
      <c r="C248" s="39"/>
      <c r="D248" s="37"/>
      <c r="E248" s="37"/>
      <c r="F248" s="37"/>
      <c r="G248" s="37"/>
      <c r="H248" s="37"/>
      <c r="I248" s="35"/>
      <c r="J248" s="35"/>
      <c r="K248" s="71"/>
      <c r="L248" s="71"/>
    </row>
    <row r="249" spans="1:17">
      <c r="A249" s="33">
        <v>9</v>
      </c>
      <c r="B249" s="29"/>
      <c r="C249" s="39" t="s">
        <v>203</v>
      </c>
      <c r="D249" s="37">
        <f>D146*25%</f>
        <v>5980130.9087692313</v>
      </c>
      <c r="E249" s="37">
        <f>E146*25%</f>
        <v>15439174.765339749</v>
      </c>
      <c r="F249" s="37">
        <f>F146*25%</f>
        <v>28661696.578516003</v>
      </c>
      <c r="G249" s="37">
        <f>G146*25%</f>
        <v>51380195.471127033</v>
      </c>
      <c r="H249" s="37">
        <f>H203*25%</f>
        <v>83263968.151126921</v>
      </c>
      <c r="I249" s="35"/>
      <c r="J249" s="35"/>
      <c r="K249" s="71"/>
      <c r="L249" s="71"/>
    </row>
    <row r="250" spans="1:17">
      <c r="A250" s="33"/>
      <c r="B250" s="29"/>
      <c r="C250" s="39" t="s">
        <v>204</v>
      </c>
      <c r="D250" s="37"/>
      <c r="E250" s="37"/>
      <c r="F250" s="37"/>
      <c r="G250" s="37"/>
      <c r="H250" s="37"/>
      <c r="I250" s="35"/>
      <c r="J250" s="35"/>
      <c r="K250" s="71"/>
      <c r="L250" s="71"/>
      <c r="Q250" s="71"/>
    </row>
    <row r="251" spans="1:17">
      <c r="A251" s="33"/>
      <c r="B251" s="29"/>
      <c r="C251" s="39"/>
      <c r="D251" s="37"/>
      <c r="E251" s="37"/>
      <c r="F251" s="37"/>
      <c r="G251" s="37"/>
      <c r="H251" s="37"/>
      <c r="I251" s="35"/>
      <c r="J251" s="35"/>
      <c r="K251" s="71"/>
      <c r="L251" s="71"/>
      <c r="O251" s="71"/>
      <c r="Q251" s="71"/>
    </row>
    <row r="252" spans="1:17">
      <c r="A252" s="33"/>
      <c r="B252" s="29"/>
      <c r="C252" s="39"/>
      <c r="D252" s="37"/>
      <c r="E252" s="37"/>
      <c r="F252" s="37"/>
      <c r="G252" s="37"/>
      <c r="H252" s="37"/>
      <c r="I252" s="35"/>
      <c r="J252" s="35"/>
      <c r="K252" s="71"/>
      <c r="L252" s="71"/>
      <c r="O252" s="71"/>
      <c r="Q252" s="71"/>
    </row>
    <row r="253" spans="1:17">
      <c r="A253" s="33">
        <v>10</v>
      </c>
      <c r="B253" s="29"/>
      <c r="C253" s="39" t="s">
        <v>205</v>
      </c>
      <c r="D253" s="37">
        <f>D169</f>
        <v>20163025.592</v>
      </c>
      <c r="E253" s="37">
        <f>E169</f>
        <v>50278805.420333356</v>
      </c>
      <c r="F253" s="37">
        <f>F169</f>
        <v>73666962.841466352</v>
      </c>
      <c r="G253" s="37">
        <f>G169</f>
        <v>120061624.66703415</v>
      </c>
      <c r="H253" s="37">
        <f>H229</f>
        <v>207130450.37453729</v>
      </c>
      <c r="I253" s="35"/>
      <c r="J253" s="35"/>
      <c r="K253" s="71"/>
      <c r="L253" s="71"/>
      <c r="O253" s="71"/>
      <c r="Q253" s="71"/>
    </row>
    <row r="254" spans="1:17">
      <c r="A254" s="33"/>
      <c r="B254" s="29"/>
      <c r="C254" s="39"/>
      <c r="D254" s="37"/>
      <c r="E254" s="37"/>
      <c r="F254" s="37"/>
      <c r="G254" s="37"/>
      <c r="H254" s="37"/>
      <c r="I254" s="35"/>
      <c r="J254" s="35"/>
      <c r="K254" s="71"/>
      <c r="L254" s="71"/>
      <c r="O254" s="71"/>
      <c r="Q254" s="71"/>
    </row>
    <row r="255" spans="1:17">
      <c r="A255" s="33"/>
      <c r="B255" s="29"/>
      <c r="C255" s="39"/>
      <c r="D255" s="37"/>
      <c r="E255" s="37"/>
      <c r="F255" s="37"/>
      <c r="G255" s="37"/>
      <c r="H255" s="37"/>
      <c r="I255" s="35"/>
      <c r="J255" s="35"/>
      <c r="K255" s="71"/>
      <c r="L255" s="71"/>
      <c r="O255" s="71"/>
      <c r="Q255" s="71"/>
    </row>
    <row r="256" spans="1:17">
      <c r="A256" s="33">
        <v>11</v>
      </c>
      <c r="B256" s="29"/>
      <c r="C256" s="39" t="s">
        <v>206</v>
      </c>
      <c r="D256" s="37">
        <f>D246-D249</f>
        <v>17182894.683230773</v>
      </c>
      <c r="E256" s="37">
        <f>E246-E249</f>
        <v>44833313.911403865</v>
      </c>
      <c r="F256" s="37">
        <f>F246-F249</f>
        <v>73045507.563296497</v>
      </c>
      <c r="G256" s="37">
        <f>G246-G249</f>
        <v>110015086.76767635</v>
      </c>
      <c r="H256" s="37">
        <f>H246-H249</f>
        <v>181761838.12967959</v>
      </c>
      <c r="I256" s="35"/>
      <c r="J256" s="35"/>
      <c r="K256" s="71"/>
      <c r="L256" s="71"/>
      <c r="O256" s="71"/>
      <c r="Q256" s="71"/>
    </row>
    <row r="257" spans="1:17">
      <c r="A257" s="33"/>
      <c r="B257" s="29"/>
      <c r="C257" s="39"/>
      <c r="D257" s="37"/>
      <c r="E257" s="37"/>
      <c r="F257" s="37"/>
      <c r="G257" s="37"/>
      <c r="H257" s="37"/>
      <c r="I257" s="35"/>
      <c r="J257" s="35"/>
      <c r="K257" s="71"/>
      <c r="L257" s="71"/>
      <c r="O257" s="71"/>
      <c r="Q257" s="71"/>
    </row>
    <row r="258" spans="1:17">
      <c r="A258" s="33">
        <v>12</v>
      </c>
      <c r="B258" s="29"/>
      <c r="C258" s="39" t="s">
        <v>207</v>
      </c>
      <c r="D258" s="37">
        <f>D246-D253</f>
        <v>3000000.0000000037</v>
      </c>
      <c r="E258" s="37">
        <f>E246-E253</f>
        <v>9993683.256410256</v>
      </c>
      <c r="F258" s="37">
        <f>F246-F253</f>
        <v>28040241.300346151</v>
      </c>
      <c r="G258" s="37">
        <f>G246-G253</f>
        <v>41333657.571769238</v>
      </c>
      <c r="H258" s="37">
        <f>H246-H253</f>
        <v>57895355.906269222</v>
      </c>
      <c r="I258" s="35"/>
      <c r="J258" s="35"/>
      <c r="K258" s="71"/>
      <c r="L258" s="71"/>
      <c r="O258" s="71"/>
      <c r="Q258" s="71"/>
    </row>
    <row r="259" spans="1:17">
      <c r="A259" s="33"/>
      <c r="B259" s="29"/>
      <c r="C259" s="39"/>
      <c r="D259" s="37"/>
      <c r="E259" s="37"/>
      <c r="F259" s="37"/>
      <c r="G259" s="37"/>
      <c r="H259" s="37"/>
      <c r="I259" s="35"/>
      <c r="J259" s="35"/>
      <c r="O259" s="71"/>
      <c r="Q259" s="71"/>
    </row>
    <row r="260" spans="1:17">
      <c r="A260" s="33">
        <v>13</v>
      </c>
      <c r="B260" s="29"/>
      <c r="C260" s="39" t="s">
        <v>208</v>
      </c>
      <c r="D260" s="37">
        <v>232.22</v>
      </c>
      <c r="E260" s="37">
        <f>E258</f>
        <v>9993683.256410256</v>
      </c>
      <c r="F260" s="37">
        <f>F258</f>
        <v>28040241.300346151</v>
      </c>
      <c r="G260" s="37">
        <f>G258</f>
        <v>41333657.571769238</v>
      </c>
      <c r="H260" s="37">
        <f>H258</f>
        <v>57895355.906269222</v>
      </c>
      <c r="I260" s="35"/>
      <c r="J260" s="35"/>
      <c r="O260" s="71"/>
      <c r="Q260" s="71"/>
    </row>
    <row r="261" spans="1:17">
      <c r="A261" s="33"/>
      <c r="B261" s="29"/>
      <c r="C261" s="39" t="s">
        <v>209</v>
      </c>
      <c r="D261" s="37"/>
      <c r="E261" s="37"/>
      <c r="F261" s="37"/>
      <c r="G261" s="37"/>
      <c r="H261" s="37"/>
      <c r="I261" s="35"/>
      <c r="J261" s="35"/>
      <c r="K261" s="71"/>
      <c r="L261" s="71"/>
      <c r="O261" s="71"/>
      <c r="Q261" s="71"/>
    </row>
    <row r="262" spans="1:17">
      <c r="A262" s="33"/>
      <c r="B262" s="29"/>
      <c r="C262" s="39"/>
      <c r="D262" s="37"/>
      <c r="E262" s="37"/>
      <c r="F262" s="37"/>
      <c r="G262" s="37"/>
      <c r="H262" s="37"/>
      <c r="I262" s="35"/>
      <c r="J262" s="35"/>
      <c r="O262" s="71"/>
      <c r="Q262" s="71"/>
    </row>
    <row r="263" spans="1:17">
      <c r="A263" s="33">
        <v>14</v>
      </c>
      <c r="B263" s="29"/>
      <c r="C263" s="39" t="s">
        <v>210</v>
      </c>
      <c r="D263" s="37"/>
      <c r="E263" s="37"/>
      <c r="F263" s="37"/>
      <c r="G263" s="37"/>
      <c r="H263" s="37"/>
      <c r="I263" s="35"/>
      <c r="J263" s="35"/>
      <c r="K263" s="71"/>
      <c r="L263" s="71"/>
      <c r="O263" s="71"/>
      <c r="Q263" s="71"/>
    </row>
    <row r="264" spans="1:17">
      <c r="A264" s="33"/>
      <c r="B264" s="29"/>
      <c r="C264" s="39" t="s">
        <v>211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5"/>
      <c r="J264" s="35"/>
      <c r="K264" s="71"/>
      <c r="L264" s="71"/>
      <c r="O264" s="71"/>
      <c r="Q264" s="71"/>
    </row>
    <row r="265" spans="1:17">
      <c r="A265" s="33"/>
      <c r="B265" s="29"/>
      <c r="C265" s="39" t="s">
        <v>212</v>
      </c>
      <c r="D265" s="37"/>
      <c r="E265" s="37"/>
      <c r="F265" s="37"/>
      <c r="G265" s="37"/>
      <c r="H265" s="37"/>
      <c r="I265" s="35"/>
      <c r="J265" s="35"/>
      <c r="K265" s="71"/>
      <c r="L265" s="71"/>
      <c r="O265" s="71"/>
      <c r="Q265" s="71"/>
    </row>
    <row r="266" spans="1:17">
      <c r="A266" s="45"/>
      <c r="B266" s="29"/>
      <c r="C266" s="25"/>
      <c r="D266" s="69"/>
      <c r="E266" s="69"/>
      <c r="F266" s="69"/>
      <c r="G266" s="69"/>
      <c r="H266" s="69"/>
      <c r="I266" s="35"/>
      <c r="J266" s="35"/>
      <c r="K266" s="71"/>
      <c r="L266" s="71"/>
      <c r="O266" s="71"/>
      <c r="Q266" s="71"/>
    </row>
    <row r="267" spans="1:17">
      <c r="A267" s="29"/>
      <c r="B267" s="52"/>
      <c r="J267" s="35"/>
      <c r="O267" s="71"/>
      <c r="Q267" s="71"/>
    </row>
    <row r="268" spans="1:17">
      <c r="A268" s="34"/>
      <c r="B268" s="29"/>
      <c r="C268" s="29"/>
      <c r="D268" s="35"/>
      <c r="E268" s="35"/>
      <c r="F268" s="35"/>
      <c r="G268" s="35"/>
      <c r="H268" s="35"/>
      <c r="I268" s="35"/>
      <c r="J268" s="35"/>
      <c r="K268" s="71"/>
      <c r="L268" s="71"/>
      <c r="O268" s="71"/>
      <c r="Q268" s="71"/>
    </row>
    <row r="269" spans="1:17">
      <c r="A269" s="29"/>
      <c r="B269" s="29"/>
      <c r="C269" s="29"/>
      <c r="D269" s="35"/>
      <c r="E269" s="35"/>
      <c r="F269" s="35"/>
      <c r="G269" s="35"/>
      <c r="H269" s="35"/>
      <c r="I269" s="35"/>
      <c r="J269" s="35"/>
      <c r="O269" s="71"/>
      <c r="Q269" s="71"/>
    </row>
    <row r="270" spans="1:17">
      <c r="A270" s="99"/>
      <c r="B270" s="29"/>
      <c r="C270" s="34"/>
      <c r="D270" s="35"/>
      <c r="E270" s="35"/>
      <c r="F270" s="35"/>
      <c r="G270" s="35"/>
      <c r="H270" s="35"/>
      <c r="I270" s="35"/>
      <c r="J270" s="35"/>
      <c r="O270" s="71"/>
      <c r="Q270" s="71"/>
    </row>
    <row r="271" spans="1:17">
      <c r="A271" s="30"/>
      <c r="B271" s="29"/>
      <c r="C271" s="99" t="s">
        <v>213</v>
      </c>
      <c r="D271" s="47"/>
      <c r="E271" s="47"/>
      <c r="F271" s="47"/>
      <c r="G271" s="35"/>
      <c r="H271" s="29"/>
      <c r="I271" s="29"/>
      <c r="J271" s="29"/>
      <c r="K271" s="35"/>
      <c r="L271" s="35"/>
      <c r="M271" s="35"/>
      <c r="N271" s="35"/>
      <c r="O271" s="71"/>
      <c r="Q271" s="71"/>
    </row>
    <row r="272" spans="1:17">
      <c r="A272" s="101"/>
      <c r="B272" s="29"/>
      <c r="C272" s="29"/>
      <c r="D272" s="56"/>
      <c r="E272" s="56"/>
      <c r="F272" s="44"/>
      <c r="G272" s="44"/>
      <c r="H272" s="44"/>
      <c r="I272" s="55"/>
      <c r="J272" s="55"/>
      <c r="K272" s="29"/>
      <c r="L272" s="29"/>
      <c r="M272" s="29"/>
      <c r="N272" s="100"/>
      <c r="O272" s="71"/>
      <c r="Q272" s="71"/>
    </row>
    <row r="273" spans="1:17">
      <c r="A273" s="102"/>
      <c r="B273" s="52"/>
      <c r="C273" s="52"/>
      <c r="D273" s="56"/>
      <c r="E273" s="56"/>
      <c r="F273" s="44"/>
      <c r="G273" s="44"/>
      <c r="H273" s="44"/>
      <c r="I273" s="55"/>
      <c r="J273" s="55"/>
      <c r="K273" s="35"/>
      <c r="L273" s="35"/>
      <c r="M273" s="35"/>
      <c r="N273" s="35"/>
      <c r="O273" s="71"/>
      <c r="Q273" s="71"/>
    </row>
    <row r="274" spans="1:17">
      <c r="A274" s="102"/>
      <c r="B274" s="23"/>
      <c r="C274" s="23"/>
      <c r="D274" s="49"/>
      <c r="E274" s="49"/>
      <c r="F274" s="49"/>
      <c r="G274" s="49"/>
      <c r="H274" s="49"/>
      <c r="I274" s="55"/>
      <c r="J274" s="55"/>
      <c r="K274" s="55"/>
      <c r="L274" s="55"/>
      <c r="M274" s="55"/>
      <c r="N274" s="55"/>
      <c r="O274" s="71"/>
      <c r="Q274" s="71"/>
    </row>
    <row r="275" spans="1:17">
      <c r="A275" s="102"/>
      <c r="B275" s="102" t="s">
        <v>214</v>
      </c>
      <c r="C275" s="24" t="s">
        <v>215</v>
      </c>
      <c r="D275" s="44" t="s">
        <v>60</v>
      </c>
      <c r="E275" s="44" t="s">
        <v>60</v>
      </c>
      <c r="F275" s="44" t="s">
        <v>60</v>
      </c>
      <c r="G275" s="44" t="s">
        <v>61</v>
      </c>
      <c r="H275" s="44" t="s">
        <v>61</v>
      </c>
      <c r="I275" s="55"/>
      <c r="J275" s="55"/>
      <c r="K275" s="55"/>
      <c r="L275" s="55"/>
      <c r="M275" s="55"/>
      <c r="N275" s="55"/>
      <c r="O275" s="71"/>
      <c r="Q275" s="71"/>
    </row>
    <row r="276" spans="1:17">
      <c r="A276" s="104"/>
      <c r="B276" s="102" t="s">
        <v>216</v>
      </c>
      <c r="C276" s="23"/>
      <c r="D276" s="51" t="s">
        <v>63</v>
      </c>
      <c r="E276" s="51" t="s">
        <v>64</v>
      </c>
      <c r="F276" s="51" t="s">
        <v>65</v>
      </c>
      <c r="G276" s="51" t="s">
        <v>66</v>
      </c>
      <c r="H276" s="51" t="s">
        <v>67</v>
      </c>
      <c r="I276" s="58"/>
      <c r="J276" s="58"/>
      <c r="K276" s="103"/>
      <c r="L276" s="103"/>
      <c r="M276" s="103"/>
      <c r="N276" s="103"/>
      <c r="O276" s="71"/>
      <c r="Q276" s="71"/>
    </row>
    <row r="277" spans="1:17">
      <c r="A277" s="105"/>
      <c r="B277" s="23"/>
      <c r="C277" s="23"/>
      <c r="D277" s="54">
        <v>1</v>
      </c>
      <c r="E277" s="54">
        <v>2</v>
      </c>
      <c r="F277" s="54">
        <v>3</v>
      </c>
      <c r="G277" s="54">
        <v>4</v>
      </c>
      <c r="H277" s="54">
        <v>5</v>
      </c>
      <c r="I277" s="59"/>
      <c r="J277" s="59"/>
      <c r="K277" s="29"/>
      <c r="L277" s="29"/>
      <c r="M277" s="29"/>
      <c r="N277" s="29"/>
      <c r="O277" s="71"/>
      <c r="Q277" s="71"/>
    </row>
    <row r="278" spans="1:17">
      <c r="A278" s="105"/>
      <c r="B278" s="105" t="s">
        <v>217</v>
      </c>
      <c r="C278" s="106" t="s">
        <v>218</v>
      </c>
      <c r="D278" s="24"/>
      <c r="E278" s="24"/>
      <c r="F278" s="24"/>
      <c r="G278" s="24"/>
      <c r="H278" s="24"/>
      <c r="I278" s="34"/>
      <c r="J278" s="34"/>
      <c r="K278" s="29"/>
      <c r="L278" s="29"/>
      <c r="M278" s="29"/>
      <c r="N278" s="29"/>
      <c r="O278" s="71"/>
      <c r="Q278" s="71"/>
    </row>
    <row r="279" spans="1:17">
      <c r="A279" s="104"/>
      <c r="B279" s="107"/>
      <c r="C279" s="23"/>
      <c r="D279" s="23"/>
      <c r="E279" s="23"/>
      <c r="F279" s="23"/>
      <c r="G279" s="23"/>
      <c r="H279" s="23"/>
      <c r="I279" s="29"/>
      <c r="J279" s="29"/>
      <c r="K279" s="29"/>
      <c r="L279" s="29"/>
      <c r="M279" s="29"/>
      <c r="N279" s="29"/>
      <c r="O279" s="71"/>
      <c r="Q279" s="71"/>
    </row>
    <row r="280" spans="1:17">
      <c r="A280" s="104"/>
      <c r="B280" s="108" t="s">
        <v>219</v>
      </c>
      <c r="C280" s="23" t="s">
        <v>220</v>
      </c>
      <c r="D280" s="62">
        <f>D44</f>
        <v>-12711974.408</v>
      </c>
      <c r="E280" s="62">
        <f>E44</f>
        <v>-973220.17166664731</v>
      </c>
      <c r="F280" s="62">
        <f>F44</f>
        <v>16226042.421132997</v>
      </c>
      <c r="G280" s="62">
        <f>G44</f>
        <v>59351811.075567812</v>
      </c>
      <c r="H280" s="62">
        <f>H44</f>
        <v>103563685.62000313</v>
      </c>
      <c r="I280" s="35"/>
      <c r="J280" s="35"/>
      <c r="K280" s="35"/>
      <c r="L280" s="35"/>
      <c r="M280" s="35"/>
      <c r="N280" s="35"/>
      <c r="O280" s="71"/>
      <c r="Q280" s="71"/>
    </row>
    <row r="281" spans="1:17">
      <c r="A281" s="104"/>
      <c r="B281" s="108" t="s">
        <v>221</v>
      </c>
      <c r="C281" s="23" t="s">
        <v>87</v>
      </c>
      <c r="D281" s="62">
        <f>D34</f>
        <v>2225000</v>
      </c>
      <c r="E281" s="62">
        <f>E34</f>
        <v>1089000</v>
      </c>
      <c r="F281" s="62">
        <f>F34</f>
        <v>3033625</v>
      </c>
      <c r="G281" s="62">
        <f>G34</f>
        <v>1552758.75</v>
      </c>
      <c r="H281" s="62">
        <f>H34</f>
        <v>917029.6875</v>
      </c>
      <c r="I281" s="35"/>
      <c r="J281" s="35"/>
      <c r="K281" s="35"/>
      <c r="L281" s="35"/>
      <c r="M281" s="35"/>
      <c r="N281" s="35"/>
      <c r="O281" s="71"/>
      <c r="Q281" s="71"/>
    </row>
    <row r="282" spans="1:17">
      <c r="A282" s="104"/>
      <c r="B282" s="108"/>
      <c r="C282" s="23" t="s">
        <v>222</v>
      </c>
      <c r="D282" s="62">
        <f t="shared" ref="D282:H283" si="1">D46</f>
        <v>0</v>
      </c>
      <c r="E282" s="62">
        <f t="shared" si="1"/>
        <v>0</v>
      </c>
      <c r="F282" s="62">
        <f t="shared" si="1"/>
        <v>0</v>
      </c>
      <c r="G282" s="62">
        <f t="shared" si="1"/>
        <v>0</v>
      </c>
      <c r="H282" s="62">
        <f t="shared" si="1"/>
        <v>0</v>
      </c>
      <c r="I282" s="35"/>
      <c r="J282" s="35"/>
      <c r="K282" s="35"/>
      <c r="L282" s="35"/>
      <c r="M282" s="35"/>
      <c r="N282" s="35"/>
      <c r="O282" s="71"/>
      <c r="Q282" s="71"/>
    </row>
    <row r="283" spans="1:17">
      <c r="A283" s="104"/>
      <c r="B283" s="108" t="s">
        <v>223</v>
      </c>
      <c r="C283" s="23" t="s">
        <v>224</v>
      </c>
      <c r="D283" s="62">
        <f t="shared" si="1"/>
        <v>0</v>
      </c>
      <c r="E283" s="62">
        <f t="shared" si="1"/>
        <v>0</v>
      </c>
      <c r="F283" s="62">
        <f t="shared" si="1"/>
        <v>7800000</v>
      </c>
      <c r="G283" s="62">
        <f t="shared" si="1"/>
        <v>12240000</v>
      </c>
      <c r="H283" s="62">
        <f t="shared" si="1"/>
        <v>14687999.999999998</v>
      </c>
      <c r="I283" s="35"/>
      <c r="J283" s="35"/>
      <c r="K283" s="35"/>
      <c r="L283" s="35"/>
      <c r="M283" s="35"/>
      <c r="N283" s="35"/>
      <c r="O283" s="71"/>
      <c r="Q283" s="71"/>
    </row>
    <row r="284" spans="1:17">
      <c r="A284" s="104"/>
      <c r="B284" s="108" t="s">
        <v>225</v>
      </c>
      <c r="C284" s="23" t="s">
        <v>226</v>
      </c>
      <c r="D284" s="62">
        <f>D49</f>
        <v>0</v>
      </c>
      <c r="E284" s="62">
        <f>E49</f>
        <v>0</v>
      </c>
      <c r="F284" s="62">
        <f>F49</f>
        <v>0</v>
      </c>
      <c r="G284" s="62">
        <f>G49</f>
        <v>0</v>
      </c>
      <c r="H284" s="62">
        <f>H49</f>
        <v>0</v>
      </c>
      <c r="I284" s="35"/>
      <c r="J284" s="35"/>
      <c r="K284" s="35"/>
      <c r="L284" s="35"/>
      <c r="M284" s="35"/>
      <c r="N284" s="35"/>
      <c r="O284" s="71"/>
      <c r="Q284" s="71"/>
    </row>
    <row r="285" spans="1:17">
      <c r="A285" s="104"/>
      <c r="B285" s="108" t="s">
        <v>227</v>
      </c>
      <c r="C285" s="23" t="s">
        <v>228</v>
      </c>
      <c r="D285" s="62"/>
      <c r="E285" s="62"/>
      <c r="F285" s="62"/>
      <c r="G285" s="62"/>
      <c r="H285" s="62"/>
      <c r="I285" s="35"/>
      <c r="J285" s="35"/>
      <c r="K285" s="35"/>
      <c r="L285" s="35"/>
      <c r="M285" s="35"/>
      <c r="N285" s="35"/>
      <c r="O285" s="35"/>
    </row>
    <row r="286" spans="1:17">
      <c r="A286" s="104"/>
      <c r="B286" s="108"/>
      <c r="C286" s="23"/>
      <c r="D286" s="62"/>
      <c r="E286" s="62"/>
      <c r="F286" s="62"/>
      <c r="G286" s="62"/>
      <c r="H286" s="62"/>
      <c r="I286" s="35"/>
      <c r="J286" s="35"/>
      <c r="K286" s="35"/>
      <c r="L286" s="35"/>
      <c r="M286" s="35"/>
      <c r="N286" s="35"/>
      <c r="O286" s="35"/>
    </row>
    <row r="287" spans="1:17">
      <c r="A287" s="104"/>
      <c r="B287" s="108" t="s">
        <v>229</v>
      </c>
      <c r="C287" s="23"/>
      <c r="D287" s="62"/>
      <c r="E287" s="62"/>
      <c r="F287" s="62"/>
      <c r="G287" s="62"/>
      <c r="H287" s="62"/>
      <c r="I287" s="35"/>
      <c r="J287" s="35"/>
      <c r="K287" s="35"/>
      <c r="L287" s="35"/>
      <c r="M287" s="35"/>
      <c r="N287" s="35"/>
      <c r="O287" s="35"/>
    </row>
    <row r="288" spans="1:17">
      <c r="A288" s="104"/>
      <c r="B288" s="108" t="s">
        <v>230</v>
      </c>
      <c r="C288" s="23" t="s">
        <v>231</v>
      </c>
      <c r="D288" s="62"/>
      <c r="E288" s="62"/>
      <c r="F288" s="62"/>
      <c r="G288" s="62"/>
      <c r="H288" s="62"/>
      <c r="I288" s="35"/>
      <c r="J288" s="35"/>
      <c r="K288" s="35"/>
      <c r="L288" s="35"/>
      <c r="M288" s="35"/>
      <c r="N288" s="35"/>
      <c r="O288" s="35"/>
    </row>
    <row r="289" spans="1:15">
      <c r="A289" s="104"/>
      <c r="B289" s="108" t="s">
        <v>32</v>
      </c>
      <c r="C289" s="23" t="s">
        <v>232</v>
      </c>
      <c r="D289" s="62">
        <f t="shared" ref="D289:H290" si="2">D54</f>
        <v>0</v>
      </c>
      <c r="E289" s="62">
        <f t="shared" si="2"/>
        <v>0</v>
      </c>
      <c r="F289" s="62">
        <f t="shared" si="2"/>
        <v>0.12</v>
      </c>
      <c r="G289" s="62">
        <f t="shared" si="2"/>
        <v>0.14399999999999999</v>
      </c>
      <c r="H289" s="62">
        <f t="shared" si="2"/>
        <v>0.17279999999999998</v>
      </c>
      <c r="I289" s="35"/>
      <c r="J289" s="35"/>
      <c r="K289" s="35"/>
      <c r="L289" s="35"/>
      <c r="M289" s="35"/>
      <c r="N289" s="35"/>
      <c r="O289" s="35"/>
    </row>
    <row r="290" spans="1:15">
      <c r="A290" s="104"/>
      <c r="B290" s="108" t="s">
        <v>229</v>
      </c>
      <c r="C290" s="23" t="s">
        <v>233</v>
      </c>
      <c r="D290" s="62">
        <f t="shared" si="2"/>
        <v>0</v>
      </c>
      <c r="E290" s="62">
        <f t="shared" si="2"/>
        <v>0</v>
      </c>
      <c r="F290" s="62">
        <f t="shared" si="2"/>
        <v>0</v>
      </c>
      <c r="G290" s="62">
        <f t="shared" si="2"/>
        <v>0</v>
      </c>
      <c r="H290" s="62">
        <f t="shared" si="2"/>
        <v>0</v>
      </c>
      <c r="I290" s="35"/>
      <c r="J290" s="35"/>
      <c r="K290" s="35"/>
      <c r="L290" s="35"/>
      <c r="M290" s="35"/>
      <c r="N290" s="35"/>
      <c r="O290" s="35"/>
    </row>
    <row r="291" spans="1:15">
      <c r="A291" s="104"/>
      <c r="B291" s="108" t="s">
        <v>234</v>
      </c>
      <c r="C291" s="23" t="s">
        <v>235</v>
      </c>
      <c r="D291" s="62">
        <v>0</v>
      </c>
      <c r="E291" s="62">
        <v>0</v>
      </c>
      <c r="F291" s="62">
        <v>0</v>
      </c>
      <c r="G291" s="62">
        <v>0</v>
      </c>
      <c r="H291" s="62">
        <v>0</v>
      </c>
      <c r="I291" s="35"/>
      <c r="J291" s="35"/>
      <c r="K291" s="35"/>
      <c r="L291" s="35"/>
      <c r="M291" s="35"/>
      <c r="N291" s="35"/>
      <c r="O291" s="35"/>
    </row>
    <row r="292" spans="1:15">
      <c r="A292" s="104"/>
      <c r="B292" s="109" t="s">
        <v>236</v>
      </c>
      <c r="C292" s="24" t="s">
        <v>237</v>
      </c>
      <c r="D292" s="67">
        <f>SUM(D280:D291)</f>
        <v>-10486974.408</v>
      </c>
      <c r="E292" s="67">
        <f>SUM(E280:E291)</f>
        <v>115779.82833335269</v>
      </c>
      <c r="F292" s="67">
        <f>SUM(F280:F291)</f>
        <v>27059667.541132998</v>
      </c>
      <c r="G292" s="67">
        <f>SUM(G280:G291)</f>
        <v>73144569.969567806</v>
      </c>
      <c r="H292" s="67">
        <f>SUM(H280:H291)</f>
        <v>119168715.48030314</v>
      </c>
      <c r="I292" s="40"/>
      <c r="J292" s="40"/>
      <c r="K292" s="40"/>
      <c r="L292" s="40"/>
      <c r="M292" s="40"/>
      <c r="N292" s="40"/>
      <c r="O292" s="40"/>
    </row>
    <row r="293" spans="1:15">
      <c r="A293" s="105"/>
      <c r="B293" s="109"/>
      <c r="C293" s="24"/>
      <c r="D293" s="62">
        <v>0</v>
      </c>
      <c r="E293" s="62">
        <v>0</v>
      </c>
      <c r="F293" s="62">
        <v>0</v>
      </c>
      <c r="G293" s="62">
        <v>0</v>
      </c>
      <c r="H293" s="62">
        <v>0</v>
      </c>
      <c r="I293" s="35"/>
      <c r="J293" s="35"/>
      <c r="K293" s="35"/>
      <c r="L293" s="35"/>
      <c r="M293" s="35"/>
      <c r="N293" s="35"/>
      <c r="O293" s="35"/>
    </row>
    <row r="294" spans="1:15">
      <c r="A294" s="105"/>
      <c r="B294" s="105" t="s">
        <v>238</v>
      </c>
      <c r="C294" s="24" t="s">
        <v>239</v>
      </c>
      <c r="D294" s="62">
        <v>0</v>
      </c>
      <c r="E294" s="62">
        <v>0</v>
      </c>
      <c r="F294" s="62">
        <v>0</v>
      </c>
      <c r="G294" s="62">
        <v>0</v>
      </c>
      <c r="H294" s="62">
        <v>0</v>
      </c>
      <c r="I294" s="35"/>
      <c r="J294" s="35"/>
      <c r="K294" s="35"/>
      <c r="L294" s="35"/>
      <c r="M294" s="35"/>
      <c r="N294" s="35"/>
      <c r="O294" s="35"/>
    </row>
    <row r="295" spans="1:15">
      <c r="A295" s="104"/>
      <c r="B295" s="24"/>
      <c r="C295" s="23"/>
      <c r="D295" s="62">
        <f t="shared" ref="D295:H297" si="3">D56</f>
        <v>0</v>
      </c>
      <c r="E295" s="62">
        <f t="shared" si="3"/>
        <v>0</v>
      </c>
      <c r="F295" s="62">
        <f t="shared" si="3"/>
        <v>0</v>
      </c>
      <c r="G295" s="62">
        <f t="shared" si="3"/>
        <v>0</v>
      </c>
      <c r="H295" s="62">
        <f t="shared" si="3"/>
        <v>0</v>
      </c>
      <c r="I295" s="35"/>
      <c r="J295" s="35"/>
      <c r="K295" s="35"/>
      <c r="L295" s="35"/>
      <c r="M295" s="35"/>
      <c r="N295" s="35"/>
      <c r="O295" s="35"/>
    </row>
    <row r="296" spans="1:15">
      <c r="A296" s="104"/>
      <c r="B296" s="104" t="s">
        <v>219</v>
      </c>
      <c r="C296" s="23" t="s">
        <v>240</v>
      </c>
      <c r="D296" s="62">
        <f t="shared" si="3"/>
        <v>0</v>
      </c>
      <c r="E296" s="62">
        <f t="shared" si="3"/>
        <v>0</v>
      </c>
      <c r="F296" s="62">
        <f t="shared" si="3"/>
        <v>0</v>
      </c>
      <c r="G296" s="62">
        <f t="shared" si="3"/>
        <v>0</v>
      </c>
      <c r="H296" s="62">
        <f t="shared" si="3"/>
        <v>0</v>
      </c>
      <c r="I296" s="35"/>
      <c r="J296" s="35"/>
      <c r="K296" s="35"/>
      <c r="L296" s="35"/>
      <c r="M296" s="35"/>
      <c r="N296" s="35"/>
      <c r="O296" s="35"/>
    </row>
    <row r="297" spans="1:15">
      <c r="A297" s="104"/>
      <c r="B297" s="104" t="s">
        <v>221</v>
      </c>
      <c r="C297" s="107" t="s">
        <v>241</v>
      </c>
      <c r="D297" s="62">
        <f t="shared" si="3"/>
        <v>0</v>
      </c>
      <c r="E297" s="62">
        <f t="shared" si="3"/>
        <v>0</v>
      </c>
      <c r="F297" s="62">
        <f t="shared" si="3"/>
        <v>0</v>
      </c>
      <c r="G297" s="62">
        <f t="shared" si="3"/>
        <v>0</v>
      </c>
      <c r="H297" s="62">
        <f t="shared" si="3"/>
        <v>0</v>
      </c>
      <c r="I297" s="35"/>
      <c r="J297" s="35"/>
      <c r="K297" s="35"/>
      <c r="L297" s="35"/>
      <c r="M297" s="35"/>
      <c r="N297" s="35"/>
      <c r="O297" s="35"/>
    </row>
    <row r="298" spans="1:15">
      <c r="A298" s="104"/>
      <c r="B298" s="104"/>
      <c r="C298" s="23" t="s">
        <v>242</v>
      </c>
      <c r="D298" s="62"/>
      <c r="E298" s="62"/>
      <c r="F298" s="62"/>
      <c r="G298" s="62"/>
      <c r="H298" s="62"/>
      <c r="I298" s="35"/>
      <c r="J298" s="35"/>
      <c r="K298" s="35"/>
      <c r="L298" s="35"/>
      <c r="M298" s="35"/>
      <c r="N298" s="35"/>
      <c r="O298" s="35"/>
    </row>
    <row r="299" spans="1:15">
      <c r="A299" s="104"/>
      <c r="B299" s="104" t="s">
        <v>223</v>
      </c>
      <c r="C299" s="107" t="s">
        <v>243</v>
      </c>
      <c r="D299" s="62"/>
      <c r="E299" s="62"/>
      <c r="F299" s="62"/>
      <c r="G299" s="62"/>
      <c r="H299" s="62"/>
      <c r="I299" s="35"/>
      <c r="J299" s="35"/>
      <c r="K299" s="35"/>
      <c r="L299" s="35"/>
      <c r="M299" s="35"/>
      <c r="N299" s="35"/>
      <c r="O299" s="35"/>
    </row>
    <row r="300" spans="1:15">
      <c r="A300" s="104"/>
      <c r="B300" s="23"/>
      <c r="C300" s="23" t="s">
        <v>232</v>
      </c>
      <c r="D300" s="62"/>
      <c r="E300" s="62"/>
      <c r="F300" s="62"/>
      <c r="G300" s="62"/>
      <c r="H300" s="62"/>
      <c r="I300" s="35"/>
      <c r="J300" s="35"/>
      <c r="K300" s="35"/>
      <c r="L300" s="35"/>
      <c r="M300" s="35"/>
      <c r="N300" s="35"/>
      <c r="O300" s="35"/>
    </row>
    <row r="301" spans="1:15">
      <c r="A301" s="104"/>
      <c r="B301" s="23"/>
      <c r="C301" s="23" t="s">
        <v>233</v>
      </c>
      <c r="D301" s="62"/>
      <c r="E301" s="62"/>
      <c r="F301" s="62"/>
      <c r="G301" s="62"/>
      <c r="H301" s="62"/>
      <c r="I301" s="35"/>
      <c r="J301" s="35"/>
      <c r="K301" s="35"/>
      <c r="L301" s="35"/>
      <c r="M301" s="35"/>
      <c r="N301" s="35"/>
      <c r="O301" s="35"/>
    </row>
    <row r="302" spans="1:15">
      <c r="A302" s="104"/>
      <c r="B302" s="104" t="s">
        <v>244</v>
      </c>
      <c r="C302" s="107" t="s">
        <v>245</v>
      </c>
      <c r="D302" s="62"/>
      <c r="E302" s="62"/>
      <c r="F302" s="62"/>
      <c r="G302" s="62"/>
      <c r="H302" s="62"/>
      <c r="I302" s="35"/>
      <c r="J302" s="35"/>
      <c r="K302" s="35"/>
      <c r="L302" s="35"/>
      <c r="M302" s="35"/>
      <c r="N302" s="35"/>
      <c r="O302" s="35"/>
    </row>
    <row r="303" spans="1:15">
      <c r="A303" s="104"/>
      <c r="B303" s="104" t="s">
        <v>227</v>
      </c>
      <c r="C303" s="107" t="s">
        <v>185</v>
      </c>
      <c r="D303" s="62">
        <f t="shared" ref="D303:H305" si="4">D63</f>
        <v>0</v>
      </c>
      <c r="E303" s="62">
        <f t="shared" si="4"/>
        <v>0</v>
      </c>
      <c r="F303" s="62">
        <f t="shared" si="4"/>
        <v>0</v>
      </c>
      <c r="G303" s="62">
        <f t="shared" si="4"/>
        <v>0</v>
      </c>
      <c r="H303" s="62">
        <f t="shared" si="4"/>
        <v>0</v>
      </c>
      <c r="I303" s="35"/>
      <c r="J303" s="35"/>
      <c r="K303" s="35"/>
      <c r="L303" s="35"/>
      <c r="M303" s="35"/>
      <c r="N303" s="35"/>
      <c r="O303" s="35"/>
    </row>
    <row r="304" spans="1:15">
      <c r="A304" s="104"/>
      <c r="B304" s="102" t="s">
        <v>230</v>
      </c>
      <c r="C304" s="24" t="s">
        <v>237</v>
      </c>
      <c r="D304" s="62">
        <f t="shared" si="4"/>
        <v>0</v>
      </c>
      <c r="E304" s="62">
        <f t="shared" si="4"/>
        <v>0</v>
      </c>
      <c r="F304" s="62">
        <f t="shared" si="4"/>
        <v>0</v>
      </c>
      <c r="G304" s="62">
        <f t="shared" si="4"/>
        <v>0</v>
      </c>
      <c r="H304" s="62">
        <f t="shared" si="4"/>
        <v>0</v>
      </c>
      <c r="I304" s="35"/>
      <c r="J304" s="35"/>
      <c r="K304" s="40"/>
      <c r="L304" s="40"/>
      <c r="M304" s="40"/>
      <c r="N304" s="40"/>
      <c r="O304" s="40"/>
    </row>
    <row r="305" spans="1:15">
      <c r="A305" s="110"/>
      <c r="B305" s="104"/>
      <c r="C305" s="23"/>
      <c r="D305" s="62">
        <f t="shared" si="4"/>
        <v>0</v>
      </c>
      <c r="E305" s="62">
        <f t="shared" si="4"/>
        <v>0</v>
      </c>
      <c r="F305" s="62">
        <f t="shared" si="4"/>
        <v>0</v>
      </c>
      <c r="G305" s="62">
        <f t="shared" si="4"/>
        <v>0</v>
      </c>
      <c r="H305" s="62">
        <f t="shared" si="4"/>
        <v>0</v>
      </c>
      <c r="I305" s="35"/>
      <c r="J305" s="35"/>
      <c r="K305" s="35"/>
      <c r="L305" s="35"/>
      <c r="M305" s="35"/>
      <c r="N305" s="35"/>
      <c r="O305" s="35"/>
    </row>
    <row r="306" spans="1:15">
      <c r="A306" s="105"/>
      <c r="B306" s="110" t="s">
        <v>246</v>
      </c>
      <c r="C306" s="24" t="s">
        <v>247</v>
      </c>
      <c r="D306" s="67">
        <f>D292-D304</f>
        <v>-10486974.408</v>
      </c>
      <c r="E306" s="67">
        <f>E292-E304</f>
        <v>115779.82833335269</v>
      </c>
      <c r="F306" s="67">
        <f>F292-F304</f>
        <v>27059667.541132998</v>
      </c>
      <c r="G306" s="67">
        <f>G292-G304</f>
        <v>73144569.969567806</v>
      </c>
      <c r="H306" s="67">
        <f>H292-H304</f>
        <v>119168715.48030314</v>
      </c>
      <c r="I306" s="40"/>
      <c r="J306" s="40"/>
      <c r="K306" s="40"/>
      <c r="L306" s="40"/>
      <c r="M306" s="40"/>
      <c r="N306" s="40"/>
      <c r="O306" s="40"/>
    </row>
    <row r="307" spans="1:15">
      <c r="A307" s="105"/>
      <c r="B307" s="23"/>
      <c r="C307" s="23"/>
      <c r="D307" s="62">
        <f t="shared" ref="D307:H311" si="5">D67</f>
        <v>0</v>
      </c>
      <c r="E307" s="62">
        <f t="shared" si="5"/>
        <v>0</v>
      </c>
      <c r="F307" s="62">
        <f t="shared" si="5"/>
        <v>0</v>
      </c>
      <c r="G307" s="62">
        <f t="shared" si="5"/>
        <v>0</v>
      </c>
      <c r="H307" s="62">
        <f t="shared" si="5"/>
        <v>0</v>
      </c>
      <c r="I307" s="35"/>
      <c r="J307" s="35"/>
      <c r="K307" s="35"/>
      <c r="L307" s="35"/>
      <c r="M307" s="35"/>
      <c r="N307" s="35"/>
      <c r="O307" s="35"/>
    </row>
    <row r="308" spans="1:15">
      <c r="A308" s="105"/>
      <c r="B308" s="105" t="s">
        <v>248</v>
      </c>
      <c r="C308" s="23" t="s">
        <v>249</v>
      </c>
      <c r="D308" s="62">
        <f t="shared" si="5"/>
        <v>0</v>
      </c>
      <c r="E308" s="62">
        <f t="shared" si="5"/>
        <v>0</v>
      </c>
      <c r="F308" s="62">
        <f t="shared" si="5"/>
        <v>0</v>
      </c>
      <c r="G308" s="62">
        <f t="shared" si="5"/>
        <v>0</v>
      </c>
      <c r="H308" s="62">
        <f t="shared" si="5"/>
        <v>0</v>
      </c>
      <c r="I308" s="35"/>
      <c r="J308" s="35"/>
      <c r="K308" s="35"/>
      <c r="L308" s="35"/>
      <c r="M308" s="35"/>
      <c r="N308" s="35"/>
      <c r="O308" s="35"/>
    </row>
    <row r="309" spans="1:15">
      <c r="A309" s="105"/>
      <c r="B309" s="23"/>
      <c r="C309" s="23"/>
      <c r="D309" s="62">
        <f t="shared" si="5"/>
        <v>0</v>
      </c>
      <c r="E309" s="62">
        <f t="shared" si="5"/>
        <v>0</v>
      </c>
      <c r="F309" s="62">
        <f t="shared" si="5"/>
        <v>0</v>
      </c>
      <c r="G309" s="62">
        <f t="shared" si="5"/>
        <v>0</v>
      </c>
      <c r="H309" s="62">
        <f t="shared" si="5"/>
        <v>0</v>
      </c>
      <c r="I309" s="35"/>
      <c r="J309" s="35"/>
      <c r="K309" s="35"/>
      <c r="L309" s="35"/>
      <c r="M309" s="35"/>
      <c r="N309" s="35"/>
      <c r="O309" s="35"/>
    </row>
    <row r="310" spans="1:15">
      <c r="A310" s="105"/>
      <c r="B310" s="108" t="s">
        <v>250</v>
      </c>
      <c r="C310" s="23" t="s">
        <v>251</v>
      </c>
      <c r="D310" s="62">
        <f t="shared" si="5"/>
        <v>0</v>
      </c>
      <c r="E310" s="62">
        <f t="shared" si="5"/>
        <v>0</v>
      </c>
      <c r="F310" s="62">
        <f t="shared" si="5"/>
        <v>0</v>
      </c>
      <c r="G310" s="62">
        <f t="shared" si="5"/>
        <v>0</v>
      </c>
      <c r="H310" s="62">
        <f t="shared" si="5"/>
        <v>0</v>
      </c>
      <c r="I310" s="35"/>
      <c r="J310" s="35"/>
      <c r="K310" s="35"/>
      <c r="L310" s="35"/>
      <c r="M310" s="35"/>
      <c r="N310" s="35"/>
      <c r="O310" s="35"/>
    </row>
    <row r="311" spans="1:15">
      <c r="A311" s="104"/>
      <c r="B311" s="108" t="s">
        <v>252</v>
      </c>
      <c r="C311" s="23" t="s">
        <v>253</v>
      </c>
      <c r="D311" s="62">
        <f t="shared" si="5"/>
        <v>0</v>
      </c>
      <c r="E311" s="62">
        <f t="shared" si="5"/>
        <v>0</v>
      </c>
      <c r="F311" s="62">
        <f t="shared" si="5"/>
        <v>0</v>
      </c>
      <c r="G311" s="62">
        <f t="shared" si="5"/>
        <v>0</v>
      </c>
      <c r="H311" s="62">
        <f t="shared" si="5"/>
        <v>0</v>
      </c>
      <c r="I311" s="35"/>
      <c r="J311" s="35"/>
      <c r="K311" s="35"/>
      <c r="L311" s="35"/>
      <c r="M311" s="35"/>
      <c r="N311" s="35"/>
      <c r="O311" s="35"/>
    </row>
    <row r="312" spans="1:15">
      <c r="A312" s="104"/>
      <c r="B312" s="108" t="s">
        <v>254</v>
      </c>
      <c r="C312" s="23" t="s">
        <v>255</v>
      </c>
      <c r="D312" s="62">
        <f>D192</f>
        <v>6564983.0399999991</v>
      </c>
      <c r="E312" s="62">
        <f>E192-D192</f>
        <v>6298173.6266666669</v>
      </c>
      <c r="F312" s="62">
        <f>F192-E192</f>
        <v>9296304.5433333348</v>
      </c>
      <c r="G312" s="62">
        <f>G192-F192</f>
        <v>4488522.0633333288</v>
      </c>
      <c r="H312" s="62">
        <f>H192-G192</f>
        <v>10677396.730000008</v>
      </c>
      <c r="I312" s="35"/>
      <c r="J312" s="35"/>
      <c r="K312" s="35"/>
      <c r="L312" s="35"/>
      <c r="M312" s="35"/>
      <c r="N312" s="35"/>
      <c r="O312" s="35"/>
    </row>
    <row r="313" spans="1:15">
      <c r="A313" s="104"/>
      <c r="B313" s="108" t="s">
        <v>256</v>
      </c>
      <c r="C313" s="23" t="s">
        <v>257</v>
      </c>
      <c r="D313" s="62">
        <f t="shared" ref="D313:H317" si="6">D73</f>
        <v>0</v>
      </c>
      <c r="E313" s="62">
        <f t="shared" si="6"/>
        <v>0</v>
      </c>
      <c r="F313" s="62">
        <f t="shared" si="6"/>
        <v>0</v>
      </c>
      <c r="G313" s="62">
        <f t="shared" si="6"/>
        <v>0</v>
      </c>
      <c r="H313" s="62">
        <f t="shared" si="6"/>
        <v>0</v>
      </c>
      <c r="I313" s="35"/>
      <c r="J313" s="35"/>
      <c r="K313" s="35"/>
      <c r="L313" s="35"/>
      <c r="M313" s="35"/>
      <c r="N313" s="35"/>
      <c r="O313" s="35"/>
    </row>
    <row r="314" spans="1:15">
      <c r="A314" s="104"/>
      <c r="B314" s="108"/>
      <c r="C314" s="107" t="s">
        <v>68</v>
      </c>
      <c r="D314" s="62">
        <f t="shared" si="6"/>
        <v>3000000</v>
      </c>
      <c r="E314" s="62">
        <f t="shared" si="6"/>
        <v>9993683.256410256</v>
      </c>
      <c r="F314" s="62">
        <f t="shared" si="6"/>
        <v>28040241.300346151</v>
      </c>
      <c r="G314" s="62">
        <f t="shared" si="6"/>
        <v>41333657.57176923</v>
      </c>
      <c r="H314" s="62">
        <f t="shared" si="6"/>
        <v>57895355.90626923</v>
      </c>
      <c r="I314" s="35"/>
      <c r="J314" s="35"/>
      <c r="K314" s="35"/>
      <c r="L314" s="35"/>
      <c r="M314" s="35"/>
      <c r="N314" s="35"/>
      <c r="O314" s="35"/>
    </row>
    <row r="315" spans="1:15">
      <c r="A315" s="104"/>
      <c r="B315" s="108"/>
      <c r="C315" s="23" t="s">
        <v>258</v>
      </c>
      <c r="D315" s="62">
        <f t="shared" si="6"/>
        <v>0</v>
      </c>
      <c r="E315" s="62">
        <f t="shared" si="6"/>
        <v>0</v>
      </c>
      <c r="F315" s="62">
        <f t="shared" si="6"/>
        <v>0</v>
      </c>
      <c r="G315" s="62">
        <f t="shared" si="6"/>
        <v>0</v>
      </c>
      <c r="H315" s="62">
        <f t="shared" si="6"/>
        <v>0</v>
      </c>
      <c r="I315" s="35"/>
      <c r="J315" s="35"/>
      <c r="K315" s="35"/>
      <c r="L315" s="35"/>
      <c r="M315" s="35"/>
      <c r="N315" s="35"/>
      <c r="O315" s="35"/>
    </row>
    <row r="316" spans="1:15">
      <c r="A316" s="104"/>
      <c r="B316" s="108" t="s">
        <v>171</v>
      </c>
      <c r="C316" s="23" t="s">
        <v>259</v>
      </c>
      <c r="D316" s="62">
        <f t="shared" si="6"/>
        <v>757498.043076923</v>
      </c>
      <c r="E316" s="62">
        <f t="shared" si="6"/>
        <v>1484210.3846153845</v>
      </c>
      <c r="F316" s="62">
        <f t="shared" si="6"/>
        <v>2556860.9088461539</v>
      </c>
      <c r="G316" s="62">
        <f t="shared" si="6"/>
        <v>3074767.3007692304</v>
      </c>
      <c r="H316" s="62">
        <f t="shared" si="6"/>
        <v>4306774.6157692308</v>
      </c>
      <c r="I316" s="35"/>
      <c r="J316" s="35"/>
      <c r="K316" s="35"/>
      <c r="L316" s="35"/>
      <c r="M316" s="35"/>
      <c r="N316" s="35"/>
      <c r="O316" s="35"/>
    </row>
    <row r="317" spans="1:15">
      <c r="A317" s="105"/>
      <c r="B317" s="108" t="s">
        <v>173</v>
      </c>
      <c r="C317" s="23" t="s">
        <v>260</v>
      </c>
      <c r="D317" s="62">
        <f t="shared" si="6"/>
        <v>0</v>
      </c>
      <c r="E317" s="62">
        <f t="shared" si="6"/>
        <v>0</v>
      </c>
      <c r="F317" s="62">
        <f t="shared" si="6"/>
        <v>0</v>
      </c>
      <c r="G317" s="62">
        <f t="shared" si="6"/>
        <v>0</v>
      </c>
      <c r="H317" s="62">
        <f t="shared" si="6"/>
        <v>0</v>
      </c>
      <c r="I317" s="35"/>
      <c r="J317" s="35"/>
      <c r="K317" s="35"/>
      <c r="L317" s="35"/>
      <c r="M317" s="35"/>
      <c r="N317" s="35"/>
      <c r="O317" s="35"/>
    </row>
    <row r="318" spans="1:15">
      <c r="A318" s="104"/>
      <c r="B318" s="105" t="s">
        <v>261</v>
      </c>
      <c r="C318" s="23" t="s">
        <v>262</v>
      </c>
      <c r="D318" s="62"/>
      <c r="E318" s="62"/>
      <c r="F318" s="62"/>
      <c r="G318" s="62"/>
      <c r="H318" s="62"/>
      <c r="I318" s="35"/>
      <c r="J318" s="35"/>
      <c r="K318" s="35"/>
      <c r="L318" s="35"/>
      <c r="M318" s="35"/>
      <c r="N318" s="35"/>
      <c r="O318" s="35"/>
    </row>
    <row r="319" spans="1:15">
      <c r="A319" s="104"/>
      <c r="B319" s="23"/>
      <c r="C319" s="23" t="s">
        <v>263</v>
      </c>
      <c r="D319" s="62">
        <f t="shared" ref="D319:H324" si="7">D79</f>
        <v>0</v>
      </c>
      <c r="E319" s="62">
        <f t="shared" si="7"/>
        <v>0</v>
      </c>
      <c r="F319" s="62">
        <f t="shared" si="7"/>
        <v>0</v>
      </c>
      <c r="G319" s="62">
        <f t="shared" si="7"/>
        <v>0</v>
      </c>
      <c r="H319" s="62">
        <f t="shared" si="7"/>
        <v>0</v>
      </c>
      <c r="I319" s="35"/>
      <c r="J319" s="35"/>
      <c r="K319" s="35"/>
      <c r="L319" s="35"/>
      <c r="M319" s="35"/>
      <c r="N319" s="35"/>
      <c r="O319" s="35"/>
    </row>
    <row r="320" spans="1:15">
      <c r="A320" s="110"/>
      <c r="B320" s="23"/>
      <c r="C320" s="23"/>
      <c r="D320" s="62">
        <f t="shared" si="7"/>
        <v>0</v>
      </c>
      <c r="E320" s="62">
        <f t="shared" si="7"/>
        <v>0</v>
      </c>
      <c r="F320" s="62">
        <f t="shared" si="7"/>
        <v>0</v>
      </c>
      <c r="G320" s="62">
        <f t="shared" si="7"/>
        <v>0</v>
      </c>
      <c r="H320" s="62">
        <f t="shared" si="7"/>
        <v>0</v>
      </c>
      <c r="I320" s="35"/>
      <c r="J320" s="35"/>
      <c r="K320" s="35"/>
      <c r="L320" s="35"/>
      <c r="M320" s="35"/>
      <c r="N320" s="35"/>
      <c r="O320" s="35"/>
    </row>
    <row r="321" spans="1:15">
      <c r="A321" s="105"/>
      <c r="B321" s="110" t="s">
        <v>264</v>
      </c>
      <c r="C321" s="24" t="s">
        <v>265</v>
      </c>
      <c r="D321" s="62">
        <f t="shared" si="7"/>
        <v>0</v>
      </c>
      <c r="E321" s="62">
        <f t="shared" si="7"/>
        <v>0</v>
      </c>
      <c r="F321" s="62">
        <f t="shared" si="7"/>
        <v>0</v>
      </c>
      <c r="G321" s="62">
        <f t="shared" si="7"/>
        <v>0</v>
      </c>
      <c r="H321" s="62">
        <f t="shared" si="7"/>
        <v>0</v>
      </c>
      <c r="I321" s="35"/>
      <c r="J321" s="35"/>
      <c r="K321" s="40"/>
      <c r="L321" s="40"/>
      <c r="M321" s="40"/>
      <c r="N321" s="40"/>
      <c r="O321" s="40"/>
    </row>
    <row r="322" spans="1:15">
      <c r="A322" s="110"/>
      <c r="B322" s="23"/>
      <c r="C322" s="23"/>
      <c r="D322" s="62">
        <f t="shared" si="7"/>
        <v>0</v>
      </c>
      <c r="E322" s="62">
        <f t="shared" si="7"/>
        <v>0</v>
      </c>
      <c r="F322" s="62">
        <f t="shared" si="7"/>
        <v>0</v>
      </c>
      <c r="G322" s="62">
        <f t="shared" si="7"/>
        <v>0</v>
      </c>
      <c r="H322" s="62">
        <f t="shared" si="7"/>
        <v>0</v>
      </c>
      <c r="I322" s="35"/>
      <c r="J322" s="35"/>
      <c r="K322" s="35"/>
      <c r="L322" s="35"/>
      <c r="M322" s="35"/>
      <c r="N322" s="35"/>
      <c r="O322" s="35"/>
    </row>
    <row r="323" spans="1:15">
      <c r="A323" s="110"/>
      <c r="B323" s="110">
        <v>7</v>
      </c>
      <c r="C323" s="24" t="s">
        <v>266</v>
      </c>
      <c r="D323" s="62">
        <f t="shared" si="7"/>
        <v>0</v>
      </c>
      <c r="E323" s="62">
        <f t="shared" si="7"/>
        <v>0</v>
      </c>
      <c r="F323" s="62">
        <f t="shared" si="7"/>
        <v>0</v>
      </c>
      <c r="G323" s="62">
        <f t="shared" si="7"/>
        <v>0</v>
      </c>
      <c r="H323" s="62">
        <f t="shared" si="7"/>
        <v>0</v>
      </c>
      <c r="I323" s="35"/>
      <c r="J323" s="35"/>
      <c r="K323" s="40"/>
      <c r="L323" s="40"/>
      <c r="M323" s="40"/>
      <c r="N323" s="40"/>
      <c r="O323" s="40"/>
    </row>
    <row r="324" spans="1:15">
      <c r="A324" s="110"/>
      <c r="B324" s="24"/>
      <c r="C324" s="24"/>
      <c r="D324" s="62">
        <f t="shared" si="7"/>
        <v>0</v>
      </c>
      <c r="E324" s="62">
        <f t="shared" si="7"/>
        <v>0</v>
      </c>
      <c r="F324" s="62">
        <f t="shared" si="7"/>
        <v>0</v>
      </c>
      <c r="G324" s="62">
        <f t="shared" si="7"/>
        <v>0</v>
      </c>
      <c r="H324" s="62">
        <f t="shared" si="7"/>
        <v>0</v>
      </c>
      <c r="I324" s="35"/>
      <c r="J324" s="35"/>
      <c r="K324" s="40"/>
      <c r="L324" s="40"/>
      <c r="M324" s="40"/>
      <c r="N324" s="40"/>
      <c r="O324" s="40"/>
    </row>
    <row r="325" spans="1:15">
      <c r="A325" s="105"/>
      <c r="B325" s="110">
        <v>8</v>
      </c>
      <c r="C325" s="24" t="s">
        <v>267</v>
      </c>
      <c r="D325" s="62"/>
      <c r="E325" s="62"/>
      <c r="F325" s="62"/>
      <c r="G325" s="62"/>
      <c r="H325" s="62"/>
      <c r="I325" s="35"/>
      <c r="J325" s="35"/>
      <c r="K325" s="40"/>
      <c r="L325" s="40"/>
      <c r="M325" s="40"/>
      <c r="N325" s="40"/>
      <c r="O325" s="40"/>
    </row>
    <row r="326" spans="1:15">
      <c r="A326" s="105"/>
      <c r="B326" s="23"/>
      <c r="C326" s="23"/>
      <c r="D326" s="62">
        <f t="shared" ref="D326:H327" si="8">D86</f>
        <v>0</v>
      </c>
      <c r="E326" s="62">
        <f t="shared" si="8"/>
        <v>0</v>
      </c>
      <c r="F326" s="62">
        <f t="shared" si="8"/>
        <v>0</v>
      </c>
      <c r="G326" s="62">
        <f t="shared" si="8"/>
        <v>0</v>
      </c>
      <c r="H326" s="62">
        <f t="shared" si="8"/>
        <v>0</v>
      </c>
      <c r="I326" s="35"/>
      <c r="J326" s="35"/>
      <c r="K326" s="35"/>
      <c r="L326" s="35"/>
      <c r="M326" s="35"/>
      <c r="N326" s="35"/>
      <c r="O326" s="35"/>
    </row>
    <row r="327" spans="1:15">
      <c r="A327" s="30"/>
      <c r="B327" s="102">
        <v>9</v>
      </c>
      <c r="C327" s="23" t="s">
        <v>268</v>
      </c>
      <c r="D327" s="62">
        <f t="shared" si="8"/>
        <v>0</v>
      </c>
      <c r="E327" s="62">
        <f t="shared" si="8"/>
        <v>0</v>
      </c>
      <c r="F327" s="62">
        <f t="shared" si="8"/>
        <v>0</v>
      </c>
      <c r="G327" s="62">
        <f t="shared" si="8"/>
        <v>0</v>
      </c>
      <c r="H327" s="62">
        <f t="shared" si="8"/>
        <v>0</v>
      </c>
      <c r="I327" s="35"/>
      <c r="J327" s="35"/>
      <c r="K327" s="35"/>
      <c r="L327" s="35"/>
      <c r="M327" s="35"/>
      <c r="N327" s="35"/>
      <c r="O327" s="35"/>
    </row>
    <row r="328" spans="1:15">
      <c r="B328" s="29"/>
      <c r="C328" s="29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</row>
    <row r="329" spans="1:15">
      <c r="G329" s="29"/>
      <c r="J329" s="29"/>
    </row>
    <row r="330" spans="1:15">
      <c r="A330" s="75"/>
      <c r="G330" s="29"/>
      <c r="J330" s="29"/>
    </row>
    <row r="331" spans="1:15">
      <c r="B331" s="75"/>
      <c r="C331" s="75" t="s">
        <v>269</v>
      </c>
      <c r="D331" s="88"/>
      <c r="E331" s="88"/>
      <c r="F331" s="88"/>
      <c r="G331" s="40"/>
      <c r="J331" s="29"/>
    </row>
    <row r="332" spans="1:15">
      <c r="G332" s="29"/>
      <c r="J332" s="29"/>
    </row>
    <row r="333" spans="1:15">
      <c r="A333" s="46"/>
      <c r="B333" s="46"/>
      <c r="C333" s="46"/>
      <c r="D333" s="89"/>
      <c r="E333" s="89"/>
      <c r="F333" s="89"/>
      <c r="G333" s="35"/>
      <c r="J333" s="29"/>
    </row>
    <row r="334" spans="1:15">
      <c r="D334" s="76"/>
      <c r="E334" s="76"/>
      <c r="F334" s="97"/>
      <c r="G334" s="97"/>
      <c r="H334" s="97"/>
      <c r="I334" s="35"/>
      <c r="J334" s="35"/>
    </row>
    <row r="335" spans="1:15">
      <c r="D335" s="47"/>
      <c r="E335" s="47"/>
      <c r="F335" s="48"/>
      <c r="G335" s="48"/>
      <c r="H335" s="48"/>
      <c r="I335" s="47"/>
      <c r="J335" s="47"/>
    </row>
    <row r="336" spans="1:15">
      <c r="A336" s="26"/>
      <c r="B336" s="27"/>
      <c r="C336" s="43"/>
      <c r="D336" s="56"/>
      <c r="E336" s="56"/>
      <c r="F336" s="44"/>
      <c r="G336" s="44"/>
      <c r="H336" s="44"/>
      <c r="I336" s="55"/>
      <c r="J336" s="55"/>
    </row>
    <row r="337" spans="1:10">
      <c r="A337" s="33"/>
      <c r="B337" s="29"/>
      <c r="C337" s="39"/>
      <c r="D337" s="49"/>
      <c r="E337" s="49"/>
      <c r="F337" s="49"/>
      <c r="G337" s="49"/>
      <c r="H337" s="49"/>
      <c r="I337" s="55"/>
      <c r="J337" s="55"/>
    </row>
    <row r="338" spans="1:10">
      <c r="A338" s="33"/>
      <c r="B338" s="29"/>
      <c r="C338" s="50" t="s">
        <v>59</v>
      </c>
      <c r="D338" s="44" t="s">
        <v>60</v>
      </c>
      <c r="E338" s="44" t="s">
        <v>60</v>
      </c>
      <c r="F338" s="44" t="s">
        <v>60</v>
      </c>
      <c r="G338" s="44" t="s">
        <v>61</v>
      </c>
      <c r="H338" s="44" t="s">
        <v>61</v>
      </c>
      <c r="I338" s="55"/>
      <c r="J338" s="55"/>
    </row>
    <row r="339" spans="1:10">
      <c r="A339" s="33"/>
      <c r="B339" s="29"/>
      <c r="C339" s="39"/>
      <c r="D339" s="51" t="s">
        <v>63</v>
      </c>
      <c r="E339" s="51" t="s">
        <v>64</v>
      </c>
      <c r="F339" s="51" t="s">
        <v>65</v>
      </c>
      <c r="G339" s="51" t="s">
        <v>66</v>
      </c>
      <c r="H339" s="51" t="s">
        <v>67</v>
      </c>
      <c r="I339" s="58"/>
      <c r="J339" s="58"/>
    </row>
    <row r="340" spans="1:10">
      <c r="A340" s="45"/>
      <c r="B340" s="52"/>
      <c r="C340" s="25"/>
      <c r="D340" s="54">
        <v>1</v>
      </c>
      <c r="E340" s="54">
        <v>2</v>
      </c>
      <c r="F340" s="54">
        <v>3</v>
      </c>
      <c r="G340" s="54">
        <v>4</v>
      </c>
      <c r="H340" s="54">
        <v>5</v>
      </c>
      <c r="I340" s="59"/>
      <c r="J340" s="59"/>
    </row>
    <row r="341" spans="1:10">
      <c r="A341" s="33"/>
      <c r="B341" s="29"/>
      <c r="C341" s="39"/>
      <c r="D341" s="77"/>
      <c r="E341" s="77"/>
      <c r="F341" s="77"/>
      <c r="G341" s="77"/>
      <c r="H341" s="77"/>
      <c r="I341" s="35"/>
      <c r="J341" s="35"/>
    </row>
    <row r="342" spans="1:10">
      <c r="A342" s="33"/>
      <c r="B342" s="29"/>
      <c r="C342" s="98" t="s">
        <v>270</v>
      </c>
      <c r="D342" s="37"/>
      <c r="E342" s="37"/>
      <c r="F342" s="37"/>
      <c r="G342" s="37"/>
      <c r="H342" s="37"/>
      <c r="I342" s="35"/>
      <c r="J342" s="35"/>
    </row>
    <row r="343" spans="1:10">
      <c r="A343" s="33"/>
      <c r="B343" s="29"/>
      <c r="C343" s="39"/>
      <c r="D343" s="37"/>
      <c r="E343" s="37"/>
      <c r="F343" s="37"/>
      <c r="G343" s="37"/>
      <c r="H343" s="37"/>
      <c r="I343" s="35"/>
      <c r="J343" s="35"/>
    </row>
    <row r="344" spans="1:10">
      <c r="A344" s="33">
        <v>1</v>
      </c>
      <c r="B344" s="29"/>
      <c r="C344" s="39" t="s">
        <v>271</v>
      </c>
      <c r="D344" s="37"/>
      <c r="E344" s="37"/>
      <c r="F344" s="37"/>
      <c r="G344" s="37"/>
      <c r="H344" s="37"/>
      <c r="I344" s="35"/>
      <c r="J344" s="35"/>
    </row>
    <row r="345" spans="1:10">
      <c r="A345" s="33"/>
      <c r="B345" s="29"/>
      <c r="C345" s="39"/>
      <c r="D345" s="37"/>
      <c r="E345" s="37"/>
      <c r="F345" s="37"/>
      <c r="G345" s="37"/>
      <c r="H345" s="37"/>
      <c r="I345" s="35"/>
      <c r="J345" s="35"/>
    </row>
    <row r="346" spans="1:10">
      <c r="A346" s="33"/>
      <c r="B346" s="29"/>
      <c r="C346" s="39" t="s">
        <v>272</v>
      </c>
      <c r="D346" s="37"/>
      <c r="E346" s="37"/>
      <c r="F346" s="37"/>
      <c r="G346" s="37"/>
      <c r="H346" s="37"/>
      <c r="I346" s="35"/>
      <c r="J346" s="35"/>
    </row>
    <row r="347" spans="1:10">
      <c r="A347" s="33">
        <v>2</v>
      </c>
      <c r="B347" s="29"/>
      <c r="C347" s="39" t="s">
        <v>273</v>
      </c>
      <c r="D347" s="37"/>
      <c r="E347" s="37"/>
      <c r="F347" s="37"/>
      <c r="G347" s="37"/>
      <c r="H347" s="37"/>
      <c r="I347" s="35"/>
      <c r="J347" s="35"/>
    </row>
    <row r="348" spans="1:10">
      <c r="A348" s="33"/>
      <c r="B348" s="29"/>
      <c r="C348" s="39"/>
      <c r="D348" s="37"/>
      <c r="E348" s="37"/>
      <c r="F348" s="37"/>
      <c r="G348" s="37"/>
      <c r="H348" s="37"/>
      <c r="I348" s="35"/>
      <c r="J348" s="35"/>
    </row>
    <row r="349" spans="1:10">
      <c r="A349" s="33">
        <v>3</v>
      </c>
      <c r="B349" s="29"/>
      <c r="C349" s="39" t="s">
        <v>274</v>
      </c>
      <c r="D349" s="37"/>
      <c r="E349" s="37"/>
      <c r="F349" s="37"/>
      <c r="G349" s="37"/>
      <c r="H349" s="37"/>
      <c r="I349" s="35"/>
      <c r="J349" s="35"/>
    </row>
    <row r="350" spans="1:10">
      <c r="A350" s="33"/>
      <c r="B350" s="29"/>
      <c r="C350" s="39"/>
      <c r="D350" s="37"/>
      <c r="E350" s="37"/>
      <c r="F350" s="37"/>
      <c r="G350" s="37"/>
      <c r="H350" s="37"/>
      <c r="I350" s="35"/>
      <c r="J350" s="35"/>
    </row>
    <row r="351" spans="1:10">
      <c r="A351" s="33">
        <v>4</v>
      </c>
      <c r="B351" s="34" t="s">
        <v>275</v>
      </c>
      <c r="C351" s="39" t="s">
        <v>276</v>
      </c>
      <c r="D351" s="37"/>
      <c r="E351" s="37"/>
      <c r="F351" s="37"/>
      <c r="G351" s="37"/>
      <c r="H351" s="37"/>
      <c r="I351" s="35"/>
      <c r="J351" s="35"/>
    </row>
    <row r="352" spans="1:10">
      <c r="A352" s="33"/>
      <c r="B352" s="29"/>
      <c r="C352" s="39"/>
      <c r="D352" s="37"/>
      <c r="E352" s="37"/>
      <c r="F352" s="37"/>
      <c r="G352" s="37"/>
      <c r="H352" s="37"/>
      <c r="I352" s="35"/>
      <c r="J352" s="35"/>
    </row>
    <row r="353" spans="1:10">
      <c r="A353" s="33">
        <v>1</v>
      </c>
      <c r="B353" s="29"/>
      <c r="C353" s="39" t="s">
        <v>277</v>
      </c>
      <c r="D353" s="37">
        <f>L70</f>
        <v>0</v>
      </c>
      <c r="E353" s="37">
        <f>L82</f>
        <v>0</v>
      </c>
      <c r="F353" s="37"/>
      <c r="G353" s="37"/>
      <c r="H353" s="37"/>
      <c r="I353" s="35"/>
      <c r="J353" s="35"/>
    </row>
    <row r="354" spans="1:10">
      <c r="A354" s="33"/>
      <c r="B354" s="29"/>
      <c r="C354" s="39"/>
      <c r="D354" s="37"/>
      <c r="E354" s="37"/>
      <c r="F354" s="37"/>
      <c r="G354" s="37"/>
      <c r="H354" s="37"/>
      <c r="I354" s="35"/>
      <c r="J354" s="35"/>
    </row>
    <row r="355" spans="1:10">
      <c r="A355" s="33">
        <v>2</v>
      </c>
      <c r="B355" s="29"/>
      <c r="C355" s="39" t="s">
        <v>89</v>
      </c>
      <c r="D355" s="37">
        <f>D349</f>
        <v>0</v>
      </c>
      <c r="E355" s="37">
        <f>E349</f>
        <v>0</v>
      </c>
      <c r="F355" s="37"/>
      <c r="G355" s="37"/>
      <c r="H355" s="37"/>
      <c r="I355" s="35"/>
      <c r="J355" s="35"/>
    </row>
    <row r="356" spans="1:10">
      <c r="A356" s="33"/>
      <c r="B356" s="29"/>
      <c r="C356" s="39"/>
      <c r="D356" s="37"/>
      <c r="E356" s="37"/>
      <c r="F356" s="37"/>
      <c r="G356" s="37"/>
      <c r="H356" s="37"/>
      <c r="I356" s="35"/>
      <c r="J356" s="35"/>
    </row>
    <row r="357" spans="1:10">
      <c r="A357" s="33">
        <v>3</v>
      </c>
      <c r="B357" s="34" t="s">
        <v>278</v>
      </c>
      <c r="C357" s="39" t="s">
        <v>279</v>
      </c>
      <c r="D357" s="37">
        <f>D353+D355</f>
        <v>0</v>
      </c>
      <c r="E357" s="37">
        <f>E353+E355</f>
        <v>0</v>
      </c>
      <c r="F357" s="37"/>
      <c r="G357" s="37"/>
      <c r="H357" s="37"/>
      <c r="I357" s="35"/>
      <c r="J357" s="35"/>
    </row>
    <row r="358" spans="1:10">
      <c r="A358" s="33"/>
      <c r="B358" s="29"/>
      <c r="C358" s="39"/>
      <c r="D358" s="37"/>
      <c r="E358" s="37"/>
      <c r="F358" s="37"/>
      <c r="G358" s="37"/>
      <c r="H358" s="37"/>
      <c r="I358" s="35"/>
      <c r="J358" s="35"/>
    </row>
    <row r="359" spans="1:10">
      <c r="A359" s="33"/>
      <c r="B359" s="29"/>
      <c r="C359" s="39"/>
      <c r="D359" s="37"/>
      <c r="E359" s="37"/>
      <c r="F359" s="37"/>
      <c r="G359" s="37"/>
      <c r="H359" s="37"/>
      <c r="I359" s="35"/>
      <c r="J359" s="35"/>
    </row>
    <row r="360" spans="1:10">
      <c r="A360" s="33"/>
      <c r="B360" s="29"/>
      <c r="C360" s="39" t="s">
        <v>280</v>
      </c>
      <c r="D360" s="111"/>
      <c r="E360" s="37"/>
      <c r="F360" s="37"/>
      <c r="G360" s="37"/>
      <c r="H360" s="37"/>
      <c r="I360" s="35"/>
      <c r="J360" s="35"/>
    </row>
    <row r="361" spans="1:10">
      <c r="A361" s="33"/>
      <c r="B361" s="29"/>
      <c r="C361" s="39"/>
      <c r="D361" s="37"/>
      <c r="E361" s="37"/>
      <c r="F361" s="37"/>
      <c r="G361" s="37"/>
      <c r="H361" s="37"/>
      <c r="I361" s="35"/>
      <c r="J361" s="35"/>
    </row>
    <row r="362" spans="1:10">
      <c r="A362" s="33"/>
      <c r="B362" s="29"/>
      <c r="C362" s="39" t="s">
        <v>281</v>
      </c>
      <c r="D362" s="37"/>
      <c r="E362" s="37"/>
      <c r="F362" s="37"/>
      <c r="G362" s="37"/>
      <c r="H362" s="37"/>
      <c r="I362" s="35"/>
      <c r="J362" s="35"/>
    </row>
    <row r="363" spans="1:10">
      <c r="A363" s="45"/>
      <c r="B363" s="52"/>
      <c r="C363" s="25"/>
      <c r="D363" s="69"/>
      <c r="E363" s="69"/>
      <c r="F363" s="69"/>
      <c r="G363" s="69"/>
      <c r="H363" s="69"/>
      <c r="I363" s="35"/>
      <c r="J363" s="35"/>
    </row>
    <row r="366" spans="1:10">
      <c r="C366" s="75"/>
    </row>
    <row r="375" spans="3:3">
      <c r="C375" s="75"/>
    </row>
    <row r="376" spans="3:3">
      <c r="C376" s="75"/>
    </row>
    <row r="382" spans="3:3">
      <c r="C382" s="75"/>
    </row>
  </sheetData>
  <mergeCells count="5">
    <mergeCell ref="P8:Q8"/>
    <mergeCell ref="R8:S8"/>
    <mergeCell ref="U8:V8"/>
    <mergeCell ref="W8:X8"/>
    <mergeCell ref="Y8:Z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Srinivash</dc:creator>
  <cp:lastModifiedBy>Srinivash</cp:lastModifiedBy>
  <dcterms:created xsi:type="dcterms:W3CDTF">2015-04-15T07:21:15Z</dcterms:created>
  <dcterms:modified xsi:type="dcterms:W3CDTF">2015-05-14T05:30:39Z</dcterms:modified>
</cp:coreProperties>
</file>