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ke\Documents\__INFO310\SubscriptionTracker\"/>
    </mc:Choice>
  </mc:AlternateContent>
  <xr:revisionPtr revIDLastSave="0" documentId="13_ncr:1_{922B7801-D6DF-4FCB-8CCB-38EC2444C3A0}" xr6:coauthVersionLast="46" xr6:coauthVersionMax="46" xr10:uidLastSave="{00000000-0000-0000-0000-000000000000}"/>
  <bookViews>
    <workbookView xWindow="-108" yWindow="-108" windowWidth="23256" windowHeight="12576" tabRatio="522" activeTab="1" xr2:uid="{00000000-000D-0000-FFFF-FFFF00000000}"/>
  </bookViews>
  <sheets>
    <sheet name="Release Plan" sheetId="7" r:id="rId1"/>
    <sheet name="Product Backlog" sheetId="8" r:id="rId2"/>
    <sheet name="PB Burndown" sheetId="20" r:id="rId3"/>
    <sheet name="Sp1" sheetId="19" r:id="rId4"/>
    <sheet name="Sp2" sheetId="16" r:id="rId5"/>
    <sheet name="Task Slips" sheetId="21" r:id="rId6"/>
  </sheets>
  <definedNames>
    <definedName name="AverageSpeedLastEight">OFFSET('PB Burndown'!$P$27,1,0,'PB Burndown'!$G$3,1)</definedName>
    <definedName name="AverageSpeedRealized">OFFSET('PB Burndown'!$O$27,1,0,'PB Burndown'!$G$3,1)</definedName>
    <definedName name="AverageSpeedWorstThree">OFFSET('PB Burndown'!$Q$27,1,0,'PB Burndown'!$G$3,1)</definedName>
    <definedName name="ColBottomCurrentScope">OFFSET('PB Burndown'!$I$27,1,0,'PB Burndown'!$G$3,1)</definedName>
    <definedName name="ColTopRemainingWork">OFFSET('PB Burndown'!$F$27,1,0,'PB Burndown'!$G$3,1)</definedName>
    <definedName name="DoneDays" localSheetId="3">'Sp1'!$D$11</definedName>
    <definedName name="DoneDays" localSheetId="4">'Sp2'!$D$11</definedName>
    <definedName name="DoneDays">#REF!</definedName>
    <definedName name="ImplementationDays" localSheetId="3">'Sp1'!$B$9</definedName>
    <definedName name="ImplementationDays" localSheetId="4">'Sp2'!$B$9</definedName>
    <definedName name="ImplementationDays">#REF!</definedName>
    <definedName name="LastEight">IF('PB Burndown'!$G$4&gt;8,OFFSET('PB Burndown'!$D$27,'PB Burndown'!$G$4-7,0,8,1),OFFSET('PB Burndown'!$D$27,1,0,'PB Burndown'!$G$4-1,1))</definedName>
    <definedName name="LastPlanned">IF(OFFSET('PB Burndown'!$B$27,1,0,1,1)="",1,OFFSET('PB Burndown'!$B$27,'PB Burndown'!$G$3,0,1,1))</definedName>
    <definedName name="LastRealized">IF(OFFSET('PB Burndown'!$D$27,1,0,1,1)="",1,OFFSET('PB Burndown'!$D$27,'PB Burndown'!$G$3,0,1,1))</definedName>
    <definedName name="PBCurrentBottom">OFFSET('PB Burndown'!$N$27,1,0,'PB Burndown'!$G$9,1)</definedName>
    <definedName name="PBTrend">OFFSET('PB Burndown'!$M$27,1,0,'PB Burndown'!$G$9,1)</definedName>
    <definedName name="PlannedSpeed">OFFSET('PB Burndown'!$C$27,1,0,'PB Burndown'!$G$3,1)</definedName>
    <definedName name="_xlnm.Print_Area" localSheetId="1">'Product Backlog'!$A:$G</definedName>
    <definedName name="_xlnm.Print_Area" localSheetId="5">'Task Slips'!#REF!</definedName>
    <definedName name="ProductBacklog">'Product Backlog'!$A$4:$G$163</definedName>
    <definedName name="RealizedSpeed">OFFSET('PB Burndown'!$D$27,1,0,'PB Burndown'!$G$3,1)</definedName>
    <definedName name="RealValues" localSheetId="3">OFFSET('Sp1'!$F$10,0,0,1,'Sp1'!DoneDays)</definedName>
    <definedName name="RealValues" localSheetId="4">OFFSET('Sp2'!$F$10,0,0,1,'Sp2'!DoneDays)</definedName>
    <definedName name="Sprint">'Product Backlog'!$E$5:$E$163</definedName>
    <definedName name="SprintCount">'PB Burndown'!$G$3</definedName>
    <definedName name="SprintsInTrend">'PB Burndown'!$G$6</definedName>
    <definedName name="SprintTasks" localSheetId="3">'Sp1'!$A$14:$AD$63</definedName>
    <definedName name="SprintTasks">'Sp2'!$A$14:$AD$63</definedName>
    <definedName name="Status">'Product Backlog'!$C$5:$C$163</definedName>
    <definedName name="StoryName">'Product Backlog'!$B$5:$B$163</definedName>
    <definedName name="TaskRows" localSheetId="3">'Sp1'!$B$11</definedName>
    <definedName name="TaskRows" localSheetId="4">'Sp2'!$B$11</definedName>
    <definedName name="TaskRows">#REF!</definedName>
    <definedName name="TaskStatus" localSheetId="3">'Sp1'!$D$14:$D$58</definedName>
    <definedName name="TaskStatus">'Sp2'!$D$14:$D$58</definedName>
    <definedName name="TaskStoryID" localSheetId="3">'Sp1'!$B$14:$B$53</definedName>
    <definedName name="TaskStoryID">'Sp2'!$B$14:$B$53</definedName>
    <definedName name="TotalEffort" localSheetId="3">'Sp1'!$E$10</definedName>
    <definedName name="TotalEffort" localSheetId="4">'Sp2'!$E$10</definedName>
    <definedName name="TotalEffort">#REF!</definedName>
    <definedName name="TrendDays" localSheetId="3">'Sp1'!$D$13</definedName>
    <definedName name="TrendDays">'Sp2'!$D$13</definedName>
    <definedName name="TrendOffset">'PB Burndown'!$G$5</definedName>
    <definedName name="TrendSprintCount">'PB Burndown'!$G$4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" i="21" l="1"/>
  <c r="A21" i="21"/>
  <c r="A13" i="21"/>
  <c r="A5" i="21"/>
  <c r="G4" i="20"/>
  <c r="E16" i="7"/>
  <c r="E17" i="7"/>
  <c r="E18" i="7"/>
  <c r="E19" i="7"/>
  <c r="E20" i="7"/>
  <c r="B17" i="7"/>
  <c r="D17" i="7" s="1"/>
  <c r="D16" i="7"/>
  <c r="B28" i="20"/>
  <c r="B29" i="20" s="1"/>
  <c r="F18" i="19"/>
  <c r="D18" i="19"/>
  <c r="F17" i="19"/>
  <c r="F16" i="19"/>
  <c r="F15" i="19"/>
  <c r="E21" i="7"/>
  <c r="F28" i="20"/>
  <c r="K28" i="20" s="1"/>
  <c r="G14" i="19"/>
  <c r="H14" i="19"/>
  <c r="F18" i="7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B4" i="7"/>
  <c r="G17" i="20"/>
  <c r="A18" i="20"/>
  <c r="A8" i="20"/>
  <c r="D15" i="20"/>
  <c r="D17" i="20"/>
  <c r="D16" i="20"/>
  <c r="E28" i="20"/>
  <c r="H28" i="20"/>
  <c r="E31" i="7"/>
  <c r="B11" i="19"/>
  <c r="E10" i="19" s="1"/>
  <c r="H11" i="19" s="1"/>
  <c r="D41" i="19"/>
  <c r="F41" i="19"/>
  <c r="D42" i="19"/>
  <c r="F42" i="19"/>
  <c r="D43" i="19"/>
  <c r="F43" i="19"/>
  <c r="D44" i="19"/>
  <c r="F44" i="19"/>
  <c r="D45" i="19"/>
  <c r="F45" i="19"/>
  <c r="D46" i="19"/>
  <c r="F46" i="19"/>
  <c r="D47" i="19"/>
  <c r="F47" i="19"/>
  <c r="D48" i="19"/>
  <c r="F48" i="19"/>
  <c r="D49" i="19"/>
  <c r="F49" i="19"/>
  <c r="D50" i="19"/>
  <c r="F50" i="19"/>
  <c r="D51" i="19"/>
  <c r="F51" i="19"/>
  <c r="D52" i="19"/>
  <c r="F52" i="19"/>
  <c r="D53" i="19"/>
  <c r="F53" i="19"/>
  <c r="D54" i="19"/>
  <c r="F54" i="19"/>
  <c r="D55" i="19"/>
  <c r="F55" i="19"/>
  <c r="D56" i="19"/>
  <c r="F56" i="19"/>
  <c r="D57" i="19"/>
  <c r="F57" i="19"/>
  <c r="D58" i="19"/>
  <c r="F58" i="19"/>
  <c r="D59" i="19"/>
  <c r="F59" i="19"/>
  <c r="D60" i="19"/>
  <c r="F60" i="19"/>
  <c r="D61" i="19"/>
  <c r="F61" i="19"/>
  <c r="D62" i="19"/>
  <c r="F62" i="19"/>
  <c r="G62" i="19"/>
  <c r="D63" i="19"/>
  <c r="F63" i="19"/>
  <c r="G63" i="19"/>
  <c r="D64" i="19"/>
  <c r="B11" i="16"/>
  <c r="M10" i="16" s="1"/>
  <c r="S10" i="16"/>
  <c r="F15" i="16"/>
  <c r="F16" i="16"/>
  <c r="F17" i="16"/>
  <c r="F18" i="16"/>
  <c r="E10" i="7"/>
  <c r="E9" i="7"/>
  <c r="E8" i="7"/>
  <c r="E7" i="7"/>
  <c r="E6" i="7"/>
  <c r="C4" i="7"/>
  <c r="C5" i="7"/>
  <c r="C6" i="7"/>
  <c r="D6" i="7" s="1"/>
  <c r="C7" i="7"/>
  <c r="D7" i="7" s="1"/>
  <c r="C8" i="7"/>
  <c r="D8" i="7" s="1"/>
  <c r="C9" i="7"/>
  <c r="D9" i="7" s="1"/>
  <c r="C10" i="7"/>
  <c r="D10" i="7" s="1"/>
  <c r="D4" i="7"/>
  <c r="G14" i="16"/>
  <c r="U10" i="16"/>
  <c r="E10" i="16"/>
  <c r="F11" i="16" s="1"/>
  <c r="D15" i="16"/>
  <c r="D16" i="16"/>
  <c r="D17" i="16"/>
  <c r="D18" i="16"/>
  <c r="D19" i="16"/>
  <c r="F19" i="16"/>
  <c r="D20" i="16"/>
  <c r="F20" i="16"/>
  <c r="D21" i="16"/>
  <c r="F21" i="16"/>
  <c r="D22" i="16"/>
  <c r="F22" i="16"/>
  <c r="D23" i="16"/>
  <c r="F23" i="16"/>
  <c r="D24" i="16"/>
  <c r="F24" i="16"/>
  <c r="D25" i="16"/>
  <c r="F25" i="16"/>
  <c r="D26" i="16"/>
  <c r="F26" i="16"/>
  <c r="D27" i="16"/>
  <c r="F27" i="16"/>
  <c r="D28" i="16"/>
  <c r="F28" i="16"/>
  <c r="D29" i="16"/>
  <c r="F29" i="16"/>
  <c r="D30" i="16"/>
  <c r="F30" i="16"/>
  <c r="D31" i="16"/>
  <c r="F31" i="16"/>
  <c r="D32" i="16"/>
  <c r="F32" i="16"/>
  <c r="D33" i="16"/>
  <c r="F33" i="16"/>
  <c r="D34" i="16"/>
  <c r="F34" i="16"/>
  <c r="D35" i="16"/>
  <c r="F35" i="16"/>
  <c r="D36" i="16"/>
  <c r="F36" i="16"/>
  <c r="D37" i="16"/>
  <c r="F37" i="16"/>
  <c r="D38" i="16"/>
  <c r="F38" i="16"/>
  <c r="D39" i="16"/>
  <c r="F39" i="16"/>
  <c r="D40" i="16"/>
  <c r="F40" i="16"/>
  <c r="D41" i="16"/>
  <c r="F41" i="16"/>
  <c r="D42" i="16"/>
  <c r="F42" i="16"/>
  <c r="D43" i="16"/>
  <c r="F43" i="16"/>
  <c r="D44" i="16"/>
  <c r="F44" i="16"/>
  <c r="D45" i="16"/>
  <c r="F45" i="16"/>
  <c r="D46" i="16"/>
  <c r="F46" i="16"/>
  <c r="D47" i="16"/>
  <c r="F47" i="16"/>
  <c r="D48" i="16"/>
  <c r="F48" i="16"/>
  <c r="D49" i="16"/>
  <c r="F49" i="16"/>
  <c r="D50" i="16"/>
  <c r="F50" i="16"/>
  <c r="D51" i="16"/>
  <c r="F51" i="16"/>
  <c r="D52" i="16"/>
  <c r="F52" i="16"/>
  <c r="D53" i="16"/>
  <c r="F53" i="16"/>
  <c r="D54" i="16"/>
  <c r="F54" i="16"/>
  <c r="D55" i="16"/>
  <c r="F55" i="16"/>
  <c r="D56" i="16"/>
  <c r="F56" i="16"/>
  <c r="D57" i="16"/>
  <c r="F57" i="16"/>
  <c r="D58" i="16"/>
  <c r="F58" i="16"/>
  <c r="D59" i="16"/>
  <c r="F59" i="16"/>
  <c r="D64" i="16"/>
  <c r="I14" i="19"/>
  <c r="I62" i="19" s="1"/>
  <c r="G28" i="20"/>
  <c r="H63" i="19"/>
  <c r="H62" i="19"/>
  <c r="P10" i="19"/>
  <c r="G5" i="20"/>
  <c r="O10" i="19"/>
  <c r="W10" i="19"/>
  <c r="J10" i="19"/>
  <c r="AA10" i="19"/>
  <c r="G6" i="20"/>
  <c r="D10" i="20"/>
  <c r="P29" i="20" s="1"/>
  <c r="Q10" i="16"/>
  <c r="I10" i="16"/>
  <c r="P10" i="16"/>
  <c r="H10" i="16"/>
  <c r="W10" i="16"/>
  <c r="O10" i="16"/>
  <c r="AB10" i="16"/>
  <c r="T10" i="16"/>
  <c r="AA10" i="16"/>
  <c r="K10" i="16"/>
  <c r="Z10" i="16"/>
  <c r="J10" i="16"/>
  <c r="R10" i="16"/>
  <c r="AD10" i="16"/>
  <c r="F29" i="20"/>
  <c r="B18" i="7"/>
  <c r="B19" i="7" s="1"/>
  <c r="G29" i="20"/>
  <c r="E5" i="7" l="1"/>
  <c r="E4" i="7"/>
  <c r="B20" i="7"/>
  <c r="D19" i="7"/>
  <c r="K10" i="19"/>
  <c r="V10" i="19"/>
  <c r="S10" i="19"/>
  <c r="B5" i="7"/>
  <c r="D5" i="7" s="1"/>
  <c r="AB10" i="19"/>
  <c r="L10" i="16"/>
  <c r="X10" i="16"/>
  <c r="Y10" i="19"/>
  <c r="N10" i="19"/>
  <c r="F10" i="16"/>
  <c r="F10" i="19"/>
  <c r="X10" i="19"/>
  <c r="D18" i="7"/>
  <c r="H10" i="19"/>
  <c r="M10" i="19"/>
  <c r="V10" i="16"/>
  <c r="G10" i="16"/>
  <c r="Y10" i="16"/>
  <c r="Z10" i="19"/>
  <c r="AC10" i="16"/>
  <c r="T10" i="19"/>
  <c r="I11" i="19"/>
  <c r="P38" i="20"/>
  <c r="P40" i="20"/>
  <c r="P32" i="20"/>
  <c r="P42" i="20"/>
  <c r="P41" i="20"/>
  <c r="D11" i="20"/>
  <c r="Q38" i="20" s="1"/>
  <c r="P39" i="20"/>
  <c r="G11" i="19"/>
  <c r="P36" i="20"/>
  <c r="P43" i="20"/>
  <c r="P51" i="20"/>
  <c r="P47" i="20"/>
  <c r="P46" i="20"/>
  <c r="P50" i="20"/>
  <c r="P34" i="20"/>
  <c r="P49" i="20"/>
  <c r="P48" i="20"/>
  <c r="P37" i="20"/>
  <c r="P44" i="20"/>
  <c r="P30" i="20"/>
  <c r="P45" i="20"/>
  <c r="P35" i="20"/>
  <c r="P33" i="20"/>
  <c r="P31" i="20"/>
  <c r="P28" i="20"/>
  <c r="F11" i="19"/>
  <c r="G59" i="16"/>
  <c r="G58" i="16"/>
  <c r="H14" i="16"/>
  <c r="G11" i="16"/>
  <c r="J14" i="19"/>
  <c r="I63" i="19"/>
  <c r="B21" i="7"/>
  <c r="D20" i="7"/>
  <c r="E29" i="20"/>
  <c r="I29" i="20"/>
  <c r="H29" i="20" s="1"/>
  <c r="B30" i="20"/>
  <c r="Q10" i="19"/>
  <c r="I10" i="19"/>
  <c r="R10" i="19"/>
  <c r="G10" i="19"/>
  <c r="U10" i="19"/>
  <c r="N10" i="16"/>
  <c r="L10" i="19"/>
  <c r="D8" i="20"/>
  <c r="D11" i="16" l="1"/>
  <c r="F13" i="16" s="1"/>
  <c r="Q28" i="20"/>
  <c r="Q32" i="20"/>
  <c r="Q31" i="20"/>
  <c r="Q33" i="20"/>
  <c r="Q43" i="20"/>
  <c r="Q40" i="20"/>
  <c r="Q48" i="20"/>
  <c r="Q29" i="20"/>
  <c r="Q50" i="20"/>
  <c r="Q34" i="20"/>
  <c r="Q42" i="20"/>
  <c r="Q35" i="20"/>
  <c r="Q49" i="20"/>
  <c r="Q51" i="20"/>
  <c r="Q44" i="20"/>
  <c r="Q41" i="20"/>
  <c r="Q45" i="20"/>
  <c r="Q47" i="20"/>
  <c r="Q39" i="20"/>
  <c r="Q46" i="20"/>
  <c r="Q36" i="20"/>
  <c r="Q37" i="20"/>
  <c r="Q30" i="20"/>
  <c r="E30" i="20"/>
  <c r="F30" i="20"/>
  <c r="I30" i="20"/>
  <c r="B31" i="20"/>
  <c r="D21" i="7"/>
  <c r="B22" i="7"/>
  <c r="K29" i="20"/>
  <c r="J62" i="19"/>
  <c r="J63" i="19"/>
  <c r="K14" i="19"/>
  <c r="J11" i="19"/>
  <c r="H59" i="16"/>
  <c r="H58" i="16"/>
  <c r="H11" i="16"/>
  <c r="I14" i="16"/>
  <c r="D13" i="16" l="1"/>
  <c r="G12" i="16" s="1"/>
  <c r="K11" i="19"/>
  <c r="K62" i="19"/>
  <c r="L14" i="19"/>
  <c r="K63" i="19"/>
  <c r="E31" i="20"/>
  <c r="B32" i="20"/>
  <c r="F31" i="20"/>
  <c r="I31" i="20"/>
  <c r="H31" i="20" s="1"/>
  <c r="B23" i="7"/>
  <c r="D22" i="7"/>
  <c r="A22" i="7"/>
  <c r="E22" i="7" s="1"/>
  <c r="H30" i="20"/>
  <c r="N32" i="20"/>
  <c r="L32" i="20" s="1"/>
  <c r="N33" i="20"/>
  <c r="N38" i="20"/>
  <c r="N37" i="20"/>
  <c r="L37" i="20" s="1"/>
  <c r="N29" i="20"/>
  <c r="L29" i="20" s="1"/>
  <c r="N28" i="20"/>
  <c r="N49" i="20"/>
  <c r="N48" i="20"/>
  <c r="L48" i="20" s="1"/>
  <c r="N42" i="20"/>
  <c r="L42" i="20" s="1"/>
  <c r="N40" i="20"/>
  <c r="N43" i="20"/>
  <c r="N36" i="20"/>
  <c r="L36" i="20" s="1"/>
  <c r="N46" i="20"/>
  <c r="L46" i="20" s="1"/>
  <c r="N45" i="20"/>
  <c r="N50" i="20"/>
  <c r="N51" i="20"/>
  <c r="L51" i="20" s="1"/>
  <c r="N39" i="20"/>
  <c r="L39" i="20" s="1"/>
  <c r="N30" i="20"/>
  <c r="N44" i="20"/>
  <c r="N35" i="20"/>
  <c r="L35" i="20" s="1"/>
  <c r="N41" i="20"/>
  <c r="L41" i="20" s="1"/>
  <c r="N34" i="20"/>
  <c r="N31" i="20"/>
  <c r="N47" i="20"/>
  <c r="L47" i="20" s="1"/>
  <c r="O12" i="16"/>
  <c r="I11" i="16"/>
  <c r="I58" i="16"/>
  <c r="J14" i="16"/>
  <c r="I59" i="16"/>
  <c r="K30" i="20"/>
  <c r="G30" i="20"/>
  <c r="F12" i="16"/>
  <c r="Z12" i="16"/>
  <c r="K12" i="16" l="1"/>
  <c r="S12" i="16"/>
  <c r="I12" i="16"/>
  <c r="N12" i="16"/>
  <c r="AA12" i="16"/>
  <c r="L12" i="16"/>
  <c r="H12" i="16"/>
  <c r="AD12" i="16"/>
  <c r="R12" i="16"/>
  <c r="U12" i="16"/>
  <c r="W12" i="16"/>
  <c r="Q12" i="16"/>
  <c r="Y12" i="16"/>
  <c r="P12" i="16"/>
  <c r="V12" i="16"/>
  <c r="J12" i="16"/>
  <c r="T12" i="16"/>
  <c r="AC12" i="16"/>
  <c r="X12" i="16"/>
  <c r="M12" i="16"/>
  <c r="AB12" i="16"/>
  <c r="M37" i="20"/>
  <c r="A23" i="7"/>
  <c r="E23" i="7" s="1"/>
  <c r="D23" i="7"/>
  <c r="B24" i="7"/>
  <c r="I32" i="20"/>
  <c r="H32" i="20" s="1"/>
  <c r="F32" i="20"/>
  <c r="E32" i="20"/>
  <c r="B33" i="20"/>
  <c r="L11" i="19"/>
  <c r="L62" i="19"/>
  <c r="M14" i="19"/>
  <c r="L63" i="19"/>
  <c r="M42" i="20"/>
  <c r="K14" i="16"/>
  <c r="J11" i="16"/>
  <c r="J58" i="16"/>
  <c r="J59" i="16"/>
  <c r="M36" i="20"/>
  <c r="L31" i="20"/>
  <c r="M32" i="20" s="1"/>
  <c r="L44" i="20"/>
  <c r="L50" i="20"/>
  <c r="M51" i="20" s="1"/>
  <c r="L43" i="20"/>
  <c r="M43" i="20" s="1"/>
  <c r="L49" i="20"/>
  <c r="M49" i="20" s="1"/>
  <c r="L38" i="20"/>
  <c r="M38" i="20" s="1"/>
  <c r="M47" i="20"/>
  <c r="M48" i="20"/>
  <c r="L34" i="20"/>
  <c r="M35" i="20" s="1"/>
  <c r="L30" i="20"/>
  <c r="M30" i="20" s="1"/>
  <c r="L45" i="20"/>
  <c r="L40" i="20"/>
  <c r="M40" i="20" s="1"/>
  <c r="L28" i="20"/>
  <c r="M28" i="20" s="1"/>
  <c r="L33" i="20"/>
  <c r="M33" i="20" s="1"/>
  <c r="K31" i="20"/>
  <c r="G31" i="20"/>
  <c r="M44" i="20" l="1"/>
  <c r="M45" i="20"/>
  <c r="M46" i="20"/>
  <c r="M50" i="20"/>
  <c r="K58" i="16"/>
  <c r="K59" i="16"/>
  <c r="K11" i="16"/>
  <c r="L14" i="16"/>
  <c r="B34" i="20"/>
  <c r="I33" i="20"/>
  <c r="H33" i="20" s="1"/>
  <c r="F33" i="20"/>
  <c r="E33" i="20"/>
  <c r="D24" i="7"/>
  <c r="A24" i="7"/>
  <c r="E24" i="7" s="1"/>
  <c r="B25" i="7"/>
  <c r="M63" i="19"/>
  <c r="N14" i="19"/>
  <c r="M11" i="19"/>
  <c r="M62" i="19"/>
  <c r="M31" i="20"/>
  <c r="G32" i="20"/>
  <c r="K32" i="20"/>
  <c r="M34" i="20"/>
  <c r="M29" i="20"/>
  <c r="D12" i="20" s="1"/>
  <c r="M41" i="20"/>
  <c r="M39" i="20"/>
  <c r="D22" i="20" l="1"/>
  <c r="L59" i="16"/>
  <c r="M14" i="16"/>
  <c r="L58" i="16"/>
  <c r="L11" i="16"/>
  <c r="N63" i="19"/>
  <c r="O14" i="19"/>
  <c r="N11" i="19"/>
  <c r="N62" i="19"/>
  <c r="E34" i="20"/>
  <c r="F34" i="20"/>
  <c r="B35" i="20"/>
  <c r="I34" i="20"/>
  <c r="H34" i="20" s="1"/>
  <c r="G9" i="20"/>
  <c r="B26" i="7"/>
  <c r="D25" i="7"/>
  <c r="A25" i="7"/>
  <c r="E25" i="7" s="1"/>
  <c r="G33" i="20"/>
  <c r="K33" i="20"/>
  <c r="B27" i="7" l="1"/>
  <c r="D26" i="7"/>
  <c r="A26" i="7"/>
  <c r="E26" i="7" s="1"/>
  <c r="I35" i="20"/>
  <c r="H35" i="20" s="1"/>
  <c r="B36" i="20"/>
  <c r="E35" i="20"/>
  <c r="F35" i="20"/>
  <c r="K34" i="20"/>
  <c r="G34" i="20"/>
  <c r="O11" i="19"/>
  <c r="P14" i="19"/>
  <c r="O63" i="19"/>
  <c r="O62" i="19"/>
  <c r="M59" i="16"/>
  <c r="M11" i="16"/>
  <c r="N14" i="16"/>
  <c r="M58" i="16"/>
  <c r="Q14" i="19" l="1"/>
  <c r="P11" i="19"/>
  <c r="P62" i="19"/>
  <c r="P63" i="19"/>
  <c r="G35" i="20"/>
  <c r="K35" i="20"/>
  <c r="N58" i="16"/>
  <c r="O14" i="16"/>
  <c r="N59" i="16"/>
  <c r="N11" i="16"/>
  <c r="I36" i="20"/>
  <c r="H36" i="20" s="1"/>
  <c r="B37" i="20"/>
  <c r="F36" i="20"/>
  <c r="E36" i="20"/>
  <c r="B28" i="7"/>
  <c r="A27" i="7"/>
  <c r="E27" i="7" s="1"/>
  <c r="D27" i="7"/>
  <c r="B38" i="20" l="1"/>
  <c r="E37" i="20"/>
  <c r="F37" i="20"/>
  <c r="I37" i="20"/>
  <c r="H37" i="20" s="1"/>
  <c r="O59" i="16"/>
  <c r="P14" i="16"/>
  <c r="O58" i="16"/>
  <c r="O11" i="16"/>
  <c r="D28" i="7"/>
  <c r="A28" i="7"/>
  <c r="E28" i="7" s="1"/>
  <c r="B29" i="7"/>
  <c r="K36" i="20"/>
  <c r="G36" i="20"/>
  <c r="Q11" i="19"/>
  <c r="Q63" i="19"/>
  <c r="Q62" i="19"/>
  <c r="R14" i="19"/>
  <c r="B30" i="7" l="1"/>
  <c r="A29" i="7"/>
  <c r="E29" i="7" s="1"/>
  <c r="D29" i="7"/>
  <c r="G37" i="20"/>
  <c r="K37" i="20"/>
  <c r="P11" i="16"/>
  <c r="P59" i="16"/>
  <c r="Q14" i="16"/>
  <c r="P58" i="16"/>
  <c r="R11" i="19"/>
  <c r="R62" i="19"/>
  <c r="R63" i="19"/>
  <c r="S14" i="19"/>
  <c r="E38" i="20"/>
  <c r="I38" i="20"/>
  <c r="H38" i="20" s="1"/>
  <c r="F38" i="20"/>
  <c r="B39" i="20"/>
  <c r="K38" i="20" l="1"/>
  <c r="G38" i="20"/>
  <c r="Q59" i="16"/>
  <c r="R14" i="16"/>
  <c r="Q58" i="16"/>
  <c r="Q11" i="16"/>
  <c r="E39" i="20"/>
  <c r="B40" i="20"/>
  <c r="F39" i="20"/>
  <c r="I39" i="20"/>
  <c r="H39" i="20" s="1"/>
  <c r="G3" i="20"/>
  <c r="S62" i="19"/>
  <c r="S63" i="19"/>
  <c r="T14" i="19"/>
  <c r="S11" i="19"/>
  <c r="D30" i="7"/>
  <c r="A30" i="7"/>
  <c r="E30" i="7" s="1"/>
  <c r="B41" i="20" l="1"/>
  <c r="E40" i="20"/>
  <c r="F40" i="20"/>
  <c r="I40" i="20"/>
  <c r="H40" i="20" s="1"/>
  <c r="G19" i="20"/>
  <c r="G20" i="20"/>
  <c r="D20" i="20"/>
  <c r="D9" i="20"/>
  <c r="D21" i="20"/>
  <c r="D18" i="20"/>
  <c r="T62" i="19"/>
  <c r="T11" i="19"/>
  <c r="U14" i="19"/>
  <c r="T63" i="19"/>
  <c r="R11" i="16"/>
  <c r="R58" i="16"/>
  <c r="S14" i="16"/>
  <c r="R59" i="16"/>
  <c r="G39" i="20"/>
  <c r="K39" i="20"/>
  <c r="O43" i="20" l="1"/>
  <c r="O34" i="20"/>
  <c r="D23" i="20"/>
  <c r="O35" i="20"/>
  <c r="O31" i="20"/>
  <c r="O50" i="20"/>
  <c r="O32" i="20"/>
  <c r="O29" i="20"/>
  <c r="O49" i="20"/>
  <c r="O39" i="20"/>
  <c r="O44" i="20"/>
  <c r="O36" i="20"/>
  <c r="O45" i="20"/>
  <c r="O51" i="20"/>
  <c r="D19" i="20"/>
  <c r="O47" i="20"/>
  <c r="O33" i="20"/>
  <c r="O41" i="20"/>
  <c r="O30" i="20"/>
  <c r="D24" i="20"/>
  <c r="O48" i="20"/>
  <c r="O37" i="20"/>
  <c r="O42" i="20"/>
  <c r="O46" i="20"/>
  <c r="O40" i="20"/>
  <c r="O38" i="20"/>
  <c r="O28" i="20"/>
  <c r="G40" i="20"/>
  <c r="K40" i="20"/>
  <c r="T14" i="16"/>
  <c r="S59" i="16"/>
  <c r="S58" i="16"/>
  <c r="S11" i="16"/>
  <c r="U11" i="19"/>
  <c r="U63" i="19"/>
  <c r="V14" i="19"/>
  <c r="U62" i="19"/>
  <c r="E41" i="20"/>
  <c r="F41" i="20"/>
  <c r="I41" i="20"/>
  <c r="H41" i="20" s="1"/>
  <c r="B42" i="20"/>
  <c r="V62" i="19" l="1"/>
  <c r="V63" i="19"/>
  <c r="W14" i="19"/>
  <c r="V11" i="19"/>
  <c r="T58" i="16"/>
  <c r="T11" i="16"/>
  <c r="U14" i="16"/>
  <c r="T59" i="16"/>
  <c r="K41" i="20"/>
  <c r="G41" i="20"/>
  <c r="F42" i="20"/>
  <c r="I42" i="20"/>
  <c r="H42" i="20" s="1"/>
  <c r="E42" i="20"/>
  <c r="B43" i="20"/>
  <c r="F43" i="20" l="1"/>
  <c r="E43" i="20"/>
  <c r="B44" i="20"/>
  <c r="I43" i="20"/>
  <c r="H43" i="20" s="1"/>
  <c r="X14" i="19"/>
  <c r="W62" i="19"/>
  <c r="W63" i="19"/>
  <c r="W11" i="19"/>
  <c r="G42" i="20"/>
  <c r="K42" i="20"/>
  <c r="V14" i="16"/>
  <c r="U11" i="16"/>
  <c r="U59" i="16"/>
  <c r="U58" i="16"/>
  <c r="F44" i="20" l="1"/>
  <c r="E44" i="20"/>
  <c r="B45" i="20"/>
  <c r="I44" i="20"/>
  <c r="H44" i="20" s="1"/>
  <c r="V58" i="16"/>
  <c r="V59" i="16"/>
  <c r="V11" i="16"/>
  <c r="W14" i="16"/>
  <c r="X62" i="19"/>
  <c r="X63" i="19"/>
  <c r="Y14" i="19"/>
  <c r="X11" i="19"/>
  <c r="G43" i="20"/>
  <c r="K43" i="20"/>
  <c r="X14" i="16" l="1"/>
  <c r="W11" i="16"/>
  <c r="W59" i="16"/>
  <c r="W58" i="16"/>
  <c r="Y62" i="19"/>
  <c r="Y11" i="19"/>
  <c r="Y63" i="19"/>
  <c r="Z14" i="19"/>
  <c r="E45" i="20"/>
  <c r="I45" i="20"/>
  <c r="H45" i="20" s="1"/>
  <c r="F45" i="20"/>
  <c r="B46" i="20"/>
  <c r="G44" i="20"/>
  <c r="K44" i="20"/>
  <c r="I46" i="20" l="1"/>
  <c r="H46" i="20" s="1"/>
  <c r="F46" i="20"/>
  <c r="B47" i="20"/>
  <c r="E46" i="20"/>
  <c r="AA14" i="19"/>
  <c r="Z62" i="19"/>
  <c r="Z63" i="19"/>
  <c r="Z11" i="19"/>
  <c r="G45" i="20"/>
  <c r="K45" i="20"/>
  <c r="X58" i="16"/>
  <c r="X59" i="16"/>
  <c r="Y14" i="16"/>
  <c r="X11" i="16"/>
  <c r="AB14" i="19" l="1"/>
  <c r="AA62" i="19"/>
  <c r="AA63" i="19"/>
  <c r="AA11" i="19"/>
  <c r="I47" i="20"/>
  <c r="H47" i="20" s="1"/>
  <c r="E47" i="20"/>
  <c r="B48" i="20"/>
  <c r="F47" i="20"/>
  <c r="Y58" i="16"/>
  <c r="Z14" i="16"/>
  <c r="Y11" i="16"/>
  <c r="Y59" i="16"/>
  <c r="G46" i="20"/>
  <c r="K46" i="20"/>
  <c r="E48" i="20" l="1"/>
  <c r="B49" i="20"/>
  <c r="F48" i="20"/>
  <c r="I48" i="20"/>
  <c r="H48" i="20" s="1"/>
  <c r="K47" i="20"/>
  <c r="G47" i="20"/>
  <c r="Z59" i="16"/>
  <c r="AA14" i="16"/>
  <c r="Z58" i="16"/>
  <c r="Z11" i="16"/>
  <c r="AB63" i="19"/>
  <c r="AC14" i="19"/>
  <c r="AB11" i="19"/>
  <c r="AB62" i="19"/>
  <c r="AC44" i="19" l="1"/>
  <c r="AC53" i="19"/>
  <c r="AC51" i="19"/>
  <c r="AC52" i="19"/>
  <c r="AC38" i="19"/>
  <c r="AC61" i="19"/>
  <c r="AC20" i="19"/>
  <c r="AC43" i="19"/>
  <c r="AC42" i="19"/>
  <c r="AC11" i="19"/>
  <c r="AC63" i="19"/>
  <c r="AC58" i="19"/>
  <c r="AC49" i="19"/>
  <c r="AC34" i="19"/>
  <c r="AC39" i="19"/>
  <c r="AC29" i="19"/>
  <c r="AD14" i="19"/>
  <c r="AC21" i="19"/>
  <c r="AC46" i="19"/>
  <c r="AC24" i="19"/>
  <c r="AC40" i="19"/>
  <c r="AC37" i="19"/>
  <c r="AC33" i="19"/>
  <c r="AC27" i="19"/>
  <c r="AC45" i="19"/>
  <c r="AC54" i="19"/>
  <c r="AC56" i="19"/>
  <c r="AC23" i="19"/>
  <c r="AC31" i="19"/>
  <c r="AC50" i="19"/>
  <c r="AC60" i="19"/>
  <c r="AC36" i="19"/>
  <c r="AC26" i="19"/>
  <c r="AC19" i="19"/>
  <c r="AC47" i="19"/>
  <c r="AC48" i="19"/>
  <c r="AC59" i="19"/>
  <c r="AC62" i="19"/>
  <c r="AC55" i="19"/>
  <c r="AC32" i="19"/>
  <c r="AC22" i="19"/>
  <c r="AC28" i="19"/>
  <c r="AC17" i="19"/>
  <c r="AC10" i="19" s="1"/>
  <c r="AC57" i="19"/>
  <c r="AC41" i="19"/>
  <c r="AC30" i="19"/>
  <c r="AA11" i="16"/>
  <c r="AA58" i="16"/>
  <c r="AB14" i="16"/>
  <c r="AA59" i="16"/>
  <c r="G48" i="20"/>
  <c r="K48" i="20"/>
  <c r="I49" i="20"/>
  <c r="H49" i="20" s="1"/>
  <c r="F49" i="20"/>
  <c r="B50" i="20"/>
  <c r="E49" i="20"/>
  <c r="K49" i="20" l="1"/>
  <c r="G49" i="20"/>
  <c r="B51" i="20"/>
  <c r="E50" i="20"/>
  <c r="F50" i="20"/>
  <c r="I50" i="20"/>
  <c r="H50" i="20" s="1"/>
  <c r="AB58" i="16"/>
  <c r="AB59" i="16"/>
  <c r="AB11" i="16"/>
  <c r="AC14" i="16"/>
  <c r="AD38" i="19"/>
  <c r="AD28" i="19"/>
  <c r="AD60" i="19"/>
  <c r="AD47" i="19"/>
  <c r="AD49" i="19"/>
  <c r="AD36" i="19"/>
  <c r="AD54" i="19"/>
  <c r="AD11" i="19"/>
  <c r="AD21" i="19"/>
  <c r="AD27" i="19"/>
  <c r="AD31" i="19"/>
  <c r="AD45" i="19"/>
  <c r="AD41" i="19"/>
  <c r="AD44" i="19"/>
  <c r="AD23" i="19"/>
  <c r="AD32" i="19"/>
  <c r="AD30" i="19"/>
  <c r="AD34" i="19"/>
  <c r="AD42" i="19"/>
  <c r="AD63" i="19"/>
  <c r="AD19" i="19"/>
  <c r="AD37" i="19"/>
  <c r="AD50" i="19"/>
  <c r="AD52" i="19"/>
  <c r="AD39" i="19"/>
  <c r="AD17" i="19"/>
  <c r="AD10" i="19" s="1"/>
  <c r="D11" i="19" s="1"/>
  <c r="AD62" i="19"/>
  <c r="AD33" i="19"/>
  <c r="AD61" i="19"/>
  <c r="AD43" i="19"/>
  <c r="AD24" i="19"/>
  <c r="AD40" i="19"/>
  <c r="AD53" i="19"/>
  <c r="AD51" i="19"/>
  <c r="AD57" i="19"/>
  <c r="AD48" i="19"/>
  <c r="AD29" i="19"/>
  <c r="AD46" i="19"/>
  <c r="AD56" i="19"/>
  <c r="AD55" i="19"/>
  <c r="AD26" i="19"/>
  <c r="AD58" i="19"/>
  <c r="AD20" i="19"/>
  <c r="AD59" i="19"/>
  <c r="AD22" i="19"/>
  <c r="D13" i="19" l="1"/>
  <c r="F13" i="19"/>
  <c r="F51" i="20"/>
  <c r="E51" i="20"/>
  <c r="I51" i="20"/>
  <c r="H51" i="20" s="1"/>
  <c r="AC18" i="16"/>
  <c r="AC49" i="16"/>
  <c r="AC33" i="16"/>
  <c r="AC27" i="16"/>
  <c r="AC59" i="16"/>
  <c r="AC38" i="16"/>
  <c r="AC50" i="16"/>
  <c r="AC20" i="16"/>
  <c r="AC28" i="16"/>
  <c r="AC34" i="16"/>
  <c r="AC54" i="16"/>
  <c r="AC11" i="16"/>
  <c r="AC42" i="16"/>
  <c r="AC41" i="16"/>
  <c r="AD14" i="16"/>
  <c r="AC46" i="16"/>
  <c r="AC26" i="16"/>
  <c r="AC47" i="16"/>
  <c r="AC48" i="16"/>
  <c r="AC16" i="16"/>
  <c r="AC23" i="16"/>
  <c r="AC35" i="16"/>
  <c r="AC32" i="16"/>
  <c r="AC40" i="16"/>
  <c r="AC57" i="16"/>
  <c r="AC43" i="16"/>
  <c r="AC22" i="16"/>
  <c r="AC24" i="16"/>
  <c r="AC39" i="16"/>
  <c r="AC45" i="16"/>
  <c r="AC29" i="16"/>
  <c r="AC53" i="16"/>
  <c r="AC36" i="16"/>
  <c r="AC58" i="16"/>
  <c r="AC44" i="16"/>
  <c r="AC51" i="16"/>
  <c r="AC56" i="16"/>
  <c r="AC21" i="16"/>
  <c r="AC37" i="16"/>
  <c r="AC55" i="16"/>
  <c r="AC30" i="16"/>
  <c r="AC31" i="16"/>
  <c r="AC25" i="16"/>
  <c r="AC17" i="16"/>
  <c r="AC19" i="16"/>
  <c r="AC52" i="16"/>
  <c r="K50" i="20"/>
  <c r="G50" i="20"/>
  <c r="L12" i="19" l="1"/>
  <c r="P12" i="19"/>
  <c r="O12" i="19"/>
  <c r="AA12" i="19"/>
  <c r="Y12" i="19"/>
  <c r="AD12" i="19"/>
  <c r="I12" i="19"/>
  <c r="T12" i="19"/>
  <c r="W12" i="19"/>
  <c r="Q12" i="19"/>
  <c r="S12" i="19"/>
  <c r="F12" i="19"/>
  <c r="Z12" i="19"/>
  <c r="AC12" i="19"/>
  <c r="H12" i="19"/>
  <c r="G12" i="19"/>
  <c r="J12" i="19"/>
  <c r="N12" i="19"/>
  <c r="K12" i="19"/>
  <c r="X12" i="19"/>
  <c r="M12" i="19"/>
  <c r="AB12" i="19"/>
  <c r="U12" i="19"/>
  <c r="V12" i="19"/>
  <c r="R12" i="19"/>
  <c r="G51" i="20"/>
  <c r="K51" i="20"/>
  <c r="AD32" i="16"/>
  <c r="AD17" i="16"/>
  <c r="AD35" i="16"/>
  <c r="AD23" i="16"/>
  <c r="AD26" i="16"/>
  <c r="AD55" i="16"/>
  <c r="AD18" i="16"/>
  <c r="AD11" i="16"/>
  <c r="AD58" i="16"/>
  <c r="AD41" i="16"/>
  <c r="AD42" i="16"/>
  <c r="AD49" i="16"/>
  <c r="AD51" i="16"/>
  <c r="AD38" i="16"/>
  <c r="AD16" i="16"/>
  <c r="AD28" i="16"/>
  <c r="AD29" i="16"/>
  <c r="AD20" i="16"/>
  <c r="AD22" i="16"/>
  <c r="AD25" i="16"/>
  <c r="AD37" i="16"/>
  <c r="AD19" i="16"/>
  <c r="AD34" i="16"/>
  <c r="AD33" i="16"/>
  <c r="AD21" i="16"/>
  <c r="AD59" i="16"/>
  <c r="AD53" i="16"/>
  <c r="AD40" i="16"/>
  <c r="AD45" i="16"/>
  <c r="AD47" i="16"/>
  <c r="AD30" i="16"/>
  <c r="AD31" i="16"/>
  <c r="AD36" i="16"/>
  <c r="AD44" i="16"/>
  <c r="AD57" i="16"/>
  <c r="AD56" i="16"/>
  <c r="AD48" i="16"/>
  <c r="AD52" i="16"/>
  <c r="AD27" i="16"/>
  <c r="AD24" i="16"/>
  <c r="AD46" i="16"/>
  <c r="AD39" i="16"/>
  <c r="AD43" i="16"/>
  <c r="AD50" i="16"/>
  <c r="AD54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00000000-0006-0000-0100-000001000000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00000000-0006-0000-0100-000003000000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00000000-0006-0000-0100-000004000000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00000000-0006-0000-0100-000005000000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  <comment ref="A12" authorId="0" shapeId="0" xr:uid="{1C874BDA-A1FA-4D99-B115-5CA95F708F7B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12" authorId="0" shapeId="0" xr:uid="{53B0A249-14CC-4DF6-991F-B3B700EBA78C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12" authorId="0" shapeId="0" xr:uid="{C4BA820E-BFA8-44DF-BAB5-BCF9105D4478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12" authorId="0" shapeId="0" xr:uid="{6A328515-2719-406D-BC81-E40D065ED688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12" authorId="0" shapeId="0" xr:uid="{5C6BB1EE-8C7F-488B-8F26-8D1E2E30F864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B15" authorId="0" shapeId="0" xr:uid="{00000000-0006-0000-0200-000001000000}">
      <text>
        <r>
          <rPr>
            <sz val="8"/>
            <color indexed="81"/>
            <rFont val="Tahoma"/>
            <family val="2"/>
          </rPr>
          <t>Average estimate * 0,6</t>
        </r>
      </text>
    </comment>
    <comment ref="B17" authorId="0" shapeId="0" xr:uid="{00000000-0006-0000-0200-000002000000}">
      <text>
        <r>
          <rPr>
            <sz val="8"/>
            <color indexed="81"/>
            <rFont val="Tahoma"/>
            <family val="2"/>
          </rPr>
          <t>Average estimate * 1,6</t>
        </r>
      </text>
    </comment>
    <comment ref="B19" authorId="0" shapeId="0" xr:uid="{00000000-0006-0000-0200-000003000000}">
      <text>
        <r>
          <rPr>
            <sz val="8"/>
            <color indexed="81"/>
            <rFont val="Tahoma"/>
            <family val="2"/>
          </rPr>
          <t>As of latest Product Backlog estimate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00000000-0006-0000-03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00000000-0006-0000-04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<sst xmlns="http://schemas.openxmlformats.org/spreadsheetml/2006/main" count="222" uniqueCount="130">
  <si>
    <t>Goal</t>
  </si>
  <si>
    <t>Start</t>
  </si>
  <si>
    <t>End</t>
  </si>
  <si>
    <t>Status</t>
  </si>
  <si>
    <t>Release Date</t>
  </si>
  <si>
    <t>Product Backlog</t>
  </si>
  <si>
    <t>Story name</t>
  </si>
  <si>
    <t>Task name</t>
  </si>
  <si>
    <t>Responsible</t>
  </si>
  <si>
    <t>Effort</t>
  </si>
  <si>
    <t>Est.</t>
  </si>
  <si>
    <t>Remaining on implementation day…</t>
  </si>
  <si>
    <t>Sprint implementation days</t>
  </si>
  <si>
    <t>Sprint</t>
  </si>
  <si>
    <t>Sprint Plan</t>
  </si>
  <si>
    <t>Increment Plan</t>
  </si>
  <si>
    <t>Incr.</t>
  </si>
  <si>
    <t>Totals</t>
  </si>
  <si>
    <t>Size</t>
  </si>
  <si>
    <t>Planned</t>
  </si>
  <si>
    <t>Unallocated stories</t>
  </si>
  <si>
    <t>Story ID</t>
  </si>
  <si>
    <t>Task rows</t>
  </si>
  <si>
    <t>Done days</t>
  </si>
  <si>
    <t>Trend</t>
  </si>
  <si>
    <t>Trend Days</t>
  </si>
  <si>
    <t>Warning! These are necessary</t>
  </si>
  <si>
    <t>template rows</t>
  </si>
  <si>
    <t>Comments</t>
  </si>
  <si>
    <t>Trend calculated based on last</t>
  </si>
  <si>
    <t>Days</t>
  </si>
  <si>
    <t>Template note: Increment plan is intended to collect individual sprints into larger releases. In smaller projects, this is not needed.</t>
  </si>
  <si>
    <t>Increment</t>
  </si>
  <si>
    <t>Product Backlog Burndown Chart</t>
  </si>
  <si>
    <t>Realized</t>
  </si>
  <si>
    <t>Col top</t>
  </si>
  <si>
    <t>Col bottom</t>
  </si>
  <si>
    <t>Original planned size</t>
  </si>
  <si>
    <t>Do not delete…</t>
  </si>
  <si>
    <t>Sprint count</t>
  </si>
  <si>
    <t>Count trend from last</t>
  </si>
  <si>
    <t>sprints</t>
  </si>
  <si>
    <t>Trend offset</t>
  </si>
  <si>
    <t>Sprints in Trend</t>
  </si>
  <si>
    <t>Current Bottom</t>
  </si>
  <si>
    <t>Real Trend</t>
  </si>
  <si>
    <t>Original estimate</t>
  </si>
  <si>
    <t>Realized average</t>
  </si>
  <si>
    <t>Average last 8</t>
  </si>
  <si>
    <t>Avg. worst 3 in last 8</t>
  </si>
  <si>
    <t>Raw Trend</t>
  </si>
  <si>
    <t>Trend count</t>
  </si>
  <si>
    <t>These hidden cells are used to draw the graph on this page. DO NOT DELETE!</t>
  </si>
  <si>
    <t>Predictions - Completion at the end of sprint…</t>
  </si>
  <si>
    <t>Original estimate - Min</t>
  </si>
  <si>
    <t>Original estimate - Max</t>
  </si>
  <si>
    <t>Original estimate - Avg</t>
  </si>
  <si>
    <t>Trend Help</t>
  </si>
  <si>
    <t>Trend sprint count</t>
  </si>
  <si>
    <t>Realized total average</t>
  </si>
  <si>
    <t>Standard Dev.</t>
  </si>
  <si>
    <t>Realized + St. Dev</t>
  </si>
  <si>
    <t>Realized - St. Dev</t>
  </si>
  <si>
    <t>LastPlanned</t>
  </si>
  <si>
    <t>LastRealized</t>
  </si>
  <si>
    <t>Remain.Work</t>
  </si>
  <si>
    <t>Planned Work</t>
  </si>
  <si>
    <t>Realized Work</t>
  </si>
  <si>
    <t>Current Total Size</t>
  </si>
  <si>
    <t>Average Speeds</t>
  </si>
  <si>
    <t>Last 8</t>
  </si>
  <si>
    <t>Worst 3 in Last 8</t>
  </si>
  <si>
    <t>Velocity (points per sprint)</t>
  </si>
  <si>
    <t>Specification and prototype development</t>
  </si>
  <si>
    <t>Specification and prototype development, documentation</t>
  </si>
  <si>
    <t>Usability test, documentation, prototype corrections</t>
  </si>
  <si>
    <t>Priority</t>
  </si>
  <si>
    <t>Planning</t>
  </si>
  <si>
    <t xml:space="preserve"> </t>
  </si>
  <si>
    <t>Done</t>
  </si>
  <si>
    <t>Example task</t>
  </si>
  <si>
    <t>Example task 2</t>
  </si>
  <si>
    <t>Ongoing</t>
  </si>
  <si>
    <t>Example task 3</t>
  </si>
  <si>
    <t>&lt;Delete these example lines&gt;</t>
  </si>
  <si>
    <t>Danny Dev</t>
  </si>
  <si>
    <t>Tina Tester</t>
  </si>
  <si>
    <t>This is a sample story</t>
  </si>
  <si>
    <t>This is another sample story</t>
  </si>
  <si>
    <t>You can add comments here to add key detail or explanation to the story. For larger definitions, use external tools and materials.</t>
  </si>
  <si>
    <t>This is a third sample story</t>
  </si>
  <si>
    <t>This is a fourth sample story</t>
  </si>
  <si>
    <t>This is an unallocated sample story</t>
  </si>
  <si>
    <t>This is a removed story</t>
  </si>
  <si>
    <t>Removed</t>
  </si>
  <si>
    <t>Note:</t>
  </si>
  <si>
    <t xml:space="preserve">In this chart, the tops of the bars show the amount of actual </t>
  </si>
  <si>
    <t>in the project increases, the bottoms move lower). The length</t>
  </si>
  <si>
    <t>of the bars indicate the estimated size of the project at the</t>
  </si>
  <si>
    <t xml:space="preserve">(or planned) implemented functionality at the beginning of each sprint. </t>
  </si>
  <si>
    <t>The bottoms of the bars show the changes in project scope</t>
  </si>
  <si>
    <t>(i.e. if the amount of story points</t>
  </si>
  <si>
    <t xml:space="preserve">beginning of each sprint. </t>
  </si>
  <si>
    <t>The red line indicates the current planned scope.</t>
  </si>
  <si>
    <t>Initial 
Estimate</t>
  </si>
  <si>
    <t>Story ID:</t>
  </si>
  <si>
    <t>Story:</t>
  </si>
  <si>
    <t>Task:</t>
  </si>
  <si>
    <t>Work 
Left</t>
  </si>
  <si>
    <t>Work 
Done</t>
  </si>
  <si>
    <t>As a customer I want to be able to add an entry for my subscriptions so that I can be reminded when they are close to expiring.</t>
  </si>
  <si>
    <t>As a designer I want to be able to keep track of all costs of my application licenses in one place so that I can budget and price my work appropriately.</t>
  </si>
  <si>
    <t>As a gamer I want to be able to keep track of my MMO subscriptions so that I know when my subscriptions are renewing or expiring.</t>
  </si>
  <si>
    <t>As a full-time student I want to be able to write additional comments on the added subscription so that I can quickly view anything I need to remember regarding the subscription with a quick glance.</t>
  </si>
  <si>
    <t xml:space="preserve">As a consumer I want to view the total cost of my subscriptions every month so I am able to budget with my other expenses. </t>
  </si>
  <si>
    <t xml:space="preserve">As a user I want to have access to the subscription provider’s home page to quickly make changes to my subscription in case I'm still unsure which one works for me. </t>
  </si>
  <si>
    <t>As a homeowner and family person I want to be able to filter my subscriptions by category so that I can separate household utility services and household entertainment services.</t>
  </si>
  <si>
    <t xml:space="preserve">As a low income earner I want to sort my current subscriptions by expiration date so that I can take preemptive action for any subscriptions about to expire. </t>
  </si>
  <si>
    <t xml:space="preserve">As an avid consumer I want to be able to delete a subscription from my profile when it has ended to avoid having inactive subscriptions crowding my account. </t>
  </si>
  <si>
    <t>As a customer I want to create a new account so that I know which subscriptions are tied to my account.</t>
  </si>
  <si>
    <t xml:space="preserve"> As a user I want to use my email as a form of two-factor authentication (2FA) when creating or logging into my account so that my account can remain protected</t>
  </si>
  <si>
    <t>As a contractor I want to be able to securely login to a subscription tracker application so that I can protect my client’s data.</t>
  </si>
  <si>
    <t>As a parent I want to look at the subscriptions on my own account and my child’s account so that I can moderate my child’s subscriptions.</t>
  </si>
  <si>
    <t xml:space="preserve"> - “Changes” can be defined as switching subscription plans.</t>
  </si>
  <si>
    <t xml:space="preserve"> - Another user story can be generated by replacing expiration with renewal
 - For example, this will prompt me to search for a new subscription service of the same category (assuming dissatisfaction with current provider) or ensure financial readiness for the renewal transaction.</t>
  </si>
  <si>
    <t xml:space="preserve"> - “Subscriptions” is a term we are using to loosely define service subscriptions, licenses and free trials
 - A reminder refers to an email notification from the application with details of the subscription due to expire.
 - “Close to expiring” could mean 7 days or 1 day prior to the expiration date</t>
  </si>
  <si>
    <t xml:space="preserve"> - Number literals were chosen because they were thought to be simpler to implement than having some form of currency conversion.
 - With the above comment in mind, this means that if a user lives in NZ and moves elsewhere, the subscription cost doesn't change. It is up to them to change the cost.</t>
  </si>
  <si>
    <t xml:space="preserve">14. As a budgeter I want to be able to input number literals into the subscription's details so I know how much each of my clients' subscriptions cost.
</t>
  </si>
  <si>
    <t xml:space="preserve">15. As a developer I want the system to automatically issue a reminder once the date has changed, and it is within the specified amount of days before a subscription ends. 
</t>
  </si>
  <si>
    <t xml:space="preserve">16. As a developer I want the users to have the ability to add a company that they are subscribed to when they are not able to search for it.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</si>
</sst>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.m\.yyyy;@"/>
    <numFmt numFmtId="165" formatCode="0.0"/>
    <numFmt numFmtId="166" formatCode="&quot;Sprint &quot;#&quot; Backlog&quot;"/>
    <numFmt numFmtId="167" formatCode="&quot;Last &quot;###&quot; sprints&quot;"/>
  </numFmts>
  <fonts count="13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4"/>
      <name val="Arial"/>
    </font>
    <font>
      <sz val="14"/>
      <name val="Arial"/>
      <family val="2"/>
    </font>
    <font>
      <sz val="8"/>
      <color indexed="81"/>
      <name val="Tahoma"/>
      <family val="2"/>
    </font>
    <font>
      <i/>
      <sz val="10"/>
      <color indexed="12"/>
      <name val="Arial"/>
      <family val="2"/>
    </font>
    <font>
      <b/>
      <sz val="8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3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0" fillId="2" borderId="0" xfId="0" applyFill="1" applyAlignment="1"/>
    <xf numFmtId="0" fontId="0" fillId="2" borderId="0" xfId="0" applyNumberFormat="1" applyFill="1" applyBorder="1" applyAlignment="1">
      <alignment horizontal="center"/>
    </xf>
    <xf numFmtId="0" fontId="0" fillId="0" borderId="11" xfId="0" applyBorder="1"/>
    <xf numFmtId="0" fontId="1" fillId="0" borderId="11" xfId="0" applyFont="1" applyBorder="1" applyAlignment="1">
      <alignment horizontal="right"/>
    </xf>
    <xf numFmtId="0" fontId="0" fillId="2" borderId="11" xfId="0" applyNumberFormat="1" applyFill="1" applyBorder="1" applyAlignment="1">
      <alignment horizontal="center"/>
    </xf>
    <xf numFmtId="14" fontId="0" fillId="2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2" xfId="0" applyNumberFormat="1" applyFill="1" applyBorder="1" applyAlignment="1">
      <alignment horizontal="left"/>
    </xf>
    <xf numFmtId="0" fontId="0" fillId="0" borderId="3" xfId="0" applyNumberFormat="1" applyFill="1" applyBorder="1" applyAlignment="1">
      <alignment horizontal="left"/>
    </xf>
    <xf numFmtId="0" fontId="0" fillId="0" borderId="4" xfId="0" applyNumberFormat="1" applyFill="1" applyBorder="1" applyAlignment="1">
      <alignment horizontal="left"/>
    </xf>
    <xf numFmtId="166" fontId="4" fillId="0" borderId="0" xfId="0" applyNumberFormat="1" applyFont="1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Alignment="1">
      <alignment horizontal="center"/>
    </xf>
    <xf numFmtId="166" fontId="4" fillId="0" borderId="0" xfId="0" applyNumberFormat="1" applyFont="1" applyAlignment="1">
      <alignment horizontal="center"/>
    </xf>
    <xf numFmtId="0" fontId="6" fillId="0" borderId="0" xfId="0" applyFo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0" fontId="1" fillId="2" borderId="14" xfId="0" applyFont="1" applyFill="1" applyBorder="1" applyAlignment="1">
      <alignment vertical="top" wrapText="1"/>
    </xf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3" fillId="0" borderId="0" xfId="0" applyFont="1" applyAlignment="1">
      <alignment vertical="top"/>
    </xf>
    <xf numFmtId="0" fontId="0" fillId="3" borderId="0" xfId="0" applyFill="1"/>
    <xf numFmtId="0" fontId="9" fillId="0" borderId="0" xfId="0" applyFont="1"/>
    <xf numFmtId="0" fontId="0" fillId="3" borderId="0" xfId="0" applyFill="1" applyAlignment="1">
      <alignment horizontal="center"/>
    </xf>
    <xf numFmtId="165" fontId="0" fillId="3" borderId="0" xfId="0" applyNumberFormat="1" applyFill="1"/>
    <xf numFmtId="1" fontId="0" fillId="3" borderId="0" xfId="0" applyNumberFormat="1" applyFill="1"/>
    <xf numFmtId="0" fontId="1" fillId="2" borderId="14" xfId="0" applyFont="1" applyFill="1" applyBorder="1" applyAlignment="1">
      <alignment horizontal="center"/>
    </xf>
    <xf numFmtId="0" fontId="1" fillId="2" borderId="14" xfId="0" applyFont="1" applyFill="1" applyBorder="1" applyAlignment="1">
      <alignment wrapText="1"/>
    </xf>
    <xf numFmtId="0" fontId="1" fillId="2" borderId="1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2" borderId="0" xfId="0" applyFont="1" applyFill="1" applyBorder="1" applyAlignment="1">
      <alignment horizontal="left" wrapText="1"/>
    </xf>
    <xf numFmtId="165" fontId="0" fillId="0" borderId="0" xfId="0" applyNumberFormat="1"/>
    <xf numFmtId="166" fontId="4" fillId="0" borderId="0" xfId="0" applyNumberFormat="1" applyFont="1" applyAlignment="1">
      <alignment horizontal="left" vertical="top"/>
    </xf>
    <xf numFmtId="166" fontId="4" fillId="0" borderId="0" xfId="0" applyNumberFormat="1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2" borderId="0" xfId="0" applyFill="1" applyAlignment="1">
      <alignment vertical="top"/>
    </xf>
    <xf numFmtId="0" fontId="1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0" fillId="0" borderId="3" xfId="0" applyBorder="1" applyAlignment="1">
      <alignment horizontal="center"/>
    </xf>
    <xf numFmtId="0" fontId="1" fillId="0" borderId="2" xfId="0" applyFont="1" applyBorder="1"/>
    <xf numFmtId="17" fontId="0" fillId="0" borderId="0" xfId="0" applyNumberFormat="1" applyAlignment="1">
      <alignment vertical="top" wrapText="1"/>
    </xf>
    <xf numFmtId="14" fontId="0" fillId="0" borderId="0" xfId="0" applyNumberFormat="1" applyFill="1" applyBorder="1" applyAlignment="1">
      <alignment horizontal="center"/>
    </xf>
    <xf numFmtId="0" fontId="0" fillId="0" borderId="6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23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25" xfId="0" applyBorder="1" applyAlignment="1">
      <alignment vertical="top"/>
    </xf>
    <xf numFmtId="0" fontId="0" fillId="0" borderId="26" xfId="0" applyBorder="1" applyAlignment="1">
      <alignment vertical="top" wrapText="1"/>
    </xf>
    <xf numFmtId="0" fontId="0" fillId="0" borderId="27" xfId="0" applyBorder="1" applyAlignment="1">
      <alignment vertical="top"/>
    </xf>
    <xf numFmtId="0" fontId="0" fillId="0" borderId="28" xfId="0" applyBorder="1" applyAlignment="1">
      <alignment vertical="top" wrapText="1"/>
    </xf>
    <xf numFmtId="0" fontId="0" fillId="0" borderId="29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31" xfId="0" applyBorder="1" applyAlignment="1">
      <alignment vertical="top"/>
    </xf>
    <xf numFmtId="0" fontId="1" fillId="0" borderId="32" xfId="0" applyFont="1" applyBorder="1" applyAlignment="1">
      <alignment horizontal="center" vertical="top"/>
    </xf>
    <xf numFmtId="0" fontId="10" fillId="0" borderId="27" xfId="0" applyFont="1" applyBorder="1" applyAlignment="1">
      <alignment horizontal="center" vertical="center"/>
    </xf>
    <xf numFmtId="0" fontId="11" fillId="0" borderId="0" xfId="0" applyFont="1" applyAlignment="1">
      <alignment vertical="top" wrapText="1"/>
    </xf>
    <xf numFmtId="0" fontId="0" fillId="0" borderId="0" xfId="0" applyBorder="1" applyAlignment="1">
      <alignment horizontal="center" vertical="top" wrapText="1"/>
    </xf>
    <xf numFmtId="0" fontId="11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7" fontId="0" fillId="0" borderId="0" xfId="0" applyNumberFormat="1" applyAlignment="1">
      <alignment horizontal="center" vertical="top" wrapText="1"/>
    </xf>
    <xf numFmtId="0" fontId="1" fillId="2" borderId="14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167" fontId="0" fillId="0" borderId="0" xfId="0" applyNumberFormat="1" applyAlignment="1">
      <alignment horizontal="left"/>
    </xf>
    <xf numFmtId="0" fontId="8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</cellXfs>
  <cellStyles count="1">
    <cellStyle name="Normal" xfId="0" builtinId="0"/>
  </cellStyles>
  <dxfs count="28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GB"/>
              <a:t>Velocity and Remaining Work</a:t>
            </a:r>
          </a:p>
        </c:rich>
      </c:tx>
      <c:layout>
        <c:manualLayout>
          <c:xMode val="edge"/>
          <c:yMode val="edge"/>
          <c:x val="0.20739246615554632"/>
          <c:y val="1.58227929332794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295776413084351E-2"/>
          <c:y val="0.12658247407547046"/>
          <c:w val="0.88295776413084348"/>
          <c:h val="0.76582396815659637"/>
        </c:manualLayout>
      </c:layout>
      <c:lineChart>
        <c:grouping val="standard"/>
        <c:varyColors val="0"/>
        <c:ser>
          <c:idx val="0"/>
          <c:order val="0"/>
          <c:tx>
            <c:v>Remaining Work</c:v>
          </c:tx>
          <c:spPr>
            <a:ln w="28575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5"/>
                <c:pt idx="0">
                  <c:v>137</c:v>
                </c:pt>
                <c:pt idx="1">
                  <c:v>114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D-1144-AA7E-0E619CC186F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5"/>
                <c:pt idx="0">
                  <c:v>137</c:v>
                </c:pt>
                <c:pt idx="1">
                  <c:v>114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D-1144-AA7E-0E619CC186F8}"/>
            </c:ext>
          </c:extLst>
        </c:ser>
        <c:ser>
          <c:idx val="5"/>
          <c:order val="2"/>
          <c:tx>
            <c:v>Current bottom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[0]!PBCurrentBottom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8D-1144-AA7E-0E619CC186F8}"/>
            </c:ext>
          </c:extLst>
        </c:ser>
        <c:ser>
          <c:idx val="2"/>
          <c:order val="3"/>
          <c:spPr>
            <a:ln w="28575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56</c:v>
                </c:pt>
                <c:pt idx="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8D-1144-AA7E-0E619CC186F8}"/>
            </c:ext>
          </c:extLst>
        </c:ser>
        <c:ser>
          <c:idx val="4"/>
          <c:order val="4"/>
          <c:tx>
            <c:v>Trend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[0]!PBTrend</c:f>
              <c:numCache>
                <c:formatCode>General</c:formatCode>
                <c:ptCount val="7"/>
                <c:pt idx="0">
                  <c:v>137.66666666666669</c:v>
                </c:pt>
                <c:pt idx="1">
                  <c:v>112.66666666666669</c:v>
                </c:pt>
                <c:pt idx="2">
                  <c:v>87.666666666666686</c:v>
                </c:pt>
                <c:pt idx="3">
                  <c:v>62.666666666666686</c:v>
                </c:pt>
                <c:pt idx="4">
                  <c:v>37.666666666666686</c:v>
                </c:pt>
                <c:pt idx="5">
                  <c:v>12.666666666666686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8D-1144-AA7E-0E619CC186F8}"/>
            </c:ext>
          </c:extLst>
        </c:ser>
        <c:ser>
          <c:idx val="3"/>
          <c:order val="5"/>
          <c:tx>
            <c:v>Current Scope</c:v>
          </c:tx>
          <c:spPr>
            <a:ln w="28575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56</c:v>
                </c:pt>
                <c:pt idx="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8D-1144-AA7E-0E619CC18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9999FF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59579759"/>
        <c:axId val="1"/>
      </c:lineChart>
      <c:catAx>
        <c:axId val="595797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2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57975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GB"/>
              <a:t>Development Velocity</a:t>
            </a:r>
          </a:p>
        </c:rich>
      </c:tx>
      <c:layout>
        <c:manualLayout>
          <c:xMode val="edge"/>
          <c:yMode val="edge"/>
          <c:x val="0.28131440466493418"/>
          <c:y val="3.4384075050485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349166562225844E-2"/>
          <c:y val="0.13753600904370894"/>
          <c:w val="0.87885098383256044"/>
          <c:h val="0.65043070943587344"/>
        </c:manualLayout>
      </c:layout>
      <c:barChart>
        <c:barDir val="col"/>
        <c:grouping val="clustered"/>
        <c:varyColors val="0"/>
        <c:ser>
          <c:idx val="4"/>
          <c:order val="0"/>
          <c:tx>
            <c:v>Planned Speed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[0]!PlannedSpeed</c:f>
              <c:numCache>
                <c:formatCode>General</c:formatCode>
                <c:ptCount val="5"/>
                <c:pt idx="0">
                  <c:v>23</c:v>
                </c:pt>
                <c:pt idx="1">
                  <c:v>29</c:v>
                </c:pt>
                <c:pt idx="2">
                  <c:v>31</c:v>
                </c:pt>
                <c:pt idx="3">
                  <c:v>28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4-724F-880D-F13F29763DA3}"/>
            </c:ext>
          </c:extLst>
        </c:ser>
        <c:ser>
          <c:idx val="0"/>
          <c:order val="1"/>
          <c:tx>
            <c:v>Realized Speed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[0]!RealizedSpeed</c:f>
              <c:numCache>
                <c:formatCode>General</c:formatCode>
                <c:ptCount val="5"/>
                <c:pt idx="0">
                  <c:v>23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34-724F-880D-F13F29763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9607247"/>
        <c:axId val="1"/>
      </c:barChart>
      <c:lineChart>
        <c:grouping val="standard"/>
        <c:varyColors val="0"/>
        <c:ser>
          <c:idx val="1"/>
          <c:order val="2"/>
          <c:tx>
            <c:v>Average Realized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[0]!AverageSpeedRealized</c:f>
              <c:numCache>
                <c:formatCode>0.0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34-724F-880D-F13F29763DA3}"/>
            </c:ext>
          </c:extLst>
        </c:ser>
        <c:ser>
          <c:idx val="2"/>
          <c:order val="3"/>
          <c:tx>
            <c:v>Avg. Last 8</c:v>
          </c:tx>
          <c:spPr>
            <a:ln w="25400">
              <a:solidFill>
                <a:srgbClr val="008000"/>
              </a:solidFill>
              <a:prstDash val="lgDashDotDot"/>
            </a:ln>
          </c:spPr>
          <c:marker>
            <c:symbol val="none"/>
          </c:marker>
          <c:val>
            <c:numRef>
              <c:f>[0]!AverageSpeedLastEight</c:f>
              <c:numCache>
                <c:formatCode>0.0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34-724F-880D-F13F29763DA3}"/>
            </c:ext>
          </c:extLst>
        </c:ser>
        <c:ser>
          <c:idx val="3"/>
          <c:order val="4"/>
          <c:tx>
            <c:v>Avg. Worst 3 in Last 8</c:v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val>
            <c:numRef>
              <c:f>[0]!AverageSpeedWorstThree</c:f>
              <c:numCache>
                <c:formatCode>0.0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34-724F-880D-F13F29763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07247"/>
        <c:axId val="1"/>
      </c:lineChart>
      <c:catAx>
        <c:axId val="596072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60724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918453136342687"/>
          <c:y val="0.87689268191556313"/>
          <c:w val="0.77173611940967635"/>
          <c:h val="0.104480830185684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34635691657866"/>
          <c:y val="8.8235610910252865E-2"/>
          <c:w val="0.81942977824709606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'Sp1'!$F$10:$AD$10</c:f>
              <c:numCache>
                <c:formatCode>General</c:formatCode>
                <c:ptCount val="25"/>
                <c:pt idx="0">
                  <c:v>33</c:v>
                </c:pt>
                <c:pt idx="1">
                  <c:v>30</c:v>
                </c:pt>
                <c:pt idx="2">
                  <c:v>23</c:v>
                </c:pt>
                <c:pt idx="3">
                  <c:v>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F-CF40-B746-8A7E1651E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262895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'Sp1'!$F$11:$AD$11</c:f>
              <c:numCache>
                <c:formatCode>General</c:formatCode>
                <c:ptCount val="25"/>
                <c:pt idx="0">
                  <c:v>33</c:v>
                </c:pt>
                <c:pt idx="1">
                  <c:v>26.4</c:v>
                </c:pt>
                <c:pt idx="2">
                  <c:v>19.8</c:v>
                </c:pt>
                <c:pt idx="3">
                  <c:v>13.200000000000003</c:v>
                </c:pt>
                <c:pt idx="4">
                  <c:v>6.6000000000000014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F-CF40-B746-8A7E1651E300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'Sp1'!$F$12:$AD$12</c:f>
              <c:numCache>
                <c:formatCode>General</c:formatCode>
                <c:ptCount val="25"/>
                <c:pt idx="0">
                  <c:v>33.200000000000003</c:v>
                </c:pt>
                <c:pt idx="1">
                  <c:v>28.9</c:v>
                </c:pt>
                <c:pt idx="2">
                  <c:v>24.599999999999998</c:v>
                </c:pt>
                <c:pt idx="3">
                  <c:v>20.299999999999997</c:v>
                </c:pt>
                <c:pt idx="4">
                  <c:v>15.999999999999996</c:v>
                </c:pt>
                <c:pt idx="5">
                  <c:v>11.699999999999996</c:v>
                </c:pt>
                <c:pt idx="6">
                  <c:v>7.399999999999995</c:v>
                </c:pt>
                <c:pt idx="7">
                  <c:v>3.0999999999999943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F-CF40-B746-8A7E1651E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62895"/>
        <c:axId val="1"/>
      </c:lineChart>
      <c:catAx>
        <c:axId val="100262895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49056859293"/>
              <c:y val="0.139706459106404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6289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4598995157002704E-2"/>
          <c:y val="7.6926158148130919E-2"/>
          <c:w val="9.8543217309768255E-2"/>
          <c:h val="0.423093869814720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'Sp2'!$F$10:$AD$10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6-F446-864E-194145C08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107535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'Sp2'!$F$11:$AD$11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F6-F446-864E-194145C08898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'Sp2'!$F$12:$AD$12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F6-F446-864E-194145C08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07535"/>
        <c:axId val="1"/>
      </c:lineChart>
      <c:catAx>
        <c:axId val="75107535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49056859293"/>
              <c:y val="0.139706459106404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10753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4598995157002704E-2"/>
          <c:y val="7.6926158148130919E-2"/>
          <c:w val="9.8543217309768255E-2"/>
          <c:h val="0.423093869814720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76200</xdr:colOff>
          <xdr:row>0</xdr:row>
          <xdr:rowOff>99060</xdr:rowOff>
        </xdr:from>
        <xdr:to>
          <xdr:col>6</xdr:col>
          <xdr:colOff>1051560</xdr:colOff>
          <xdr:row>0</xdr:row>
          <xdr:rowOff>327660</xdr:rowOff>
        </xdr:to>
        <xdr:sp macro="" textlink="">
          <xdr:nvSpPr>
            <xdr:cNvPr id="8196" name="Button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1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NZ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Product Backlog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190500</xdr:colOff>
      <xdr:row>1</xdr:row>
      <xdr:rowOff>50800</xdr:rowOff>
    </xdr:from>
    <xdr:to>
      <xdr:col>24</xdr:col>
      <xdr:colOff>596900</xdr:colOff>
      <xdr:row>19</xdr:row>
      <xdr:rowOff>139700</xdr:rowOff>
    </xdr:to>
    <xdr:graphicFrame macro="">
      <xdr:nvGraphicFramePr>
        <xdr:cNvPr id="18458" name="Chart 2">
          <a:extLst>
            <a:ext uri="{FF2B5EF4-FFF2-40B4-BE49-F238E27FC236}">
              <a16:creationId xmlns:a16="http://schemas.microsoft.com/office/drawing/2014/main" id="{00000000-0008-0000-0200-00001A4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203200</xdr:colOff>
      <xdr:row>20</xdr:row>
      <xdr:rowOff>50800</xdr:rowOff>
    </xdr:from>
    <xdr:to>
      <xdr:col>24</xdr:col>
      <xdr:colOff>609600</xdr:colOff>
      <xdr:row>39</xdr:row>
      <xdr:rowOff>127000</xdr:rowOff>
    </xdr:to>
    <xdr:graphicFrame macro="">
      <xdr:nvGraphicFramePr>
        <xdr:cNvPr id="18459" name="Chart 17">
          <a:extLst>
            <a:ext uri="{FF2B5EF4-FFF2-40B4-BE49-F238E27FC236}">
              <a16:creationId xmlns:a16="http://schemas.microsoft.com/office/drawing/2014/main" id="{00000000-0008-0000-0200-00001B4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0</xdr:row>
      <xdr:rowOff>38100</xdr:rowOff>
    </xdr:from>
    <xdr:to>
      <xdr:col>30</xdr:col>
      <xdr:colOff>50800</xdr:colOff>
      <xdr:row>7</xdr:row>
      <xdr:rowOff>139700</xdr:rowOff>
    </xdr:to>
    <xdr:graphicFrame macro="">
      <xdr:nvGraphicFramePr>
        <xdr:cNvPr id="17422" name="Chart 2">
          <a:extLst>
            <a:ext uri="{FF2B5EF4-FFF2-40B4-BE49-F238E27FC236}">
              <a16:creationId xmlns:a16="http://schemas.microsoft.com/office/drawing/2014/main" id="{00000000-0008-0000-0300-00000E4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266700</xdr:colOff>
          <xdr:row>5</xdr:row>
          <xdr:rowOff>99060</xdr:rowOff>
        </xdr:from>
        <xdr:to>
          <xdr:col>0</xdr:col>
          <xdr:colOff>2308860</xdr:colOff>
          <xdr:row>7</xdr:row>
          <xdr:rowOff>22860</xdr:rowOff>
        </xdr:to>
        <xdr:sp macro="" textlink="">
          <xdr:nvSpPr>
            <xdr:cNvPr id="17411" name="Button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3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NZ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2590800</xdr:colOff>
          <xdr:row>5</xdr:row>
          <xdr:rowOff>99060</xdr:rowOff>
        </xdr:from>
        <xdr:to>
          <xdr:col>2</xdr:col>
          <xdr:colOff>342900</xdr:colOff>
          <xdr:row>7</xdr:row>
          <xdr:rowOff>22860</xdr:rowOff>
        </xdr:to>
        <xdr:sp macro="" textlink="">
          <xdr:nvSpPr>
            <xdr:cNvPr id="17415" name="Button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3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NZ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0</xdr:row>
      <xdr:rowOff>38100</xdr:rowOff>
    </xdr:from>
    <xdr:to>
      <xdr:col>30</xdr:col>
      <xdr:colOff>50800</xdr:colOff>
      <xdr:row>7</xdr:row>
      <xdr:rowOff>139700</xdr:rowOff>
    </xdr:to>
    <xdr:graphicFrame macro="">
      <xdr:nvGraphicFramePr>
        <xdr:cNvPr id="14355" name="Chart 2">
          <a:extLst>
            <a:ext uri="{FF2B5EF4-FFF2-40B4-BE49-F238E27FC236}">
              <a16:creationId xmlns:a16="http://schemas.microsoft.com/office/drawing/2014/main" id="{00000000-0008-0000-0400-000013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266700</xdr:colOff>
          <xdr:row>5</xdr:row>
          <xdr:rowOff>99060</xdr:rowOff>
        </xdr:from>
        <xdr:to>
          <xdr:col>0</xdr:col>
          <xdr:colOff>1981200</xdr:colOff>
          <xdr:row>7</xdr:row>
          <xdr:rowOff>22860</xdr:rowOff>
        </xdr:to>
        <xdr:sp macro="" textlink="">
          <xdr:nvSpPr>
            <xdr:cNvPr id="14349" name="Button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4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NZ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2286000</xdr:colOff>
          <xdr:row>5</xdr:row>
          <xdr:rowOff>99060</xdr:rowOff>
        </xdr:from>
        <xdr:to>
          <xdr:col>2</xdr:col>
          <xdr:colOff>251460</xdr:colOff>
          <xdr:row>7</xdr:row>
          <xdr:rowOff>22860</xdr:rowOff>
        </xdr:to>
        <xdr:sp macro="" textlink="">
          <xdr:nvSpPr>
            <xdr:cNvPr id="14350" name="Button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4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NZ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5" Type="http://schemas.openxmlformats.org/officeDocument/2006/relationships/comments" Target="../comments4.xml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1"/>
  <sheetViews>
    <sheetView workbookViewId="0">
      <selection activeCell="A14" sqref="A14:IV14"/>
    </sheetView>
  </sheetViews>
  <sheetFormatPr defaultColWidth="11.5546875" defaultRowHeight="13.2" x14ac:dyDescent="0.25"/>
  <cols>
    <col min="1" max="1" width="7.6640625" customWidth="1"/>
    <col min="2" max="2" width="10.44140625" customWidth="1"/>
    <col min="3" max="3" width="9.44140625" customWidth="1"/>
    <col min="4" max="5" width="10.6640625" customWidth="1"/>
    <col min="6" max="6" width="8.6640625" customWidth="1"/>
    <col min="7" max="7" width="13.6640625" style="2" customWidth="1"/>
    <col min="8" max="8" width="59.109375" customWidth="1"/>
    <col min="9" max="9" width="10.6640625" customWidth="1"/>
    <col min="10" max="256" width="8.6640625" customWidth="1"/>
  </cols>
  <sheetData>
    <row r="1" spans="1:10" ht="17.399999999999999" x14ac:dyDescent="0.3">
      <c r="A1" s="15" t="s">
        <v>15</v>
      </c>
    </row>
    <row r="3" spans="1:10" x14ac:dyDescent="0.25">
      <c r="A3" s="9" t="s">
        <v>16</v>
      </c>
      <c r="B3" s="45" t="s">
        <v>1</v>
      </c>
      <c r="C3" s="46" t="s">
        <v>30</v>
      </c>
      <c r="D3" s="46" t="s">
        <v>2</v>
      </c>
      <c r="E3" s="45" t="s">
        <v>18</v>
      </c>
      <c r="F3" s="10" t="s">
        <v>3</v>
      </c>
      <c r="G3" s="45" t="s">
        <v>4</v>
      </c>
      <c r="H3" s="11" t="s">
        <v>0</v>
      </c>
      <c r="I3" s="1"/>
      <c r="J3" s="1"/>
    </row>
    <row r="4" spans="1:10" x14ac:dyDescent="0.25">
      <c r="A4" s="12">
        <v>1</v>
      </c>
      <c r="B4" s="43">
        <f>IF(OR(B16="",A4=""),"",B16)</f>
        <v>38881</v>
      </c>
      <c r="C4" s="25">
        <f t="shared" ref="C4:C10" si="0">IF(A4="","",SUMIF(I$16:I$30,A4,C$16:C$30))</f>
        <v>42</v>
      </c>
      <c r="D4" s="43">
        <f>IF(OR(B4="",C4=""),"",B4+C4-1)</f>
        <v>38922</v>
      </c>
      <c r="E4" s="22">
        <f>IF(A4="","",SUMIF(I$16:I$30,'Release Plan'!A4,E$16:E$30))</f>
        <v>19</v>
      </c>
      <c r="F4" s="4"/>
      <c r="G4" s="47"/>
      <c r="H4" s="6"/>
    </row>
    <row r="5" spans="1:10" x14ac:dyDescent="0.25">
      <c r="A5" s="13">
        <v>2</v>
      </c>
      <c r="B5" s="40">
        <f>IF(A5="","",B4+C4)</f>
        <v>38923</v>
      </c>
      <c r="C5" s="22">
        <f t="shared" si="0"/>
        <v>42</v>
      </c>
      <c r="D5" s="40">
        <f t="shared" ref="D5:D10" si="1">IF(OR(B5="",C5=""),"",B5+C5-1)</f>
        <v>38964</v>
      </c>
      <c r="E5" s="22">
        <f>IF(A5="","",SUMIF(I$16:I$30,'Release Plan'!A5,E$16:E$30))</f>
        <v>0</v>
      </c>
      <c r="F5" s="4"/>
      <c r="G5" s="48"/>
      <c r="H5" s="7"/>
    </row>
    <row r="6" spans="1:10" x14ac:dyDescent="0.25">
      <c r="A6" s="13"/>
      <c r="B6" s="40"/>
      <c r="C6" s="22" t="str">
        <f t="shared" si="0"/>
        <v/>
      </c>
      <c r="D6" s="40" t="str">
        <f t="shared" si="1"/>
        <v/>
      </c>
      <c r="E6" s="22" t="str">
        <f>IF(A6="","",SUMIF(I$16:I$30,'Release Plan'!A6,E$16:E$30))</f>
        <v/>
      </c>
      <c r="F6" s="4"/>
      <c r="G6" s="48"/>
      <c r="H6" s="7"/>
    </row>
    <row r="7" spans="1:10" x14ac:dyDescent="0.25">
      <c r="A7" s="13"/>
      <c r="B7" s="40"/>
      <c r="C7" s="22" t="str">
        <f t="shared" si="0"/>
        <v/>
      </c>
      <c r="D7" s="40" t="str">
        <f t="shared" si="1"/>
        <v/>
      </c>
      <c r="E7" s="22" t="str">
        <f>IF(A7="","",SUMIF(I$16:I$30,'Release Plan'!A7,E$16:E$30))</f>
        <v/>
      </c>
      <c r="F7" s="4"/>
      <c r="G7" s="48"/>
      <c r="H7" s="7"/>
    </row>
    <row r="8" spans="1:10" x14ac:dyDescent="0.25">
      <c r="A8" s="13"/>
      <c r="B8" s="40"/>
      <c r="C8" s="22" t="str">
        <f t="shared" si="0"/>
        <v/>
      </c>
      <c r="D8" s="40" t="str">
        <f t="shared" si="1"/>
        <v/>
      </c>
      <c r="E8" s="22" t="str">
        <f>IF(A8="","",SUMIF(I$16:I$30,'Release Plan'!A8,E$16:E$30))</f>
        <v/>
      </c>
      <c r="F8" s="4"/>
      <c r="G8" s="48"/>
      <c r="H8" s="7"/>
    </row>
    <row r="9" spans="1:10" x14ac:dyDescent="0.25">
      <c r="A9" s="13"/>
      <c r="B9" s="40"/>
      <c r="C9" s="22" t="str">
        <f t="shared" si="0"/>
        <v/>
      </c>
      <c r="D9" s="40" t="str">
        <f t="shared" si="1"/>
        <v/>
      </c>
      <c r="E9" s="22" t="str">
        <f>IF(A9="","",SUMIF(I$16:I$30,'Release Plan'!A9,E$16:E$30))</f>
        <v/>
      </c>
      <c r="F9" s="4"/>
      <c r="G9" s="48"/>
      <c r="H9" s="7"/>
    </row>
    <row r="10" spans="1:10" x14ac:dyDescent="0.25">
      <c r="A10" s="14"/>
      <c r="B10" s="41"/>
      <c r="C10" s="42" t="str">
        <f t="shared" si="0"/>
        <v/>
      </c>
      <c r="D10" s="41" t="str">
        <f t="shared" si="1"/>
        <v/>
      </c>
      <c r="E10" s="42" t="str">
        <f>IF(A10="","",SUMIF(I$16:I$30,'Release Plan'!A10,E$16:E$30))</f>
        <v/>
      </c>
      <c r="F10" s="5"/>
      <c r="G10" s="49"/>
      <c r="H10" s="8"/>
    </row>
    <row r="11" spans="1:10" x14ac:dyDescent="0.25">
      <c r="A11" s="37" t="s">
        <v>31</v>
      </c>
    </row>
    <row r="13" spans="1:10" ht="17.399999999999999" x14ac:dyDescent="0.3">
      <c r="A13" s="15" t="s">
        <v>14</v>
      </c>
    </row>
    <row r="15" spans="1:10" x14ac:dyDescent="0.25">
      <c r="A15" s="9" t="s">
        <v>13</v>
      </c>
      <c r="B15" s="45" t="s">
        <v>1</v>
      </c>
      <c r="C15" s="45" t="s">
        <v>30</v>
      </c>
      <c r="D15" s="45" t="s">
        <v>2</v>
      </c>
      <c r="E15" s="45" t="s">
        <v>18</v>
      </c>
      <c r="F15" s="10" t="s">
        <v>3</v>
      </c>
      <c r="G15" s="45" t="s">
        <v>4</v>
      </c>
      <c r="H15" s="73" t="s">
        <v>0</v>
      </c>
      <c r="I15" s="51" t="s">
        <v>32</v>
      </c>
      <c r="J15" s="1"/>
    </row>
    <row r="16" spans="1:10" x14ac:dyDescent="0.25">
      <c r="A16" s="22">
        <v>1</v>
      </c>
      <c r="B16" s="75">
        <v>38881</v>
      </c>
      <c r="C16" s="27">
        <v>14</v>
      </c>
      <c r="D16" s="26">
        <f t="shared" ref="D16:D30" si="2">IF(AND(B16&lt;&gt;"",C16&lt;&gt;""),B16+C16-1,"")</f>
        <v>38894</v>
      </c>
      <c r="E16" s="22">
        <f>IF(A16="","",SUMIF('Product Backlog'!E$5:E$103,'Release Plan'!A16,'Product Backlog'!D$5:D$103))</f>
        <v>8</v>
      </c>
      <c r="F16" s="4" t="s">
        <v>19</v>
      </c>
      <c r="G16" s="27"/>
      <c r="H16" s="28" t="s">
        <v>77</v>
      </c>
      <c r="I16" s="72">
        <v>1</v>
      </c>
    </row>
    <row r="17" spans="1:9" x14ac:dyDescent="0.25">
      <c r="A17" s="22">
        <v>2</v>
      </c>
      <c r="B17" s="26">
        <f>IF(AND(B16&lt;&gt;"",C16&lt;&gt;"",C17&lt;&gt;""),B16+C16,"")</f>
        <v>38895</v>
      </c>
      <c r="C17" s="27">
        <v>14</v>
      </c>
      <c r="D17" s="26">
        <f>IF(AND(B17&lt;&gt;"",C17&lt;&gt;""),B17+C17-1,"")</f>
        <v>38908</v>
      </c>
      <c r="E17" s="22">
        <f>IF(A17="","",SUMIF('Product Backlog'!E$5:E$103,'Release Plan'!A17,'Product Backlog'!D$5:D$103))</f>
        <v>3</v>
      </c>
      <c r="F17" s="4" t="s">
        <v>19</v>
      </c>
      <c r="G17" s="27"/>
      <c r="H17" s="29" t="s">
        <v>73</v>
      </c>
      <c r="I17" s="38">
        <v>1</v>
      </c>
    </row>
    <row r="18" spans="1:9" x14ac:dyDescent="0.25">
      <c r="A18" s="22">
        <v>3</v>
      </c>
      <c r="B18" s="26">
        <f>IF(AND(B17&lt;&gt;"",C17&lt;&gt;"",C18&lt;&gt;""),B17+C17,"")</f>
        <v>38909</v>
      </c>
      <c r="C18" s="27">
        <v>14</v>
      </c>
      <c r="D18" s="26">
        <f>IF(AND(B18&lt;&gt;"",C18&lt;&gt;""),B18+C18-1,"")</f>
        <v>38922</v>
      </c>
      <c r="E18" s="22">
        <f>IF(A18="","",SUMIF('Product Backlog'!E$5:E$103,'Release Plan'!A18,'Product Backlog'!D$5:D$103))</f>
        <v>8</v>
      </c>
      <c r="F18" s="4" t="str">
        <f>IF(AND(OR(F17="Planned",F17="Ongoing"),C18&lt;&gt;""),"Planned","Unplanned")</f>
        <v>Planned</v>
      </c>
      <c r="G18" s="27"/>
      <c r="H18" s="29" t="s">
        <v>73</v>
      </c>
      <c r="I18" s="38">
        <v>1</v>
      </c>
    </row>
    <row r="19" spans="1:9" x14ac:dyDescent="0.25">
      <c r="A19" s="22">
        <v>4</v>
      </c>
      <c r="B19" s="26">
        <f>IF(AND(B18&lt;&gt;"",C18&lt;&gt;"",C19&lt;&gt;""),B18+C18,"")</f>
        <v>38923</v>
      </c>
      <c r="C19" s="27">
        <v>14</v>
      </c>
      <c r="D19" s="26">
        <f>IF(AND(B19&lt;&gt;"",C19&lt;&gt;""),B19+C19-1,"")</f>
        <v>38936</v>
      </c>
      <c r="E19" s="22">
        <f>IF(A19="","",SUMIF('Product Backlog'!E$5:E$103,'Release Plan'!A19,'Product Backlog'!D$5:D$103))</f>
        <v>0</v>
      </c>
      <c r="F19" s="4" t="str">
        <f>IF(AND(OR(F18="Planned",F18="Ongoing"),C19&lt;&gt;""),"Planned","Unplanned")</f>
        <v>Planned</v>
      </c>
      <c r="G19" s="27"/>
      <c r="H19" s="29" t="s">
        <v>73</v>
      </c>
      <c r="I19" s="38">
        <v>2</v>
      </c>
    </row>
    <row r="20" spans="1:9" x14ac:dyDescent="0.25">
      <c r="A20" s="22">
        <v>5</v>
      </c>
      <c r="B20" s="26">
        <f>IF(AND(B19&lt;&gt;"",C19&lt;&gt;"",C20&lt;&gt;""),B19+C19,"")</f>
        <v>38937</v>
      </c>
      <c r="C20" s="27">
        <v>14</v>
      </c>
      <c r="D20" s="26">
        <f>IF(AND(B20&lt;&gt;"",C20&lt;&gt;""),B20+C20-1,"")</f>
        <v>38950</v>
      </c>
      <c r="E20" s="22">
        <f>IF(A20="","",SUMIF('Product Backlog'!E$5:E$103,'Release Plan'!A20,'Product Backlog'!D$5:D$103))</f>
        <v>0</v>
      </c>
      <c r="F20" s="4" t="str">
        <f>IF(AND(OR(F19="Planned",F19="Ongoing"),C20&lt;&gt;""),"Planned","Unplanned")</f>
        <v>Planned</v>
      </c>
      <c r="G20" s="27"/>
      <c r="H20" s="29" t="s">
        <v>74</v>
      </c>
      <c r="I20" s="38">
        <v>2</v>
      </c>
    </row>
    <row r="21" spans="1:9" x14ac:dyDescent="0.25">
      <c r="A21" s="22">
        <v>6</v>
      </c>
      <c r="B21" s="26">
        <f>IF(AND(B20&lt;&gt;"",C20&lt;&gt;"",C21&lt;&gt;""),B20+C20,"")</f>
        <v>38951</v>
      </c>
      <c r="C21" s="27">
        <v>14</v>
      </c>
      <c r="D21" s="26">
        <f>IF(AND(B21&lt;&gt;"",C21&lt;&gt;""),B21+C21-1,"")</f>
        <v>38964</v>
      </c>
      <c r="E21" s="22">
        <f>IF(A21="","",SUMIF('Product Backlog'!E$5:E$103,'Release Plan'!A21,'Product Backlog'!D$5:D$103))</f>
        <v>0</v>
      </c>
      <c r="F21" s="4" t="str">
        <f>IF(AND(OR(F20="Planned",F20="Ongoing"),C21&lt;&gt;""),"Planned","Unplanned")</f>
        <v>Planned</v>
      </c>
      <c r="G21" s="27"/>
      <c r="H21" s="29" t="s">
        <v>75</v>
      </c>
      <c r="I21" s="38">
        <v>2</v>
      </c>
    </row>
    <row r="22" spans="1:9" x14ac:dyDescent="0.25">
      <c r="A22" s="22" t="str">
        <f t="shared" ref="A22:A30" si="3">IF(AND(B22&lt;&gt;"",C22&lt;&gt;""),A21+1,"")</f>
        <v/>
      </c>
      <c r="B22" s="26" t="str">
        <f t="shared" ref="B22:B30" si="4">IF(AND(B21&lt;&gt;"",C21&lt;&gt;"",C22&lt;&gt;""),B21+C21,"")</f>
        <v/>
      </c>
      <c r="C22" s="27"/>
      <c r="D22" s="26" t="str">
        <f t="shared" si="2"/>
        <v/>
      </c>
      <c r="E22" s="22" t="str">
        <f>IF(A22="","",SUMIF('Product Backlog'!E$6:E$103,'Release Plan'!A22,'Product Backlog'!D$6:D$103))</f>
        <v/>
      </c>
      <c r="F22" s="4" t="str">
        <f t="shared" ref="F22:F30" si="5">IF(AND(OR(F21="Planned",F21="Ongoing"),C22&lt;&gt;""),"Planned","Unplanned")</f>
        <v>Unplanned</v>
      </c>
      <c r="G22" s="27"/>
      <c r="H22" s="29"/>
      <c r="I22" s="38"/>
    </row>
    <row r="23" spans="1:9" x14ac:dyDescent="0.25">
      <c r="A23" s="22" t="str">
        <f t="shared" si="3"/>
        <v/>
      </c>
      <c r="B23" s="26" t="str">
        <f t="shared" si="4"/>
        <v/>
      </c>
      <c r="C23" s="27"/>
      <c r="D23" s="26" t="str">
        <f t="shared" si="2"/>
        <v/>
      </c>
      <c r="E23" s="22" t="str">
        <f>IF(A23="","",SUMIF('Product Backlog'!E$6:E$103,'Release Plan'!A23,'Product Backlog'!D$6:D$103))</f>
        <v/>
      </c>
      <c r="F23" s="4" t="str">
        <f t="shared" si="5"/>
        <v>Unplanned</v>
      </c>
      <c r="G23" s="27"/>
      <c r="H23" s="29"/>
      <c r="I23" s="38"/>
    </row>
    <row r="24" spans="1:9" x14ac:dyDescent="0.25">
      <c r="A24" s="22" t="str">
        <f t="shared" si="3"/>
        <v/>
      </c>
      <c r="B24" s="26" t="str">
        <f t="shared" si="4"/>
        <v/>
      </c>
      <c r="C24" s="27"/>
      <c r="D24" s="26" t="str">
        <f t="shared" si="2"/>
        <v/>
      </c>
      <c r="E24" s="22" t="str">
        <f>IF(A24="","",SUMIF('Product Backlog'!E$6:E$103,'Release Plan'!A24,'Product Backlog'!D$6:D$103))</f>
        <v/>
      </c>
      <c r="F24" s="4" t="str">
        <f t="shared" si="5"/>
        <v>Unplanned</v>
      </c>
      <c r="G24" s="27"/>
      <c r="H24" s="29"/>
      <c r="I24" s="38"/>
    </row>
    <row r="25" spans="1:9" x14ac:dyDescent="0.25">
      <c r="A25" s="22" t="str">
        <f t="shared" si="3"/>
        <v/>
      </c>
      <c r="B25" s="26" t="str">
        <f t="shared" si="4"/>
        <v/>
      </c>
      <c r="C25" s="27"/>
      <c r="D25" s="26" t="str">
        <f t="shared" si="2"/>
        <v/>
      </c>
      <c r="E25" s="22" t="str">
        <f>IF(A25="","",SUMIF('Product Backlog'!E$6:E$103,'Release Plan'!A25,'Product Backlog'!D$6:D$103))</f>
        <v/>
      </c>
      <c r="F25" s="4" t="str">
        <f t="shared" si="5"/>
        <v>Unplanned</v>
      </c>
      <c r="G25" s="27"/>
      <c r="H25" s="29"/>
      <c r="I25" s="38"/>
    </row>
    <row r="26" spans="1:9" x14ac:dyDescent="0.25">
      <c r="A26" s="22" t="str">
        <f t="shared" si="3"/>
        <v/>
      </c>
      <c r="B26" s="26" t="str">
        <f t="shared" si="4"/>
        <v/>
      </c>
      <c r="C26" s="27"/>
      <c r="D26" s="26" t="str">
        <f t="shared" si="2"/>
        <v/>
      </c>
      <c r="E26" s="22" t="str">
        <f>IF(A26="","",SUMIF('Product Backlog'!E$6:E$103,'Release Plan'!A26,'Product Backlog'!D$6:D$103))</f>
        <v/>
      </c>
      <c r="F26" s="4" t="str">
        <f t="shared" si="5"/>
        <v>Unplanned</v>
      </c>
      <c r="G26" s="27"/>
      <c r="H26" s="29"/>
      <c r="I26" s="38"/>
    </row>
    <row r="27" spans="1:9" x14ac:dyDescent="0.25">
      <c r="A27" s="22" t="str">
        <f t="shared" si="3"/>
        <v/>
      </c>
      <c r="B27" s="26" t="str">
        <f t="shared" si="4"/>
        <v/>
      </c>
      <c r="C27" s="27"/>
      <c r="D27" s="26" t="str">
        <f t="shared" si="2"/>
        <v/>
      </c>
      <c r="E27" s="22" t="str">
        <f>IF(A27="","",SUMIF('Product Backlog'!E$6:E$103,'Release Plan'!A27,'Product Backlog'!D$6:D$103))</f>
        <v/>
      </c>
      <c r="F27" s="4" t="str">
        <f t="shared" si="5"/>
        <v>Unplanned</v>
      </c>
      <c r="G27" s="27"/>
      <c r="H27" s="29"/>
      <c r="I27" s="38"/>
    </row>
    <row r="28" spans="1:9" x14ac:dyDescent="0.25">
      <c r="A28" s="22" t="str">
        <f t="shared" si="3"/>
        <v/>
      </c>
      <c r="B28" s="26" t="str">
        <f t="shared" si="4"/>
        <v/>
      </c>
      <c r="C28" s="27"/>
      <c r="D28" s="26" t="str">
        <f t="shared" si="2"/>
        <v/>
      </c>
      <c r="E28" s="22" t="str">
        <f>IF(A28="","",SUMIF('Product Backlog'!E$6:E$103,'Release Plan'!A28,'Product Backlog'!D$6:D$103))</f>
        <v/>
      </c>
      <c r="F28" s="4" t="str">
        <f t="shared" si="5"/>
        <v>Unplanned</v>
      </c>
      <c r="G28" s="27"/>
      <c r="H28" s="29"/>
      <c r="I28" s="38"/>
    </row>
    <row r="29" spans="1:9" x14ac:dyDescent="0.25">
      <c r="A29" s="22" t="str">
        <f t="shared" si="3"/>
        <v/>
      </c>
      <c r="B29" s="26" t="str">
        <f t="shared" si="4"/>
        <v/>
      </c>
      <c r="C29" s="27"/>
      <c r="D29" s="26" t="str">
        <f t="shared" si="2"/>
        <v/>
      </c>
      <c r="E29" s="22" t="str">
        <f>IF(A29="","",SUMIF('Product Backlog'!E$6:E$103,'Release Plan'!A29,'Product Backlog'!D$6:D$103))</f>
        <v/>
      </c>
      <c r="F29" s="4" t="str">
        <f t="shared" si="5"/>
        <v>Unplanned</v>
      </c>
      <c r="G29" s="27"/>
      <c r="H29" s="29"/>
      <c r="I29" s="38"/>
    </row>
    <row r="30" spans="1:9" x14ac:dyDescent="0.25">
      <c r="A30" s="22" t="str">
        <f t="shared" si="3"/>
        <v/>
      </c>
      <c r="B30" s="26" t="str">
        <f t="shared" si="4"/>
        <v/>
      </c>
      <c r="C30" s="27"/>
      <c r="D30" s="26" t="str">
        <f t="shared" si="2"/>
        <v/>
      </c>
      <c r="E30" s="22" t="str">
        <f>IF(A30="","",SUMIF('Product Backlog'!E$6:E$103,'Release Plan'!A30,'Product Backlog'!D$6:D$103))</f>
        <v/>
      </c>
      <c r="F30" s="4" t="str">
        <f t="shared" si="5"/>
        <v>Unplanned</v>
      </c>
      <c r="G30" s="27"/>
      <c r="H30" s="30"/>
      <c r="I30" s="39"/>
    </row>
    <row r="31" spans="1:9" x14ac:dyDescent="0.25">
      <c r="A31" s="23"/>
      <c r="B31" s="23"/>
      <c r="C31" s="23"/>
      <c r="D31" s="24" t="s">
        <v>20</v>
      </c>
      <c r="E31" s="25">
        <f>SUMIF('Product Backlog'!E$6:E$103,"",'Product Backlog'!D$6:D$103)-SUMIF('Product Backlog'!C$6:C$103,"Removed",'Product Backlog'!D$6:D$103)</f>
        <v>13</v>
      </c>
      <c r="F31" s="23"/>
      <c r="G31" s="50"/>
      <c r="H31" s="23"/>
    </row>
  </sheetData>
  <phoneticPr fontId="2" type="noConversion"/>
  <conditionalFormatting sqref="G4:H10 E31 E5:E10 A4:D10">
    <cfRule type="expression" dxfId="27" priority="1" stopIfTrue="1">
      <formula>$F4="Planned"</formula>
    </cfRule>
    <cfRule type="expression" dxfId="26" priority="2" stopIfTrue="1">
      <formula>$F4="Ongoing"</formula>
    </cfRule>
  </conditionalFormatting>
  <conditionalFormatting sqref="F4:F10 F16:F30">
    <cfRule type="expression" dxfId="25" priority="3" stopIfTrue="1">
      <formula>$F4="Planned"</formula>
    </cfRule>
    <cfRule type="expression" dxfId="24" priority="4" stopIfTrue="1">
      <formula>$F4="Ongoing"</formula>
    </cfRule>
    <cfRule type="cellIs" dxfId="23" priority="5" stopIfTrue="1" operator="equal">
      <formula>"Unplanned"</formula>
    </cfRule>
  </conditionalFormatting>
  <conditionalFormatting sqref="E4 G16:H30 A16:E30">
    <cfRule type="expression" dxfId="22" priority="6" stopIfTrue="1">
      <formula>OR($F4="Planned",$F4="Unplanned")</formula>
    </cfRule>
    <cfRule type="expression" dxfId="21" priority="7" stopIfTrue="1">
      <formula>$F4="Ongoing"</formula>
    </cfRule>
  </conditionalFormatting>
  <dataValidations count="1">
    <dataValidation type="list" allowBlank="1" showInputMessage="1" showErrorMessage="1" sqref="F4:F10 F16:F30" xr:uid="{00000000-0002-0000-0000-000000000000}">
      <formula1>"Planned,Ongoing,Released,Unplanned"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J53"/>
  <sheetViews>
    <sheetView tabSelected="1" workbookViewId="0">
      <pane ySplit="4" topLeftCell="A26" activePane="bottomLeft" state="frozen"/>
      <selection pane="bottomLeft" activeCell="B31" sqref="B31"/>
    </sheetView>
  </sheetViews>
  <sheetFormatPr defaultColWidth="9.109375" defaultRowHeight="13.2" x14ac:dyDescent="0.25"/>
  <cols>
    <col min="1" max="1" width="9.109375" style="104"/>
    <col min="2" max="2" width="39.33203125" style="32" customWidth="1"/>
    <col min="3" max="3" width="10.6640625" style="104" customWidth="1"/>
    <col min="4" max="6" width="9.109375" style="104"/>
    <col min="7" max="7" width="39.44140625" style="32" customWidth="1"/>
    <col min="8" max="16384" width="9.109375" style="32"/>
  </cols>
  <sheetData>
    <row r="1" spans="1:7" ht="69.599999999999994" x14ac:dyDescent="0.25">
      <c r="A1" s="102" t="s">
        <v>5</v>
      </c>
      <c r="C1" s="103" t="s">
        <v>78</v>
      </c>
    </row>
    <row r="2" spans="1:7" x14ac:dyDescent="0.25">
      <c r="D2" s="105"/>
    </row>
    <row r="4" spans="1:7" ht="13.8" thickBot="1" x14ac:dyDescent="0.3">
      <c r="A4" s="106" t="s">
        <v>21</v>
      </c>
      <c r="B4" s="44" t="s">
        <v>6</v>
      </c>
      <c r="C4" s="106" t="s">
        <v>3</v>
      </c>
      <c r="D4" s="106" t="s">
        <v>18</v>
      </c>
      <c r="E4" s="106" t="s">
        <v>13</v>
      </c>
      <c r="F4" s="106" t="s">
        <v>76</v>
      </c>
      <c r="G4" s="44" t="s">
        <v>28</v>
      </c>
    </row>
    <row r="5" spans="1:7" x14ac:dyDescent="0.25">
      <c r="A5" s="104">
        <v>1</v>
      </c>
      <c r="B5" s="98" t="s">
        <v>87</v>
      </c>
      <c r="C5" s="104" t="s">
        <v>79</v>
      </c>
      <c r="D5" s="104">
        <v>3</v>
      </c>
      <c r="E5" s="104">
        <v>1</v>
      </c>
    </row>
    <row r="6" spans="1:7" ht="39.6" x14ac:dyDescent="0.25">
      <c r="A6" s="104">
        <v>2</v>
      </c>
      <c r="B6" s="32" t="s">
        <v>88</v>
      </c>
      <c r="C6" s="104" t="s">
        <v>82</v>
      </c>
      <c r="D6" s="104">
        <v>5</v>
      </c>
      <c r="E6" s="104">
        <v>1</v>
      </c>
      <c r="G6" s="32" t="s">
        <v>89</v>
      </c>
    </row>
    <row r="7" spans="1:7" x14ac:dyDescent="0.25">
      <c r="A7" s="104">
        <v>3</v>
      </c>
      <c r="B7" s="32" t="s">
        <v>90</v>
      </c>
      <c r="C7" s="104" t="s">
        <v>19</v>
      </c>
      <c r="D7" s="104">
        <v>3</v>
      </c>
      <c r="E7" s="104">
        <v>2</v>
      </c>
    </row>
    <row r="8" spans="1:7" x14ac:dyDescent="0.25">
      <c r="A8" s="104">
        <v>4</v>
      </c>
      <c r="B8" s="32" t="s">
        <v>91</v>
      </c>
      <c r="C8" s="104" t="s">
        <v>19</v>
      </c>
      <c r="D8" s="104">
        <v>8</v>
      </c>
      <c r="E8" s="104">
        <v>3</v>
      </c>
      <c r="G8" s="98"/>
    </row>
    <row r="9" spans="1:7" x14ac:dyDescent="0.25">
      <c r="A9" s="104">
        <v>5</v>
      </c>
      <c r="B9" s="32" t="s">
        <v>92</v>
      </c>
      <c r="C9" s="104" t="s">
        <v>19</v>
      </c>
      <c r="D9" s="104">
        <v>13</v>
      </c>
    </row>
    <row r="10" spans="1:7" ht="26.25" customHeight="1" x14ac:dyDescent="0.25">
      <c r="A10" s="104">
        <v>6</v>
      </c>
      <c r="B10" s="32" t="s">
        <v>93</v>
      </c>
      <c r="C10" s="104" t="s">
        <v>94</v>
      </c>
      <c r="D10" s="104">
        <v>5</v>
      </c>
    </row>
    <row r="11" spans="1:7" ht="26.25" customHeight="1" x14ac:dyDescent="0.25"/>
    <row r="12" spans="1:7" ht="13.8" thickBot="1" x14ac:dyDescent="0.3">
      <c r="A12" s="106" t="s">
        <v>21</v>
      </c>
      <c r="B12" s="44" t="s">
        <v>6</v>
      </c>
      <c r="C12" s="106" t="s">
        <v>3</v>
      </c>
      <c r="D12" s="106" t="s">
        <v>18</v>
      </c>
      <c r="E12" s="106" t="s">
        <v>13</v>
      </c>
      <c r="F12" s="106" t="s">
        <v>76</v>
      </c>
      <c r="G12" s="44" t="s">
        <v>28</v>
      </c>
    </row>
    <row r="13" spans="1:7" ht="105.6" x14ac:dyDescent="0.25">
      <c r="A13" s="104">
        <v>1</v>
      </c>
      <c r="B13" s="98" t="s">
        <v>110</v>
      </c>
      <c r="C13" s="107" t="s">
        <v>19</v>
      </c>
      <c r="G13" s="98" t="s">
        <v>125</v>
      </c>
    </row>
    <row r="14" spans="1:7" ht="52.8" x14ac:dyDescent="0.25">
      <c r="A14" s="104">
        <v>2</v>
      </c>
      <c r="B14" s="98" t="s">
        <v>111</v>
      </c>
      <c r="C14" s="104" t="s">
        <v>19</v>
      </c>
    </row>
    <row r="15" spans="1:7" ht="39.6" x14ac:dyDescent="0.25">
      <c r="A15" s="104">
        <v>3</v>
      </c>
      <c r="B15" s="98" t="s">
        <v>112</v>
      </c>
      <c r="C15" s="104" t="s">
        <v>19</v>
      </c>
    </row>
    <row r="16" spans="1:7" ht="66" x14ac:dyDescent="0.25">
      <c r="A16" s="104">
        <v>4</v>
      </c>
      <c r="B16" s="98" t="s">
        <v>113</v>
      </c>
      <c r="C16" s="104" t="s">
        <v>19</v>
      </c>
      <c r="G16" s="98"/>
    </row>
    <row r="17" spans="1:7" ht="39.6" x14ac:dyDescent="0.25">
      <c r="A17" s="104">
        <v>5</v>
      </c>
      <c r="B17" s="98" t="s">
        <v>114</v>
      </c>
      <c r="C17" s="104" t="s">
        <v>19</v>
      </c>
    </row>
    <row r="18" spans="1:7" ht="52.8" x14ac:dyDescent="0.25">
      <c r="A18" s="104">
        <v>6</v>
      </c>
      <c r="B18" s="98" t="s">
        <v>115</v>
      </c>
      <c r="C18" s="104" t="s">
        <v>19</v>
      </c>
      <c r="G18" s="98" t="s">
        <v>123</v>
      </c>
    </row>
    <row r="19" spans="1:7" ht="66" x14ac:dyDescent="0.25">
      <c r="A19" s="104">
        <v>7</v>
      </c>
      <c r="B19" s="98" t="s">
        <v>116</v>
      </c>
      <c r="C19" s="104" t="s">
        <v>19</v>
      </c>
    </row>
    <row r="20" spans="1:7" ht="92.4" x14ac:dyDescent="0.25">
      <c r="A20" s="104">
        <v>8</v>
      </c>
      <c r="B20" s="98" t="s">
        <v>117</v>
      </c>
      <c r="C20" s="104" t="s">
        <v>19</v>
      </c>
      <c r="G20" s="98" t="s">
        <v>124</v>
      </c>
    </row>
    <row r="21" spans="1:7" ht="52.8" x14ac:dyDescent="0.25">
      <c r="A21" s="104">
        <v>9</v>
      </c>
      <c r="B21" s="98" t="s">
        <v>118</v>
      </c>
      <c r="C21" s="104" t="s">
        <v>19</v>
      </c>
    </row>
    <row r="22" spans="1:7" s="101" customFormat="1" ht="39.6" x14ac:dyDescent="0.25">
      <c r="A22" s="99">
        <v>10</v>
      </c>
      <c r="B22" s="100" t="s">
        <v>119</v>
      </c>
      <c r="C22" s="99" t="s">
        <v>19</v>
      </c>
      <c r="D22" s="99"/>
      <c r="E22" s="99"/>
      <c r="F22" s="99"/>
    </row>
    <row r="23" spans="1:7" ht="52.8" x14ac:dyDescent="0.25">
      <c r="A23" s="104">
        <v>11</v>
      </c>
      <c r="B23" s="98" t="s">
        <v>120</v>
      </c>
      <c r="C23" s="104" t="s">
        <v>19</v>
      </c>
    </row>
    <row r="24" spans="1:7" ht="39.6" x14ac:dyDescent="0.25">
      <c r="A24" s="104">
        <v>12</v>
      </c>
      <c r="B24" s="98" t="s">
        <v>121</v>
      </c>
      <c r="C24" s="104" t="s">
        <v>19</v>
      </c>
    </row>
    <row r="25" spans="1:7" ht="39.6" x14ac:dyDescent="0.25">
      <c r="A25" s="104">
        <v>13</v>
      </c>
      <c r="B25" s="98" t="s">
        <v>122</v>
      </c>
      <c r="C25" s="104" t="s">
        <v>19</v>
      </c>
    </row>
    <row r="26" spans="1:7" ht="92.4" x14ac:dyDescent="0.25">
      <c r="A26" s="104">
        <v>14</v>
      </c>
      <c r="B26" s="98" t="s">
        <v>127</v>
      </c>
      <c r="G26" s="98" t="s">
        <v>126</v>
      </c>
    </row>
    <row r="27" spans="1:7" ht="66" x14ac:dyDescent="0.25">
      <c r="A27" s="104">
        <v>15</v>
      </c>
      <c r="B27" s="98" t="s">
        <v>128</v>
      </c>
      <c r="G27" s="98"/>
    </row>
    <row r="28" spans="1:7" ht="52.8" x14ac:dyDescent="0.25">
      <c r="A28" s="104">
        <v>16</v>
      </c>
      <c r="B28" s="98" t="s">
        <v>129</v>
      </c>
    </row>
    <row r="29" spans="1:7" x14ac:dyDescent="0.25">
      <c r="A29" s="104">
        <v>17</v>
      </c>
    </row>
    <row r="30" spans="1:7" x14ac:dyDescent="0.25">
      <c r="A30" s="104">
        <v>18</v>
      </c>
    </row>
    <row r="31" spans="1:7" x14ac:dyDescent="0.25">
      <c r="A31" s="104">
        <v>19</v>
      </c>
    </row>
    <row r="32" spans="1:7" x14ac:dyDescent="0.25">
      <c r="A32" s="104">
        <v>20</v>
      </c>
    </row>
    <row r="37" spans="7:10" x14ac:dyDescent="0.25">
      <c r="J37" s="74"/>
    </row>
    <row r="42" spans="7:10" x14ac:dyDescent="0.25">
      <c r="G42" s="74"/>
    </row>
    <row r="53" s="32" customFormat="1" x14ac:dyDescent="0.25"/>
  </sheetData>
  <phoneticPr fontId="2" type="noConversion"/>
  <conditionalFormatting sqref="G44:G52 C45:C46 G26:G41 A54:G163 B47:F52 A4:G11 B26:F44 A26:A52">
    <cfRule type="expression" dxfId="20" priority="4" stopIfTrue="1">
      <formula>$C4="Done"</formula>
    </cfRule>
    <cfRule type="expression" dxfId="19" priority="5" stopIfTrue="1">
      <formula>$C4="Ongoing"</formula>
    </cfRule>
    <cfRule type="expression" dxfId="18" priority="6" stopIfTrue="1">
      <formula>$C4="Removed"</formula>
    </cfRule>
  </conditionalFormatting>
  <conditionalFormatting sqref="G53">
    <cfRule type="expression" dxfId="17" priority="7" stopIfTrue="1">
      <formula>$C43="Done"</formula>
    </cfRule>
    <cfRule type="expression" dxfId="16" priority="8" stopIfTrue="1">
      <formula>$C43="Ongoing"</formula>
    </cfRule>
    <cfRule type="expression" dxfId="15" priority="9" stopIfTrue="1">
      <formula>$C43="Removed"</formula>
    </cfRule>
  </conditionalFormatting>
  <conditionalFormatting sqref="G42:G43">
    <cfRule type="expression" dxfId="14" priority="10" stopIfTrue="1">
      <formula>#REF!="Done"</formula>
    </cfRule>
    <cfRule type="expression" dxfId="13" priority="11" stopIfTrue="1">
      <formula>#REF!="Ongoing"</formula>
    </cfRule>
    <cfRule type="expression" dxfId="12" priority="12" stopIfTrue="1">
      <formula>#REF!="Removed"</formula>
    </cfRule>
  </conditionalFormatting>
  <conditionalFormatting sqref="A12:G25">
    <cfRule type="expression" dxfId="11" priority="1" stopIfTrue="1">
      <formula>$C12="Done"</formula>
    </cfRule>
    <cfRule type="expression" dxfId="10" priority="2" stopIfTrue="1">
      <formula>$C12="Ongoing"</formula>
    </cfRule>
    <cfRule type="expression" dxfId="9" priority="3" stopIfTrue="1">
      <formula>$C12="Removed"</formula>
    </cfRule>
  </conditionalFormatting>
  <dataValidations count="1">
    <dataValidation type="list" allowBlank="1" showInputMessage="1" sqref="C54:C163 C4 C6:C12 C14:C52" xr:uid="{00000000-0002-0000-0100-000000000000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6" r:id="rId4" name="Button 4">
              <controlPr defaultSize="0" print="0" autoFill="0" autoPict="0" macro="[0]!SortProductBacklog">
                <anchor>
                  <from>
                    <xdr:col>4</xdr:col>
                    <xdr:colOff>76200</xdr:colOff>
                    <xdr:row>0</xdr:row>
                    <xdr:rowOff>99060</xdr:rowOff>
                  </from>
                  <to>
                    <xdr:col>6</xdr:col>
                    <xdr:colOff>1051560</xdr:colOff>
                    <xdr:row>0</xdr:row>
                    <xdr:rowOff>327660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51"/>
  <sheetViews>
    <sheetView topLeftCell="A4" workbookViewId="0">
      <selection activeCell="D29" sqref="D29"/>
    </sheetView>
  </sheetViews>
  <sheetFormatPr defaultColWidth="11.5546875" defaultRowHeight="13.2" x14ac:dyDescent="0.25"/>
  <cols>
    <col min="1" max="1" width="11.6640625" customWidth="1"/>
    <col min="2" max="4" width="8.6640625" customWidth="1"/>
    <col min="5" max="5" width="14.44140625" customWidth="1"/>
    <col min="6" max="6" width="15.6640625" hidden="1" customWidth="1"/>
    <col min="7" max="8" width="5.44140625" hidden="1" customWidth="1"/>
    <col min="9" max="9" width="7.33203125" hidden="1" customWidth="1"/>
    <col min="10" max="10" width="4.33203125" hidden="1" customWidth="1"/>
    <col min="11" max="13" width="6.6640625" hidden="1" customWidth="1"/>
    <col min="14" max="16" width="9.109375" hidden="1" customWidth="1"/>
    <col min="17" max="17" width="10.44140625" hidden="1" customWidth="1"/>
    <col min="18" max="256" width="8.6640625" customWidth="1"/>
  </cols>
  <sheetData>
    <row r="1" spans="1:26" ht="17.399999999999999" x14ac:dyDescent="0.25">
      <c r="A1" s="52" t="s">
        <v>33</v>
      </c>
    </row>
    <row r="3" spans="1:26" x14ac:dyDescent="0.25">
      <c r="A3" t="s">
        <v>37</v>
      </c>
      <c r="D3">
        <v>137</v>
      </c>
      <c r="F3" t="s">
        <v>39</v>
      </c>
      <c r="G3" s="53">
        <f>IF(COUNT(B28:B39)=0,1,COUNT(B28:B39))</f>
        <v>5</v>
      </c>
    </row>
    <row r="4" spans="1:26" x14ac:dyDescent="0.25">
      <c r="A4" t="s">
        <v>40</v>
      </c>
      <c r="D4">
        <v>3</v>
      </c>
      <c r="E4" t="s">
        <v>41</v>
      </c>
      <c r="F4" t="s">
        <v>58</v>
      </c>
      <c r="G4" s="53">
        <f>IF(COUNT(D28:D51)=0,1,COUNT(D28:D51)+1)</f>
        <v>3</v>
      </c>
    </row>
    <row r="5" spans="1:26" x14ac:dyDescent="0.25">
      <c r="F5" t="s">
        <v>42</v>
      </c>
      <c r="G5" s="53">
        <f>IF(G4&gt;D4,G4-D4,0)</f>
        <v>0</v>
      </c>
      <c r="Z5" s="37" t="s">
        <v>95</v>
      </c>
    </row>
    <row r="6" spans="1:26" x14ac:dyDescent="0.25">
      <c r="A6" s="1" t="s">
        <v>72</v>
      </c>
      <c r="F6" t="s">
        <v>43</v>
      </c>
      <c r="G6" s="53">
        <f>TrendSprintCount-TrendOffset</f>
        <v>3</v>
      </c>
      <c r="Z6" s="37" t="s">
        <v>96</v>
      </c>
    </row>
    <row r="7" spans="1:26" x14ac:dyDescent="0.25">
      <c r="A7" t="s">
        <v>46</v>
      </c>
      <c r="D7">
        <v>30</v>
      </c>
      <c r="Z7" s="37" t="s">
        <v>99</v>
      </c>
    </row>
    <row r="8" spans="1:26" x14ac:dyDescent="0.25">
      <c r="A8" s="108">
        <f>D$4</f>
        <v>3</v>
      </c>
      <c r="B8" s="108"/>
      <c r="D8" s="56">
        <f ca="1">IF(D28="","",AVERAGE(OFFSET(D27,TrendOffset,0,SprintsInTrend,1)))</f>
        <v>25</v>
      </c>
      <c r="Z8" s="37" t="s">
        <v>100</v>
      </c>
    </row>
    <row r="9" spans="1:26" x14ac:dyDescent="0.25">
      <c r="A9" t="s">
        <v>59</v>
      </c>
      <c r="D9" s="56">
        <f ca="1">IF(D28="","",AVERAGE(OFFSET(D27,1,0,SprintCount,1)))</f>
        <v>25</v>
      </c>
      <c r="F9" t="s">
        <v>51</v>
      </c>
      <c r="G9" s="53">
        <f ca="1">IF(M28="",1,COUNT(M28:M110))</f>
        <v>7</v>
      </c>
      <c r="Z9" s="37" t="s">
        <v>101</v>
      </c>
    </row>
    <row r="10" spans="1:26" x14ac:dyDescent="0.25">
      <c r="A10" t="s">
        <v>48</v>
      </c>
      <c r="D10" s="56">
        <f ca="1">IF(D28="","",AVERAGE(LastEight))</f>
        <v>25</v>
      </c>
      <c r="Z10" s="37" t="s">
        <v>97</v>
      </c>
    </row>
    <row r="11" spans="1:26" x14ac:dyDescent="0.25">
      <c r="A11" t="s">
        <v>49</v>
      </c>
      <c r="D11" s="56">
        <f ca="1">IF(D28="","",IF(TrendSprintCount&lt;4,D10,AVERAGE(SMALL(LastEight,1),SMALL(LastEight,2),SMALL(LastEight,3))))</f>
        <v>25</v>
      </c>
      <c r="Z11" s="37" t="s">
        <v>98</v>
      </c>
    </row>
    <row r="12" spans="1:26" x14ac:dyDescent="0.25">
      <c r="A12" t="s">
        <v>24</v>
      </c>
      <c r="D12" s="56">
        <f ca="1">IF(M29="","",M28-M29)</f>
        <v>25</v>
      </c>
      <c r="Z12" s="37" t="s">
        <v>102</v>
      </c>
    </row>
    <row r="13" spans="1:26" x14ac:dyDescent="0.25">
      <c r="F13" s="54" t="s">
        <v>52</v>
      </c>
      <c r="Z13" s="37" t="s">
        <v>103</v>
      </c>
    </row>
    <row r="14" spans="1:26" x14ac:dyDescent="0.25">
      <c r="A14" s="1" t="s">
        <v>53</v>
      </c>
    </row>
    <row r="15" spans="1:26" x14ac:dyDescent="0.25">
      <c r="A15" t="s">
        <v>54</v>
      </c>
      <c r="D15" s="57">
        <f>IF(D7="",0,ROUNDUP(D3/D7*0.6,0))</f>
        <v>3</v>
      </c>
    </row>
    <row r="16" spans="1:26" x14ac:dyDescent="0.25">
      <c r="A16" t="s">
        <v>56</v>
      </c>
      <c r="D16" s="57">
        <f>IF(D7="",0,ROUNDUP(D3/D7,0))</f>
        <v>5</v>
      </c>
    </row>
    <row r="17" spans="1:17" x14ac:dyDescent="0.25">
      <c r="A17" t="s">
        <v>55</v>
      </c>
      <c r="D17" s="57">
        <f>IF(D7="",0,ROUNDUP(D3/D7*1.6,0))</f>
        <v>8</v>
      </c>
      <c r="F17" t="s">
        <v>60</v>
      </c>
      <c r="G17">
        <f>IF(OR(D28="",D29=""),1,STDEV(D28:D51))</f>
        <v>2.8284271247461903</v>
      </c>
    </row>
    <row r="18" spans="1:17" x14ac:dyDescent="0.25">
      <c r="A18" s="108">
        <f>D$4</f>
        <v>3</v>
      </c>
      <c r="B18" s="108"/>
      <c r="D18" s="57">
        <f ca="1">IF(D8="","",IF(LastRealized="",ROUNDUP(LastPlanned/D8,0)+SprintCount-1,ROUNDUP((LastPlanned-LastRealized)/D8+SprintCount,0)))</f>
        <v>6</v>
      </c>
    </row>
    <row r="19" spans="1:17" x14ac:dyDescent="0.25">
      <c r="A19" t="s">
        <v>47</v>
      </c>
      <c r="D19" s="57">
        <f ca="1">IF(D9="","",IF(LastRealized="",ROUNDUP(LastPlanned/D9+SprintCount-1,0),ROUNDUP((LastPlanned-LastRealized)/D9,0)+SprintCount))</f>
        <v>6</v>
      </c>
      <c r="F19" t="s">
        <v>63</v>
      </c>
      <c r="G19">
        <f ca="1">LastPlanned</f>
        <v>28</v>
      </c>
    </row>
    <row r="20" spans="1:17" x14ac:dyDescent="0.25">
      <c r="A20" t="s">
        <v>48</v>
      </c>
      <c r="D20" s="57">
        <f ca="1">IF(D10="","",IF(LastRealized="",ROUNDUP(LastPlanned/D10+SprintCount-1,0),ROUNDUP((LastPlanned-LastRealized)/D10,0)+SprintCount))</f>
        <v>6</v>
      </c>
      <c r="F20" t="s">
        <v>64</v>
      </c>
      <c r="G20">
        <f ca="1">LastRealized</f>
        <v>0</v>
      </c>
    </row>
    <row r="21" spans="1:17" x14ac:dyDescent="0.25">
      <c r="A21" t="s">
        <v>49</v>
      </c>
      <c r="D21" s="57">
        <f ca="1">IF(D11="","",IF(LastRealized="",ROUNDUP(LastPlanned/D11+SprintCount-1,0),ROUNDUP((LastPlanned-LastRealized)/D11,0)+SprintCount))</f>
        <v>6</v>
      </c>
    </row>
    <row r="22" spans="1:17" x14ac:dyDescent="0.25">
      <c r="A22" t="s">
        <v>24</v>
      </c>
      <c r="D22" s="57">
        <f ca="1">IF(COUNT(M28:M51)-1&gt;0,COUNT(M28:M51)-1,"")</f>
        <v>6</v>
      </c>
    </row>
    <row r="23" spans="1:17" x14ac:dyDescent="0.25">
      <c r="A23" t="s">
        <v>61</v>
      </c>
      <c r="D23" s="57">
        <f ca="1">IF(D9="","",IF(LastRealized="",ROUNDUP(LastPlanned/(D9+G17)+SprintCount-1,0),ROUNDUP((LastPlanned-LastRealized)/(D9+G17)+SprintCount,0)))</f>
        <v>6</v>
      </c>
    </row>
    <row r="24" spans="1:17" x14ac:dyDescent="0.25">
      <c r="A24" t="s">
        <v>62</v>
      </c>
      <c r="D24" s="57">
        <f ca="1">IF(D9="","",IF(LastRealized="",ROUNDUP(LastPlanned/(D9-G17)+SprintCount-1,0),ROUNDUP((LastPlanned-LastRealized)/(D9-G17)+SprintCount,0)))</f>
        <v>6</v>
      </c>
    </row>
    <row r="26" spans="1:17" ht="12.75" customHeight="1" x14ac:dyDescent="0.25">
      <c r="F26" s="110" t="s">
        <v>24</v>
      </c>
      <c r="G26" s="110"/>
      <c r="H26" s="110"/>
      <c r="I26" s="110"/>
      <c r="J26" s="110"/>
      <c r="K26" s="110"/>
      <c r="L26" s="110"/>
      <c r="M26" s="110"/>
      <c r="N26" s="110"/>
      <c r="O26" s="110" t="s">
        <v>69</v>
      </c>
      <c r="P26" s="110"/>
      <c r="Q26" s="110"/>
    </row>
    <row r="27" spans="1:17" s="3" customFormat="1" ht="27" thickBot="1" x14ac:dyDescent="0.3">
      <c r="A27" s="58" t="s">
        <v>13</v>
      </c>
      <c r="B27" s="59" t="s">
        <v>65</v>
      </c>
      <c r="C27" s="59" t="s">
        <v>66</v>
      </c>
      <c r="D27" s="60" t="s">
        <v>67</v>
      </c>
      <c r="E27" s="60" t="s">
        <v>68</v>
      </c>
      <c r="F27" s="61" t="s">
        <v>35</v>
      </c>
      <c r="G27" s="109" t="s">
        <v>38</v>
      </c>
      <c r="H27" s="109"/>
      <c r="I27" s="61" t="s">
        <v>36</v>
      </c>
      <c r="J27" s="62"/>
      <c r="K27" s="61" t="s">
        <v>57</v>
      </c>
      <c r="L27" s="61" t="s">
        <v>50</v>
      </c>
      <c r="M27" s="61" t="s">
        <v>45</v>
      </c>
      <c r="N27" s="63" t="s">
        <v>44</v>
      </c>
      <c r="O27" s="61" t="s">
        <v>34</v>
      </c>
      <c r="P27" s="61" t="s">
        <v>70</v>
      </c>
      <c r="Q27" s="61" t="s">
        <v>71</v>
      </c>
    </row>
    <row r="28" spans="1:17" x14ac:dyDescent="0.25">
      <c r="A28" s="55">
        <v>1</v>
      </c>
      <c r="B28" s="2">
        <f>D3</f>
        <v>137</v>
      </c>
      <c r="C28" s="2">
        <v>23</v>
      </c>
      <c r="D28" s="2">
        <v>23</v>
      </c>
      <c r="E28" s="55">
        <f>B28</f>
        <v>137</v>
      </c>
      <c r="F28" s="53">
        <f>B28</f>
        <v>137</v>
      </c>
      <c r="G28" s="53">
        <f t="shared" ref="G28:G51" si="0">F28</f>
        <v>137</v>
      </c>
      <c r="H28" s="53">
        <f t="shared" ref="H28:H33" si="1">I28</f>
        <v>0</v>
      </c>
      <c r="I28" s="53">
        <v>0</v>
      </c>
      <c r="K28">
        <f t="shared" ref="K28:K33" si="2">IF(F28&lt;I28,I28,F28)</f>
        <v>137</v>
      </c>
      <c r="L28" s="53">
        <f t="shared" ref="L28:L51" ca="1" si="3">IF(TREND(OFFSET($K$27,TrendOffset+1,0,SprintsInTrend,1),OFFSET($A$27,TrendOffset+1,0,SprintsInTrend,1),A28)&lt;N28,N28,TREND(OFFSET($K$27,TrendOffset+1,0,SprintsInTrend,1),OFFSET($A$27,TrendOffset+1,0,SprintsInTrend,1),A28))</f>
        <v>137.66666666666669</v>
      </c>
      <c r="M28" s="53">
        <f ca="1">L28</f>
        <v>137.66666666666669</v>
      </c>
      <c r="N28" s="53">
        <f t="shared" ref="N28:N51" ca="1" si="4">OFFSET($I$27,TrendSprintCount,0,1,1)</f>
        <v>0</v>
      </c>
      <c r="O28" s="64">
        <f t="shared" ref="O28:O51" ca="1" si="5">D$9</f>
        <v>25</v>
      </c>
      <c r="P28" s="64">
        <f t="shared" ref="P28:P51" ca="1" si="6">D$10</f>
        <v>25</v>
      </c>
      <c r="Q28" s="64">
        <f t="shared" ref="Q28:Q51" ca="1" si="7">D$11</f>
        <v>25</v>
      </c>
    </row>
    <row r="29" spans="1:17" x14ac:dyDescent="0.25">
      <c r="A29" s="55">
        <v>2</v>
      </c>
      <c r="B29" s="2">
        <f t="shared" ref="B29:B51" si="8">IF(OR(B28="",C28=""),"",IF(D28="",IF(B28-C28&lt;=0,"",B28-C28),IF(B28-D28&lt;=0,"",B28-D28)))</f>
        <v>114</v>
      </c>
      <c r="C29" s="2">
        <v>29</v>
      </c>
      <c r="D29" s="2">
        <v>27</v>
      </c>
      <c r="E29" s="55">
        <f>IF(B29="","",IF(D28="",E28,B29+SUM(D$28:D28)))</f>
        <v>137</v>
      </c>
      <c r="F29" s="53">
        <f t="shared" ref="F29:F34" si="9">IF(B29="",IF(B28="","",IF(D28="","",I28)),IF(AND(D28="",C28=""),"",IF(AND(D28="",C28&lt;&gt;""),IF(I28&gt;F28,F28,I28),F28-D28)))</f>
        <v>114</v>
      </c>
      <c r="G29" s="53">
        <f t="shared" si="0"/>
        <v>114</v>
      </c>
      <c r="H29" s="53">
        <f t="shared" si="1"/>
        <v>0</v>
      </c>
      <c r="I29" s="53">
        <f>IF(B29="",IF(B28="","",IF(D28="","",F28-D28)),IF(AND(C28="",D28=""),"",IF(AND(D28="",C28&lt;&gt;""),IF(I28&gt;F28,I28-C28,F28-C28),B$28-B29-SUM(D$28:D28))))</f>
        <v>0</v>
      </c>
      <c r="K29">
        <f t="shared" si="2"/>
        <v>114</v>
      </c>
      <c r="L29" s="53">
        <f t="shared" ca="1" si="3"/>
        <v>112.66666666666669</v>
      </c>
      <c r="M29" s="53">
        <f ca="1">IF(L29=L28,"",L29)</f>
        <v>112.66666666666669</v>
      </c>
      <c r="N29" s="53">
        <f t="shared" ca="1" si="4"/>
        <v>0</v>
      </c>
      <c r="O29" s="64">
        <f t="shared" ca="1" si="5"/>
        <v>25</v>
      </c>
      <c r="P29" s="64">
        <f t="shared" ca="1" si="6"/>
        <v>25</v>
      </c>
      <c r="Q29" s="64">
        <f t="shared" ca="1" si="7"/>
        <v>25</v>
      </c>
    </row>
    <row r="30" spans="1:17" x14ac:dyDescent="0.25">
      <c r="A30" s="55">
        <v>3</v>
      </c>
      <c r="B30" s="2">
        <f t="shared" si="8"/>
        <v>87</v>
      </c>
      <c r="C30" s="2">
        <v>31</v>
      </c>
      <c r="D30" s="2"/>
      <c r="E30" s="55">
        <f>IF(B30="","",IF(D29="",E29,B30+SUM(D$28:D29)))</f>
        <v>137</v>
      </c>
      <c r="F30" s="53">
        <f t="shared" si="9"/>
        <v>87</v>
      </c>
      <c r="G30" s="53">
        <f t="shared" si="0"/>
        <v>87</v>
      </c>
      <c r="H30" s="53">
        <f t="shared" si="1"/>
        <v>0</v>
      </c>
      <c r="I30" s="53">
        <f>IF(B30="",IF(B29="","",IF(D29="","",F29-D29)),IF(AND(C29="",D29=""),"",IF(AND(D29="",C29&lt;&gt;""),IF(I29&gt;F29,I29-C29,F29-C29),B$28-B30-SUM(D$28:D29))))</f>
        <v>0</v>
      </c>
      <c r="K30">
        <f t="shared" si="2"/>
        <v>87</v>
      </c>
      <c r="L30" s="53">
        <f t="shared" ca="1" si="3"/>
        <v>87.666666666666686</v>
      </c>
      <c r="M30" s="53">
        <f t="shared" ref="M30:M51" ca="1" si="10">IF(L30=L29,"",L30)</f>
        <v>87.666666666666686</v>
      </c>
      <c r="N30" s="53">
        <f t="shared" ca="1" si="4"/>
        <v>0</v>
      </c>
      <c r="O30" s="64">
        <f t="shared" ca="1" si="5"/>
        <v>25</v>
      </c>
      <c r="P30" s="64">
        <f t="shared" ca="1" si="6"/>
        <v>25</v>
      </c>
      <c r="Q30" s="64">
        <f t="shared" ca="1" si="7"/>
        <v>25</v>
      </c>
    </row>
    <row r="31" spans="1:17" x14ac:dyDescent="0.25">
      <c r="A31" s="55">
        <v>4</v>
      </c>
      <c r="B31" s="2">
        <f t="shared" si="8"/>
        <v>56</v>
      </c>
      <c r="C31" s="2">
        <v>28</v>
      </c>
      <c r="D31" s="2"/>
      <c r="E31" s="55">
        <f>IF(B31="","",IF(D30="",E30,B31+SUM(D$28:D30)))</f>
        <v>137</v>
      </c>
      <c r="F31" s="53">
        <f t="shared" si="9"/>
        <v>0</v>
      </c>
      <c r="G31" s="53">
        <f t="shared" si="0"/>
        <v>0</v>
      </c>
      <c r="H31" s="53">
        <f t="shared" si="1"/>
        <v>56</v>
      </c>
      <c r="I31" s="53">
        <f>IF(B31="",IF(B30="","",IF(D30="","",F30-D30)),IF(AND(C30="",D30=""),"",IF(AND(D30="",C30&lt;&gt;""),IF(I30&gt;F30,I30-C30,F30-C30),B$28-B31-SUM(D$28:D30))))</f>
        <v>56</v>
      </c>
      <c r="K31">
        <f t="shared" si="2"/>
        <v>56</v>
      </c>
      <c r="L31" s="53">
        <f t="shared" ca="1" si="3"/>
        <v>62.666666666666686</v>
      </c>
      <c r="M31" s="53">
        <f t="shared" ca="1" si="10"/>
        <v>62.666666666666686</v>
      </c>
      <c r="N31" s="53">
        <f t="shared" ca="1" si="4"/>
        <v>0</v>
      </c>
      <c r="O31" s="64">
        <f t="shared" ca="1" si="5"/>
        <v>25</v>
      </c>
      <c r="P31" s="64">
        <f t="shared" ca="1" si="6"/>
        <v>25</v>
      </c>
      <c r="Q31" s="64">
        <f t="shared" ca="1" si="7"/>
        <v>25</v>
      </c>
    </row>
    <row r="32" spans="1:17" x14ac:dyDescent="0.25">
      <c r="A32" s="55">
        <v>5</v>
      </c>
      <c r="B32" s="2">
        <f>IF(OR(B31="",C31=""),"",IF(D31="",IF(B31-C31&lt;=0,"",B31-C31),IF(B31-D31&lt;=0,"",B31-D31)))</f>
        <v>28</v>
      </c>
      <c r="C32" s="2">
        <v>28</v>
      </c>
      <c r="D32" s="2"/>
      <c r="E32" s="55">
        <f>IF(B32="","",IF(D31="",E31,B32+SUM(D$28:D31)))</f>
        <v>137</v>
      </c>
      <c r="F32" s="53">
        <f t="shared" si="9"/>
        <v>0</v>
      </c>
      <c r="G32" s="53">
        <f t="shared" si="0"/>
        <v>0</v>
      </c>
      <c r="H32" s="53">
        <f t="shared" si="1"/>
        <v>28</v>
      </c>
      <c r="I32" s="53">
        <f>IF(B32="",IF(B31="","",IF(D31="","",F31-D31)),IF(AND(C31="",D31=""),"",IF(AND(D31="",C31&lt;&gt;""),IF(I31&gt;F31,I31-C31,F31-C31),B$28-B32-SUM(D$28:D31))))</f>
        <v>28</v>
      </c>
      <c r="K32">
        <f t="shared" si="2"/>
        <v>28</v>
      </c>
      <c r="L32" s="53">
        <f t="shared" ca="1" si="3"/>
        <v>37.666666666666686</v>
      </c>
      <c r="M32" s="53">
        <f t="shared" ca="1" si="10"/>
        <v>37.666666666666686</v>
      </c>
      <c r="N32" s="53">
        <f t="shared" ca="1" si="4"/>
        <v>0</v>
      </c>
      <c r="O32" s="64">
        <f t="shared" ca="1" si="5"/>
        <v>25</v>
      </c>
      <c r="P32" s="64">
        <f t="shared" ca="1" si="6"/>
        <v>25</v>
      </c>
      <c r="Q32" s="64">
        <f t="shared" ca="1" si="7"/>
        <v>25</v>
      </c>
    </row>
    <row r="33" spans="1:17" x14ac:dyDescent="0.25">
      <c r="A33" s="55">
        <v>6</v>
      </c>
      <c r="B33" s="2" t="str">
        <f>IF(OR(B32="",C32=""),"",IF(D32="",IF(B32-C32&lt;=0,"",B32-C32),IF(B32-D32&lt;=0,"",B32-D32)))</f>
        <v/>
      </c>
      <c r="C33" s="2"/>
      <c r="D33" s="2"/>
      <c r="E33" s="55" t="str">
        <f>IF(B33="","",IF(D32="",E32,B33+SUM(D$28:D32)))</f>
        <v/>
      </c>
      <c r="F33" s="53" t="str">
        <f t="shared" si="9"/>
        <v/>
      </c>
      <c r="G33" s="53" t="str">
        <f t="shared" si="0"/>
        <v/>
      </c>
      <c r="H33" s="53" t="str">
        <f t="shared" si="1"/>
        <v/>
      </c>
      <c r="I33" s="53" t="str">
        <f>IF(B33="",IF(B32="","",IF(D32="","",F32-D32)),IF(AND(C32="",D32=""),"",IF(AND(D32="",C32&lt;&gt;""),IF(I32&gt;F32,I32-C32,F32-C32),B$28-B33-SUM(D$28:D32))))</f>
        <v/>
      </c>
      <c r="K33" t="str">
        <f t="shared" si="2"/>
        <v/>
      </c>
      <c r="L33" s="53">
        <f t="shared" ca="1" si="3"/>
        <v>12.666666666666686</v>
      </c>
      <c r="M33" s="53">
        <f t="shared" ca="1" si="10"/>
        <v>12.666666666666686</v>
      </c>
      <c r="N33" s="53">
        <f t="shared" ca="1" si="4"/>
        <v>0</v>
      </c>
      <c r="O33" s="64">
        <f t="shared" ca="1" si="5"/>
        <v>25</v>
      </c>
      <c r="P33" s="64">
        <f t="shared" ca="1" si="6"/>
        <v>25</v>
      </c>
      <c r="Q33" s="64">
        <f t="shared" ca="1" si="7"/>
        <v>25</v>
      </c>
    </row>
    <row r="34" spans="1:17" x14ac:dyDescent="0.25">
      <c r="A34" s="55">
        <v>7</v>
      </c>
      <c r="B34" s="2" t="str">
        <f>IF(OR(B33="",C33=""),"",IF(D33="",IF(B33-C33&lt;=0,"",B33-C33),IF(B33-D33&lt;=0,"",B33-D33)))</f>
        <v/>
      </c>
      <c r="C34" s="2"/>
      <c r="D34" s="2"/>
      <c r="E34" s="55" t="str">
        <f>IF(B34="","",IF(D33="",E33,B34+SUM(D$28:D33)))</f>
        <v/>
      </c>
      <c r="F34" s="53" t="str">
        <f t="shared" si="9"/>
        <v/>
      </c>
      <c r="G34" s="53" t="str">
        <f t="shared" si="0"/>
        <v/>
      </c>
      <c r="H34" s="53" t="str">
        <f t="shared" ref="H34:H51" si="11">I34</f>
        <v/>
      </c>
      <c r="I34" s="53" t="str">
        <f>IF(B34="",IF(B33="","",IF(D33="","",F33-D33)),IF(AND(C33="",D33=""),"",IF(AND(D33="",C33&lt;&gt;""),IF(I33&gt;F33,I33-C33,F33-C33),B$28-B34-SUM(D$28:D33))))</f>
        <v/>
      </c>
      <c r="K34" t="str">
        <f t="shared" ref="K34:K51" si="12">IF(F34&lt;I34,I34,F34)</f>
        <v/>
      </c>
      <c r="L34" s="53">
        <f t="shared" ca="1" si="3"/>
        <v>0</v>
      </c>
      <c r="M34" s="53">
        <f t="shared" ca="1" si="10"/>
        <v>0</v>
      </c>
      <c r="N34" s="53">
        <f t="shared" ca="1" si="4"/>
        <v>0</v>
      </c>
      <c r="O34" s="64">
        <f t="shared" ca="1" si="5"/>
        <v>25</v>
      </c>
      <c r="P34" s="64">
        <f t="shared" ca="1" si="6"/>
        <v>25</v>
      </c>
      <c r="Q34" s="64">
        <f t="shared" ca="1" si="7"/>
        <v>25</v>
      </c>
    </row>
    <row r="35" spans="1:17" x14ac:dyDescent="0.25">
      <c r="A35" s="55">
        <v>8</v>
      </c>
      <c r="B35" s="2" t="str">
        <f t="shared" si="8"/>
        <v/>
      </c>
      <c r="C35" s="2"/>
      <c r="D35" s="2"/>
      <c r="E35" s="55" t="str">
        <f>IF(B35="","",IF(D34="",E34,B35+SUM(D$28:D34)))</f>
        <v/>
      </c>
      <c r="F35" s="53" t="str">
        <f t="shared" ref="F35:F51" si="13">IF(B35="",IF(B34="","",IF(D34="","",I34)),IF(AND(D34="",C34=""),"",IF(AND(D34="",C34&lt;&gt;""),IF(I34&gt;F34,F34,I34),F34-D34)))</f>
        <v/>
      </c>
      <c r="G35" s="53" t="str">
        <f t="shared" si="0"/>
        <v/>
      </c>
      <c r="H35" s="53" t="str">
        <f t="shared" si="11"/>
        <v/>
      </c>
      <c r="I35" s="53" t="str">
        <f>IF(B35="",IF(B34="","",IF(D34="","",F34-D34)),IF(AND(C34="",D34=""),"",IF(AND(D34="",C34&lt;&gt;""),IF(I34&gt;F34,I34-C34,F34-C34),B$28-B35-SUM(D$28:D34))))</f>
        <v/>
      </c>
      <c r="K35" t="str">
        <f t="shared" si="12"/>
        <v/>
      </c>
      <c r="L35" s="53">
        <f t="shared" ca="1" si="3"/>
        <v>0</v>
      </c>
      <c r="M35" s="53" t="str">
        <f t="shared" ca="1" si="10"/>
        <v/>
      </c>
      <c r="N35" s="53">
        <f t="shared" ca="1" si="4"/>
        <v>0</v>
      </c>
      <c r="O35" s="64">
        <f t="shared" ca="1" si="5"/>
        <v>25</v>
      </c>
      <c r="P35" s="64">
        <f t="shared" ca="1" si="6"/>
        <v>25</v>
      </c>
      <c r="Q35" s="64">
        <f t="shared" ca="1" si="7"/>
        <v>25</v>
      </c>
    </row>
    <row r="36" spans="1:17" x14ac:dyDescent="0.25">
      <c r="A36" s="55">
        <v>9</v>
      </c>
      <c r="B36" s="2" t="str">
        <f t="shared" si="8"/>
        <v/>
      </c>
      <c r="C36" s="2"/>
      <c r="D36" s="2"/>
      <c r="E36" s="55" t="str">
        <f>IF(B36="","",IF(D35="",E35,B36+SUM(D$28:D35)))</f>
        <v/>
      </c>
      <c r="F36" s="53" t="str">
        <f t="shared" si="13"/>
        <v/>
      </c>
      <c r="G36" s="53" t="str">
        <f t="shared" si="0"/>
        <v/>
      </c>
      <c r="H36" s="53" t="str">
        <f t="shared" si="11"/>
        <v/>
      </c>
      <c r="I36" s="53" t="str">
        <f>IF(B36="",IF(B35="","",IF(D35="","",F35-D35)),IF(AND(C35="",D35=""),"",IF(AND(D35="",C35&lt;&gt;""),IF(I35&gt;F35,I35-C35,F35-C35),B$28-B36-SUM(D$28:D35))))</f>
        <v/>
      </c>
      <c r="K36" t="str">
        <f t="shared" si="12"/>
        <v/>
      </c>
      <c r="L36" s="53">
        <f t="shared" ca="1" si="3"/>
        <v>0</v>
      </c>
      <c r="M36" s="53" t="str">
        <f t="shared" ca="1" si="10"/>
        <v/>
      </c>
      <c r="N36" s="53">
        <f t="shared" ca="1" si="4"/>
        <v>0</v>
      </c>
      <c r="O36" s="64">
        <f t="shared" ca="1" si="5"/>
        <v>25</v>
      </c>
      <c r="P36" s="64">
        <f t="shared" ca="1" si="6"/>
        <v>25</v>
      </c>
      <c r="Q36" s="64">
        <f t="shared" ca="1" si="7"/>
        <v>25</v>
      </c>
    </row>
    <row r="37" spans="1:17" x14ac:dyDescent="0.25">
      <c r="A37" s="55">
        <v>10</v>
      </c>
      <c r="B37" s="2" t="str">
        <f t="shared" si="8"/>
        <v/>
      </c>
      <c r="C37" s="2"/>
      <c r="D37" s="2"/>
      <c r="E37" s="55" t="str">
        <f>IF(B37="","",IF(D36="",E36,B37+SUM(D$28:D36)))</f>
        <v/>
      </c>
      <c r="F37" s="53" t="str">
        <f t="shared" si="13"/>
        <v/>
      </c>
      <c r="G37" s="53" t="str">
        <f t="shared" si="0"/>
        <v/>
      </c>
      <c r="H37" s="53" t="str">
        <f t="shared" si="11"/>
        <v/>
      </c>
      <c r="I37" s="53" t="str">
        <f>IF(B37="",IF(B36="","",IF(D36="","",F36-D36)),IF(AND(C36="",D36=""),"",IF(AND(D36="",C36&lt;&gt;""),IF(I36&gt;F36,I36-C36,F36-C36),B$28-B37-SUM(D$28:D36))))</f>
        <v/>
      </c>
      <c r="K37" t="str">
        <f t="shared" si="12"/>
        <v/>
      </c>
      <c r="L37" s="53">
        <f t="shared" ca="1" si="3"/>
        <v>0</v>
      </c>
      <c r="M37" s="53" t="str">
        <f t="shared" ca="1" si="10"/>
        <v/>
      </c>
      <c r="N37" s="53">
        <f t="shared" ca="1" si="4"/>
        <v>0</v>
      </c>
      <c r="O37" s="64">
        <f t="shared" ca="1" si="5"/>
        <v>25</v>
      </c>
      <c r="P37" s="64">
        <f t="shared" ca="1" si="6"/>
        <v>25</v>
      </c>
      <c r="Q37" s="64">
        <f t="shared" ca="1" si="7"/>
        <v>25</v>
      </c>
    </row>
    <row r="38" spans="1:17" x14ac:dyDescent="0.25">
      <c r="A38" s="55">
        <v>11</v>
      </c>
      <c r="B38" s="2" t="str">
        <f t="shared" si="8"/>
        <v/>
      </c>
      <c r="C38" s="2"/>
      <c r="D38" s="2"/>
      <c r="E38" s="55" t="str">
        <f>IF(B38="","",IF(D37="",E37,B38+SUM(D$28:D37)))</f>
        <v/>
      </c>
      <c r="F38" s="53" t="str">
        <f t="shared" si="13"/>
        <v/>
      </c>
      <c r="G38" s="53" t="str">
        <f t="shared" si="0"/>
        <v/>
      </c>
      <c r="H38" s="53" t="str">
        <f t="shared" si="11"/>
        <v/>
      </c>
      <c r="I38" s="53" t="str">
        <f>IF(B38="",IF(B37="","",IF(D37="","",F37-D37)),IF(AND(C37="",D37=""),"",IF(AND(D37="",C37&lt;&gt;""),IF(I37&gt;F37,I37-C37,F37-C37),B$28-B38-SUM(D$28:D37))))</f>
        <v/>
      </c>
      <c r="K38" t="str">
        <f t="shared" si="12"/>
        <v/>
      </c>
      <c r="L38" s="53">
        <f t="shared" ca="1" si="3"/>
        <v>0</v>
      </c>
      <c r="M38" s="53" t="str">
        <f t="shared" ca="1" si="10"/>
        <v/>
      </c>
      <c r="N38" s="53">
        <f t="shared" ca="1" si="4"/>
        <v>0</v>
      </c>
      <c r="O38" s="64">
        <f t="shared" ca="1" si="5"/>
        <v>25</v>
      </c>
      <c r="P38" s="64">
        <f t="shared" ca="1" si="6"/>
        <v>25</v>
      </c>
      <c r="Q38" s="64">
        <f t="shared" ca="1" si="7"/>
        <v>25</v>
      </c>
    </row>
    <row r="39" spans="1:17" x14ac:dyDescent="0.25">
      <c r="A39" s="55">
        <v>12</v>
      </c>
      <c r="B39" s="2" t="str">
        <f t="shared" si="8"/>
        <v/>
      </c>
      <c r="C39" s="2"/>
      <c r="D39" s="2"/>
      <c r="E39" s="55" t="str">
        <f>IF(B39="","",IF(D38="",E38,B39+SUM(D$28:D38)))</f>
        <v/>
      </c>
      <c r="F39" s="53" t="str">
        <f t="shared" si="13"/>
        <v/>
      </c>
      <c r="G39" s="53" t="str">
        <f t="shared" si="0"/>
        <v/>
      </c>
      <c r="H39" s="53" t="str">
        <f t="shared" si="11"/>
        <v/>
      </c>
      <c r="I39" s="53" t="str">
        <f>IF(B39="",IF(B38="","",IF(D38="","",F38-D38)),IF(AND(C38="",D38=""),"",IF(AND(D38="",C38&lt;&gt;""),IF(I38&gt;F38,I38-C38,F38-C38),B$28-B39-SUM(D$28:D38))))</f>
        <v/>
      </c>
      <c r="K39" t="str">
        <f t="shared" si="12"/>
        <v/>
      </c>
      <c r="L39" s="53">
        <f t="shared" ca="1" si="3"/>
        <v>0</v>
      </c>
      <c r="M39" s="53" t="str">
        <f t="shared" ca="1" si="10"/>
        <v/>
      </c>
      <c r="N39" s="53">
        <f t="shared" ca="1" si="4"/>
        <v>0</v>
      </c>
      <c r="O39" s="64">
        <f t="shared" ca="1" si="5"/>
        <v>25</v>
      </c>
      <c r="P39" s="64">
        <f t="shared" ca="1" si="6"/>
        <v>25</v>
      </c>
      <c r="Q39" s="64">
        <f t="shared" ca="1" si="7"/>
        <v>25</v>
      </c>
    </row>
    <row r="40" spans="1:17" x14ac:dyDescent="0.25">
      <c r="A40" s="55">
        <v>13</v>
      </c>
      <c r="B40" s="2" t="str">
        <f t="shared" si="8"/>
        <v/>
      </c>
      <c r="C40" s="2"/>
      <c r="E40" s="55" t="str">
        <f>IF(B40="","",IF(D39="",E39,B40+SUM(D$28:D39)))</f>
        <v/>
      </c>
      <c r="F40" s="53" t="str">
        <f t="shared" si="13"/>
        <v/>
      </c>
      <c r="G40" s="53" t="str">
        <f t="shared" si="0"/>
        <v/>
      </c>
      <c r="H40" s="53" t="str">
        <f t="shared" si="11"/>
        <v/>
      </c>
      <c r="I40" s="53" t="str">
        <f>IF(B40="",IF(B39="","",IF(D39="","",F39-D39)),IF(AND(C39="",D39=""),"",IF(AND(D39="",C39&lt;&gt;""),IF(I39&gt;F39,I39-C39,F39-C39),B$28-B40-SUM(D$28:D39))))</f>
        <v/>
      </c>
      <c r="K40" t="str">
        <f t="shared" si="12"/>
        <v/>
      </c>
      <c r="L40" s="53">
        <f t="shared" ca="1" si="3"/>
        <v>0</v>
      </c>
      <c r="M40" s="53" t="str">
        <f t="shared" ca="1" si="10"/>
        <v/>
      </c>
      <c r="N40" s="53">
        <f t="shared" ca="1" si="4"/>
        <v>0</v>
      </c>
      <c r="O40" s="64">
        <f t="shared" ca="1" si="5"/>
        <v>25</v>
      </c>
      <c r="P40" s="64">
        <f t="shared" ca="1" si="6"/>
        <v>25</v>
      </c>
      <c r="Q40" s="64">
        <f t="shared" ca="1" si="7"/>
        <v>25</v>
      </c>
    </row>
    <row r="41" spans="1:17" x14ac:dyDescent="0.25">
      <c r="A41" s="55">
        <v>14</v>
      </c>
      <c r="B41" s="2" t="str">
        <f t="shared" si="8"/>
        <v/>
      </c>
      <c r="C41" s="2"/>
      <c r="E41" s="55" t="str">
        <f>IF(B41="","",IF(D40="",E40,B41+SUM(D$28:D40)))</f>
        <v/>
      </c>
      <c r="F41" s="53" t="str">
        <f t="shared" si="13"/>
        <v/>
      </c>
      <c r="G41" s="53" t="str">
        <f t="shared" si="0"/>
        <v/>
      </c>
      <c r="H41" s="53" t="str">
        <f t="shared" si="11"/>
        <v/>
      </c>
      <c r="I41" s="53" t="str">
        <f>IF(B41="",IF(B40="","",IF(D40="","",F40-D40)),IF(AND(C40="",D40=""),"",IF(AND(D40="",C40&lt;&gt;""),IF(I40&gt;F40,I40-C40,F40-C40),B$28-B41-SUM(D$28:D40))))</f>
        <v/>
      </c>
      <c r="K41" t="str">
        <f t="shared" si="12"/>
        <v/>
      </c>
      <c r="L41" s="53">
        <f t="shared" ca="1" si="3"/>
        <v>0</v>
      </c>
      <c r="M41" s="53" t="str">
        <f t="shared" ca="1" si="10"/>
        <v/>
      </c>
      <c r="N41" s="53">
        <f t="shared" ca="1" si="4"/>
        <v>0</v>
      </c>
      <c r="O41" s="64">
        <f t="shared" ca="1" si="5"/>
        <v>25</v>
      </c>
      <c r="P41" s="64">
        <f t="shared" ca="1" si="6"/>
        <v>25</v>
      </c>
      <c r="Q41" s="64">
        <f t="shared" ca="1" si="7"/>
        <v>25</v>
      </c>
    </row>
    <row r="42" spans="1:17" x14ac:dyDescent="0.25">
      <c r="A42" s="55">
        <v>15</v>
      </c>
      <c r="B42" s="2" t="str">
        <f t="shared" si="8"/>
        <v/>
      </c>
      <c r="C42" s="2"/>
      <c r="E42" s="55" t="str">
        <f>IF(B42="","",IF(D41="",E41,B42+SUM(D$28:D41)))</f>
        <v/>
      </c>
      <c r="F42" s="53" t="str">
        <f t="shared" si="13"/>
        <v/>
      </c>
      <c r="G42" s="53" t="str">
        <f t="shared" si="0"/>
        <v/>
      </c>
      <c r="H42" s="53" t="str">
        <f t="shared" si="11"/>
        <v/>
      </c>
      <c r="I42" s="53" t="str">
        <f>IF(B42="",IF(B41="","",IF(D41="","",F41-D41)),IF(AND(C41="",D41=""),"",IF(AND(D41="",C41&lt;&gt;""),IF(I41&gt;F41,I41-C41,F41-C41),B$28-B42-SUM(D$28:D41))))</f>
        <v/>
      </c>
      <c r="K42" t="str">
        <f t="shared" si="12"/>
        <v/>
      </c>
      <c r="L42" s="53">
        <f t="shared" ca="1" si="3"/>
        <v>0</v>
      </c>
      <c r="M42" s="53" t="str">
        <f t="shared" ca="1" si="10"/>
        <v/>
      </c>
      <c r="N42" s="53">
        <f t="shared" ca="1" si="4"/>
        <v>0</v>
      </c>
      <c r="O42" s="64">
        <f t="shared" ca="1" si="5"/>
        <v>25</v>
      </c>
      <c r="P42" s="64">
        <f t="shared" ca="1" si="6"/>
        <v>25</v>
      </c>
      <c r="Q42" s="64">
        <f t="shared" ca="1" si="7"/>
        <v>25</v>
      </c>
    </row>
    <row r="43" spans="1:17" x14ac:dyDescent="0.25">
      <c r="A43" s="55">
        <v>16</v>
      </c>
      <c r="B43" s="2" t="str">
        <f t="shared" si="8"/>
        <v/>
      </c>
      <c r="C43" s="2"/>
      <c r="E43" s="55" t="str">
        <f>IF(B43="","",IF(D42="",E42,B43+SUM(D$28:D42)))</f>
        <v/>
      </c>
      <c r="F43" s="53" t="str">
        <f t="shared" si="13"/>
        <v/>
      </c>
      <c r="G43" s="53" t="str">
        <f t="shared" si="0"/>
        <v/>
      </c>
      <c r="H43" s="53" t="str">
        <f t="shared" si="11"/>
        <v/>
      </c>
      <c r="I43" s="53" t="str">
        <f>IF(B43="",IF(B42="","",IF(D42="","",F42-D42)),IF(AND(C42="",D42=""),"",IF(AND(D42="",C42&lt;&gt;""),IF(I42&gt;F42,I42-C42,F42-C42),B$28-B43-SUM(D$28:D42))))</f>
        <v/>
      </c>
      <c r="K43" t="str">
        <f t="shared" si="12"/>
        <v/>
      </c>
      <c r="L43" s="53">
        <f t="shared" ca="1" si="3"/>
        <v>0</v>
      </c>
      <c r="M43" s="53" t="str">
        <f t="shared" ca="1" si="10"/>
        <v/>
      </c>
      <c r="N43" s="53">
        <f t="shared" ca="1" si="4"/>
        <v>0</v>
      </c>
      <c r="O43" s="64">
        <f t="shared" ca="1" si="5"/>
        <v>25</v>
      </c>
      <c r="P43" s="64">
        <f t="shared" ca="1" si="6"/>
        <v>25</v>
      </c>
      <c r="Q43" s="64">
        <f t="shared" ca="1" si="7"/>
        <v>25</v>
      </c>
    </row>
    <row r="44" spans="1:17" x14ac:dyDescent="0.25">
      <c r="A44" s="55">
        <v>17</v>
      </c>
      <c r="B44" s="2" t="str">
        <f t="shared" si="8"/>
        <v/>
      </c>
      <c r="C44" s="2"/>
      <c r="E44" s="55" t="str">
        <f>IF(B44="","",IF(D43="",E43,B44+SUM(D$28:D43)))</f>
        <v/>
      </c>
      <c r="F44" s="53" t="str">
        <f t="shared" si="13"/>
        <v/>
      </c>
      <c r="G44" s="53" t="str">
        <f t="shared" si="0"/>
        <v/>
      </c>
      <c r="H44" s="53" t="str">
        <f t="shared" si="11"/>
        <v/>
      </c>
      <c r="I44" s="53" t="str">
        <f>IF(B44="",IF(B43="","",IF(D43="","",F43-D43)),IF(AND(C43="",D43=""),"",IF(AND(D43="",C43&lt;&gt;""),IF(I43&gt;F43,I43-C43,F43-C43),B$28-B44-SUM(D$28:D43))))</f>
        <v/>
      </c>
      <c r="K44" t="str">
        <f t="shared" si="12"/>
        <v/>
      </c>
      <c r="L44" s="53">
        <f t="shared" ca="1" si="3"/>
        <v>0</v>
      </c>
      <c r="M44" s="53" t="str">
        <f t="shared" ca="1" si="10"/>
        <v/>
      </c>
      <c r="N44" s="53">
        <f t="shared" ca="1" si="4"/>
        <v>0</v>
      </c>
      <c r="O44" s="64">
        <f t="shared" ca="1" si="5"/>
        <v>25</v>
      </c>
      <c r="P44" s="64">
        <f t="shared" ca="1" si="6"/>
        <v>25</v>
      </c>
      <c r="Q44" s="64">
        <f t="shared" ca="1" si="7"/>
        <v>25</v>
      </c>
    </row>
    <row r="45" spans="1:17" x14ac:dyDescent="0.25">
      <c r="A45" s="55">
        <v>18</v>
      </c>
      <c r="B45" s="2" t="str">
        <f t="shared" si="8"/>
        <v/>
      </c>
      <c r="C45" s="2"/>
      <c r="E45" s="55" t="str">
        <f>IF(B45="","",IF(D44="",E44,B45+SUM(D$28:D44)))</f>
        <v/>
      </c>
      <c r="F45" s="53" t="str">
        <f t="shared" si="13"/>
        <v/>
      </c>
      <c r="G45" s="53" t="str">
        <f t="shared" si="0"/>
        <v/>
      </c>
      <c r="H45" s="53" t="str">
        <f t="shared" si="11"/>
        <v/>
      </c>
      <c r="I45" s="53" t="str">
        <f>IF(B45="",IF(B44="","",IF(D44="","",F44-D44)),IF(AND(C44="",D44=""),"",IF(AND(D44="",C44&lt;&gt;""),IF(I44&gt;F44,I44-C44,F44-C44),B$28-B45-SUM(D$28:D44))))</f>
        <v/>
      </c>
      <c r="K45" t="str">
        <f t="shared" si="12"/>
        <v/>
      </c>
      <c r="L45" s="53">
        <f t="shared" ca="1" si="3"/>
        <v>0</v>
      </c>
      <c r="M45" s="53" t="str">
        <f t="shared" ca="1" si="10"/>
        <v/>
      </c>
      <c r="N45" s="53">
        <f t="shared" ca="1" si="4"/>
        <v>0</v>
      </c>
      <c r="O45" s="64">
        <f t="shared" ca="1" si="5"/>
        <v>25</v>
      </c>
      <c r="P45" s="64">
        <f t="shared" ca="1" si="6"/>
        <v>25</v>
      </c>
      <c r="Q45" s="64">
        <f t="shared" ca="1" si="7"/>
        <v>25</v>
      </c>
    </row>
    <row r="46" spans="1:17" x14ac:dyDescent="0.25">
      <c r="A46" s="55">
        <v>19</v>
      </c>
      <c r="B46" s="2" t="str">
        <f t="shared" si="8"/>
        <v/>
      </c>
      <c r="C46" s="2"/>
      <c r="E46" s="55" t="str">
        <f>IF(B46="","",IF(D45="",E45,B46+SUM(D$28:D45)))</f>
        <v/>
      </c>
      <c r="F46" s="53" t="str">
        <f t="shared" si="13"/>
        <v/>
      </c>
      <c r="G46" s="53" t="str">
        <f t="shared" si="0"/>
        <v/>
      </c>
      <c r="H46" s="53" t="str">
        <f t="shared" si="11"/>
        <v/>
      </c>
      <c r="I46" s="53" t="str">
        <f>IF(B46="",IF(B45="","",IF(D45="","",F45-D45)),IF(AND(C45="",D45=""),"",IF(AND(D45="",C45&lt;&gt;""),IF(I45&gt;F45,I45-C45,F45-C45),B$28-B46-SUM(D$28:D45))))</f>
        <v/>
      </c>
      <c r="K46" t="str">
        <f t="shared" si="12"/>
        <v/>
      </c>
      <c r="L46" s="53">
        <f t="shared" ca="1" si="3"/>
        <v>0</v>
      </c>
      <c r="M46" s="53" t="str">
        <f t="shared" ca="1" si="10"/>
        <v/>
      </c>
      <c r="N46" s="53">
        <f t="shared" ca="1" si="4"/>
        <v>0</v>
      </c>
      <c r="O46" s="64">
        <f t="shared" ca="1" si="5"/>
        <v>25</v>
      </c>
      <c r="P46" s="64">
        <f t="shared" ca="1" si="6"/>
        <v>25</v>
      </c>
      <c r="Q46" s="64">
        <f t="shared" ca="1" si="7"/>
        <v>25</v>
      </c>
    </row>
    <row r="47" spans="1:17" x14ac:dyDescent="0.25">
      <c r="A47" s="55">
        <v>20</v>
      </c>
      <c r="B47" s="2" t="str">
        <f t="shared" si="8"/>
        <v/>
      </c>
      <c r="C47" s="2"/>
      <c r="E47" s="55" t="str">
        <f>IF(B47="","",IF(D46="",E46,B47+SUM(D$28:D46)))</f>
        <v/>
      </c>
      <c r="F47" s="53" t="str">
        <f t="shared" si="13"/>
        <v/>
      </c>
      <c r="G47" s="53" t="str">
        <f t="shared" si="0"/>
        <v/>
      </c>
      <c r="H47" s="53" t="str">
        <f t="shared" si="11"/>
        <v/>
      </c>
      <c r="I47" s="53" t="str">
        <f>IF(B47="",IF(B46="","",IF(D46="","",F46-D46)),IF(AND(C46="",D46=""),"",IF(AND(D46="",C46&lt;&gt;""),IF(I46&gt;F46,I46-C46,F46-C46),B$28-B47-SUM(D$28:D46))))</f>
        <v/>
      </c>
      <c r="K47" t="str">
        <f t="shared" si="12"/>
        <v/>
      </c>
      <c r="L47" s="53">
        <f t="shared" ca="1" si="3"/>
        <v>0</v>
      </c>
      <c r="M47" s="53" t="str">
        <f t="shared" ca="1" si="10"/>
        <v/>
      </c>
      <c r="N47" s="53">
        <f t="shared" ca="1" si="4"/>
        <v>0</v>
      </c>
      <c r="O47" s="64">
        <f t="shared" ca="1" si="5"/>
        <v>25</v>
      </c>
      <c r="P47" s="64">
        <f t="shared" ca="1" si="6"/>
        <v>25</v>
      </c>
      <c r="Q47" s="64">
        <f t="shared" ca="1" si="7"/>
        <v>25</v>
      </c>
    </row>
    <row r="48" spans="1:17" x14ac:dyDescent="0.25">
      <c r="A48" s="55">
        <v>21</v>
      </c>
      <c r="B48" s="2" t="str">
        <f t="shared" si="8"/>
        <v/>
      </c>
      <c r="C48" s="2"/>
      <c r="E48" s="55" t="str">
        <f>IF(B48="","",IF(D47="",E47,B48+SUM(D$28:D47)))</f>
        <v/>
      </c>
      <c r="F48" s="53" t="str">
        <f t="shared" si="13"/>
        <v/>
      </c>
      <c r="G48" s="53" t="str">
        <f t="shared" si="0"/>
        <v/>
      </c>
      <c r="H48" s="53" t="str">
        <f t="shared" si="11"/>
        <v/>
      </c>
      <c r="I48" s="53" t="str">
        <f>IF(B48="",IF(B47="","",IF(D47="","",F47-D47)),IF(AND(C47="",D47=""),"",IF(AND(D47="",C47&lt;&gt;""),IF(I47&gt;F47,I47-C47,F47-C47),B$28-B48-SUM(D$28:D47))))</f>
        <v/>
      </c>
      <c r="K48" t="str">
        <f t="shared" si="12"/>
        <v/>
      </c>
      <c r="L48" s="53">
        <f t="shared" ca="1" si="3"/>
        <v>0</v>
      </c>
      <c r="M48" s="53" t="str">
        <f t="shared" ca="1" si="10"/>
        <v/>
      </c>
      <c r="N48" s="53">
        <f t="shared" ca="1" si="4"/>
        <v>0</v>
      </c>
      <c r="O48" s="64">
        <f t="shared" ca="1" si="5"/>
        <v>25</v>
      </c>
      <c r="P48" s="64">
        <f t="shared" ca="1" si="6"/>
        <v>25</v>
      </c>
      <c r="Q48" s="64">
        <f t="shared" ca="1" si="7"/>
        <v>25</v>
      </c>
    </row>
    <row r="49" spans="1:17" x14ac:dyDescent="0.25">
      <c r="A49" s="55">
        <v>22</v>
      </c>
      <c r="B49" s="2" t="str">
        <f t="shared" si="8"/>
        <v/>
      </c>
      <c r="C49" s="2"/>
      <c r="E49" s="55" t="str">
        <f>IF(B49="","",IF(D48="",E48,B49+SUM(D$28:D48)))</f>
        <v/>
      </c>
      <c r="F49" s="53" t="str">
        <f t="shared" si="13"/>
        <v/>
      </c>
      <c r="G49" s="53" t="str">
        <f t="shared" si="0"/>
        <v/>
      </c>
      <c r="H49" s="53" t="str">
        <f t="shared" si="11"/>
        <v/>
      </c>
      <c r="I49" s="53" t="str">
        <f>IF(B49="",IF(B48="","",IF(D48="","",F48-D48)),IF(AND(C48="",D48=""),"",IF(AND(D48="",C48&lt;&gt;""),IF(I48&gt;F48,I48-C48,F48-C48),B$28-B49-SUM(D$28:D48))))</f>
        <v/>
      </c>
      <c r="K49" t="str">
        <f t="shared" si="12"/>
        <v/>
      </c>
      <c r="L49" s="53">
        <f t="shared" ca="1" si="3"/>
        <v>0</v>
      </c>
      <c r="M49" s="53" t="str">
        <f t="shared" ca="1" si="10"/>
        <v/>
      </c>
      <c r="N49" s="53">
        <f t="shared" ca="1" si="4"/>
        <v>0</v>
      </c>
      <c r="O49" s="64">
        <f t="shared" ca="1" si="5"/>
        <v>25</v>
      </c>
      <c r="P49" s="64">
        <f t="shared" ca="1" si="6"/>
        <v>25</v>
      </c>
      <c r="Q49" s="64">
        <f t="shared" ca="1" si="7"/>
        <v>25</v>
      </c>
    </row>
    <row r="50" spans="1:17" x14ac:dyDescent="0.25">
      <c r="A50" s="55">
        <v>23</v>
      </c>
      <c r="B50" s="2" t="str">
        <f t="shared" si="8"/>
        <v/>
      </c>
      <c r="C50" s="2"/>
      <c r="E50" s="55" t="str">
        <f>IF(B50="","",IF(D49="",E49,B50+SUM(D$28:D49)))</f>
        <v/>
      </c>
      <c r="F50" s="53" t="str">
        <f t="shared" si="13"/>
        <v/>
      </c>
      <c r="G50" s="53" t="str">
        <f t="shared" si="0"/>
        <v/>
      </c>
      <c r="H50" s="53" t="str">
        <f t="shared" si="11"/>
        <v/>
      </c>
      <c r="I50" s="53" t="str">
        <f>IF(B50="",IF(B49="","",IF(D49="","",F49-D49)),IF(AND(C49="",D49=""),"",IF(AND(D49="",C49&lt;&gt;""),IF(I49&gt;F49,I49-C49,F49-C49),B$28-B50-SUM(D$28:D49))))</f>
        <v/>
      </c>
      <c r="K50" t="str">
        <f t="shared" si="12"/>
        <v/>
      </c>
      <c r="L50" s="53">
        <f t="shared" ca="1" si="3"/>
        <v>0</v>
      </c>
      <c r="M50" s="53" t="str">
        <f t="shared" ca="1" si="10"/>
        <v/>
      </c>
      <c r="N50" s="53">
        <f t="shared" ca="1" si="4"/>
        <v>0</v>
      </c>
      <c r="O50" s="64">
        <f t="shared" ca="1" si="5"/>
        <v>25</v>
      </c>
      <c r="P50" s="64">
        <f t="shared" ca="1" si="6"/>
        <v>25</v>
      </c>
      <c r="Q50" s="64">
        <f t="shared" ca="1" si="7"/>
        <v>25</v>
      </c>
    </row>
    <row r="51" spans="1:17" x14ac:dyDescent="0.25">
      <c r="A51" s="55">
        <v>24</v>
      </c>
      <c r="B51" s="2" t="str">
        <f t="shared" si="8"/>
        <v/>
      </c>
      <c r="C51" s="2"/>
      <c r="E51" s="55" t="str">
        <f>IF(B51="","",IF(D50="",E50,B51+SUM(D$28:D50)))</f>
        <v/>
      </c>
      <c r="F51" s="53" t="str">
        <f t="shared" si="13"/>
        <v/>
      </c>
      <c r="G51" s="53" t="str">
        <f t="shared" si="0"/>
        <v/>
      </c>
      <c r="H51" s="53" t="str">
        <f t="shared" si="11"/>
        <v/>
      </c>
      <c r="I51" s="53" t="str">
        <f>IF(B51="",IF(B50="","",IF(D50="","",F50-D50)),IF(AND(C50="",D50=""),"",IF(AND(D50="",C50&lt;&gt;""),IF(I50&gt;F50,I50-C50,F50-C50),B$28-B51-SUM(D$28:D50))))</f>
        <v/>
      </c>
      <c r="K51" t="str">
        <f t="shared" si="12"/>
        <v/>
      </c>
      <c r="L51" s="53">
        <f t="shared" ca="1" si="3"/>
        <v>0</v>
      </c>
      <c r="M51" s="53" t="str">
        <f t="shared" ca="1" si="10"/>
        <v/>
      </c>
      <c r="N51" s="53">
        <f t="shared" ca="1" si="4"/>
        <v>0</v>
      </c>
      <c r="O51" s="64">
        <f t="shared" ca="1" si="5"/>
        <v>25</v>
      </c>
      <c r="P51" s="64">
        <f t="shared" ca="1" si="6"/>
        <v>25</v>
      </c>
      <c r="Q51" s="64">
        <f t="shared" ca="1" si="7"/>
        <v>25</v>
      </c>
    </row>
  </sheetData>
  <mergeCells count="5">
    <mergeCell ref="A8:B8"/>
    <mergeCell ref="A18:B18"/>
    <mergeCell ref="G27:H27"/>
    <mergeCell ref="O26:Q26"/>
    <mergeCell ref="F26:N26"/>
  </mergeCells>
  <phoneticPr fontId="2" type="noConversion"/>
  <conditionalFormatting sqref="K27:N27 A27:G27 F26 I27 O26:O27 P27:Q27">
    <cfRule type="expression" dxfId="8" priority="1" stopIfTrue="1">
      <formula>$D26="Done"</formula>
    </cfRule>
    <cfRule type="expression" dxfId="7" priority="2" stopIfTrue="1">
      <formula>$D26="Ongoing"</formula>
    </cfRule>
    <cfRule type="expression" dxfId="6" priority="3" stopIfTrue="1">
      <formula>$D26="Removed"</formula>
    </cfRule>
  </conditionalFormatting>
  <pageMargins left="0.75" right="0.75" top="1" bottom="1" header="0.5" footer="0.5"/>
  <pageSetup paperSize="9" orientation="portrait"/>
  <headerFooter alignWithMargin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D87"/>
  <sheetViews>
    <sheetView workbookViewId="0">
      <pane ySplit="14" topLeftCell="A15" activePane="bottomLeft" state="frozen"/>
      <selection pane="bottomLeft" activeCell="D15" sqref="D15"/>
    </sheetView>
  </sheetViews>
  <sheetFormatPr defaultColWidth="9.109375" defaultRowHeight="13.2" x14ac:dyDescent="0.25"/>
  <cols>
    <col min="1" max="1" width="43.44140625" style="34" customWidth="1"/>
    <col min="2" max="2" width="8.44140625" style="33" customWidth="1"/>
    <col min="3" max="3" width="13.6640625" style="34" customWidth="1"/>
    <col min="4" max="4" width="10.6640625" style="34" customWidth="1"/>
    <col min="5" max="5" width="6.44140625" style="33" customWidth="1"/>
    <col min="6" max="30" width="4.44140625" style="33" customWidth="1"/>
    <col min="31" max="16384" width="9.109375" style="34"/>
  </cols>
  <sheetData>
    <row r="1" spans="1:30" ht="17.399999999999999" x14ac:dyDescent="0.25">
      <c r="A1" s="65">
        <v>1</v>
      </c>
      <c r="B1" s="66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</row>
    <row r="2" spans="1:30" x14ac:dyDescent="0.25"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</row>
    <row r="9" spans="1:30" x14ac:dyDescent="0.25">
      <c r="A9" s="67" t="s">
        <v>12</v>
      </c>
      <c r="B9" s="68">
        <v>5</v>
      </c>
      <c r="C9" s="67"/>
      <c r="D9" s="69"/>
      <c r="E9" s="67" t="s">
        <v>9</v>
      </c>
      <c r="F9" s="67" t="s">
        <v>11</v>
      </c>
      <c r="G9" s="67"/>
      <c r="H9" s="67"/>
      <c r="I9" s="67"/>
      <c r="J9" s="67"/>
      <c r="K9" s="67"/>
      <c r="L9" s="67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</row>
    <row r="10" spans="1:30" x14ac:dyDescent="0.25">
      <c r="A10" s="67" t="s">
        <v>29</v>
      </c>
      <c r="B10" s="68">
        <v>5</v>
      </c>
      <c r="C10" s="67" t="s">
        <v>30</v>
      </c>
      <c r="D10" s="67" t="s">
        <v>17</v>
      </c>
      <c r="E10" s="70">
        <f ca="1">SUM(OFFSET(E14,1,0,TaskRows,1))</f>
        <v>33</v>
      </c>
      <c r="F10" s="70">
        <f ca="1">IF(AND(SUM(OFFSET(F14,1,0,TaskRows,1))=0),0,SUM(OFFSET(F14,1,0,TaskRows,1)))</f>
        <v>33</v>
      </c>
      <c r="G10" s="70">
        <f t="shared" ref="G10:AD10" ca="1" si="0">IF(AND(SUM(OFFSET(G14,1,0,TaskRows,1))=0),"",SUM(OFFSET(G14,1,0,TaskRows,1)))</f>
        <v>30</v>
      </c>
      <c r="H10" s="70">
        <f t="shared" ca="1" si="0"/>
        <v>23</v>
      </c>
      <c r="I10" s="70">
        <f t="shared" ca="1" si="0"/>
        <v>21</v>
      </c>
      <c r="J10" s="70" t="str">
        <f t="shared" ca="1" si="0"/>
        <v/>
      </c>
      <c r="K10" s="70" t="str">
        <f t="shared" ca="1" si="0"/>
        <v/>
      </c>
      <c r="L10" s="70" t="str">
        <f t="shared" ca="1" si="0"/>
        <v/>
      </c>
      <c r="M10" s="70" t="str">
        <f t="shared" ca="1" si="0"/>
        <v/>
      </c>
      <c r="N10" s="70" t="str">
        <f t="shared" ca="1" si="0"/>
        <v/>
      </c>
      <c r="O10" s="70" t="str">
        <f t="shared" ca="1" si="0"/>
        <v/>
      </c>
      <c r="P10" s="70" t="str">
        <f t="shared" ca="1" si="0"/>
        <v/>
      </c>
      <c r="Q10" s="70" t="str">
        <f t="shared" ca="1" si="0"/>
        <v/>
      </c>
      <c r="R10" s="70" t="str">
        <f t="shared" ca="1" si="0"/>
        <v/>
      </c>
      <c r="S10" s="70" t="str">
        <f t="shared" ca="1" si="0"/>
        <v/>
      </c>
      <c r="T10" s="70" t="str">
        <f t="shared" ca="1" si="0"/>
        <v/>
      </c>
      <c r="U10" s="70" t="str">
        <f t="shared" ca="1" si="0"/>
        <v/>
      </c>
      <c r="V10" s="70" t="str">
        <f t="shared" ca="1" si="0"/>
        <v/>
      </c>
      <c r="W10" s="70" t="str">
        <f t="shared" ca="1" si="0"/>
        <v/>
      </c>
      <c r="X10" s="70" t="str">
        <f t="shared" ca="1" si="0"/>
        <v/>
      </c>
      <c r="Y10" s="70" t="str">
        <f t="shared" ca="1" si="0"/>
        <v/>
      </c>
      <c r="Z10" s="70" t="str">
        <f t="shared" ca="1" si="0"/>
        <v/>
      </c>
      <c r="AA10" s="70" t="str">
        <f t="shared" ca="1" si="0"/>
        <v/>
      </c>
      <c r="AB10" s="70" t="str">
        <f t="shared" ca="1" si="0"/>
        <v/>
      </c>
      <c r="AC10" s="70" t="str">
        <f t="shared" ca="1" si="0"/>
        <v/>
      </c>
      <c r="AD10" s="70" t="str">
        <f t="shared" ca="1" si="0"/>
        <v/>
      </c>
    </row>
    <row r="11" spans="1:30" customFormat="1" hidden="1" x14ac:dyDescent="0.25">
      <c r="A11" t="s">
        <v>22</v>
      </c>
      <c r="B11" s="2">
        <f>IF(COUNTA(A15:A242)=0,1,COUNTA(A15:A242))</f>
        <v>4</v>
      </c>
      <c r="C11" t="s">
        <v>23</v>
      </c>
      <c r="D11" s="2">
        <f ca="1">IF(COUNTIF(F10:AD10,"&gt;0")=0,1,COUNTIF(F10:AD10,"&gt;0"))</f>
        <v>4</v>
      </c>
      <c r="E11" s="2"/>
      <c r="F11" s="2">
        <f ca="1">IF(F14="","",$E10-$E10/($B9-1)*(F14-1))</f>
        <v>33</v>
      </c>
      <c r="G11" s="2">
        <f t="shared" ref="G11:AD11" ca="1" si="1">IF(G14="","",TotalEffort-TotalEffort/(ImplementationDays)*(G14-1))</f>
        <v>26.4</v>
      </c>
      <c r="H11" s="2">
        <f t="shared" ca="1" si="1"/>
        <v>19.8</v>
      </c>
      <c r="I11" s="2">
        <f t="shared" ca="1" si="1"/>
        <v>13.200000000000003</v>
      </c>
      <c r="J11" s="2">
        <f t="shared" ca="1" si="1"/>
        <v>6.6000000000000014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customFormat="1" hidden="1" x14ac:dyDescent="0.25">
      <c r="A12" s="54" t="s">
        <v>26</v>
      </c>
      <c r="C12" t="s">
        <v>24</v>
      </c>
      <c r="D12" s="2"/>
      <c r="E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33.200000000000003</v>
      </c>
      <c r="G12" s="2">
        <f t="shared" ca="1" si="2"/>
        <v>28.9</v>
      </c>
      <c r="H12" s="2">
        <f t="shared" ca="1" si="2"/>
        <v>24.599999999999998</v>
      </c>
      <c r="I12" s="2">
        <f t="shared" ca="1" si="2"/>
        <v>20.299999999999997</v>
      </c>
      <c r="J12" s="2">
        <f t="shared" ca="1" si="2"/>
        <v>15.999999999999996</v>
      </c>
      <c r="K12" s="2">
        <f t="shared" ca="1" si="2"/>
        <v>11.699999999999996</v>
      </c>
      <c r="L12" s="2">
        <f t="shared" ca="1" si="2"/>
        <v>7.399999999999995</v>
      </c>
      <c r="M12" s="2">
        <f t="shared" ca="1" si="2"/>
        <v>3.0999999999999943</v>
      </c>
      <c r="N12" s="2" t="str">
        <f t="shared" ca="1" si="2"/>
        <v/>
      </c>
      <c r="O12" s="2" t="str">
        <f t="shared" ca="1" si="2"/>
        <v/>
      </c>
      <c r="P12" s="2" t="str">
        <f t="shared" ca="1" si="2"/>
        <v/>
      </c>
      <c r="Q12" s="2" t="str">
        <f t="shared" ca="1" si="2"/>
        <v/>
      </c>
      <c r="R12" s="2" t="str">
        <f t="shared" ca="1" si="2"/>
        <v/>
      </c>
      <c r="S12" s="2" t="str">
        <f t="shared" ca="1" si="2"/>
        <v/>
      </c>
      <c r="T12" s="2" t="str">
        <f t="shared" ca="1" si="2"/>
        <v/>
      </c>
      <c r="U12" s="2" t="str">
        <f t="shared" ca="1" si="2"/>
        <v/>
      </c>
      <c r="V12" s="2" t="str">
        <f t="shared" ca="1" si="2"/>
        <v/>
      </c>
      <c r="W12" s="2" t="str">
        <f t="shared" ca="1" si="2"/>
        <v/>
      </c>
      <c r="X12" s="2" t="str">
        <f t="shared" ca="1" si="2"/>
        <v/>
      </c>
      <c r="Y12" s="2" t="str">
        <f t="shared" ca="1" si="2"/>
        <v/>
      </c>
      <c r="Z12" s="2" t="str">
        <f t="shared" ca="1" si="2"/>
        <v/>
      </c>
      <c r="AA12" s="2" t="str">
        <f t="shared" ca="1" si="2"/>
        <v/>
      </c>
      <c r="AB12" s="2" t="str">
        <f t="shared" ca="1" si="2"/>
        <v/>
      </c>
      <c r="AC12" s="2" t="str">
        <f t="shared" ca="1" si="2"/>
        <v/>
      </c>
      <c r="AD12" s="2" t="str">
        <f t="shared" ca="1" si="2"/>
        <v/>
      </c>
    </row>
    <row r="13" spans="1:30" customFormat="1" hidden="1" x14ac:dyDescent="0.25">
      <c r="A13" s="54" t="s">
        <v>27</v>
      </c>
      <c r="C13" t="s">
        <v>25</v>
      </c>
      <c r="D13" s="2">
        <f ca="1">IF(DoneDays&gt;B10,B10,DoneDays)</f>
        <v>4</v>
      </c>
      <c r="E13" s="2"/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25">
      <c r="A14" s="67" t="s">
        <v>7</v>
      </c>
      <c r="B14" s="71" t="s">
        <v>21</v>
      </c>
      <c r="C14" s="67" t="s">
        <v>8</v>
      </c>
      <c r="D14" s="67" t="s">
        <v>3</v>
      </c>
      <c r="E14" s="71" t="s">
        <v>10</v>
      </c>
      <c r="F14" s="71">
        <v>1</v>
      </c>
      <c r="G14" s="71">
        <f t="shared" ref="G14:AD14" si="3">IF($B$9&gt;F14,F14+1,"")</f>
        <v>2</v>
      </c>
      <c r="H14" s="71">
        <f t="shared" si="3"/>
        <v>3</v>
      </c>
      <c r="I14" s="71">
        <f t="shared" si="3"/>
        <v>4</v>
      </c>
      <c r="J14" s="71">
        <f t="shared" si="3"/>
        <v>5</v>
      </c>
      <c r="K14" s="71" t="str">
        <f t="shared" si="3"/>
        <v/>
      </c>
      <c r="L14" s="71" t="str">
        <f t="shared" si="3"/>
        <v/>
      </c>
      <c r="M14" s="71" t="str">
        <f t="shared" si="3"/>
        <v/>
      </c>
      <c r="N14" s="71" t="str">
        <f t="shared" si="3"/>
        <v/>
      </c>
      <c r="O14" s="71" t="str">
        <f t="shared" si="3"/>
        <v/>
      </c>
      <c r="P14" s="71" t="str">
        <f t="shared" si="3"/>
        <v/>
      </c>
      <c r="Q14" s="71" t="str">
        <f t="shared" si="3"/>
        <v/>
      </c>
      <c r="R14" s="71" t="str">
        <f t="shared" si="3"/>
        <v/>
      </c>
      <c r="S14" s="71" t="str">
        <f t="shared" si="3"/>
        <v/>
      </c>
      <c r="T14" s="71" t="str">
        <f t="shared" si="3"/>
        <v/>
      </c>
      <c r="U14" s="71" t="str">
        <f t="shared" si="3"/>
        <v/>
      </c>
      <c r="V14" s="71" t="str">
        <f t="shared" si="3"/>
        <v/>
      </c>
      <c r="W14" s="71" t="str">
        <f t="shared" si="3"/>
        <v/>
      </c>
      <c r="X14" s="71" t="str">
        <f t="shared" si="3"/>
        <v/>
      </c>
      <c r="Y14" s="71" t="str">
        <f t="shared" si="3"/>
        <v/>
      </c>
      <c r="Z14" s="71" t="str">
        <f t="shared" si="3"/>
        <v/>
      </c>
      <c r="AA14" s="71" t="str">
        <f t="shared" si="3"/>
        <v/>
      </c>
      <c r="AB14" s="71" t="str">
        <f t="shared" si="3"/>
        <v/>
      </c>
      <c r="AC14" s="71" t="str">
        <f t="shared" si="3"/>
        <v/>
      </c>
      <c r="AD14" s="71" t="str">
        <f t="shared" si="3"/>
        <v/>
      </c>
    </row>
    <row r="15" spans="1:30" x14ac:dyDescent="0.25">
      <c r="A15" t="s">
        <v>80</v>
      </c>
      <c r="B15" s="2">
        <v>1</v>
      </c>
      <c r="C15" t="s">
        <v>85</v>
      </c>
      <c r="D15" t="s">
        <v>79</v>
      </c>
      <c r="E15" s="2">
        <v>5</v>
      </c>
      <c r="F15" s="2">
        <f>IF(OR(F$14="",$E15=""),"",E15)</f>
        <v>5</v>
      </c>
      <c r="G15" s="2">
        <v>2</v>
      </c>
      <c r="H15" s="2">
        <v>0</v>
      </c>
      <c r="I15" s="2"/>
    </row>
    <row r="16" spans="1:30" x14ac:dyDescent="0.25">
      <c r="A16" t="s">
        <v>81</v>
      </c>
      <c r="B16" s="2">
        <v>1</v>
      </c>
      <c r="C16" t="s">
        <v>86</v>
      </c>
      <c r="D16" t="s">
        <v>82</v>
      </c>
      <c r="E16" s="2">
        <v>7</v>
      </c>
      <c r="F16" s="2">
        <f>IF(OR(F$14="",$E16=""),"",E16)</f>
        <v>7</v>
      </c>
      <c r="G16" s="2">
        <v>7</v>
      </c>
      <c r="H16" s="2">
        <v>2</v>
      </c>
      <c r="I16" s="2">
        <v>2</v>
      </c>
    </row>
    <row r="17" spans="1:30" x14ac:dyDescent="0.25">
      <c r="A17" t="s">
        <v>83</v>
      </c>
      <c r="B17" s="2">
        <v>2</v>
      </c>
      <c r="C17" t="s">
        <v>85</v>
      </c>
      <c r="D17" t="s">
        <v>82</v>
      </c>
      <c r="E17" s="2">
        <v>12</v>
      </c>
      <c r="F17" s="2">
        <f>IF(OR(F$14="",$E17=""),"",E17)</f>
        <v>12</v>
      </c>
      <c r="G17" s="2">
        <v>12</v>
      </c>
      <c r="H17" s="2">
        <v>12</v>
      </c>
      <c r="I17" s="2">
        <v>10</v>
      </c>
      <c r="AC17" s="33" t="str">
        <f t="shared" ref="AC17:AD34" si="4">IF(OR(AC$14="",$E17=""),"",AB17)</f>
        <v/>
      </c>
      <c r="AD17" s="33" t="str">
        <f t="shared" si="4"/>
        <v/>
      </c>
    </row>
    <row r="18" spans="1:30" x14ac:dyDescent="0.25">
      <c r="A18" t="s">
        <v>84</v>
      </c>
      <c r="B18" s="2">
        <v>2</v>
      </c>
      <c r="C18"/>
      <c r="D18" t="str">
        <f>IF(A18&lt;&gt;"","Planned","")</f>
        <v>Planned</v>
      </c>
      <c r="E18" s="2">
        <v>9</v>
      </c>
      <c r="F18" s="2">
        <f>IF(OR(F$14="",$E18=""),"",E18)</f>
        <v>9</v>
      </c>
      <c r="G18" s="2">
        <v>9</v>
      </c>
      <c r="H18" s="2">
        <v>9</v>
      </c>
      <c r="I18" s="2">
        <v>9</v>
      </c>
    </row>
    <row r="19" spans="1:30" x14ac:dyDescent="0.25">
      <c r="A19" s="32"/>
      <c r="C19"/>
      <c r="AC19" s="33" t="str">
        <f t="shared" si="4"/>
        <v/>
      </c>
      <c r="AD19" s="33" t="str">
        <f t="shared" si="4"/>
        <v/>
      </c>
    </row>
    <row r="20" spans="1:30" x14ac:dyDescent="0.25">
      <c r="A20" s="32"/>
      <c r="C20"/>
      <c r="AC20" s="33" t="str">
        <f t="shared" si="4"/>
        <v/>
      </c>
      <c r="AD20" s="33" t="str">
        <f t="shared" si="4"/>
        <v/>
      </c>
    </row>
    <row r="21" spans="1:30" x14ac:dyDescent="0.25">
      <c r="A21" s="32"/>
      <c r="C21"/>
      <c r="AC21" s="33" t="str">
        <f t="shared" si="4"/>
        <v/>
      </c>
      <c r="AD21" s="33" t="str">
        <f t="shared" si="4"/>
        <v/>
      </c>
    </row>
    <row r="22" spans="1:30" x14ac:dyDescent="0.25">
      <c r="A22" s="32"/>
      <c r="C22"/>
      <c r="AC22" s="33" t="str">
        <f t="shared" si="4"/>
        <v/>
      </c>
      <c r="AD22" s="33" t="str">
        <f t="shared" si="4"/>
        <v/>
      </c>
    </row>
    <row r="23" spans="1:30" ht="15" customHeight="1" x14ac:dyDescent="0.25">
      <c r="A23" s="32"/>
      <c r="C23"/>
      <c r="AC23" s="33" t="str">
        <f t="shared" si="4"/>
        <v/>
      </c>
      <c r="AD23" s="33" t="str">
        <f t="shared" si="4"/>
        <v/>
      </c>
    </row>
    <row r="24" spans="1:30" x14ac:dyDescent="0.25">
      <c r="A24" s="32"/>
      <c r="C24"/>
      <c r="AC24" s="33" t="str">
        <f t="shared" si="4"/>
        <v/>
      </c>
      <c r="AD24" s="33" t="str">
        <f t="shared" si="4"/>
        <v/>
      </c>
    </row>
    <row r="25" spans="1:30" x14ac:dyDescent="0.25">
      <c r="A25" s="32"/>
      <c r="C25"/>
    </row>
    <row r="26" spans="1:30" x14ac:dyDescent="0.25">
      <c r="A26" s="32"/>
      <c r="C26"/>
      <c r="AC26" s="33" t="str">
        <f t="shared" si="4"/>
        <v/>
      </c>
      <c r="AD26" s="33" t="str">
        <f t="shared" si="4"/>
        <v/>
      </c>
    </row>
    <row r="27" spans="1:30" x14ac:dyDescent="0.25">
      <c r="A27" s="32"/>
      <c r="C27"/>
      <c r="AC27" s="33" t="str">
        <f t="shared" si="4"/>
        <v/>
      </c>
      <c r="AD27" s="33" t="str">
        <f t="shared" si="4"/>
        <v/>
      </c>
    </row>
    <row r="28" spans="1:30" x14ac:dyDescent="0.25">
      <c r="A28" s="32"/>
      <c r="C28"/>
      <c r="AC28" s="33" t="str">
        <f t="shared" si="4"/>
        <v/>
      </c>
      <c r="AD28" s="33" t="str">
        <f t="shared" si="4"/>
        <v/>
      </c>
    </row>
    <row r="29" spans="1:30" x14ac:dyDescent="0.25">
      <c r="A29" s="32"/>
      <c r="C29"/>
      <c r="AC29" s="33" t="str">
        <f t="shared" si="4"/>
        <v/>
      </c>
      <c r="AD29" s="33" t="str">
        <f t="shared" si="4"/>
        <v/>
      </c>
    </row>
    <row r="30" spans="1:30" x14ac:dyDescent="0.25">
      <c r="A30" s="32"/>
      <c r="C30"/>
      <c r="AC30" s="33" t="str">
        <f t="shared" si="4"/>
        <v/>
      </c>
      <c r="AD30" s="33" t="str">
        <f t="shared" si="4"/>
        <v/>
      </c>
    </row>
    <row r="31" spans="1:30" x14ac:dyDescent="0.25">
      <c r="A31" s="32"/>
      <c r="C31"/>
      <c r="AC31" s="33" t="str">
        <f t="shared" si="4"/>
        <v/>
      </c>
      <c r="AD31" s="33" t="str">
        <f t="shared" si="4"/>
        <v/>
      </c>
    </row>
    <row r="32" spans="1:30" x14ac:dyDescent="0.25">
      <c r="A32" s="32"/>
      <c r="C32"/>
      <c r="AC32" s="33" t="str">
        <f t="shared" si="4"/>
        <v/>
      </c>
      <c r="AD32" s="33" t="str">
        <f t="shared" si="4"/>
        <v/>
      </c>
    </row>
    <row r="33" spans="1:30" x14ac:dyDescent="0.25">
      <c r="A33" s="32"/>
      <c r="C33"/>
      <c r="AC33" s="33" t="str">
        <f t="shared" si="4"/>
        <v/>
      </c>
      <c r="AD33" s="33" t="str">
        <f t="shared" si="4"/>
        <v/>
      </c>
    </row>
    <row r="34" spans="1:30" x14ac:dyDescent="0.25">
      <c r="A34" s="32"/>
      <c r="C34"/>
      <c r="AC34" s="33" t="str">
        <f t="shared" si="4"/>
        <v/>
      </c>
      <c r="AD34" s="33" t="str">
        <f t="shared" si="4"/>
        <v/>
      </c>
    </row>
    <row r="35" spans="1:30" x14ac:dyDescent="0.25">
      <c r="A35" s="32"/>
      <c r="C35"/>
    </row>
    <row r="36" spans="1:30" x14ac:dyDescent="0.25">
      <c r="A36" s="32"/>
      <c r="C36"/>
      <c r="AC36" s="33" t="str">
        <f t="shared" ref="AC36:AD40" si="5">IF(OR(AC$14="",$E36=""),"",AB36)</f>
        <v/>
      </c>
      <c r="AD36" s="33" t="str">
        <f t="shared" si="5"/>
        <v/>
      </c>
    </row>
    <row r="37" spans="1:30" x14ac:dyDescent="0.25">
      <c r="A37" s="32"/>
      <c r="C37"/>
      <c r="AC37" s="33" t="str">
        <f t="shared" si="5"/>
        <v/>
      </c>
      <c r="AD37" s="33" t="str">
        <f t="shared" si="5"/>
        <v/>
      </c>
    </row>
    <row r="38" spans="1:30" x14ac:dyDescent="0.25">
      <c r="A38" s="32"/>
      <c r="C38"/>
      <c r="AC38" s="33" t="str">
        <f t="shared" si="5"/>
        <v/>
      </c>
      <c r="AD38" s="33" t="str">
        <f t="shared" si="5"/>
        <v/>
      </c>
    </row>
    <row r="39" spans="1:30" x14ac:dyDescent="0.25">
      <c r="A39" s="32"/>
      <c r="C39"/>
      <c r="AC39" s="33" t="str">
        <f t="shared" si="5"/>
        <v/>
      </c>
      <c r="AD39" s="33" t="str">
        <f t="shared" si="5"/>
        <v/>
      </c>
    </row>
    <row r="40" spans="1:30" x14ac:dyDescent="0.25">
      <c r="A40" s="32"/>
      <c r="C40"/>
      <c r="AC40" s="33" t="str">
        <f t="shared" si="5"/>
        <v/>
      </c>
      <c r="AD40" s="33" t="str">
        <f t="shared" si="5"/>
        <v/>
      </c>
    </row>
    <row r="41" spans="1:30" x14ac:dyDescent="0.25">
      <c r="A41" s="32"/>
      <c r="C41"/>
      <c r="D41" s="34" t="str">
        <f t="shared" ref="D41:D64" si="6">IF(A41&lt;&gt;"","Planned","")</f>
        <v/>
      </c>
      <c r="F41" s="33" t="str">
        <f t="shared" ref="F41:F63" si="7">IF(OR(F$14="",$E41=""),"",E41)</f>
        <v/>
      </c>
      <c r="AC41" s="33" t="str">
        <f t="shared" ref="AC41:AD59" si="8">IF(OR(AC$14="",$E41=""),"",AB41)</f>
        <v/>
      </c>
      <c r="AD41" s="33" t="str">
        <f t="shared" si="8"/>
        <v/>
      </c>
    </row>
    <row r="42" spans="1:30" x14ac:dyDescent="0.25">
      <c r="C42"/>
      <c r="D42" s="34" t="str">
        <f t="shared" si="6"/>
        <v/>
      </c>
      <c r="F42" s="33" t="str">
        <f t="shared" si="7"/>
        <v/>
      </c>
      <c r="AC42" s="33" t="str">
        <f t="shared" si="8"/>
        <v/>
      </c>
      <c r="AD42" s="33" t="str">
        <f t="shared" si="8"/>
        <v/>
      </c>
    </row>
    <row r="43" spans="1:30" x14ac:dyDescent="0.25">
      <c r="C43"/>
      <c r="D43" s="34" t="str">
        <f t="shared" si="6"/>
        <v/>
      </c>
      <c r="F43" s="33" t="str">
        <f t="shared" si="7"/>
        <v/>
      </c>
      <c r="AC43" s="33" t="str">
        <f t="shared" si="8"/>
        <v/>
      </c>
      <c r="AD43" s="33" t="str">
        <f t="shared" si="8"/>
        <v/>
      </c>
    </row>
    <row r="44" spans="1:30" x14ac:dyDescent="0.25">
      <c r="C44"/>
      <c r="D44" s="34" t="str">
        <f t="shared" si="6"/>
        <v/>
      </c>
      <c r="F44" s="33" t="str">
        <f t="shared" si="7"/>
        <v/>
      </c>
      <c r="AC44" s="33" t="str">
        <f t="shared" si="8"/>
        <v/>
      </c>
      <c r="AD44" s="33" t="str">
        <f t="shared" si="8"/>
        <v/>
      </c>
    </row>
    <row r="45" spans="1:30" x14ac:dyDescent="0.25">
      <c r="C45"/>
      <c r="D45" s="34" t="str">
        <f t="shared" si="6"/>
        <v/>
      </c>
      <c r="F45" s="33" t="str">
        <f t="shared" si="7"/>
        <v/>
      </c>
      <c r="AC45" s="33" t="str">
        <f t="shared" si="8"/>
        <v/>
      </c>
      <c r="AD45" s="33" t="str">
        <f t="shared" si="8"/>
        <v/>
      </c>
    </row>
    <row r="46" spans="1:30" x14ac:dyDescent="0.25">
      <c r="C46"/>
      <c r="D46" s="34" t="str">
        <f t="shared" si="6"/>
        <v/>
      </c>
      <c r="F46" s="33" t="str">
        <f t="shared" si="7"/>
        <v/>
      </c>
      <c r="AC46" s="33" t="str">
        <f t="shared" si="8"/>
        <v/>
      </c>
      <c r="AD46" s="33" t="str">
        <f t="shared" si="8"/>
        <v/>
      </c>
    </row>
    <row r="47" spans="1:30" x14ac:dyDescent="0.25">
      <c r="C47"/>
      <c r="D47" s="34" t="str">
        <f t="shared" si="6"/>
        <v/>
      </c>
      <c r="F47" s="33" t="str">
        <f t="shared" si="7"/>
        <v/>
      </c>
      <c r="AC47" s="33" t="str">
        <f t="shared" si="8"/>
        <v/>
      </c>
      <c r="AD47" s="33" t="str">
        <f t="shared" si="8"/>
        <v/>
      </c>
    </row>
    <row r="48" spans="1:30" x14ac:dyDescent="0.25">
      <c r="C48"/>
      <c r="D48" s="34" t="str">
        <f t="shared" si="6"/>
        <v/>
      </c>
      <c r="F48" s="33" t="str">
        <f t="shared" si="7"/>
        <v/>
      </c>
      <c r="AC48" s="33" t="str">
        <f t="shared" si="8"/>
        <v/>
      </c>
      <c r="AD48" s="33" t="str">
        <f t="shared" si="8"/>
        <v/>
      </c>
    </row>
    <row r="49" spans="3:30" x14ac:dyDescent="0.25">
      <c r="C49"/>
      <c r="D49" s="34" t="str">
        <f t="shared" si="6"/>
        <v/>
      </c>
      <c r="F49" s="33" t="str">
        <f t="shared" si="7"/>
        <v/>
      </c>
      <c r="AC49" s="33" t="str">
        <f t="shared" si="8"/>
        <v/>
      </c>
      <c r="AD49" s="33" t="str">
        <f t="shared" si="8"/>
        <v/>
      </c>
    </row>
    <row r="50" spans="3:30" x14ac:dyDescent="0.25">
      <c r="C50"/>
      <c r="D50" s="34" t="str">
        <f t="shared" si="6"/>
        <v/>
      </c>
      <c r="F50" s="33" t="str">
        <f t="shared" si="7"/>
        <v/>
      </c>
      <c r="AC50" s="33" t="str">
        <f t="shared" si="8"/>
        <v/>
      </c>
      <c r="AD50" s="33" t="str">
        <f t="shared" si="8"/>
        <v/>
      </c>
    </row>
    <row r="51" spans="3:30" x14ac:dyDescent="0.25">
      <c r="C51"/>
      <c r="D51" s="34" t="str">
        <f t="shared" si="6"/>
        <v/>
      </c>
      <c r="F51" s="33" t="str">
        <f t="shared" si="7"/>
        <v/>
      </c>
      <c r="AC51" s="33" t="str">
        <f t="shared" si="8"/>
        <v/>
      </c>
      <c r="AD51" s="33" t="str">
        <f t="shared" si="8"/>
        <v/>
      </c>
    </row>
    <row r="52" spans="3:30" x14ac:dyDescent="0.25">
      <c r="C52"/>
      <c r="D52" s="34" t="str">
        <f t="shared" si="6"/>
        <v/>
      </c>
      <c r="F52" s="33" t="str">
        <f t="shared" si="7"/>
        <v/>
      </c>
      <c r="AC52" s="33" t="str">
        <f t="shared" si="8"/>
        <v/>
      </c>
      <c r="AD52" s="33" t="str">
        <f t="shared" si="8"/>
        <v/>
      </c>
    </row>
    <row r="53" spans="3:30" x14ac:dyDescent="0.25">
      <c r="C53"/>
      <c r="D53" s="34" t="str">
        <f t="shared" si="6"/>
        <v/>
      </c>
      <c r="F53" s="33" t="str">
        <f t="shared" si="7"/>
        <v/>
      </c>
      <c r="AC53" s="33" t="str">
        <f t="shared" si="8"/>
        <v/>
      </c>
      <c r="AD53" s="33" t="str">
        <f t="shared" si="8"/>
        <v/>
      </c>
    </row>
    <row r="54" spans="3:30" x14ac:dyDescent="0.25">
      <c r="C54"/>
      <c r="D54" s="34" t="str">
        <f t="shared" si="6"/>
        <v/>
      </c>
      <c r="F54" s="33" t="str">
        <f t="shared" si="7"/>
        <v/>
      </c>
      <c r="AC54" s="33" t="str">
        <f t="shared" si="8"/>
        <v/>
      </c>
      <c r="AD54" s="33" t="str">
        <f t="shared" si="8"/>
        <v/>
      </c>
    </row>
    <row r="55" spans="3:30" x14ac:dyDescent="0.25">
      <c r="C55"/>
      <c r="D55" s="34" t="str">
        <f t="shared" si="6"/>
        <v/>
      </c>
      <c r="F55" s="33" t="str">
        <f t="shared" si="7"/>
        <v/>
      </c>
      <c r="AC55" s="33" t="str">
        <f t="shared" si="8"/>
        <v/>
      </c>
      <c r="AD55" s="33" t="str">
        <f t="shared" si="8"/>
        <v/>
      </c>
    </row>
    <row r="56" spans="3:30" x14ac:dyDescent="0.25">
      <c r="C56"/>
      <c r="D56" s="34" t="str">
        <f t="shared" si="6"/>
        <v/>
      </c>
      <c r="F56" s="33" t="str">
        <f t="shared" si="7"/>
        <v/>
      </c>
      <c r="AC56" s="33" t="str">
        <f t="shared" si="8"/>
        <v/>
      </c>
      <c r="AD56" s="33" t="str">
        <f t="shared" si="8"/>
        <v/>
      </c>
    </row>
    <row r="57" spans="3:30" x14ac:dyDescent="0.25">
      <c r="C57"/>
      <c r="D57" s="34" t="str">
        <f t="shared" si="6"/>
        <v/>
      </c>
      <c r="F57" s="33" t="str">
        <f t="shared" si="7"/>
        <v/>
      </c>
      <c r="AC57" s="33" t="str">
        <f t="shared" si="8"/>
        <v/>
      </c>
      <c r="AD57" s="33" t="str">
        <f t="shared" si="8"/>
        <v/>
      </c>
    </row>
    <row r="58" spans="3:30" x14ac:dyDescent="0.25">
      <c r="C58"/>
      <c r="D58" s="34" t="str">
        <f t="shared" si="6"/>
        <v/>
      </c>
      <c r="F58" s="33" t="str">
        <f t="shared" si="7"/>
        <v/>
      </c>
      <c r="AC58" s="33" t="str">
        <f t="shared" si="8"/>
        <v/>
      </c>
      <c r="AD58" s="33" t="str">
        <f t="shared" si="8"/>
        <v/>
      </c>
    </row>
    <row r="59" spans="3:30" x14ac:dyDescent="0.25">
      <c r="C59"/>
      <c r="D59" s="34" t="str">
        <f t="shared" si="6"/>
        <v/>
      </c>
      <c r="F59" s="33" t="str">
        <f t="shared" si="7"/>
        <v/>
      </c>
      <c r="AC59" s="33" t="str">
        <f t="shared" si="8"/>
        <v/>
      </c>
      <c r="AD59" s="33" t="str">
        <f t="shared" si="8"/>
        <v/>
      </c>
    </row>
    <row r="60" spans="3:30" x14ac:dyDescent="0.25">
      <c r="C60"/>
      <c r="D60" s="34" t="str">
        <f t="shared" si="6"/>
        <v/>
      </c>
      <c r="F60" s="33" t="str">
        <f t="shared" si="7"/>
        <v/>
      </c>
      <c r="AC60" s="33" t="str">
        <f t="shared" ref="AC60:AD63" si="9">IF(OR(AC$14="",$E60=""),"",AB60)</f>
        <v/>
      </c>
      <c r="AD60" s="33" t="str">
        <f t="shared" si="9"/>
        <v/>
      </c>
    </row>
    <row r="61" spans="3:30" x14ac:dyDescent="0.25">
      <c r="C61"/>
      <c r="D61" s="34" t="str">
        <f t="shared" si="6"/>
        <v/>
      </c>
      <c r="F61" s="33" t="str">
        <f t="shared" si="7"/>
        <v/>
      </c>
      <c r="AC61" s="33" t="str">
        <f t="shared" si="9"/>
        <v/>
      </c>
      <c r="AD61" s="33" t="str">
        <f t="shared" si="9"/>
        <v/>
      </c>
    </row>
    <row r="62" spans="3:30" x14ac:dyDescent="0.25">
      <c r="C62"/>
      <c r="D62" s="34" t="str">
        <f t="shared" si="6"/>
        <v/>
      </c>
      <c r="F62" s="33" t="str">
        <f t="shared" si="7"/>
        <v/>
      </c>
      <c r="G62" s="33" t="str">
        <f t="shared" ref="G62:AB62" si="10">IF(OR(G$14="",$E62=""),"",F62)</f>
        <v/>
      </c>
      <c r="H62" s="33" t="str">
        <f t="shared" si="10"/>
        <v/>
      </c>
      <c r="I62" s="33" t="str">
        <f t="shared" si="10"/>
        <v/>
      </c>
      <c r="J62" s="33" t="str">
        <f t="shared" si="10"/>
        <v/>
      </c>
      <c r="K62" s="33" t="str">
        <f t="shared" si="10"/>
        <v/>
      </c>
      <c r="L62" s="33" t="str">
        <f t="shared" si="10"/>
        <v/>
      </c>
      <c r="M62" s="33" t="str">
        <f t="shared" si="10"/>
        <v/>
      </c>
      <c r="N62" s="33" t="str">
        <f t="shared" si="10"/>
        <v/>
      </c>
      <c r="O62" s="33" t="str">
        <f t="shared" si="10"/>
        <v/>
      </c>
      <c r="P62" s="33" t="str">
        <f t="shared" si="10"/>
        <v/>
      </c>
      <c r="Q62" s="33" t="str">
        <f t="shared" si="10"/>
        <v/>
      </c>
      <c r="R62" s="33" t="str">
        <f t="shared" si="10"/>
        <v/>
      </c>
      <c r="S62" s="33" t="str">
        <f t="shared" si="10"/>
        <v/>
      </c>
      <c r="T62" s="33" t="str">
        <f t="shared" si="10"/>
        <v/>
      </c>
      <c r="U62" s="33" t="str">
        <f t="shared" si="10"/>
        <v/>
      </c>
      <c r="V62" s="33" t="str">
        <f t="shared" si="10"/>
        <v/>
      </c>
      <c r="W62" s="33" t="str">
        <f t="shared" si="10"/>
        <v/>
      </c>
      <c r="X62" s="33" t="str">
        <f t="shared" si="10"/>
        <v/>
      </c>
      <c r="Y62" s="33" t="str">
        <f t="shared" si="10"/>
        <v/>
      </c>
      <c r="Z62" s="33" t="str">
        <f t="shared" si="10"/>
        <v/>
      </c>
      <c r="AA62" s="33" t="str">
        <f t="shared" si="10"/>
        <v/>
      </c>
      <c r="AB62" s="33" t="str">
        <f t="shared" si="10"/>
        <v/>
      </c>
      <c r="AC62" s="33" t="str">
        <f t="shared" si="9"/>
        <v/>
      </c>
      <c r="AD62" s="33" t="str">
        <f t="shared" si="9"/>
        <v/>
      </c>
    </row>
    <row r="63" spans="3:30" x14ac:dyDescent="0.25">
      <c r="C63"/>
      <c r="D63" s="34" t="str">
        <f t="shared" si="6"/>
        <v/>
      </c>
      <c r="F63" s="33" t="str">
        <f t="shared" si="7"/>
        <v/>
      </c>
      <c r="G63" s="33" t="str">
        <f t="shared" ref="G63:AB63" si="11">IF(OR(G$14="",$E63=""),"",F63)</f>
        <v/>
      </c>
      <c r="H63" s="33" t="str">
        <f t="shared" si="11"/>
        <v/>
      </c>
      <c r="I63" s="33" t="str">
        <f t="shared" si="11"/>
        <v/>
      </c>
      <c r="J63" s="33" t="str">
        <f t="shared" si="11"/>
        <v/>
      </c>
      <c r="K63" s="33" t="str">
        <f t="shared" si="11"/>
        <v/>
      </c>
      <c r="L63" s="33" t="str">
        <f t="shared" si="11"/>
        <v/>
      </c>
      <c r="M63" s="33" t="str">
        <f t="shared" si="11"/>
        <v/>
      </c>
      <c r="N63" s="33" t="str">
        <f t="shared" si="11"/>
        <v/>
      </c>
      <c r="O63" s="33" t="str">
        <f t="shared" si="11"/>
        <v/>
      </c>
      <c r="P63" s="33" t="str">
        <f t="shared" si="11"/>
        <v/>
      </c>
      <c r="Q63" s="33" t="str">
        <f t="shared" si="11"/>
        <v/>
      </c>
      <c r="R63" s="33" t="str">
        <f t="shared" si="11"/>
        <v/>
      </c>
      <c r="S63" s="33" t="str">
        <f t="shared" si="11"/>
        <v/>
      </c>
      <c r="T63" s="33" t="str">
        <f t="shared" si="11"/>
        <v/>
      </c>
      <c r="U63" s="33" t="str">
        <f t="shared" si="11"/>
        <v/>
      </c>
      <c r="V63" s="33" t="str">
        <f t="shared" si="11"/>
        <v/>
      </c>
      <c r="W63" s="33" t="str">
        <f t="shared" si="11"/>
        <v/>
      </c>
      <c r="X63" s="33" t="str">
        <f t="shared" si="11"/>
        <v/>
      </c>
      <c r="Y63" s="33" t="str">
        <f t="shared" si="11"/>
        <v/>
      </c>
      <c r="Z63" s="33" t="str">
        <f t="shared" si="11"/>
        <v/>
      </c>
      <c r="AA63" s="33" t="str">
        <f t="shared" si="11"/>
        <v/>
      </c>
      <c r="AB63" s="33" t="str">
        <f t="shared" si="11"/>
        <v/>
      </c>
      <c r="AC63" s="33" t="str">
        <f t="shared" si="9"/>
        <v/>
      </c>
      <c r="AD63" s="33" t="str">
        <f t="shared" si="9"/>
        <v/>
      </c>
    </row>
    <row r="64" spans="3:30" x14ac:dyDescent="0.25">
      <c r="C64"/>
      <c r="D64" s="34" t="str">
        <f t="shared" si="6"/>
        <v/>
      </c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</sheetData>
  <phoneticPr fontId="2" type="noConversion"/>
  <conditionalFormatting sqref="A15:AD58">
    <cfRule type="expression" dxfId="5" priority="1" stopIfTrue="1">
      <formula>$D15="Done"</formula>
    </cfRule>
    <cfRule type="expression" dxfId="4" priority="2" stopIfTrue="1">
      <formula>$D15="Ongoing"</formula>
    </cfRule>
  </conditionalFormatting>
  <dataValidations count="1">
    <dataValidation type="list" allowBlank="1" showInputMessage="1" sqref="D3:D8 D15:D64" xr:uid="{00000000-0002-0000-0300-000000000000}">
      <formula1>"Planned,Ongoing,Done"</formula1>
    </dataValidation>
  </dataValidations>
  <pageMargins left="0.75" right="0.75" top="1" bottom="1" header="0.5" footer="0.5"/>
  <pageSetup paperSize="9" orientation="portrait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1" r:id="rId3" name="Button 3">
              <controlPr defaultSize="0" print="0" autoFill="0" autoPict="0" macro="[0]!SortSprintTasks">
                <anchor moveWithCells="1" sizeWithCells="1">
                  <from>
                    <xdr:col>0</xdr:col>
                    <xdr:colOff>266700</xdr:colOff>
                    <xdr:row>5</xdr:row>
                    <xdr:rowOff>99060</xdr:rowOff>
                  </from>
                  <to>
                    <xdr:col>0</xdr:col>
                    <xdr:colOff>2308860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4" name="Button 7">
              <controlPr defaultSize="0" print="0" autoFill="0" autoPict="0" macro="[0]!UpdateTaskSlips">
                <anchor moveWithCells="1" sizeWithCells="1">
                  <from>
                    <xdr:col>0</xdr:col>
                    <xdr:colOff>2590800</xdr:colOff>
                    <xdr:row>5</xdr:row>
                    <xdr:rowOff>99060</xdr:rowOff>
                  </from>
                  <to>
                    <xdr:col>2</xdr:col>
                    <xdr:colOff>342900</xdr:colOff>
                    <xdr:row>7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AD64"/>
  <sheetViews>
    <sheetView workbookViewId="0">
      <pane ySplit="14" topLeftCell="A15" activePane="bottomLeft" state="frozen"/>
      <selection pane="bottomLeft" activeCell="N24" sqref="N24"/>
    </sheetView>
  </sheetViews>
  <sheetFormatPr defaultColWidth="11.5546875" defaultRowHeight="13.2" x14ac:dyDescent="0.25"/>
  <cols>
    <col min="1" max="1" width="38.44140625" customWidth="1"/>
    <col min="2" max="2" width="8.44140625" style="2" customWidth="1"/>
    <col min="3" max="3" width="13.6640625" customWidth="1"/>
    <col min="4" max="4" width="10.6640625" customWidth="1"/>
    <col min="5" max="5" width="6.44140625" style="2" customWidth="1"/>
    <col min="6" max="30" width="4.44140625" style="2" customWidth="1"/>
    <col min="31" max="256" width="8.6640625" customWidth="1"/>
  </cols>
  <sheetData>
    <row r="1" spans="1:30" ht="17.399999999999999" x14ac:dyDescent="0.3">
      <c r="A1" s="31">
        <v>1</v>
      </c>
      <c r="B1" s="36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x14ac:dyDescent="0.25"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9" spans="1:30" x14ac:dyDescent="0.25">
      <c r="A9" s="18" t="s">
        <v>12</v>
      </c>
      <c r="B9" s="35">
        <v>5</v>
      </c>
      <c r="C9" s="18"/>
      <c r="D9" s="16"/>
      <c r="E9" s="20" t="s">
        <v>9</v>
      </c>
      <c r="F9" s="20" t="s">
        <v>11</v>
      </c>
      <c r="G9" s="20"/>
      <c r="H9" s="20"/>
      <c r="I9" s="20"/>
      <c r="J9" s="20"/>
      <c r="K9" s="20"/>
      <c r="L9" s="20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spans="1:30" x14ac:dyDescent="0.25">
      <c r="A10" s="18" t="s">
        <v>29</v>
      </c>
      <c r="B10" s="35">
        <v>5</v>
      </c>
      <c r="C10" s="18" t="s">
        <v>30</v>
      </c>
      <c r="D10" s="18" t="s">
        <v>17</v>
      </c>
      <c r="E10" s="17">
        <f ca="1">SUM(OFFSET(E14,1,0,TaskRows,1))</f>
        <v>0</v>
      </c>
      <c r="F10" s="17">
        <f ca="1">IF(AND(SUM(OFFSET(F14,1,0,TaskRows,1))=0),0,SUM(OFFSET(F14,1,0,TaskRows,1)))</f>
        <v>0</v>
      </c>
      <c r="G10" s="17" t="str">
        <f t="shared" ref="G10:AD10" ca="1" si="0">IF(AND(SUM(OFFSET(G14,1,0,TaskRows,1))=0),"",SUM(OFFSET(G14,1,0,TaskRows,1)))</f>
        <v/>
      </c>
      <c r="H10" s="17" t="str">
        <f t="shared" ca="1" si="0"/>
        <v/>
      </c>
      <c r="I10" s="17" t="str">
        <f t="shared" ca="1" si="0"/>
        <v/>
      </c>
      <c r="J10" s="17" t="str">
        <f t="shared" ca="1" si="0"/>
        <v/>
      </c>
      <c r="K10" s="17" t="str">
        <f t="shared" ca="1" si="0"/>
        <v/>
      </c>
      <c r="L10" s="17" t="str">
        <f t="shared" ca="1" si="0"/>
        <v/>
      </c>
      <c r="M10" s="17" t="str">
        <f t="shared" ca="1" si="0"/>
        <v/>
      </c>
      <c r="N10" s="17" t="str">
        <f t="shared" ca="1" si="0"/>
        <v/>
      </c>
      <c r="O10" s="17" t="str">
        <f t="shared" ca="1" si="0"/>
        <v/>
      </c>
      <c r="P10" s="17" t="str">
        <f t="shared" ca="1" si="0"/>
        <v/>
      </c>
      <c r="Q10" s="17" t="str">
        <f t="shared" ca="1" si="0"/>
        <v/>
      </c>
      <c r="R10" s="17" t="str">
        <f t="shared" ca="1" si="0"/>
        <v/>
      </c>
      <c r="S10" s="17" t="str">
        <f t="shared" ca="1" si="0"/>
        <v/>
      </c>
      <c r="T10" s="17" t="str">
        <f t="shared" ca="1" si="0"/>
        <v/>
      </c>
      <c r="U10" s="17" t="str">
        <f t="shared" ca="1" si="0"/>
        <v/>
      </c>
      <c r="V10" s="17" t="str">
        <f t="shared" ca="1" si="0"/>
        <v/>
      </c>
      <c r="W10" s="17" t="str">
        <f t="shared" ca="1" si="0"/>
        <v/>
      </c>
      <c r="X10" s="17" t="str">
        <f t="shared" ca="1" si="0"/>
        <v/>
      </c>
      <c r="Y10" s="17" t="str">
        <f t="shared" ca="1" si="0"/>
        <v/>
      </c>
      <c r="Z10" s="17" t="str">
        <f t="shared" ca="1" si="0"/>
        <v/>
      </c>
      <c r="AA10" s="17" t="str">
        <f t="shared" ca="1" si="0"/>
        <v/>
      </c>
      <c r="AB10" s="17" t="str">
        <f t="shared" ca="1" si="0"/>
        <v/>
      </c>
      <c r="AC10" s="17" t="str">
        <f t="shared" ca="1" si="0"/>
        <v/>
      </c>
      <c r="AD10" s="17" t="str">
        <f t="shared" ca="1" si="0"/>
        <v/>
      </c>
    </row>
    <row r="11" spans="1:30" hidden="1" x14ac:dyDescent="0.25">
      <c r="A11" t="s">
        <v>22</v>
      </c>
      <c r="B11" s="2">
        <f>IF(COUNTA(A15:A242)=0,1,COUNTA(A15:A242))</f>
        <v>1</v>
      </c>
      <c r="C11" t="s">
        <v>23</v>
      </c>
      <c r="D11" s="2">
        <f ca="1">IF(COUNTIF(F10:AD10,"&gt;0")=0,1,COUNTIF(F10:AD10,"&gt;0"))</f>
        <v>1</v>
      </c>
      <c r="F11" s="2">
        <f ca="1">IF(F14="","",$E10-$E10/($B9-1)*(F14-1))</f>
        <v>0</v>
      </c>
      <c r="G11" s="2">
        <f t="shared" ref="G11:AD11" ca="1" si="1">IF(G14="","",TotalEffort-TotalEffort/(ImplementationDays)*(G14-1))</f>
        <v>0</v>
      </c>
      <c r="H11" s="2">
        <f t="shared" ca="1" si="1"/>
        <v>0</v>
      </c>
      <c r="I11" s="2">
        <f t="shared" ca="1" si="1"/>
        <v>0</v>
      </c>
      <c r="J11" s="2">
        <f t="shared" ca="1" si="1"/>
        <v>0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hidden="1" x14ac:dyDescent="0.25">
      <c r="A12" s="54" t="s">
        <v>26</v>
      </c>
      <c r="B12"/>
      <c r="C12" t="s">
        <v>24</v>
      </c>
      <c r="D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0</v>
      </c>
      <c r="G12" s="2">
        <f t="shared" ca="1" si="2"/>
        <v>0</v>
      </c>
      <c r="H12" s="2">
        <f t="shared" ca="1" si="2"/>
        <v>0</v>
      </c>
      <c r="I12" s="2">
        <f t="shared" ca="1" si="2"/>
        <v>0</v>
      </c>
      <c r="J12" s="2">
        <f t="shared" ca="1" si="2"/>
        <v>0</v>
      </c>
      <c r="K12" s="2">
        <f t="shared" ca="1" si="2"/>
        <v>0</v>
      </c>
      <c r="L12" s="2">
        <f t="shared" ca="1" si="2"/>
        <v>0</v>
      </c>
      <c r="M12" s="2">
        <f t="shared" ca="1" si="2"/>
        <v>0</v>
      </c>
      <c r="N12" s="2">
        <f t="shared" ca="1" si="2"/>
        <v>0</v>
      </c>
      <c r="O12" s="2">
        <f t="shared" ca="1" si="2"/>
        <v>0</v>
      </c>
      <c r="P12" s="2">
        <f t="shared" ca="1" si="2"/>
        <v>0</v>
      </c>
      <c r="Q12" s="2">
        <f t="shared" ca="1" si="2"/>
        <v>0</v>
      </c>
      <c r="R12" s="2">
        <f t="shared" ca="1" si="2"/>
        <v>0</v>
      </c>
      <c r="S12" s="2">
        <f t="shared" ca="1" si="2"/>
        <v>0</v>
      </c>
      <c r="T12" s="2">
        <f t="shared" ca="1" si="2"/>
        <v>0</v>
      </c>
      <c r="U12" s="2">
        <f t="shared" ca="1" si="2"/>
        <v>0</v>
      </c>
      <c r="V12" s="2">
        <f t="shared" ca="1" si="2"/>
        <v>0</v>
      </c>
      <c r="W12" s="2">
        <f t="shared" ca="1" si="2"/>
        <v>0</v>
      </c>
      <c r="X12" s="2">
        <f t="shared" ca="1" si="2"/>
        <v>0</v>
      </c>
      <c r="Y12" s="2">
        <f t="shared" ca="1" si="2"/>
        <v>0</v>
      </c>
      <c r="Z12" s="2">
        <f t="shared" ca="1" si="2"/>
        <v>0</v>
      </c>
      <c r="AA12" s="2">
        <f t="shared" ca="1" si="2"/>
        <v>0</v>
      </c>
      <c r="AB12" s="2">
        <f t="shared" ca="1" si="2"/>
        <v>0</v>
      </c>
      <c r="AC12" s="2">
        <f t="shared" ca="1" si="2"/>
        <v>0</v>
      </c>
      <c r="AD12" s="2">
        <f t="shared" ca="1" si="2"/>
        <v>0</v>
      </c>
    </row>
    <row r="13" spans="1:30" hidden="1" x14ac:dyDescent="0.25">
      <c r="A13" s="54" t="s">
        <v>27</v>
      </c>
      <c r="B13"/>
      <c r="C13" t="s">
        <v>25</v>
      </c>
      <c r="D13" s="2">
        <f ca="1">IF(DoneDays&gt;B10,B10,DoneDays)</f>
        <v>1</v>
      </c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25">
      <c r="A14" s="18" t="s">
        <v>7</v>
      </c>
      <c r="B14" s="19" t="s">
        <v>21</v>
      </c>
      <c r="C14" s="18" t="s">
        <v>8</v>
      </c>
      <c r="D14" s="18" t="s">
        <v>3</v>
      </c>
      <c r="E14" s="19" t="s">
        <v>10</v>
      </c>
      <c r="F14" s="19">
        <v>1</v>
      </c>
      <c r="G14" s="19">
        <f t="shared" ref="G14:AD14" si="3">IF($B$9&gt;F14,F14+1,"")</f>
        <v>2</v>
      </c>
      <c r="H14" s="19">
        <f t="shared" si="3"/>
        <v>3</v>
      </c>
      <c r="I14" s="19">
        <f t="shared" si="3"/>
        <v>4</v>
      </c>
      <c r="J14" s="19">
        <f t="shared" si="3"/>
        <v>5</v>
      </c>
      <c r="K14" s="19" t="str">
        <f t="shared" si="3"/>
        <v/>
      </c>
      <c r="L14" s="19" t="str">
        <f t="shared" si="3"/>
        <v/>
      </c>
      <c r="M14" s="19" t="str">
        <f t="shared" si="3"/>
        <v/>
      </c>
      <c r="N14" s="19" t="str">
        <f t="shared" si="3"/>
        <v/>
      </c>
      <c r="O14" s="19" t="str">
        <f t="shared" si="3"/>
        <v/>
      </c>
      <c r="P14" s="19" t="str">
        <f t="shared" si="3"/>
        <v/>
      </c>
      <c r="Q14" s="19" t="str">
        <f t="shared" si="3"/>
        <v/>
      </c>
      <c r="R14" s="19" t="str">
        <f t="shared" si="3"/>
        <v/>
      </c>
      <c r="S14" s="19" t="str">
        <f t="shared" si="3"/>
        <v/>
      </c>
      <c r="T14" s="19" t="str">
        <f t="shared" si="3"/>
        <v/>
      </c>
      <c r="U14" s="19" t="str">
        <f t="shared" si="3"/>
        <v/>
      </c>
      <c r="V14" s="19" t="str">
        <f t="shared" si="3"/>
        <v/>
      </c>
      <c r="W14" s="19" t="str">
        <f t="shared" si="3"/>
        <v/>
      </c>
      <c r="X14" s="19" t="str">
        <f t="shared" si="3"/>
        <v/>
      </c>
      <c r="Y14" s="19" t="str">
        <f t="shared" si="3"/>
        <v/>
      </c>
      <c r="Z14" s="19" t="str">
        <f t="shared" si="3"/>
        <v/>
      </c>
      <c r="AA14" s="19" t="str">
        <f t="shared" si="3"/>
        <v/>
      </c>
      <c r="AB14" s="19" t="str">
        <f t="shared" si="3"/>
        <v/>
      </c>
      <c r="AC14" s="19" t="str">
        <f t="shared" si="3"/>
        <v/>
      </c>
      <c r="AD14" s="19" t="str">
        <f t="shared" si="3"/>
        <v/>
      </c>
    </row>
    <row r="15" spans="1:30" x14ac:dyDescent="0.25">
      <c r="D15" t="str">
        <f t="shared" ref="D15:D59" si="4">IF(A15&lt;&gt;"","Planned","")</f>
        <v/>
      </c>
      <c r="F15" s="2" t="str">
        <f t="shared" ref="F15:F59" si="5">IF(OR(F$14="",$E15=""),"",E15)</f>
        <v/>
      </c>
    </row>
    <row r="16" spans="1:30" x14ac:dyDescent="0.25">
      <c r="D16" t="str">
        <f t="shared" si="4"/>
        <v/>
      </c>
      <c r="F16" s="2" t="str">
        <f t="shared" si="5"/>
        <v/>
      </c>
      <c r="AC16" s="2" t="str">
        <f t="shared" ref="AC16:AD35" si="6">IF(OR(AC$14="",$E16=""),"",AB16)</f>
        <v/>
      </c>
      <c r="AD16" s="2" t="str">
        <f t="shared" si="6"/>
        <v/>
      </c>
    </row>
    <row r="17" spans="4:30" x14ac:dyDescent="0.25">
      <c r="D17" t="str">
        <f t="shared" si="4"/>
        <v/>
      </c>
      <c r="F17" s="2" t="str">
        <f t="shared" si="5"/>
        <v/>
      </c>
      <c r="AC17" s="2" t="str">
        <f t="shared" si="6"/>
        <v/>
      </c>
      <c r="AD17" s="2" t="str">
        <f t="shared" si="6"/>
        <v/>
      </c>
    </row>
    <row r="18" spans="4:30" x14ac:dyDescent="0.25">
      <c r="D18" t="str">
        <f t="shared" si="4"/>
        <v/>
      </c>
      <c r="F18" s="2" t="str">
        <f t="shared" si="5"/>
        <v/>
      </c>
      <c r="AC18" s="2" t="str">
        <f t="shared" si="6"/>
        <v/>
      </c>
      <c r="AD18" s="2" t="str">
        <f t="shared" si="6"/>
        <v/>
      </c>
    </row>
    <row r="19" spans="4:30" x14ac:dyDescent="0.25">
      <c r="D19" t="str">
        <f t="shared" si="4"/>
        <v/>
      </c>
      <c r="F19" s="2" t="str">
        <f t="shared" si="5"/>
        <v/>
      </c>
      <c r="AC19" s="2" t="str">
        <f t="shared" si="6"/>
        <v/>
      </c>
      <c r="AD19" s="2" t="str">
        <f t="shared" si="6"/>
        <v/>
      </c>
    </row>
    <row r="20" spans="4:30" x14ac:dyDescent="0.25">
      <c r="D20" t="str">
        <f t="shared" si="4"/>
        <v/>
      </c>
      <c r="F20" s="2" t="str">
        <f t="shared" si="5"/>
        <v/>
      </c>
      <c r="AC20" s="2" t="str">
        <f t="shared" si="6"/>
        <v/>
      </c>
      <c r="AD20" s="2" t="str">
        <f t="shared" si="6"/>
        <v/>
      </c>
    </row>
    <row r="21" spans="4:30" x14ac:dyDescent="0.25">
      <c r="D21" t="str">
        <f t="shared" si="4"/>
        <v/>
      </c>
      <c r="F21" s="2" t="str">
        <f t="shared" si="5"/>
        <v/>
      </c>
      <c r="AC21" s="2" t="str">
        <f t="shared" si="6"/>
        <v/>
      </c>
      <c r="AD21" s="2" t="str">
        <f t="shared" si="6"/>
        <v/>
      </c>
    </row>
    <row r="22" spans="4:30" x14ac:dyDescent="0.25">
      <c r="D22" t="str">
        <f t="shared" si="4"/>
        <v/>
      </c>
      <c r="F22" s="2" t="str">
        <f t="shared" si="5"/>
        <v/>
      </c>
      <c r="AC22" s="2" t="str">
        <f t="shared" si="6"/>
        <v/>
      </c>
      <c r="AD22" s="2" t="str">
        <f t="shared" si="6"/>
        <v/>
      </c>
    </row>
    <row r="23" spans="4:30" x14ac:dyDescent="0.25">
      <c r="D23" t="str">
        <f t="shared" si="4"/>
        <v/>
      </c>
      <c r="F23" s="2" t="str">
        <f t="shared" si="5"/>
        <v/>
      </c>
      <c r="AC23" s="2" t="str">
        <f t="shared" si="6"/>
        <v/>
      </c>
      <c r="AD23" s="2" t="str">
        <f t="shared" si="6"/>
        <v/>
      </c>
    </row>
    <row r="24" spans="4:30" x14ac:dyDescent="0.25">
      <c r="D24" t="str">
        <f t="shared" si="4"/>
        <v/>
      </c>
      <c r="F24" s="2" t="str">
        <f t="shared" si="5"/>
        <v/>
      </c>
      <c r="AC24" s="2" t="str">
        <f t="shared" si="6"/>
        <v/>
      </c>
      <c r="AD24" s="2" t="str">
        <f t="shared" si="6"/>
        <v/>
      </c>
    </row>
    <row r="25" spans="4:30" x14ac:dyDescent="0.25">
      <c r="D25" t="str">
        <f t="shared" si="4"/>
        <v/>
      </c>
      <c r="F25" s="2" t="str">
        <f t="shared" si="5"/>
        <v/>
      </c>
      <c r="AC25" s="2" t="str">
        <f t="shared" si="6"/>
        <v/>
      </c>
      <c r="AD25" s="2" t="str">
        <f t="shared" si="6"/>
        <v/>
      </c>
    </row>
    <row r="26" spans="4:30" x14ac:dyDescent="0.25">
      <c r="D26" t="str">
        <f t="shared" si="4"/>
        <v/>
      </c>
      <c r="F26" s="2" t="str">
        <f t="shared" si="5"/>
        <v/>
      </c>
      <c r="AC26" s="2" t="str">
        <f t="shared" si="6"/>
        <v/>
      </c>
      <c r="AD26" s="2" t="str">
        <f t="shared" si="6"/>
        <v/>
      </c>
    </row>
    <row r="27" spans="4:30" x14ac:dyDescent="0.25">
      <c r="D27" t="str">
        <f t="shared" si="4"/>
        <v/>
      </c>
      <c r="F27" s="2" t="str">
        <f t="shared" si="5"/>
        <v/>
      </c>
      <c r="AC27" s="2" t="str">
        <f t="shared" si="6"/>
        <v/>
      </c>
      <c r="AD27" s="2" t="str">
        <f t="shared" si="6"/>
        <v/>
      </c>
    </row>
    <row r="28" spans="4:30" x14ac:dyDescent="0.25">
      <c r="D28" t="str">
        <f t="shared" si="4"/>
        <v/>
      </c>
      <c r="F28" s="2" t="str">
        <f t="shared" si="5"/>
        <v/>
      </c>
      <c r="AC28" s="2" t="str">
        <f t="shared" si="6"/>
        <v/>
      </c>
      <c r="AD28" s="2" t="str">
        <f t="shared" si="6"/>
        <v/>
      </c>
    </row>
    <row r="29" spans="4:30" x14ac:dyDescent="0.25">
      <c r="D29" t="str">
        <f t="shared" si="4"/>
        <v/>
      </c>
      <c r="F29" s="2" t="str">
        <f t="shared" si="5"/>
        <v/>
      </c>
      <c r="AC29" s="2" t="str">
        <f t="shared" si="6"/>
        <v/>
      </c>
      <c r="AD29" s="2" t="str">
        <f t="shared" si="6"/>
        <v/>
      </c>
    </row>
    <row r="30" spans="4:30" x14ac:dyDescent="0.25">
      <c r="D30" t="str">
        <f t="shared" si="4"/>
        <v/>
      </c>
      <c r="F30" s="2" t="str">
        <f t="shared" si="5"/>
        <v/>
      </c>
      <c r="AC30" s="2" t="str">
        <f t="shared" si="6"/>
        <v/>
      </c>
      <c r="AD30" s="2" t="str">
        <f t="shared" si="6"/>
        <v/>
      </c>
    </row>
    <row r="31" spans="4:30" x14ac:dyDescent="0.25">
      <c r="D31" t="str">
        <f t="shared" si="4"/>
        <v/>
      </c>
      <c r="F31" s="2" t="str">
        <f t="shared" si="5"/>
        <v/>
      </c>
      <c r="AC31" s="2" t="str">
        <f t="shared" si="6"/>
        <v/>
      </c>
      <c r="AD31" s="2" t="str">
        <f t="shared" si="6"/>
        <v/>
      </c>
    </row>
    <row r="32" spans="4:30" x14ac:dyDescent="0.25">
      <c r="D32" t="str">
        <f t="shared" si="4"/>
        <v/>
      </c>
      <c r="F32" s="2" t="str">
        <f t="shared" si="5"/>
        <v/>
      </c>
      <c r="AC32" s="2" t="str">
        <f t="shared" si="6"/>
        <v/>
      </c>
      <c r="AD32" s="2" t="str">
        <f t="shared" si="6"/>
        <v/>
      </c>
    </row>
    <row r="33" spans="4:30" x14ac:dyDescent="0.25">
      <c r="D33" t="str">
        <f t="shared" si="4"/>
        <v/>
      </c>
      <c r="F33" s="2" t="str">
        <f t="shared" si="5"/>
        <v/>
      </c>
      <c r="AC33" s="2" t="str">
        <f t="shared" si="6"/>
        <v/>
      </c>
      <c r="AD33" s="2" t="str">
        <f t="shared" si="6"/>
        <v/>
      </c>
    </row>
    <row r="34" spans="4:30" x14ac:dyDescent="0.25">
      <c r="D34" t="str">
        <f t="shared" si="4"/>
        <v/>
      </c>
      <c r="F34" s="2" t="str">
        <f t="shared" si="5"/>
        <v/>
      </c>
      <c r="AC34" s="2" t="str">
        <f t="shared" si="6"/>
        <v/>
      </c>
      <c r="AD34" s="2" t="str">
        <f t="shared" si="6"/>
        <v/>
      </c>
    </row>
    <row r="35" spans="4:30" x14ac:dyDescent="0.25">
      <c r="D35" t="str">
        <f t="shared" si="4"/>
        <v/>
      </c>
      <c r="F35" s="2" t="str">
        <f t="shared" si="5"/>
        <v/>
      </c>
      <c r="AC35" s="2" t="str">
        <f t="shared" si="6"/>
        <v/>
      </c>
      <c r="AD35" s="2" t="str">
        <f t="shared" si="6"/>
        <v/>
      </c>
    </row>
    <row r="36" spans="4:30" x14ac:dyDescent="0.25">
      <c r="D36" t="str">
        <f t="shared" si="4"/>
        <v/>
      </c>
      <c r="F36" s="2" t="str">
        <f t="shared" si="5"/>
        <v/>
      </c>
      <c r="AC36" s="2" t="str">
        <f t="shared" ref="AC36:AD55" si="7">IF(OR(AC$14="",$E36=""),"",AB36)</f>
        <v/>
      </c>
      <c r="AD36" s="2" t="str">
        <f t="shared" si="7"/>
        <v/>
      </c>
    </row>
    <row r="37" spans="4:30" x14ac:dyDescent="0.25">
      <c r="D37" t="str">
        <f t="shared" si="4"/>
        <v/>
      </c>
      <c r="F37" s="2" t="str">
        <f t="shared" si="5"/>
        <v/>
      </c>
      <c r="AC37" s="2" t="str">
        <f t="shared" si="7"/>
        <v/>
      </c>
      <c r="AD37" s="2" t="str">
        <f t="shared" si="7"/>
        <v/>
      </c>
    </row>
    <row r="38" spans="4:30" x14ac:dyDescent="0.25">
      <c r="D38" t="str">
        <f t="shared" si="4"/>
        <v/>
      </c>
      <c r="F38" s="2" t="str">
        <f t="shared" si="5"/>
        <v/>
      </c>
      <c r="AC38" s="2" t="str">
        <f t="shared" si="7"/>
        <v/>
      </c>
      <c r="AD38" s="2" t="str">
        <f t="shared" si="7"/>
        <v/>
      </c>
    </row>
    <row r="39" spans="4:30" x14ac:dyDescent="0.25">
      <c r="D39" t="str">
        <f t="shared" si="4"/>
        <v/>
      </c>
      <c r="F39" s="2" t="str">
        <f t="shared" si="5"/>
        <v/>
      </c>
      <c r="AC39" s="2" t="str">
        <f t="shared" si="7"/>
        <v/>
      </c>
      <c r="AD39" s="2" t="str">
        <f t="shared" si="7"/>
        <v/>
      </c>
    </row>
    <row r="40" spans="4:30" x14ac:dyDescent="0.25">
      <c r="D40" t="str">
        <f t="shared" si="4"/>
        <v/>
      </c>
      <c r="F40" s="2" t="str">
        <f t="shared" si="5"/>
        <v/>
      </c>
      <c r="AC40" s="2" t="str">
        <f t="shared" si="7"/>
        <v/>
      </c>
      <c r="AD40" s="2" t="str">
        <f t="shared" si="7"/>
        <v/>
      </c>
    </row>
    <row r="41" spans="4:30" x14ac:dyDescent="0.25">
      <c r="D41" t="str">
        <f t="shared" si="4"/>
        <v/>
      </c>
      <c r="F41" s="2" t="str">
        <f t="shared" si="5"/>
        <v/>
      </c>
      <c r="AC41" s="2" t="str">
        <f t="shared" si="7"/>
        <v/>
      </c>
      <c r="AD41" s="2" t="str">
        <f t="shared" si="7"/>
        <v/>
      </c>
    </row>
    <row r="42" spans="4:30" x14ac:dyDescent="0.25">
      <c r="D42" t="str">
        <f t="shared" si="4"/>
        <v/>
      </c>
      <c r="F42" s="2" t="str">
        <f t="shared" si="5"/>
        <v/>
      </c>
      <c r="AC42" s="2" t="str">
        <f t="shared" si="7"/>
        <v/>
      </c>
      <c r="AD42" s="2" t="str">
        <f t="shared" si="7"/>
        <v/>
      </c>
    </row>
    <row r="43" spans="4:30" x14ac:dyDescent="0.25">
      <c r="D43" t="str">
        <f t="shared" si="4"/>
        <v/>
      </c>
      <c r="F43" s="2" t="str">
        <f t="shared" si="5"/>
        <v/>
      </c>
      <c r="AC43" s="2" t="str">
        <f t="shared" si="7"/>
        <v/>
      </c>
      <c r="AD43" s="2" t="str">
        <f t="shared" si="7"/>
        <v/>
      </c>
    </row>
    <row r="44" spans="4:30" x14ac:dyDescent="0.25">
      <c r="D44" t="str">
        <f t="shared" si="4"/>
        <v/>
      </c>
      <c r="F44" s="2" t="str">
        <f t="shared" si="5"/>
        <v/>
      </c>
      <c r="AC44" s="2" t="str">
        <f t="shared" si="7"/>
        <v/>
      </c>
      <c r="AD44" s="2" t="str">
        <f t="shared" si="7"/>
        <v/>
      </c>
    </row>
    <row r="45" spans="4:30" x14ac:dyDescent="0.25">
      <c r="D45" t="str">
        <f t="shared" si="4"/>
        <v/>
      </c>
      <c r="F45" s="2" t="str">
        <f t="shared" si="5"/>
        <v/>
      </c>
      <c r="AC45" s="2" t="str">
        <f t="shared" si="7"/>
        <v/>
      </c>
      <c r="AD45" s="2" t="str">
        <f t="shared" si="7"/>
        <v/>
      </c>
    </row>
    <row r="46" spans="4:30" x14ac:dyDescent="0.25">
      <c r="D46" t="str">
        <f t="shared" si="4"/>
        <v/>
      </c>
      <c r="F46" s="2" t="str">
        <f t="shared" si="5"/>
        <v/>
      </c>
      <c r="AC46" s="2" t="str">
        <f t="shared" si="7"/>
        <v/>
      </c>
      <c r="AD46" s="2" t="str">
        <f t="shared" si="7"/>
        <v/>
      </c>
    </row>
    <row r="47" spans="4:30" x14ac:dyDescent="0.25">
      <c r="D47" t="str">
        <f t="shared" si="4"/>
        <v/>
      </c>
      <c r="F47" s="2" t="str">
        <f t="shared" si="5"/>
        <v/>
      </c>
      <c r="AC47" s="2" t="str">
        <f t="shared" si="7"/>
        <v/>
      </c>
      <c r="AD47" s="2" t="str">
        <f t="shared" si="7"/>
        <v/>
      </c>
    </row>
    <row r="48" spans="4:30" x14ac:dyDescent="0.25">
      <c r="D48" t="str">
        <f t="shared" si="4"/>
        <v/>
      </c>
      <c r="F48" s="2" t="str">
        <f t="shared" si="5"/>
        <v/>
      </c>
      <c r="AC48" s="2" t="str">
        <f t="shared" si="7"/>
        <v/>
      </c>
      <c r="AD48" s="2" t="str">
        <f t="shared" si="7"/>
        <v/>
      </c>
    </row>
    <row r="49" spans="4:30" x14ac:dyDescent="0.25">
      <c r="D49" t="str">
        <f t="shared" si="4"/>
        <v/>
      </c>
      <c r="F49" s="2" t="str">
        <f t="shared" si="5"/>
        <v/>
      </c>
      <c r="AC49" s="2" t="str">
        <f t="shared" si="7"/>
        <v/>
      </c>
      <c r="AD49" s="2" t="str">
        <f t="shared" si="7"/>
        <v/>
      </c>
    </row>
    <row r="50" spans="4:30" x14ac:dyDescent="0.25">
      <c r="D50" t="str">
        <f t="shared" si="4"/>
        <v/>
      </c>
      <c r="F50" s="2" t="str">
        <f t="shared" si="5"/>
        <v/>
      </c>
      <c r="AC50" s="2" t="str">
        <f t="shared" si="7"/>
        <v/>
      </c>
      <c r="AD50" s="2" t="str">
        <f t="shared" si="7"/>
        <v/>
      </c>
    </row>
    <row r="51" spans="4:30" x14ac:dyDescent="0.25">
      <c r="D51" t="str">
        <f t="shared" si="4"/>
        <v/>
      </c>
      <c r="F51" s="2" t="str">
        <f t="shared" si="5"/>
        <v/>
      </c>
      <c r="AC51" s="2" t="str">
        <f t="shared" si="7"/>
        <v/>
      </c>
      <c r="AD51" s="2" t="str">
        <f t="shared" si="7"/>
        <v/>
      </c>
    </row>
    <row r="52" spans="4:30" x14ac:dyDescent="0.25">
      <c r="D52" t="str">
        <f t="shared" si="4"/>
        <v/>
      </c>
      <c r="F52" s="2" t="str">
        <f t="shared" si="5"/>
        <v/>
      </c>
      <c r="AC52" s="2" t="str">
        <f t="shared" si="7"/>
        <v/>
      </c>
      <c r="AD52" s="2" t="str">
        <f t="shared" si="7"/>
        <v/>
      </c>
    </row>
    <row r="53" spans="4:30" x14ac:dyDescent="0.25">
      <c r="D53" t="str">
        <f t="shared" si="4"/>
        <v/>
      </c>
      <c r="F53" s="2" t="str">
        <f t="shared" si="5"/>
        <v/>
      </c>
      <c r="AC53" s="2" t="str">
        <f t="shared" si="7"/>
        <v/>
      </c>
      <c r="AD53" s="2" t="str">
        <f t="shared" si="7"/>
        <v/>
      </c>
    </row>
    <row r="54" spans="4:30" x14ac:dyDescent="0.25">
      <c r="D54" t="str">
        <f t="shared" si="4"/>
        <v/>
      </c>
      <c r="F54" s="2" t="str">
        <f t="shared" si="5"/>
        <v/>
      </c>
      <c r="AC54" s="2" t="str">
        <f t="shared" si="7"/>
        <v/>
      </c>
      <c r="AD54" s="2" t="str">
        <f t="shared" si="7"/>
        <v/>
      </c>
    </row>
    <row r="55" spans="4:30" x14ac:dyDescent="0.25">
      <c r="D55" t="str">
        <f t="shared" si="4"/>
        <v/>
      </c>
      <c r="F55" s="2" t="str">
        <f t="shared" si="5"/>
        <v/>
      </c>
      <c r="AC55" s="2" t="str">
        <f t="shared" si="7"/>
        <v/>
      </c>
      <c r="AD55" s="2" t="str">
        <f t="shared" si="7"/>
        <v/>
      </c>
    </row>
    <row r="56" spans="4:30" x14ac:dyDescent="0.25">
      <c r="D56" t="str">
        <f t="shared" si="4"/>
        <v/>
      </c>
      <c r="F56" s="2" t="str">
        <f t="shared" si="5"/>
        <v/>
      </c>
      <c r="AC56" s="2" t="str">
        <f t="shared" ref="AC56:AD59" si="8">IF(OR(AC$14="",$E56=""),"",AB56)</f>
        <v/>
      </c>
      <c r="AD56" s="2" t="str">
        <f t="shared" si="8"/>
        <v/>
      </c>
    </row>
    <row r="57" spans="4:30" x14ac:dyDescent="0.25">
      <c r="D57" t="str">
        <f t="shared" si="4"/>
        <v/>
      </c>
      <c r="F57" s="2" t="str">
        <f t="shared" si="5"/>
        <v/>
      </c>
      <c r="AC57" s="2" t="str">
        <f t="shared" si="8"/>
        <v/>
      </c>
      <c r="AD57" s="2" t="str">
        <f t="shared" si="8"/>
        <v/>
      </c>
    </row>
    <row r="58" spans="4:30" x14ac:dyDescent="0.25">
      <c r="D58" t="str">
        <f t="shared" si="4"/>
        <v/>
      </c>
      <c r="F58" s="2" t="str">
        <f t="shared" si="5"/>
        <v/>
      </c>
      <c r="G58" s="2" t="str">
        <f t="shared" ref="G58:AB58" si="9">IF(OR(G$14="",$E58=""),"",F58)</f>
        <v/>
      </c>
      <c r="H58" s="2" t="str">
        <f t="shared" si="9"/>
        <v/>
      </c>
      <c r="I58" s="2" t="str">
        <f t="shared" si="9"/>
        <v/>
      </c>
      <c r="J58" s="2" t="str">
        <f t="shared" si="9"/>
        <v/>
      </c>
      <c r="K58" s="2" t="str">
        <f t="shared" si="9"/>
        <v/>
      </c>
      <c r="L58" s="2" t="str">
        <f t="shared" si="9"/>
        <v/>
      </c>
      <c r="M58" s="2" t="str">
        <f t="shared" si="9"/>
        <v/>
      </c>
      <c r="N58" s="2" t="str">
        <f t="shared" si="9"/>
        <v/>
      </c>
      <c r="O58" s="2" t="str">
        <f t="shared" si="9"/>
        <v/>
      </c>
      <c r="P58" s="2" t="str">
        <f t="shared" si="9"/>
        <v/>
      </c>
      <c r="Q58" s="2" t="str">
        <f t="shared" si="9"/>
        <v/>
      </c>
      <c r="R58" s="2" t="str">
        <f t="shared" si="9"/>
        <v/>
      </c>
      <c r="S58" s="2" t="str">
        <f t="shared" si="9"/>
        <v/>
      </c>
      <c r="T58" s="2" t="str">
        <f t="shared" si="9"/>
        <v/>
      </c>
      <c r="U58" s="2" t="str">
        <f t="shared" si="9"/>
        <v/>
      </c>
      <c r="V58" s="2" t="str">
        <f t="shared" si="9"/>
        <v/>
      </c>
      <c r="W58" s="2" t="str">
        <f t="shared" si="9"/>
        <v/>
      </c>
      <c r="X58" s="2" t="str">
        <f t="shared" si="9"/>
        <v/>
      </c>
      <c r="Y58" s="2" t="str">
        <f t="shared" si="9"/>
        <v/>
      </c>
      <c r="Z58" s="2" t="str">
        <f t="shared" si="9"/>
        <v/>
      </c>
      <c r="AA58" s="2" t="str">
        <f t="shared" si="9"/>
        <v/>
      </c>
      <c r="AB58" s="2" t="str">
        <f t="shared" si="9"/>
        <v/>
      </c>
      <c r="AC58" s="2" t="str">
        <f t="shared" si="8"/>
        <v/>
      </c>
      <c r="AD58" s="2" t="str">
        <f t="shared" si="8"/>
        <v/>
      </c>
    </row>
    <row r="59" spans="4:30" x14ac:dyDescent="0.25">
      <c r="D59" t="str">
        <f t="shared" si="4"/>
        <v/>
      </c>
      <c r="F59" s="2" t="str">
        <f t="shared" si="5"/>
        <v/>
      </c>
      <c r="G59" s="2" t="str">
        <f t="shared" ref="G59:AB59" si="10">IF(OR(G$14="",$E59=""),"",F59)</f>
        <v/>
      </c>
      <c r="H59" s="2" t="str">
        <f t="shared" si="10"/>
        <v/>
      </c>
      <c r="I59" s="2" t="str">
        <f t="shared" si="10"/>
        <v/>
      </c>
      <c r="J59" s="2" t="str">
        <f t="shared" si="10"/>
        <v/>
      </c>
      <c r="K59" s="2" t="str">
        <f t="shared" si="10"/>
        <v/>
      </c>
      <c r="L59" s="2" t="str">
        <f t="shared" si="10"/>
        <v/>
      </c>
      <c r="M59" s="2" t="str">
        <f t="shared" si="10"/>
        <v/>
      </c>
      <c r="N59" s="2" t="str">
        <f t="shared" si="10"/>
        <v/>
      </c>
      <c r="O59" s="2" t="str">
        <f t="shared" si="10"/>
        <v/>
      </c>
      <c r="P59" s="2" t="str">
        <f t="shared" si="10"/>
        <v/>
      </c>
      <c r="Q59" s="2" t="str">
        <f t="shared" si="10"/>
        <v/>
      </c>
      <c r="R59" s="2" t="str">
        <f t="shared" si="10"/>
        <v/>
      </c>
      <c r="S59" s="2" t="str">
        <f t="shared" si="10"/>
        <v/>
      </c>
      <c r="T59" s="2" t="str">
        <f t="shared" si="10"/>
        <v/>
      </c>
      <c r="U59" s="2" t="str">
        <f t="shared" si="10"/>
        <v/>
      </c>
      <c r="V59" s="2" t="str">
        <f t="shared" si="10"/>
        <v/>
      </c>
      <c r="W59" s="2" t="str">
        <f t="shared" si="10"/>
        <v/>
      </c>
      <c r="X59" s="2" t="str">
        <f t="shared" si="10"/>
        <v/>
      </c>
      <c r="Y59" s="2" t="str">
        <f t="shared" si="10"/>
        <v/>
      </c>
      <c r="Z59" s="2" t="str">
        <f t="shared" si="10"/>
        <v/>
      </c>
      <c r="AA59" s="2" t="str">
        <f t="shared" si="10"/>
        <v/>
      </c>
      <c r="AB59" s="2" t="str">
        <f t="shared" si="10"/>
        <v/>
      </c>
      <c r="AC59" s="2" t="str">
        <f t="shared" si="8"/>
        <v/>
      </c>
      <c r="AD59" s="2" t="str">
        <f t="shared" si="8"/>
        <v/>
      </c>
    </row>
    <row r="64" spans="4:30" x14ac:dyDescent="0.25">
      <c r="D64" t="str">
        <f>IF(A64&lt;&gt;"","Planned","")</f>
        <v/>
      </c>
    </row>
  </sheetData>
  <phoneticPr fontId="2" type="noConversion"/>
  <conditionalFormatting sqref="A19:AD58 J15:AD18">
    <cfRule type="expression" dxfId="3" priority="1" stopIfTrue="1">
      <formula>$D15="Done"</formula>
    </cfRule>
    <cfRule type="expression" dxfId="2" priority="2" stopIfTrue="1">
      <formula>$D15="Ongoing"</formula>
    </cfRule>
  </conditionalFormatting>
  <conditionalFormatting sqref="A15:I18">
    <cfRule type="expression" dxfId="1" priority="3" stopIfTrue="1">
      <formula>$D15="Done"</formula>
    </cfRule>
    <cfRule type="expression" dxfId="0" priority="4" stopIfTrue="1">
      <formula>$D15="Ongoing"</formula>
    </cfRule>
  </conditionalFormatting>
  <dataValidations count="1">
    <dataValidation type="list" allowBlank="1" showInputMessage="1" sqref="D15:D64 D3:D8" xr:uid="{00000000-0002-0000-0400-000000000000}">
      <formula1>"Planned,Ongoing,Done"</formula1>
    </dataValidation>
  </dataValidations>
  <pageMargins left="0.75" right="0.75" top="1" bottom="1" header="0.5" footer="0.5"/>
  <pageSetup paperSize="9" orientation="portrait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49" r:id="rId3" name="Button 13">
              <controlPr defaultSize="0" print="0" autoFill="0" autoPict="0" macro="[0]!SortSprintTasks">
                <anchor moveWithCells="1" sizeWithCells="1">
                  <from>
                    <xdr:col>0</xdr:col>
                    <xdr:colOff>266700</xdr:colOff>
                    <xdr:row>5</xdr:row>
                    <xdr:rowOff>99060</xdr:rowOff>
                  </from>
                  <to>
                    <xdr:col>0</xdr:col>
                    <xdr:colOff>1981200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4" name="Button 14">
              <controlPr defaultSize="0" print="0" autoFill="0" autoPict="0" macro="[0]!UpdateTaskSlips">
                <anchor moveWithCells="1" sizeWithCells="1">
                  <from>
                    <xdr:col>0</xdr:col>
                    <xdr:colOff>2286000</xdr:colOff>
                    <xdr:row>5</xdr:row>
                    <xdr:rowOff>99060</xdr:rowOff>
                  </from>
                  <to>
                    <xdr:col>2</xdr:col>
                    <xdr:colOff>251460</xdr:colOff>
                    <xdr:row>7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F30"/>
  <sheetViews>
    <sheetView workbookViewId="0"/>
  </sheetViews>
  <sheetFormatPr defaultColWidth="9.109375" defaultRowHeight="13.2" x14ac:dyDescent="0.25"/>
  <cols>
    <col min="1" max="3" width="9.109375" style="34"/>
    <col min="4" max="4" width="32.6640625" style="34" customWidth="1"/>
    <col min="5" max="5" width="9.109375" style="34"/>
    <col min="6" max="6" width="32.6640625" style="34" customWidth="1"/>
    <col min="7" max="16384" width="9.109375" style="34"/>
  </cols>
  <sheetData>
    <row r="1" spans="1:6" x14ac:dyDescent="0.25">
      <c r="A1" s="80" t="s">
        <v>105</v>
      </c>
      <c r="B1" s="96">
        <v>1</v>
      </c>
      <c r="C1" s="81" t="s">
        <v>106</v>
      </c>
      <c r="D1" s="82" t="s">
        <v>87</v>
      </c>
      <c r="E1" s="82"/>
      <c r="F1" s="83"/>
    </row>
    <row r="2" spans="1:6" x14ac:dyDescent="0.25">
      <c r="A2" s="84" t="s">
        <v>107</v>
      </c>
      <c r="B2" s="77" t="s">
        <v>80</v>
      </c>
      <c r="C2" s="77"/>
      <c r="D2" s="77"/>
      <c r="E2" s="77"/>
      <c r="F2" s="85"/>
    </row>
    <row r="3" spans="1:6" x14ac:dyDescent="0.25">
      <c r="A3" s="86"/>
      <c r="B3" s="78"/>
      <c r="C3" s="78"/>
      <c r="D3" s="78"/>
      <c r="E3" s="78"/>
      <c r="F3" s="87"/>
    </row>
    <row r="4" spans="1:6" x14ac:dyDescent="0.25">
      <c r="A4" s="88"/>
      <c r="B4" s="79"/>
      <c r="C4" s="79"/>
      <c r="D4" s="79"/>
      <c r="E4" s="79"/>
      <c r="F4" s="89"/>
    </row>
    <row r="5" spans="1:6" x14ac:dyDescent="0.25">
      <c r="A5" s="94" t="str">
        <f>CONCATENATE("Responsible Person: ",'Sp1'!C15)</f>
        <v>Responsible Person: Danny Dev</v>
      </c>
      <c r="B5" s="76"/>
      <c r="C5" s="76"/>
      <c r="D5" s="76"/>
      <c r="E5" s="76"/>
      <c r="F5" s="95"/>
    </row>
    <row r="6" spans="1:6" ht="27" thickBot="1" x14ac:dyDescent="0.3">
      <c r="A6" s="90" t="s">
        <v>104</v>
      </c>
      <c r="B6" s="97">
        <v>5</v>
      </c>
      <c r="C6" s="92" t="s">
        <v>109</v>
      </c>
      <c r="D6" s="91"/>
      <c r="E6" s="92" t="s">
        <v>108</v>
      </c>
      <c r="F6" s="93"/>
    </row>
    <row r="8" spans="1:6" ht="13.8" thickBot="1" x14ac:dyDescent="0.3"/>
    <row r="9" spans="1:6" x14ac:dyDescent="0.25">
      <c r="A9" s="80" t="s">
        <v>105</v>
      </c>
      <c r="B9" s="96">
        <v>1</v>
      </c>
      <c r="C9" s="81" t="s">
        <v>106</v>
      </c>
      <c r="D9" s="82" t="s">
        <v>87</v>
      </c>
      <c r="E9" s="82"/>
      <c r="F9" s="83"/>
    </row>
    <row r="10" spans="1:6" x14ac:dyDescent="0.25">
      <c r="A10" s="84" t="s">
        <v>107</v>
      </c>
      <c r="B10" s="77" t="s">
        <v>81</v>
      </c>
      <c r="C10" s="77"/>
      <c r="D10" s="77"/>
      <c r="E10" s="77"/>
      <c r="F10" s="85"/>
    </row>
    <row r="11" spans="1:6" x14ac:dyDescent="0.25">
      <c r="A11" s="86"/>
      <c r="B11" s="78"/>
      <c r="C11" s="78"/>
      <c r="D11" s="78"/>
      <c r="E11" s="78"/>
      <c r="F11" s="87"/>
    </row>
    <row r="12" spans="1:6" x14ac:dyDescent="0.25">
      <c r="A12" s="88"/>
      <c r="B12" s="79"/>
      <c r="C12" s="79"/>
      <c r="D12" s="79"/>
      <c r="E12" s="79"/>
      <c r="F12" s="89"/>
    </row>
    <row r="13" spans="1:6" x14ac:dyDescent="0.25">
      <c r="A13" s="94" t="str">
        <f>CONCATENATE("Responsible Person: ",'Sp1'!C16)</f>
        <v>Responsible Person: Tina Tester</v>
      </c>
      <c r="B13" s="76"/>
      <c r="C13" s="76"/>
      <c r="D13" s="76"/>
      <c r="E13" s="76"/>
      <c r="F13" s="95"/>
    </row>
    <row r="14" spans="1:6" ht="27" thickBot="1" x14ac:dyDescent="0.3">
      <c r="A14" s="90" t="s">
        <v>104</v>
      </c>
      <c r="B14" s="97">
        <v>7</v>
      </c>
      <c r="C14" s="92" t="s">
        <v>109</v>
      </c>
      <c r="D14" s="91"/>
      <c r="E14" s="92" t="s">
        <v>108</v>
      </c>
      <c r="F14" s="93"/>
    </row>
    <row r="16" spans="1:6" ht="13.8" thickBot="1" x14ac:dyDescent="0.3"/>
    <row r="17" spans="1:6" x14ac:dyDescent="0.25">
      <c r="A17" s="80" t="s">
        <v>105</v>
      </c>
      <c r="B17" s="96">
        <v>2</v>
      </c>
      <c r="C17" s="81" t="s">
        <v>106</v>
      </c>
      <c r="D17" s="82" t="s">
        <v>88</v>
      </c>
      <c r="E17" s="82"/>
      <c r="F17" s="83"/>
    </row>
    <row r="18" spans="1:6" x14ac:dyDescent="0.25">
      <c r="A18" s="84" t="s">
        <v>107</v>
      </c>
      <c r="B18" s="77" t="s">
        <v>83</v>
      </c>
      <c r="C18" s="77"/>
      <c r="D18" s="77"/>
      <c r="E18" s="77"/>
      <c r="F18" s="85"/>
    </row>
    <row r="19" spans="1:6" x14ac:dyDescent="0.25">
      <c r="A19" s="86"/>
      <c r="B19" s="78"/>
      <c r="C19" s="78"/>
      <c r="D19" s="78"/>
      <c r="E19" s="78"/>
      <c r="F19" s="87"/>
    </row>
    <row r="20" spans="1:6" x14ac:dyDescent="0.25">
      <c r="A20" s="88"/>
      <c r="B20" s="79"/>
      <c r="C20" s="79"/>
      <c r="D20" s="79"/>
      <c r="E20" s="79"/>
      <c r="F20" s="89"/>
    </row>
    <row r="21" spans="1:6" x14ac:dyDescent="0.25">
      <c r="A21" s="94" t="str">
        <f>CONCATENATE("Responsible Person: ",'Sp1'!C17)</f>
        <v>Responsible Person: Danny Dev</v>
      </c>
      <c r="B21" s="76"/>
      <c r="C21" s="76"/>
      <c r="D21" s="76"/>
      <c r="E21" s="76"/>
      <c r="F21" s="95"/>
    </row>
    <row r="22" spans="1:6" ht="27" thickBot="1" x14ac:dyDescent="0.3">
      <c r="A22" s="90" t="s">
        <v>104</v>
      </c>
      <c r="B22" s="97">
        <v>12</v>
      </c>
      <c r="C22" s="92" t="s">
        <v>109</v>
      </c>
      <c r="D22" s="91"/>
      <c r="E22" s="92" t="s">
        <v>108</v>
      </c>
      <c r="F22" s="93"/>
    </row>
    <row r="24" spans="1:6" ht="13.8" thickBot="1" x14ac:dyDescent="0.3"/>
    <row r="25" spans="1:6" x14ac:dyDescent="0.25">
      <c r="A25" s="80" t="s">
        <v>105</v>
      </c>
      <c r="B25" s="96">
        <v>2</v>
      </c>
      <c r="C25" s="81" t="s">
        <v>106</v>
      </c>
      <c r="D25" s="82" t="s">
        <v>88</v>
      </c>
      <c r="E25" s="82"/>
      <c r="F25" s="83"/>
    </row>
    <row r="26" spans="1:6" x14ac:dyDescent="0.25">
      <c r="A26" s="84" t="s">
        <v>107</v>
      </c>
      <c r="B26" s="77" t="s">
        <v>84</v>
      </c>
      <c r="C26" s="77"/>
      <c r="D26" s="77"/>
      <c r="E26" s="77"/>
      <c r="F26" s="85"/>
    </row>
    <row r="27" spans="1:6" x14ac:dyDescent="0.25">
      <c r="A27" s="86"/>
      <c r="B27" s="78"/>
      <c r="C27" s="78"/>
      <c r="D27" s="78"/>
      <c r="E27" s="78"/>
      <c r="F27" s="87"/>
    </row>
    <row r="28" spans="1:6" x14ac:dyDescent="0.25">
      <c r="A28" s="88"/>
      <c r="B28" s="79"/>
      <c r="C28" s="79"/>
      <c r="D28" s="79"/>
      <c r="E28" s="79"/>
      <c r="F28" s="89"/>
    </row>
    <row r="29" spans="1:6" x14ac:dyDescent="0.25">
      <c r="A29" s="94" t="str">
        <f>CONCATENATE("Responsible Person: ",'Sp1'!C18)</f>
        <v xml:space="preserve">Responsible Person: </v>
      </c>
      <c r="B29" s="76"/>
      <c r="C29" s="76"/>
      <c r="D29" s="76"/>
      <c r="E29" s="76"/>
      <c r="F29" s="95"/>
    </row>
    <row r="30" spans="1:6" ht="27" thickBot="1" x14ac:dyDescent="0.3">
      <c r="A30" s="90" t="s">
        <v>104</v>
      </c>
      <c r="B30" s="97">
        <v>9</v>
      </c>
      <c r="C30" s="92" t="s">
        <v>109</v>
      </c>
      <c r="D30" s="91"/>
      <c r="E30" s="92" t="s">
        <v>108</v>
      </c>
      <c r="F30" s="93"/>
    </row>
  </sheetData>
  <phoneticPr fontId="2" type="noConversion"/>
  <pageMargins left="0.19685039370078741" right="0.19685039370078741" top="0.19685039370078741" bottom="0.19685039370078741" header="0.51181102362204722" footer="0.51181102362204722"/>
  <pageSetup paperSize="9" fitToHeight="10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25</vt:i4>
      </vt:variant>
    </vt:vector>
  </HeadingPairs>
  <TitlesOfParts>
    <vt:vector size="31" baseType="lpstr">
      <vt:lpstr>Release Plan</vt:lpstr>
      <vt:lpstr>Product Backlog</vt:lpstr>
      <vt:lpstr>PB Burndown</vt:lpstr>
      <vt:lpstr>Sp1</vt:lpstr>
      <vt:lpstr>Sp2</vt:lpstr>
      <vt:lpstr>Task Slips</vt:lpstr>
      <vt:lpstr>'Sp1'!DoneDays</vt:lpstr>
      <vt:lpstr>'Sp2'!DoneDays</vt:lpstr>
      <vt:lpstr>'Sp1'!ImplementationDays</vt:lpstr>
      <vt:lpstr>'Sp2'!ImplementationDays</vt:lpstr>
      <vt:lpstr>'Product Backlog'!Print_Area</vt:lpstr>
      <vt:lpstr>ProductBacklog</vt:lpstr>
      <vt:lpstr>Sprint</vt:lpstr>
      <vt:lpstr>SprintCount</vt:lpstr>
      <vt:lpstr>SprintsInTrend</vt:lpstr>
      <vt:lpstr>'Sp1'!SprintTasks</vt:lpstr>
      <vt:lpstr>SprintTasks</vt:lpstr>
      <vt:lpstr>Status</vt:lpstr>
      <vt:lpstr>StoryName</vt:lpstr>
      <vt:lpstr>'Sp1'!TaskRows</vt:lpstr>
      <vt:lpstr>'Sp2'!TaskRows</vt:lpstr>
      <vt:lpstr>'Sp1'!TaskStatus</vt:lpstr>
      <vt:lpstr>TaskStatus</vt:lpstr>
      <vt:lpstr>'Sp1'!TaskStoryID</vt:lpstr>
      <vt:lpstr>TaskStoryID</vt:lpstr>
      <vt:lpstr>'Sp1'!TotalEffort</vt:lpstr>
      <vt:lpstr>'Sp2'!TotalEffort</vt:lpstr>
      <vt:lpstr>'Sp1'!TrendDays</vt:lpstr>
      <vt:lpstr>TrendDays</vt:lpstr>
      <vt:lpstr>TrendOffset</vt:lpstr>
      <vt:lpstr>TrendSprintCount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creator>&lt; Your name &gt;</dc:creator>
  <dc:description>Template versio 1.0 Approval</dc:description>
  <cp:lastModifiedBy>Luke Tang</cp:lastModifiedBy>
  <cp:revision>1</cp:revision>
  <cp:lastPrinted>2006-09-01T14:59:00Z</cp:lastPrinted>
  <dcterms:created xsi:type="dcterms:W3CDTF">1998-06-05T11:20:44Z</dcterms:created>
  <dcterms:modified xsi:type="dcterms:W3CDTF">2021-03-29T19:31:41Z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