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2d\uploads\"/>
    </mc:Choice>
  </mc:AlternateContent>
  <xr:revisionPtr revIDLastSave="0" documentId="13_ncr:1_{F12307FB-86AB-47E5-9DAA-F80D746A7746}" xr6:coauthVersionLast="45" xr6:coauthVersionMax="45" xr10:uidLastSave="{00000000-0000-0000-0000-000000000000}"/>
  <bookViews>
    <workbookView xWindow="5925" yWindow="3780" windowWidth="18135" windowHeight="12285" activeTab="2" xr2:uid="{00000000-000D-0000-FFFF-FFFF00000000}"/>
  </bookViews>
  <sheets>
    <sheet name="l2" sheetId="1" r:id="rId1"/>
    <sheet name="l3" sheetId="2" r:id="rId2"/>
    <sheet name="l1" sheetId="3" r:id="rId3"/>
    <sheet name="Лист1" sheetId="7" r:id="rId4"/>
    <sheet name="Пустографка" sheetId="8" r:id="rId5"/>
    <sheet name="222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8" i="6" l="1"/>
  <c r="D96" i="6"/>
  <c r="C34" i="3" l="1"/>
  <c r="C66" i="3" l="1"/>
  <c r="C64" i="3"/>
  <c r="C35" i="3"/>
  <c r="C32" i="3"/>
  <c r="C23" i="3"/>
  <c r="C81" i="3"/>
  <c r="C78" i="3"/>
  <c r="C75" i="3"/>
  <c r="C67" i="3"/>
  <c r="C68" i="3" s="1"/>
  <c r="C62" i="3"/>
  <c r="C63" i="3" s="1"/>
  <c r="C54" i="3"/>
  <c r="C45" i="3"/>
  <c r="C42" i="3"/>
  <c r="C39" i="3"/>
  <c r="C36" i="3"/>
  <c r="C29" i="3"/>
  <c r="C12" i="3"/>
  <c r="C7" i="3"/>
  <c r="C5" i="3"/>
  <c r="C24" i="3" l="1"/>
  <c r="B26" i="3" s="1"/>
  <c r="C25" i="3" s="1"/>
  <c r="C105" i="6"/>
  <c r="V46" i="8"/>
  <c r="F46" i="8"/>
  <c r="V45" i="8"/>
  <c r="F45" i="8"/>
  <c r="V44" i="8"/>
  <c r="W44" i="8" s="1"/>
  <c r="C40" i="8" s="1"/>
  <c r="F44" i="8"/>
  <c r="F43" i="8"/>
  <c r="C41" i="8"/>
  <c r="E41" i="8" s="1"/>
  <c r="F40" i="8"/>
  <c r="F50" i="8" s="1"/>
  <c r="AE36" i="8"/>
  <c r="Q26" i="8"/>
  <c r="L26" i="8"/>
  <c r="E26" i="8"/>
  <c r="D26" i="8"/>
  <c r="Q25" i="8"/>
  <c r="Q22" i="8"/>
  <c r="N21" i="8"/>
  <c r="M21" i="8"/>
  <c r="K21" i="8"/>
  <c r="J21" i="8"/>
  <c r="I21" i="8"/>
  <c r="G21" i="8"/>
  <c r="Q10" i="8"/>
  <c r="Q8" i="8"/>
  <c r="Q7" i="8"/>
  <c r="S6" i="8"/>
  <c r="L6" i="8"/>
  <c r="E6" i="8"/>
  <c r="D6" i="8"/>
  <c r="Q6" i="8" s="1"/>
  <c r="H5" i="8"/>
  <c r="F5" i="8"/>
  <c r="Q5" i="8" s="1"/>
  <c r="V3" i="8"/>
  <c r="S3" i="8"/>
  <c r="R3" i="8"/>
  <c r="G42" i="2"/>
  <c r="I42" i="2" s="1"/>
  <c r="P9" i="8" l="1"/>
  <c r="Q9" i="8" s="1"/>
  <c r="G45" i="8"/>
  <c r="P23" i="8"/>
  <c r="Q23" i="8" s="1"/>
  <c r="Q21" i="8"/>
  <c r="G44" i="8" s="1"/>
  <c r="C39" i="8"/>
  <c r="D39" i="8"/>
  <c r="E40" i="8"/>
  <c r="D40" i="8"/>
  <c r="E39" i="8"/>
  <c r="P24" i="8"/>
  <c r="Q24" i="8" s="1"/>
  <c r="F39" i="8"/>
  <c r="D41" i="8"/>
  <c r="J42" i="2"/>
  <c r="P11" i="8" l="1"/>
  <c r="Q11" i="8" s="1"/>
  <c r="G40" i="8" l="1"/>
  <c r="Q29" i="8"/>
  <c r="G39" i="8"/>
  <c r="G50" i="8" l="1"/>
  <c r="P50" i="8"/>
  <c r="C115" i="6" l="1"/>
  <c r="C111" i="6"/>
  <c r="E94" i="6"/>
  <c r="C99" i="6"/>
  <c r="D245" i="1" l="1"/>
  <c r="G241" i="1"/>
  <c r="G245" i="1" s="1"/>
  <c r="D231" i="1"/>
  <c r="G230" i="1"/>
  <c r="I230" i="1" s="1"/>
  <c r="G229" i="1"/>
  <c r="G228" i="1"/>
  <c r="I228" i="1" s="1"/>
  <c r="J228" i="1" s="1"/>
  <c r="G227" i="1"/>
  <c r="I227" i="1" s="1"/>
  <c r="J227" i="1" s="1"/>
  <c r="G226" i="1"/>
  <c r="G225" i="1"/>
  <c r="G224" i="1"/>
  <c r="I224" i="1" s="1"/>
  <c r="J224" i="1" s="1"/>
  <c r="G223" i="1"/>
  <c r="G222" i="1"/>
  <c r="I222" i="1" s="1"/>
  <c r="G221" i="1"/>
  <c r="G220" i="1"/>
  <c r="I220" i="1" s="1"/>
  <c r="J220" i="1" s="1"/>
  <c r="G219" i="1"/>
  <c r="G218" i="1"/>
  <c r="I218" i="1" s="1"/>
  <c r="D208" i="1"/>
  <c r="G207" i="1"/>
  <c r="I207" i="1" s="1"/>
  <c r="G206" i="1"/>
  <c r="G205" i="1"/>
  <c r="I205" i="1" s="1"/>
  <c r="J205" i="1" s="1"/>
  <c r="G204" i="1"/>
  <c r="I204" i="1" s="1"/>
  <c r="J204" i="1" s="1"/>
  <c r="G203" i="1"/>
  <c r="I203" i="1" s="1"/>
  <c r="D202" i="1"/>
  <c r="G200" i="1"/>
  <c r="G199" i="1"/>
  <c r="I199" i="1" s="1"/>
  <c r="J199" i="1" s="1"/>
  <c r="G198" i="1"/>
  <c r="I198" i="1" s="1"/>
  <c r="J198" i="1" s="1"/>
  <c r="G197" i="1"/>
  <c r="I197" i="1" s="1"/>
  <c r="G196" i="1"/>
  <c r="G195" i="1"/>
  <c r="I195" i="1" s="1"/>
  <c r="J195" i="1" s="1"/>
  <c r="G194" i="1"/>
  <c r="I194" i="1" s="1"/>
  <c r="J194" i="1" s="1"/>
  <c r="D193" i="1"/>
  <c r="G192" i="1"/>
  <c r="G191" i="1"/>
  <c r="G190" i="1"/>
  <c r="I190" i="1" s="1"/>
  <c r="J190" i="1" s="1"/>
  <c r="G189" i="1"/>
  <c r="I189" i="1" s="1"/>
  <c r="G188" i="1"/>
  <c r="I188" i="1" s="1"/>
  <c r="G187" i="1"/>
  <c r="G186" i="1"/>
  <c r="I186" i="1" s="1"/>
  <c r="J186" i="1" s="1"/>
  <c r="G185" i="1"/>
  <c r="G184" i="1"/>
  <c r="G183" i="1"/>
  <c r="G182" i="1"/>
  <c r="I182" i="1" s="1"/>
  <c r="J182" i="1" s="1"/>
  <c r="G181" i="1"/>
  <c r="G180" i="1"/>
  <c r="I180" i="1" s="1"/>
  <c r="G179" i="1"/>
  <c r="G178" i="1"/>
  <c r="I178" i="1" s="1"/>
  <c r="J178" i="1" s="1"/>
  <c r="G177" i="1"/>
  <c r="I177" i="1" s="1"/>
  <c r="J177" i="1" s="1"/>
  <c r="G176" i="1"/>
  <c r="G175" i="1"/>
  <c r="G174" i="1"/>
  <c r="I174" i="1" s="1"/>
  <c r="J174" i="1" s="1"/>
  <c r="G173" i="1"/>
  <c r="G172" i="1"/>
  <c r="I172" i="1" s="1"/>
  <c r="G171" i="1"/>
  <c r="G170" i="1"/>
  <c r="I170" i="1" s="1"/>
  <c r="J170" i="1" s="1"/>
  <c r="G169" i="1"/>
  <c r="G167" i="1"/>
  <c r="I167" i="1" s="1"/>
  <c r="D168" i="1"/>
  <c r="G162" i="1"/>
  <c r="G161" i="1"/>
  <c r="I161" i="1" s="1"/>
  <c r="J161" i="1" s="1"/>
  <c r="G159" i="1"/>
  <c r="I159" i="1" s="1"/>
  <c r="G158" i="1"/>
  <c r="G157" i="1"/>
  <c r="G156" i="1"/>
  <c r="G154" i="1"/>
  <c r="I154" i="1" s="1"/>
  <c r="G153" i="1"/>
  <c r="G152" i="1"/>
  <c r="G151" i="1"/>
  <c r="G150" i="1"/>
  <c r="I150" i="1" s="1"/>
  <c r="G148" i="1"/>
  <c r="I148" i="1" s="1"/>
  <c r="J148" i="1" s="1"/>
  <c r="G147" i="1"/>
  <c r="G146" i="1"/>
  <c r="G145" i="1"/>
  <c r="I145" i="1" s="1"/>
  <c r="G144" i="1"/>
  <c r="I144" i="1" s="1"/>
  <c r="G143" i="1"/>
  <c r="G142" i="1"/>
  <c r="G141" i="1"/>
  <c r="I141" i="1" s="1"/>
  <c r="G140" i="1"/>
  <c r="G139" i="1"/>
  <c r="G138" i="1"/>
  <c r="G137" i="1"/>
  <c r="I137" i="1" s="1"/>
  <c r="G136" i="1"/>
  <c r="G135" i="1"/>
  <c r="G133" i="1"/>
  <c r="G130" i="1"/>
  <c r="I130" i="1" s="1"/>
  <c r="G129" i="1"/>
  <c r="G128" i="1"/>
  <c r="G127" i="1"/>
  <c r="G125" i="1"/>
  <c r="I125" i="1" s="1"/>
  <c r="G121" i="1"/>
  <c r="I121" i="1" s="1"/>
  <c r="J121" i="1" s="1"/>
  <c r="G120" i="1"/>
  <c r="I120" i="1" s="1"/>
  <c r="J120" i="1" s="1"/>
  <c r="G118" i="1"/>
  <c r="I118" i="1" s="1"/>
  <c r="G117" i="1"/>
  <c r="G116" i="1"/>
  <c r="I116" i="1" s="1"/>
  <c r="J116" i="1" s="1"/>
  <c r="G115" i="1"/>
  <c r="I115" i="1" s="1"/>
  <c r="J115" i="1" s="1"/>
  <c r="G114" i="1"/>
  <c r="I114" i="1" s="1"/>
  <c r="G113" i="1"/>
  <c r="G112" i="1"/>
  <c r="I112" i="1" s="1"/>
  <c r="J112" i="1" s="1"/>
  <c r="G111" i="1"/>
  <c r="I111" i="1" s="1"/>
  <c r="J111" i="1" s="1"/>
  <c r="G110" i="1"/>
  <c r="I110" i="1" s="1"/>
  <c r="D109" i="1"/>
  <c r="G108" i="1"/>
  <c r="G107" i="1"/>
  <c r="I107" i="1" s="1"/>
  <c r="J107" i="1" s="1"/>
  <c r="G106" i="1"/>
  <c r="I106" i="1" s="1"/>
  <c r="J106" i="1" s="1"/>
  <c r="G105" i="1"/>
  <c r="I105" i="1" s="1"/>
  <c r="G104" i="1"/>
  <c r="G103" i="1"/>
  <c r="I103" i="1" s="1"/>
  <c r="J103" i="1" s="1"/>
  <c r="G102" i="1"/>
  <c r="I102" i="1" s="1"/>
  <c r="J102" i="1" s="1"/>
  <c r="G101" i="1"/>
  <c r="I101" i="1" s="1"/>
  <c r="G100" i="1"/>
  <c r="G99" i="1"/>
  <c r="I99" i="1" s="1"/>
  <c r="J99" i="1" s="1"/>
  <c r="G98" i="1"/>
  <c r="I98" i="1" s="1"/>
  <c r="J98" i="1" s="1"/>
  <c r="G97" i="1"/>
  <c r="I97" i="1" s="1"/>
  <c r="G96" i="1"/>
  <c r="G95" i="1"/>
  <c r="I95" i="1" s="1"/>
  <c r="J95" i="1" s="1"/>
  <c r="G94" i="1"/>
  <c r="I94" i="1" s="1"/>
  <c r="J94" i="1" s="1"/>
  <c r="G93" i="1"/>
  <c r="I93" i="1" s="1"/>
  <c r="G92" i="1"/>
  <c r="G91" i="1"/>
  <c r="I91" i="1" s="1"/>
  <c r="J91" i="1" s="1"/>
  <c r="G90" i="1"/>
  <c r="I90" i="1" s="1"/>
  <c r="J90" i="1" s="1"/>
  <c r="G89" i="1"/>
  <c r="I89" i="1" s="1"/>
  <c r="G88" i="1"/>
  <c r="G87" i="1"/>
  <c r="I87" i="1" s="1"/>
  <c r="J87" i="1" s="1"/>
  <c r="G86" i="1"/>
  <c r="I86" i="1" s="1"/>
  <c r="J86" i="1" s="1"/>
  <c r="G85" i="1"/>
  <c r="G84" i="1"/>
  <c r="G83" i="1"/>
  <c r="I83" i="1" s="1"/>
  <c r="G82" i="1"/>
  <c r="I82" i="1" s="1"/>
  <c r="J82" i="1" s="1"/>
  <c r="G81" i="1"/>
  <c r="I81" i="1" s="1"/>
  <c r="J81" i="1" s="1"/>
  <c r="G80" i="1"/>
  <c r="G79" i="1"/>
  <c r="I79" i="1" s="1"/>
  <c r="G78" i="1"/>
  <c r="I78" i="1" s="1"/>
  <c r="J78" i="1" s="1"/>
  <c r="G77" i="1"/>
  <c r="G75" i="1"/>
  <c r="I75" i="1" s="1"/>
  <c r="G74" i="1"/>
  <c r="I74" i="1" s="1"/>
  <c r="G72" i="1"/>
  <c r="I72" i="1" s="1"/>
  <c r="J72" i="1" s="1"/>
  <c r="G71" i="1"/>
  <c r="G70" i="1"/>
  <c r="G69" i="1"/>
  <c r="I69" i="1" s="1"/>
  <c r="G68" i="1"/>
  <c r="I68" i="1" s="1"/>
  <c r="J68" i="1" s="1"/>
  <c r="G66" i="1"/>
  <c r="I66" i="1" s="1"/>
  <c r="J66" i="1" s="1"/>
  <c r="G65" i="1"/>
  <c r="G64" i="1"/>
  <c r="I64" i="1" s="1"/>
  <c r="G63" i="1"/>
  <c r="I63" i="1" s="1"/>
  <c r="G62" i="1"/>
  <c r="I62" i="1" s="1"/>
  <c r="J62" i="1" s="1"/>
  <c r="G61" i="1"/>
  <c r="I61" i="1" s="1"/>
  <c r="J61" i="1" s="1"/>
  <c r="G60" i="1"/>
  <c r="I60" i="1" s="1"/>
  <c r="J60" i="1" s="1"/>
  <c r="G59" i="1"/>
  <c r="I59" i="1" s="1"/>
  <c r="G58" i="1"/>
  <c r="I58" i="1" s="1"/>
  <c r="I57" i="1"/>
  <c r="J57" i="1" s="1"/>
  <c r="G57" i="1"/>
  <c r="G56" i="1"/>
  <c r="I56" i="1" s="1"/>
  <c r="G55" i="1"/>
  <c r="I55" i="1" s="1"/>
  <c r="G54" i="1"/>
  <c r="I54" i="1" s="1"/>
  <c r="J54" i="1" s="1"/>
  <c r="G53" i="1"/>
  <c r="G52" i="1"/>
  <c r="G50" i="1"/>
  <c r="I50" i="1" s="1"/>
  <c r="J50" i="1" s="1"/>
  <c r="G49" i="1"/>
  <c r="I49" i="1" s="1"/>
  <c r="J49" i="1" s="1"/>
  <c r="G48" i="1"/>
  <c r="I48" i="1" s="1"/>
  <c r="G47" i="1"/>
  <c r="G46" i="1"/>
  <c r="I46" i="1" s="1"/>
  <c r="J46" i="1" s="1"/>
  <c r="G45" i="1"/>
  <c r="I45" i="1" s="1"/>
  <c r="J45" i="1" s="1"/>
  <c r="G44" i="1"/>
  <c r="I44" i="1" s="1"/>
  <c r="G43" i="1"/>
  <c r="G42" i="1"/>
  <c r="I42" i="1" s="1"/>
  <c r="J42" i="1" s="1"/>
  <c r="G41" i="1"/>
  <c r="I41" i="1" s="1"/>
  <c r="J41" i="1" s="1"/>
  <c r="G40" i="1"/>
  <c r="I40" i="1" s="1"/>
  <c r="G39" i="1"/>
  <c r="G38" i="1"/>
  <c r="I38" i="1" s="1"/>
  <c r="J38" i="1" s="1"/>
  <c r="G37" i="1"/>
  <c r="I37" i="1" s="1"/>
  <c r="J37" i="1" s="1"/>
  <c r="G36" i="1"/>
  <c r="I36" i="1" s="1"/>
  <c r="G35" i="1"/>
  <c r="G34" i="1"/>
  <c r="I34" i="1" s="1"/>
  <c r="J34" i="1" s="1"/>
  <c r="G33" i="1"/>
  <c r="G32" i="1"/>
  <c r="D31" i="1"/>
  <c r="G30" i="1"/>
  <c r="I30" i="1" s="1"/>
  <c r="J30" i="1" s="1"/>
  <c r="G29" i="1"/>
  <c r="I29" i="1" s="1"/>
  <c r="J29" i="1" s="1"/>
  <c r="G28" i="1"/>
  <c r="I28" i="1" s="1"/>
  <c r="G27" i="1"/>
  <c r="G26" i="1"/>
  <c r="I26" i="1" s="1"/>
  <c r="J26" i="1" s="1"/>
  <c r="G25" i="1"/>
  <c r="I25" i="1" s="1"/>
  <c r="J25" i="1" s="1"/>
  <c r="G24" i="1"/>
  <c r="I24" i="1" s="1"/>
  <c r="G23" i="1"/>
  <c r="G22" i="1"/>
  <c r="I22" i="1" s="1"/>
  <c r="J22" i="1" s="1"/>
  <c r="G21" i="1"/>
  <c r="I21" i="1" s="1"/>
  <c r="J21" i="1" s="1"/>
  <c r="G20" i="1"/>
  <c r="I20" i="1" s="1"/>
  <c r="G19" i="1"/>
  <c r="G18" i="1"/>
  <c r="I18" i="1" s="1"/>
  <c r="J18" i="1" s="1"/>
  <c r="G17" i="1"/>
  <c r="I17" i="1" s="1"/>
  <c r="J17" i="1" s="1"/>
  <c r="G16" i="1"/>
  <c r="I16" i="1" s="1"/>
  <c r="G15" i="1"/>
  <c r="G14" i="1"/>
  <c r="I14" i="1" s="1"/>
  <c r="J14" i="1" s="1"/>
  <c r="G13" i="1"/>
  <c r="I13" i="1" s="1"/>
  <c r="J13" i="1" s="1"/>
  <c r="G12" i="1"/>
  <c r="I12" i="1" s="1"/>
  <c r="G11" i="1"/>
  <c r="G10" i="1"/>
  <c r="I10" i="1" s="1"/>
  <c r="J10" i="1" s="1"/>
  <c r="G9" i="1"/>
  <c r="I9" i="1" s="1"/>
  <c r="J9" i="1" s="1"/>
  <c r="G8" i="1"/>
  <c r="I8" i="1" s="1"/>
  <c r="G7" i="1"/>
  <c r="G6" i="1"/>
  <c r="I6" i="1" s="1"/>
  <c r="J6" i="1" s="1"/>
  <c r="G5" i="1"/>
  <c r="I5" i="1" s="1"/>
  <c r="G73" i="1" l="1"/>
  <c r="I73" i="1" s="1"/>
  <c r="J73" i="1" s="1"/>
  <c r="J159" i="1"/>
  <c r="J145" i="1"/>
  <c r="I153" i="1"/>
  <c r="J153" i="1" s="1"/>
  <c r="J141" i="1"/>
  <c r="I173" i="1"/>
  <c r="J173" i="1" s="1"/>
  <c r="I223" i="1"/>
  <c r="J223" i="1" s="1"/>
  <c r="I181" i="1"/>
  <c r="J181" i="1" s="1"/>
  <c r="J144" i="1"/>
  <c r="J189" i="1"/>
  <c r="J8" i="1"/>
  <c r="J16" i="1"/>
  <c r="J24" i="1"/>
  <c r="J40" i="1"/>
  <c r="J48" i="1"/>
  <c r="I53" i="1"/>
  <c r="J53" i="1" s="1"/>
  <c r="J56" i="1"/>
  <c r="G109" i="1"/>
  <c r="J125" i="1"/>
  <c r="J130" i="1"/>
  <c r="J137" i="1"/>
  <c r="I140" i="1"/>
  <c r="J140" i="1" s="1"/>
  <c r="J154" i="1"/>
  <c r="I158" i="1"/>
  <c r="J158" i="1" s="1"/>
  <c r="G165" i="1"/>
  <c r="I165" i="1" s="1"/>
  <c r="I168" i="1" s="1"/>
  <c r="I169" i="1"/>
  <c r="J169" i="1" s="1"/>
  <c r="I176" i="1"/>
  <c r="J176" i="1" s="1"/>
  <c r="I185" i="1"/>
  <c r="J185" i="1" s="1"/>
  <c r="I192" i="1"/>
  <c r="J192" i="1" s="1"/>
  <c r="I219" i="1"/>
  <c r="J219" i="1" s="1"/>
  <c r="I226" i="1"/>
  <c r="J226" i="1" s="1"/>
  <c r="J74" i="1"/>
  <c r="I129" i="1"/>
  <c r="J129" i="1" s="1"/>
  <c r="I136" i="1"/>
  <c r="J136" i="1" s="1"/>
  <c r="J150" i="1"/>
  <c r="D76" i="1"/>
  <c r="J12" i="1"/>
  <c r="J20" i="1"/>
  <c r="J28" i="1"/>
  <c r="I33" i="1"/>
  <c r="J33" i="1" s="1"/>
  <c r="J36" i="1"/>
  <c r="J44" i="1"/>
  <c r="J58" i="1"/>
  <c r="J63" i="1"/>
  <c r="D164" i="1"/>
  <c r="I184" i="1"/>
  <c r="J184" i="1" s="1"/>
  <c r="I241" i="1"/>
  <c r="J5" i="1"/>
  <c r="I88" i="1"/>
  <c r="J88" i="1" s="1"/>
  <c r="I92" i="1"/>
  <c r="J92" i="1" s="1"/>
  <c r="I96" i="1"/>
  <c r="J96" i="1" s="1"/>
  <c r="I100" i="1"/>
  <c r="J100" i="1" s="1"/>
  <c r="I104" i="1"/>
  <c r="J104" i="1" s="1"/>
  <c r="J108" i="1"/>
  <c r="I108" i="1"/>
  <c r="I162" i="1"/>
  <c r="J162" i="1" s="1"/>
  <c r="G193" i="1"/>
  <c r="I171" i="1"/>
  <c r="J171" i="1" s="1"/>
  <c r="I187" i="1"/>
  <c r="J187" i="1" s="1"/>
  <c r="I196" i="1"/>
  <c r="J196" i="1" s="1"/>
  <c r="I206" i="1"/>
  <c r="I208" i="1" s="1"/>
  <c r="I221" i="1"/>
  <c r="J221" i="1" s="1"/>
  <c r="I7" i="1"/>
  <c r="J7" i="1" s="1"/>
  <c r="I11" i="1"/>
  <c r="J11" i="1" s="1"/>
  <c r="I15" i="1"/>
  <c r="J15" i="1" s="1"/>
  <c r="I19" i="1"/>
  <c r="J19" i="1" s="1"/>
  <c r="I23" i="1"/>
  <c r="J23" i="1" s="1"/>
  <c r="I27" i="1"/>
  <c r="J27" i="1" s="1"/>
  <c r="G31" i="1"/>
  <c r="I32" i="1"/>
  <c r="J32" i="1" s="1"/>
  <c r="I35" i="1"/>
  <c r="J35" i="1" s="1"/>
  <c r="I39" i="1"/>
  <c r="J39" i="1" s="1"/>
  <c r="I43" i="1"/>
  <c r="J43" i="1" s="1"/>
  <c r="I47" i="1"/>
  <c r="J47" i="1" s="1"/>
  <c r="G51" i="1"/>
  <c r="I52" i="1"/>
  <c r="J52" i="1" s="1"/>
  <c r="J55" i="1"/>
  <c r="J64" i="1"/>
  <c r="I65" i="1"/>
  <c r="J65" i="1" s="1"/>
  <c r="J69" i="1"/>
  <c r="I71" i="1"/>
  <c r="J71" i="1" s="1"/>
  <c r="I77" i="1"/>
  <c r="J77" i="1" s="1"/>
  <c r="I80" i="1"/>
  <c r="J80" i="1" s="1"/>
  <c r="J83" i="1"/>
  <c r="I85" i="1"/>
  <c r="J85" i="1" s="1"/>
  <c r="J89" i="1"/>
  <c r="J93" i="1"/>
  <c r="J97" i="1"/>
  <c r="J101" i="1"/>
  <c r="J105" i="1"/>
  <c r="I128" i="1"/>
  <c r="J128" i="1" s="1"/>
  <c r="I133" i="1"/>
  <c r="J133" i="1" s="1"/>
  <c r="I138" i="1"/>
  <c r="J138" i="1" s="1"/>
  <c r="I142" i="1"/>
  <c r="J142" i="1" s="1"/>
  <c r="I146" i="1"/>
  <c r="J146" i="1" s="1"/>
  <c r="I152" i="1"/>
  <c r="I157" i="1"/>
  <c r="J157" i="1" s="1"/>
  <c r="J167" i="1"/>
  <c r="J172" i="1"/>
  <c r="I183" i="1"/>
  <c r="J183" i="1" s="1"/>
  <c r="J188" i="1"/>
  <c r="J197" i="1"/>
  <c r="G202" i="1"/>
  <c r="J207" i="1"/>
  <c r="J222" i="1"/>
  <c r="I113" i="1"/>
  <c r="J113" i="1" s="1"/>
  <c r="I117" i="1"/>
  <c r="G164" i="1"/>
  <c r="I179" i="1"/>
  <c r="J179" i="1" s="1"/>
  <c r="G208" i="1"/>
  <c r="G231" i="1"/>
  <c r="I229" i="1"/>
  <c r="J229" i="1" s="1"/>
  <c r="J59" i="1"/>
  <c r="I70" i="1"/>
  <c r="J70" i="1" s="1"/>
  <c r="J75" i="1"/>
  <c r="J79" i="1"/>
  <c r="I84" i="1"/>
  <c r="J84" i="1" s="1"/>
  <c r="G126" i="1"/>
  <c r="J110" i="1"/>
  <c r="J114" i="1"/>
  <c r="J118" i="1"/>
  <c r="I127" i="1"/>
  <c r="J127" i="1" s="1"/>
  <c r="G131" i="1"/>
  <c r="I135" i="1"/>
  <c r="J135" i="1" s="1"/>
  <c r="I139" i="1"/>
  <c r="J139" i="1" s="1"/>
  <c r="I143" i="1"/>
  <c r="J143" i="1" s="1"/>
  <c r="I147" i="1"/>
  <c r="J147" i="1" s="1"/>
  <c r="I151" i="1"/>
  <c r="J151" i="1" s="1"/>
  <c r="I156" i="1"/>
  <c r="J156" i="1" s="1"/>
  <c r="I175" i="1"/>
  <c r="J175" i="1" s="1"/>
  <c r="J180" i="1"/>
  <c r="I191" i="1"/>
  <c r="J191" i="1" s="1"/>
  <c r="I200" i="1"/>
  <c r="I202" i="1" s="1"/>
  <c r="I225" i="1"/>
  <c r="J225" i="1" s="1"/>
  <c r="J230" i="1"/>
  <c r="J203" i="1"/>
  <c r="J218" i="1"/>
  <c r="G168" i="1" l="1"/>
  <c r="I164" i="1"/>
  <c r="I126" i="1"/>
  <c r="J193" i="1"/>
  <c r="I193" i="1"/>
  <c r="I245" i="1"/>
  <c r="J241" i="1"/>
  <c r="J245" i="1" s="1"/>
  <c r="D209" i="1"/>
  <c r="E212" i="1" s="1"/>
  <c r="J231" i="1"/>
  <c r="J200" i="1"/>
  <c r="J202" i="1" s="1"/>
  <c r="J117" i="1"/>
  <c r="J109" i="1"/>
  <c r="I51" i="1"/>
  <c r="I76" i="1" s="1"/>
  <c r="J206" i="1"/>
  <c r="J208" i="1" s="1"/>
  <c r="G76" i="1"/>
  <c r="I109" i="1"/>
  <c r="I231" i="1"/>
  <c r="J165" i="1"/>
  <c r="J168" i="1" s="1"/>
  <c r="J31" i="1"/>
  <c r="J152" i="1"/>
  <c r="J164" i="1" s="1"/>
  <c r="I31" i="1"/>
  <c r="J126" i="1"/>
  <c r="I131" i="1"/>
  <c r="I149" i="1" s="1"/>
  <c r="G149" i="1"/>
  <c r="J131" i="1" l="1"/>
  <c r="J149" i="1" s="1"/>
  <c r="G209" i="1"/>
  <c r="I209" i="1"/>
  <c r="J51" i="1"/>
  <c r="J76" i="1" s="1"/>
  <c r="J209" i="1" l="1"/>
  <c r="D233" i="2"/>
  <c r="D147" i="2" l="1"/>
  <c r="D39" i="2" l="1"/>
  <c r="G7" i="2" l="1"/>
  <c r="I7" i="2" s="1"/>
  <c r="G8" i="2"/>
  <c r="G10" i="2"/>
  <c r="I10" i="2" s="1"/>
  <c r="G11" i="2"/>
  <c r="I11" i="2" s="1"/>
  <c r="G12" i="2"/>
  <c r="I12" i="2"/>
  <c r="J12" i="2" s="1"/>
  <c r="G13" i="2"/>
  <c r="I13" i="2" s="1"/>
  <c r="G14" i="2"/>
  <c r="I14" i="2" s="1"/>
  <c r="J14" i="2" s="1"/>
  <c r="G15" i="2"/>
  <c r="G16" i="2"/>
  <c r="I16" i="2" s="1"/>
  <c r="J16" i="2" s="1"/>
  <c r="G17" i="2"/>
  <c r="I17" i="2" s="1"/>
  <c r="G18" i="2"/>
  <c r="I18" i="2" s="1"/>
  <c r="G19" i="2"/>
  <c r="I19" i="2" s="1"/>
  <c r="G20" i="2"/>
  <c r="G23" i="2"/>
  <c r="I23" i="2" s="1"/>
  <c r="J23" i="2" s="1"/>
  <c r="G24" i="2"/>
  <c r="I24" i="2" s="1"/>
  <c r="J24" i="2" s="1"/>
  <c r="G25" i="2"/>
  <c r="G26" i="2"/>
  <c r="I26" i="2" s="1"/>
  <c r="J26" i="2" s="1"/>
  <c r="G27" i="2"/>
  <c r="I27" i="2" s="1"/>
  <c r="J27" i="2" s="1"/>
  <c r="G28" i="2"/>
  <c r="I28" i="2" s="1"/>
  <c r="G29" i="2"/>
  <c r="I29" i="2" s="1"/>
  <c r="G30" i="2"/>
  <c r="I30" i="2" s="1"/>
  <c r="G31" i="2"/>
  <c r="G32" i="2"/>
  <c r="G35" i="2"/>
  <c r="I35" i="2" s="1"/>
  <c r="G36" i="2"/>
  <c r="I36" i="2" s="1"/>
  <c r="G37" i="2"/>
  <c r="G38" i="2"/>
  <c r="I38" i="2" s="1"/>
  <c r="J38" i="2" s="1"/>
  <c r="G40" i="2"/>
  <c r="I40" i="2" s="1"/>
  <c r="G41" i="2"/>
  <c r="I41" i="2" s="1"/>
  <c r="G43" i="2"/>
  <c r="I43" i="2" s="1"/>
  <c r="G44" i="2"/>
  <c r="I44" i="2" s="1"/>
  <c r="J44" i="2" s="1"/>
  <c r="G45" i="2"/>
  <c r="I45" i="2" s="1"/>
  <c r="J45" i="2" s="1"/>
  <c r="G46" i="2"/>
  <c r="G47" i="2"/>
  <c r="I47" i="2" s="1"/>
  <c r="J47" i="2" s="1"/>
  <c r="G48" i="2"/>
  <c r="I48" i="2" s="1"/>
  <c r="J48" i="2" s="1"/>
  <c r="G49" i="2"/>
  <c r="I49" i="2" s="1"/>
  <c r="G50" i="2"/>
  <c r="I50" i="2" s="1"/>
  <c r="G51" i="2"/>
  <c r="I51" i="2" s="1"/>
  <c r="G52" i="2"/>
  <c r="I52" i="2" s="1"/>
  <c r="J52" i="2" s="1"/>
  <c r="G53" i="2"/>
  <c r="I53" i="2" s="1"/>
  <c r="J53" i="2" s="1"/>
  <c r="G54" i="2"/>
  <c r="G55" i="2"/>
  <c r="I55" i="2" s="1"/>
  <c r="J55" i="2" s="1"/>
  <c r="G56" i="2"/>
  <c r="I56" i="2" s="1"/>
  <c r="G57" i="2"/>
  <c r="I57" i="2" s="1"/>
  <c r="G58" i="2"/>
  <c r="I58" i="2" s="1"/>
  <c r="G59" i="2"/>
  <c r="I59" i="2" s="1"/>
  <c r="G60" i="2"/>
  <c r="I60" i="2" s="1"/>
  <c r="J60" i="2" s="1"/>
  <c r="G61" i="2"/>
  <c r="I61" i="2" s="1"/>
  <c r="J61" i="2" s="1"/>
  <c r="G62" i="2"/>
  <c r="G63" i="2"/>
  <c r="I63" i="2" s="1"/>
  <c r="J63" i="2" s="1"/>
  <c r="G64" i="2"/>
  <c r="I64" i="2" s="1"/>
  <c r="G65" i="2"/>
  <c r="I65" i="2" s="1"/>
  <c r="G66" i="2"/>
  <c r="I66" i="2" s="1"/>
  <c r="G67" i="2"/>
  <c r="I67" i="2" s="1"/>
  <c r="J67" i="2" s="1"/>
  <c r="G68" i="2"/>
  <c r="I68" i="2" s="1"/>
  <c r="J68" i="2" s="1"/>
  <c r="G69" i="2"/>
  <c r="I69" i="2" s="1"/>
  <c r="J69" i="2" s="1"/>
  <c r="G70" i="2"/>
  <c r="G71" i="2"/>
  <c r="I71" i="2" s="1"/>
  <c r="J71" i="2" s="1"/>
  <c r="G72" i="2"/>
  <c r="I72" i="2" s="1"/>
  <c r="J72" i="2" s="1"/>
  <c r="D73" i="2"/>
  <c r="G74" i="2"/>
  <c r="I74" i="2" s="1"/>
  <c r="G75" i="2"/>
  <c r="G76" i="2"/>
  <c r="G78" i="2"/>
  <c r="G79" i="2"/>
  <c r="I79" i="2" s="1"/>
  <c r="G80" i="2"/>
  <c r="I80" i="2" s="1"/>
  <c r="G81" i="2"/>
  <c r="I81" i="2" s="1"/>
  <c r="J81" i="2" s="1"/>
  <c r="G82" i="2"/>
  <c r="I82" i="2" s="1"/>
  <c r="J82" i="2" s="1"/>
  <c r="G83" i="2"/>
  <c r="I83" i="2" s="1"/>
  <c r="J83" i="2" s="1"/>
  <c r="G84" i="2"/>
  <c r="G85" i="2"/>
  <c r="I85" i="2" s="1"/>
  <c r="G86" i="2"/>
  <c r="I86" i="2" s="1"/>
  <c r="G87" i="2"/>
  <c r="I87" i="2" s="1"/>
  <c r="G88" i="2"/>
  <c r="I88" i="2" s="1"/>
  <c r="G89" i="2"/>
  <c r="I89" i="2" s="1"/>
  <c r="J89" i="2" s="1"/>
  <c r="G90" i="2"/>
  <c r="I90" i="2" s="1"/>
  <c r="G91" i="2"/>
  <c r="I91" i="2" s="1"/>
  <c r="J91" i="2" s="1"/>
  <c r="G92" i="2"/>
  <c r="G93" i="2"/>
  <c r="G94" i="2"/>
  <c r="G95" i="2"/>
  <c r="I95" i="2" s="1"/>
  <c r="G96" i="2"/>
  <c r="I96" i="2" s="1"/>
  <c r="G97" i="2"/>
  <c r="I97" i="2" s="1"/>
  <c r="J97" i="2" s="1"/>
  <c r="D98" i="2"/>
  <c r="G99" i="2"/>
  <c r="I99" i="2" s="1"/>
  <c r="G100" i="2"/>
  <c r="G101" i="2"/>
  <c r="G103" i="2"/>
  <c r="I103" i="2" s="1"/>
  <c r="G104" i="2"/>
  <c r="I104" i="2" s="1"/>
  <c r="G105" i="2"/>
  <c r="I105" i="2" s="1"/>
  <c r="J105" i="2" s="1"/>
  <c r="G106" i="2"/>
  <c r="I106" i="2" s="1"/>
  <c r="J106" i="2" s="1"/>
  <c r="G107" i="2"/>
  <c r="I107" i="2" s="1"/>
  <c r="J107" i="2" s="1"/>
  <c r="G108" i="2"/>
  <c r="G109" i="2"/>
  <c r="I109" i="2" s="1"/>
  <c r="G110" i="2"/>
  <c r="G111" i="2"/>
  <c r="I111" i="2" s="1"/>
  <c r="G112" i="2"/>
  <c r="I112" i="2" s="1"/>
  <c r="G113" i="2"/>
  <c r="I113" i="2" s="1"/>
  <c r="J113" i="2" s="1"/>
  <c r="G114" i="2"/>
  <c r="I114" i="2" s="1"/>
  <c r="G115" i="2"/>
  <c r="I115" i="2" s="1"/>
  <c r="J115" i="2" s="1"/>
  <c r="G116" i="2"/>
  <c r="G117" i="2"/>
  <c r="G118" i="2"/>
  <c r="I118" i="2" s="1"/>
  <c r="G119" i="2"/>
  <c r="I119" i="2" s="1"/>
  <c r="G120" i="2"/>
  <c r="I120" i="2" s="1"/>
  <c r="G121" i="2"/>
  <c r="I121" i="2" s="1"/>
  <c r="J121" i="2" s="1"/>
  <c r="G122" i="2"/>
  <c r="I122" i="2" s="1"/>
  <c r="G123" i="2"/>
  <c r="I123" i="2" s="1"/>
  <c r="J123" i="2" s="1"/>
  <c r="G125" i="2"/>
  <c r="G126" i="2"/>
  <c r="G127" i="2"/>
  <c r="I127" i="2" s="1"/>
  <c r="G128" i="2"/>
  <c r="G129" i="2"/>
  <c r="I129" i="2" s="1"/>
  <c r="G130" i="2"/>
  <c r="I130" i="2" s="1"/>
  <c r="G131" i="2"/>
  <c r="I131" i="2" s="1"/>
  <c r="J131" i="2" s="1"/>
  <c r="G132" i="2"/>
  <c r="I132" i="2" s="1"/>
  <c r="G133" i="2"/>
  <c r="I133" i="2" s="1"/>
  <c r="J133" i="2" s="1"/>
  <c r="G134" i="2"/>
  <c r="G135" i="2"/>
  <c r="I135" i="2" s="1"/>
  <c r="G136" i="2"/>
  <c r="I136" i="2" s="1"/>
  <c r="G137" i="2"/>
  <c r="G139" i="2"/>
  <c r="I139" i="2" s="1"/>
  <c r="J139" i="2" s="1"/>
  <c r="G141" i="2"/>
  <c r="G142" i="2"/>
  <c r="G143" i="2"/>
  <c r="G144" i="2"/>
  <c r="I144" i="2" s="1"/>
  <c r="G145" i="2"/>
  <c r="I145" i="2" s="1"/>
  <c r="G146" i="2"/>
  <c r="I146" i="2" s="1"/>
  <c r="J146" i="2" s="1"/>
  <c r="G148" i="2"/>
  <c r="G149" i="2"/>
  <c r="I149" i="2" s="1"/>
  <c r="G150" i="2"/>
  <c r="I150" i="2" s="1"/>
  <c r="G151" i="2"/>
  <c r="I151" i="2" s="1"/>
  <c r="J151" i="2" s="1"/>
  <c r="G152" i="2"/>
  <c r="I152" i="2" s="1"/>
  <c r="G153" i="2"/>
  <c r="I153" i="2" s="1"/>
  <c r="J153" i="2" s="1"/>
  <c r="G154" i="2"/>
  <c r="G155" i="2"/>
  <c r="I155" i="2" s="1"/>
  <c r="G156" i="2"/>
  <c r="G157" i="2"/>
  <c r="I157" i="2" s="1"/>
  <c r="G158" i="2"/>
  <c r="I158" i="2" s="1"/>
  <c r="G159" i="2"/>
  <c r="I159" i="2" s="1"/>
  <c r="J159" i="2" s="1"/>
  <c r="G160" i="2"/>
  <c r="I160" i="2" s="1"/>
  <c r="G161" i="2"/>
  <c r="I161" i="2" s="1"/>
  <c r="J161" i="2" s="1"/>
  <c r="G162" i="2"/>
  <c r="D163" i="2"/>
  <c r="G164" i="2"/>
  <c r="I164" i="2" s="1"/>
  <c r="J164" i="2" s="1"/>
  <c r="G165" i="2"/>
  <c r="I165" i="2" s="1"/>
  <c r="J165" i="2" s="1"/>
  <c r="G166" i="2"/>
  <c r="I166" i="2" s="1"/>
  <c r="J166" i="2" s="1"/>
  <c r="G167" i="2"/>
  <c r="G168" i="2"/>
  <c r="I168" i="2" s="1"/>
  <c r="G169" i="2"/>
  <c r="I169" i="2" s="1"/>
  <c r="J169" i="2" s="1"/>
  <c r="G170" i="2"/>
  <c r="I170" i="2" s="1"/>
  <c r="G171" i="2"/>
  <c r="I171" i="2" s="1"/>
  <c r="D172" i="2"/>
  <c r="G173" i="2"/>
  <c r="I173" i="2" s="1"/>
  <c r="G174" i="2"/>
  <c r="I174" i="2" s="1"/>
  <c r="G175" i="2"/>
  <c r="I175" i="2" s="1"/>
  <c r="G176" i="2"/>
  <c r="I176" i="2" s="1"/>
  <c r="G177" i="2"/>
  <c r="I177" i="2" s="1"/>
  <c r="J177" i="2" s="1"/>
  <c r="G178" i="2"/>
  <c r="I178" i="2" s="1"/>
  <c r="G179" i="2"/>
  <c r="I179" i="2" s="1"/>
  <c r="J179" i="2" s="1"/>
  <c r="G180" i="2"/>
  <c r="G181" i="2"/>
  <c r="G182" i="2"/>
  <c r="I182" i="2" s="1"/>
  <c r="G183" i="2"/>
  <c r="I183" i="2" s="1"/>
  <c r="D184" i="2"/>
  <c r="G185" i="2"/>
  <c r="G186" i="2"/>
  <c r="I186" i="2" s="1"/>
  <c r="G187" i="2"/>
  <c r="I187" i="2" s="1"/>
  <c r="G188" i="2"/>
  <c r="I188" i="2" s="1"/>
  <c r="G189" i="2"/>
  <c r="I189" i="2" s="1"/>
  <c r="G190" i="2"/>
  <c r="I190" i="2" s="1"/>
  <c r="J190" i="2" s="1"/>
  <c r="G191" i="2"/>
  <c r="I191" i="2" s="1"/>
  <c r="J191" i="2" s="1"/>
  <c r="G192" i="2"/>
  <c r="I192" i="2" s="1"/>
  <c r="J192" i="2" s="1"/>
  <c r="G193" i="2"/>
  <c r="D201" i="2"/>
  <c r="G194" i="2"/>
  <c r="I194" i="2" s="1"/>
  <c r="G195" i="2"/>
  <c r="I195" i="2" s="1"/>
  <c r="J195" i="2" s="1"/>
  <c r="G196" i="2"/>
  <c r="I196" i="2" s="1"/>
  <c r="G197" i="2"/>
  <c r="I197" i="2" s="1"/>
  <c r="J197" i="2" s="1"/>
  <c r="G198" i="2"/>
  <c r="G199" i="2"/>
  <c r="G202" i="2"/>
  <c r="I202" i="2" s="1"/>
  <c r="G203" i="2"/>
  <c r="I203" i="2" s="1"/>
  <c r="J203" i="2" s="1"/>
  <c r="G204" i="2"/>
  <c r="G205" i="2"/>
  <c r="I205" i="2" s="1"/>
  <c r="G206" i="2"/>
  <c r="I206" i="2" s="1"/>
  <c r="G207" i="2"/>
  <c r="I207" i="2" s="1"/>
  <c r="G208" i="2"/>
  <c r="I208" i="2" s="1"/>
  <c r="G209" i="2"/>
  <c r="I209" i="2"/>
  <c r="J209" i="2" s="1"/>
  <c r="G210" i="2"/>
  <c r="I210" i="2" s="1"/>
  <c r="G211" i="2"/>
  <c r="I211" i="2" s="1"/>
  <c r="J211" i="2" s="1"/>
  <c r="G212" i="2"/>
  <c r="D213" i="2"/>
  <c r="G214" i="2"/>
  <c r="G216" i="2"/>
  <c r="I216" i="2" s="1"/>
  <c r="G217" i="2"/>
  <c r="I217" i="2" s="1"/>
  <c r="G218" i="2"/>
  <c r="I218" i="2" s="1"/>
  <c r="G219" i="2"/>
  <c r="I219" i="2" s="1"/>
  <c r="G220" i="2"/>
  <c r="I220" i="2" s="1"/>
  <c r="J220" i="2" s="1"/>
  <c r="G221" i="2"/>
  <c r="I221" i="2" s="1"/>
  <c r="G223" i="2"/>
  <c r="I223" i="2" s="1"/>
  <c r="J223" i="2" s="1"/>
  <c r="G225" i="2"/>
  <c r="G226" i="2"/>
  <c r="I226" i="2" s="1"/>
  <c r="G227" i="2"/>
  <c r="I227" i="2" s="1"/>
  <c r="J227" i="2" s="1"/>
  <c r="G228" i="2"/>
  <c r="I228" i="2" s="1"/>
  <c r="G229" i="2"/>
  <c r="I229" i="2" s="1"/>
  <c r="G230" i="2"/>
  <c r="I230" i="2" s="1"/>
  <c r="J230" i="2" s="1"/>
  <c r="G231" i="2"/>
  <c r="G232" i="2"/>
  <c r="I232" i="2" s="1"/>
  <c r="J232" i="2" s="1"/>
  <c r="G234" i="2"/>
  <c r="G235" i="2"/>
  <c r="I235" i="2" s="1"/>
  <c r="J235" i="2" s="1"/>
  <c r="G236" i="2"/>
  <c r="I236" i="2" s="1"/>
  <c r="G238" i="2"/>
  <c r="I238" i="2" s="1"/>
  <c r="G239" i="2"/>
  <c r="I239" i="2" s="1"/>
  <c r="G240" i="2"/>
  <c r="I240" i="2" s="1"/>
  <c r="J240" i="2" s="1"/>
  <c r="E242" i="2"/>
  <c r="D244" i="2"/>
  <c r="G244" i="2"/>
  <c r="I244" i="2"/>
  <c r="G3" i="2"/>
  <c r="I3" i="2" s="1"/>
  <c r="G4" i="2"/>
  <c r="I4" i="2" s="1"/>
  <c r="G5" i="2"/>
  <c r="I5" i="2" s="1"/>
  <c r="J5" i="2" s="1"/>
  <c r="G6" i="2"/>
  <c r="I6" i="2" s="1"/>
  <c r="J86" i="2" l="1"/>
  <c r="J236" i="2"/>
  <c r="J182" i="2"/>
  <c r="J221" i="2"/>
  <c r="J196" i="2"/>
  <c r="J160" i="2"/>
  <c r="I156" i="2"/>
  <c r="J156" i="2" s="1"/>
  <c r="J143" i="2"/>
  <c r="I128" i="2"/>
  <c r="J128" i="2" s="1"/>
  <c r="J90" i="2"/>
  <c r="I32" i="2"/>
  <c r="J32" i="2" s="1"/>
  <c r="J205" i="2"/>
  <c r="J187" i="2"/>
  <c r="I181" i="2"/>
  <c r="J181" i="2" s="1"/>
  <c r="J244" i="2"/>
  <c r="J155" i="2"/>
  <c r="I143" i="2"/>
  <c r="J135" i="2"/>
  <c r="I110" i="2"/>
  <c r="J110" i="2" s="1"/>
  <c r="I78" i="2"/>
  <c r="J78" i="2" s="1"/>
  <c r="I37" i="2"/>
  <c r="J37" i="2" s="1"/>
  <c r="J118" i="2"/>
  <c r="I231" i="2"/>
  <c r="J231" i="2" s="1"/>
  <c r="J226" i="2"/>
  <c r="J217" i="2"/>
  <c r="J216" i="2"/>
  <c r="J210" i="2"/>
  <c r="J206" i="2"/>
  <c r="J202" i="2"/>
  <c r="I199" i="2"/>
  <c r="J199" i="2" s="1"/>
  <c r="J186" i="2"/>
  <c r="J178" i="2"/>
  <c r="J174" i="2"/>
  <c r="J173" i="2"/>
  <c r="J168" i="2"/>
  <c r="J152" i="2"/>
  <c r="I148" i="2"/>
  <c r="J148" i="2" s="1"/>
  <c r="J136" i="2"/>
  <c r="I142" i="2"/>
  <c r="J142" i="2" s="1"/>
  <c r="J132" i="2"/>
  <c r="J127" i="2"/>
  <c r="J122" i="2"/>
  <c r="J114" i="2"/>
  <c r="J109" i="2"/>
  <c r="I117" i="2"/>
  <c r="J117" i="2" s="1"/>
  <c r="J99" i="2"/>
  <c r="I94" i="2"/>
  <c r="J94" i="2" s="1"/>
  <c r="I93" i="2"/>
  <c r="J93" i="2" s="1"/>
  <c r="J85" i="2"/>
  <c r="I76" i="2"/>
  <c r="J76" i="2" s="1"/>
  <c r="J64" i="2"/>
  <c r="J56" i="2"/>
  <c r="J59" i="2"/>
  <c r="J43" i="2"/>
  <c r="J51" i="2"/>
  <c r="J30" i="2"/>
  <c r="J17" i="2"/>
  <c r="I20" i="2"/>
  <c r="J20" i="2" s="1"/>
  <c r="I137" i="2"/>
  <c r="J137" i="2" s="1"/>
  <c r="I184" i="2"/>
  <c r="I31" i="2"/>
  <c r="J31" i="2" s="1"/>
  <c r="I101" i="2"/>
  <c r="J101" i="2" s="1"/>
  <c r="I100" i="2"/>
  <c r="J100" i="2" s="1"/>
  <c r="I125" i="2"/>
  <c r="J125" i="2" s="1"/>
  <c r="G39" i="2"/>
  <c r="I8" i="2"/>
  <c r="J8" i="2" s="1"/>
  <c r="J74" i="2"/>
  <c r="G233" i="2"/>
  <c r="I225" i="2"/>
  <c r="J225" i="2" s="1"/>
  <c r="I214" i="2"/>
  <c r="J214" i="2" s="1"/>
  <c r="I212" i="2"/>
  <c r="J212" i="2" s="1"/>
  <c r="I204" i="2"/>
  <c r="J204" i="2" s="1"/>
  <c r="I198" i="2"/>
  <c r="J198" i="2" s="1"/>
  <c r="I193" i="2"/>
  <c r="J193" i="2" s="1"/>
  <c r="I185" i="2"/>
  <c r="I180" i="2"/>
  <c r="J180" i="2" s="1"/>
  <c r="I167" i="2"/>
  <c r="J167" i="2" s="1"/>
  <c r="I162" i="2"/>
  <c r="J162" i="2" s="1"/>
  <c r="I154" i="2"/>
  <c r="I141" i="2"/>
  <c r="J141" i="2" s="1"/>
  <c r="I134" i="2"/>
  <c r="J134" i="2" s="1"/>
  <c r="I126" i="2"/>
  <c r="J126" i="2" s="1"/>
  <c r="G124" i="2"/>
  <c r="I116" i="2"/>
  <c r="J116" i="2" s="1"/>
  <c r="I108" i="2"/>
  <c r="J108" i="2" s="1"/>
  <c r="I92" i="2"/>
  <c r="J92" i="2" s="1"/>
  <c r="I84" i="2"/>
  <c r="J84" i="2" s="1"/>
  <c r="I75" i="2"/>
  <c r="J75" i="2" s="1"/>
  <c r="I70" i="2"/>
  <c r="J70" i="2" s="1"/>
  <c r="I62" i="2"/>
  <c r="J62" i="2" s="1"/>
  <c r="I54" i="2"/>
  <c r="J54" i="2" s="1"/>
  <c r="I46" i="2"/>
  <c r="J46" i="2" s="1"/>
  <c r="I25" i="2"/>
  <c r="J25" i="2" s="1"/>
  <c r="I15" i="2"/>
  <c r="J15" i="2" s="1"/>
  <c r="G201" i="2"/>
  <c r="J239" i="2"/>
  <c r="G237" i="2"/>
  <c r="J229" i="2"/>
  <c r="J219" i="2"/>
  <c r="J208" i="2"/>
  <c r="J194" i="2"/>
  <c r="J189" i="2"/>
  <c r="J176" i="2"/>
  <c r="J171" i="2"/>
  <c r="J158" i="2"/>
  <c r="J150" i="2"/>
  <c r="J145" i="2"/>
  <c r="J130" i="2"/>
  <c r="J120" i="2"/>
  <c r="J112" i="2"/>
  <c r="J104" i="2"/>
  <c r="J96" i="2"/>
  <c r="J88" i="2"/>
  <c r="J80" i="2"/>
  <c r="J66" i="2"/>
  <c r="J58" i="2"/>
  <c r="J50" i="2"/>
  <c r="J41" i="2"/>
  <c r="J36" i="2"/>
  <c r="J29" i="2"/>
  <c r="J19" i="2"/>
  <c r="J11" i="2"/>
  <c r="I234" i="2"/>
  <c r="G184" i="2"/>
  <c r="G163" i="2"/>
  <c r="J13" i="2"/>
  <c r="J7" i="2"/>
  <c r="G172" i="2"/>
  <c r="J238" i="2"/>
  <c r="J188" i="2"/>
  <c r="J183" i="2"/>
  <c r="J175" i="2"/>
  <c r="J170" i="2"/>
  <c r="J157" i="2"/>
  <c r="J149" i="2"/>
  <c r="J144" i="2"/>
  <c r="J129" i="2"/>
  <c r="J119" i="2"/>
  <c r="J111" i="2"/>
  <c r="J103" i="2"/>
  <c r="G98" i="2"/>
  <c r="J95" i="2"/>
  <c r="J87" i="2"/>
  <c r="J79" i="2"/>
  <c r="J65" i="2"/>
  <c r="J57" i="2"/>
  <c r="J49" i="2"/>
  <c r="J40" i="2"/>
  <c r="J35" i="2"/>
  <c r="J28" i="2"/>
  <c r="J18" i="2"/>
  <c r="J10" i="2"/>
  <c r="G213" i="2"/>
  <c r="J228" i="2"/>
  <c r="J218" i="2"/>
  <c r="J207" i="2"/>
  <c r="D243" i="2"/>
  <c r="G73" i="2"/>
  <c r="J6" i="2"/>
  <c r="J4" i="2"/>
  <c r="J3" i="2"/>
  <c r="J172" i="2" l="1"/>
  <c r="I163" i="2"/>
  <c r="J184" i="2"/>
  <c r="I172" i="2"/>
  <c r="J213" i="2"/>
  <c r="I124" i="2"/>
  <c r="I147" i="2" s="1"/>
  <c r="J233" i="2"/>
  <c r="J234" i="2"/>
  <c r="I201" i="2"/>
  <c r="I39" i="2"/>
  <c r="G147" i="2"/>
  <c r="I237" i="2"/>
  <c r="I241" i="2" s="1"/>
  <c r="I213" i="2"/>
  <c r="J154" i="2"/>
  <c r="J163" i="2" s="1"/>
  <c r="J39" i="2"/>
  <c r="J98" i="2"/>
  <c r="J185" i="2"/>
  <c r="J201" i="2" s="1"/>
  <c r="I73" i="2"/>
  <c r="I98" i="2"/>
  <c r="J73" i="2"/>
  <c r="I233" i="2"/>
  <c r="G241" i="2"/>
  <c r="G242" i="2" l="1"/>
  <c r="G243" i="2" s="1"/>
  <c r="J124" i="2"/>
  <c r="J147" i="2" s="1"/>
  <c r="J237" i="2"/>
  <c r="J241" i="2" s="1"/>
  <c r="I242" i="2"/>
  <c r="I243" i="2" s="1"/>
  <c r="J243" i="2" l="1"/>
  <c r="J242" i="2"/>
  <c r="P2" i="7" l="1"/>
</calcChain>
</file>

<file path=xl/sharedStrings.xml><?xml version="1.0" encoding="utf-8"?>
<sst xmlns="http://schemas.openxmlformats.org/spreadsheetml/2006/main" count="1066" uniqueCount="680">
  <si>
    <t>A</t>
  </si>
  <si>
    <t>B</t>
  </si>
  <si>
    <t>KONTORY_2</t>
  </si>
  <si>
    <t>Kilovaty_2</t>
  </si>
  <si>
    <t>E</t>
  </si>
  <si>
    <t>F</t>
  </si>
  <si>
    <t>G</t>
  </si>
  <si>
    <t>I</t>
  </si>
  <si>
    <t>J</t>
  </si>
  <si>
    <t>NumberSCH_2</t>
  </si>
  <si>
    <t>ЖЭС №</t>
  </si>
  <si>
    <t>Пользователь</t>
  </si>
  <si>
    <t>к-во кВт</t>
  </si>
  <si>
    <t>тариф</t>
  </si>
  <si>
    <t>Курс.к-ф</t>
  </si>
  <si>
    <t>Сумма без НДС</t>
  </si>
  <si>
    <t>ставка НДС</t>
  </si>
  <si>
    <t>Сумма  НДС</t>
  </si>
  <si>
    <t>Сумма с  НДС</t>
  </si>
  <si>
    <t>Чародейка стайл</t>
  </si>
  <si>
    <t>ИП Сыч</t>
  </si>
  <si>
    <t>Витебские ковры</t>
  </si>
  <si>
    <t>ИП Карев</t>
  </si>
  <si>
    <t>Виктория</t>
  </si>
  <si>
    <t>Архив</t>
  </si>
  <si>
    <t>ИП Гавецкий</t>
  </si>
  <si>
    <t>Маг №6 Сов.погр.106</t>
  </si>
  <si>
    <t xml:space="preserve"> -//- эл-ро обогрев день</t>
  </si>
  <si>
    <t>Маг №2 Л.Чайкиной 45</t>
  </si>
  <si>
    <t xml:space="preserve"> -//- эл-ро обогрев ночь</t>
  </si>
  <si>
    <t>Фирма Техномиг</t>
  </si>
  <si>
    <t>Цифровая сеть  Комп.</t>
  </si>
  <si>
    <t>ПК"Парикмах-я Каприз"</t>
  </si>
  <si>
    <t>2605-ДО</t>
  </si>
  <si>
    <t xml:space="preserve"> -//-  водонагр(резерв)</t>
  </si>
  <si>
    <t>Аптека №134   Л.Чайкиной 45</t>
  </si>
  <si>
    <t>Аптека №114   Поповича 10</t>
  </si>
  <si>
    <t xml:space="preserve"> -//- эл-ро обогрев</t>
  </si>
  <si>
    <t>Одристайл</t>
  </si>
  <si>
    <t>Банкомат    Л.Чайкиной 45</t>
  </si>
  <si>
    <t xml:space="preserve">МСС аноним. наркоманов </t>
  </si>
  <si>
    <t>Сорока</t>
  </si>
  <si>
    <t>"Велла Гродно"</t>
  </si>
  <si>
    <t>Итого:</t>
  </si>
  <si>
    <t>Школа олимп.резерва№1 (велошкола)</t>
  </si>
  <si>
    <t>ИП Нагула</t>
  </si>
  <si>
    <t>ЧУП Фотоцентр Мега</t>
  </si>
  <si>
    <t xml:space="preserve">  </t>
  </si>
  <si>
    <t>ЧУП  КУРАЖстиль</t>
  </si>
  <si>
    <t xml:space="preserve"> -//- гвс</t>
  </si>
  <si>
    <t>ЧСУП БытСервисЛюкс</t>
  </si>
  <si>
    <t>ИП Лимановская</t>
  </si>
  <si>
    <t>ЧТУП Святобор</t>
  </si>
  <si>
    <t>ЧП   Эллин- Мод</t>
  </si>
  <si>
    <t>"ТропикСан"</t>
  </si>
  <si>
    <t>ИП  Жданов В.Н.</t>
  </si>
  <si>
    <t>М-н  Ва-Дена</t>
  </si>
  <si>
    <t>ИП Киушкин</t>
  </si>
  <si>
    <t>Бел.банк 400/163 Косм.10б</t>
  </si>
  <si>
    <t>Бел.банк  426/70  Косм. 38а</t>
  </si>
  <si>
    <t>Аптека №158 Косм. 38а</t>
  </si>
  <si>
    <t>"Отличный выбор"</t>
  </si>
  <si>
    <t>ИП Протас</t>
  </si>
  <si>
    <t>Белэконом Гродно</t>
  </si>
  <si>
    <t>Аптека №3  Антонова 4 + Омельчук О.А.</t>
  </si>
  <si>
    <t>"Ситимаркет"</t>
  </si>
  <si>
    <t>ЧСУП "Тир-Тор"</t>
  </si>
  <si>
    <t>Косандра ИКС</t>
  </si>
  <si>
    <t>профавтоматика</t>
  </si>
  <si>
    <t>ЧП"Фаленопсис"</t>
  </si>
  <si>
    <t>ИП  Федюк В.И.</t>
  </si>
  <si>
    <t>УПТП "Зарница"</t>
  </si>
  <si>
    <t>ИП"Малый"</t>
  </si>
  <si>
    <t>Зеленый мир</t>
  </si>
  <si>
    <t>Белинвестэнергосбережение</t>
  </si>
  <si>
    <t>находится в конторе жэс6 и потребляет 2,7% от её числа</t>
  </si>
  <si>
    <t>ЧУП"Стиль-Лорив"</t>
  </si>
  <si>
    <t>ЮАВТО</t>
  </si>
  <si>
    <t>УЧП"Люкс"</t>
  </si>
  <si>
    <t>ГК Городничанка</t>
  </si>
  <si>
    <t xml:space="preserve">Грод. нотариальная палата </t>
  </si>
  <si>
    <t>два счётчика</t>
  </si>
  <si>
    <t>Богданчук</t>
  </si>
  <si>
    <t>Мастацтво</t>
  </si>
  <si>
    <t>Нежилое помещение для аренды</t>
  </si>
  <si>
    <t>по мощности</t>
  </si>
  <si>
    <t>230019, г.Гродно, ул.Белуша, 8а</t>
  </si>
  <si>
    <t>Глобусмедиа</t>
  </si>
  <si>
    <t>ИП Эйсмонт</t>
  </si>
  <si>
    <t>ООО БелДрев-Гро</t>
  </si>
  <si>
    <t>СДЮШОР №8</t>
  </si>
  <si>
    <t>ИП Кеда</t>
  </si>
  <si>
    <t>ИП Талюк</t>
  </si>
  <si>
    <t>ИП  Галезников</t>
  </si>
  <si>
    <t>ЧУП ДАР центр</t>
  </si>
  <si>
    <t>2705-ДО</t>
  </si>
  <si>
    <t>2705-НО</t>
  </si>
  <si>
    <t>ЧП  Рыбачек</t>
  </si>
  <si>
    <t>ООО  Грант дебюд</t>
  </si>
  <si>
    <t>Тир  Тор</t>
  </si>
  <si>
    <t>Элитмонтажсервис</t>
  </si>
  <si>
    <t>ОДО Парма</t>
  </si>
  <si>
    <t>ИнваШанс</t>
  </si>
  <si>
    <t>Маг №9 Титова 11</t>
  </si>
  <si>
    <t>ООО Май-книги</t>
  </si>
  <si>
    <t>Больница №2</t>
  </si>
  <si>
    <t>Админ.Октябрьского р-на</t>
  </si>
  <si>
    <t>2705-Б</t>
  </si>
  <si>
    <t>ИП "Дулуб"</t>
  </si>
  <si>
    <t>Янушкевич</t>
  </si>
  <si>
    <t>ИП Богатырева</t>
  </si>
  <si>
    <t>ИП Макаревич А.К.</t>
  </si>
  <si>
    <t>Зезюля</t>
  </si>
  <si>
    <t>ООО РМБСпай</t>
  </si>
  <si>
    <t xml:space="preserve"> -//-  гвс</t>
  </si>
  <si>
    <t>Парикмах-я Грицкевич</t>
  </si>
  <si>
    <t xml:space="preserve"> -//-  гвс день</t>
  </si>
  <si>
    <t>Аптека СалюсЛайн Суворов 13</t>
  </si>
  <si>
    <t xml:space="preserve"> -//-  гвс ночь</t>
  </si>
  <si>
    <t>Ветеран. Парикм.</t>
  </si>
  <si>
    <t>2706-ДО</t>
  </si>
  <si>
    <t xml:space="preserve"> -//- эл-ро обогрев день </t>
  </si>
  <si>
    <t>Итого</t>
  </si>
  <si>
    <t>ЦБС</t>
  </si>
  <si>
    <t>Худ.Мазалевич</t>
  </si>
  <si>
    <t>по доле</t>
  </si>
  <si>
    <t>Творческая мастерская</t>
  </si>
  <si>
    <t>220019, г.Гродно, просп.Клецкова, 104</t>
  </si>
  <si>
    <t>ИП Борцов</t>
  </si>
  <si>
    <t>ИП  Сычев</t>
  </si>
  <si>
    <t>в доке зюлёвой</t>
  </si>
  <si>
    <t xml:space="preserve"> Химч. Чайка</t>
  </si>
  <si>
    <t>ИП  Ускова О.А.</t>
  </si>
  <si>
    <t>ИП Матягина</t>
  </si>
  <si>
    <t>ЦСО ул. Фомичева, 17</t>
  </si>
  <si>
    <t>4 счётчика</t>
  </si>
  <si>
    <t>Зеленая дверца</t>
  </si>
  <si>
    <t>"Миллам"</t>
  </si>
  <si>
    <t>"Эскад-студия"</t>
  </si>
  <si>
    <t>ИП Горкалова</t>
  </si>
  <si>
    <t>ИП   Ашанов</t>
  </si>
  <si>
    <t>"Ирэяна"</t>
  </si>
  <si>
    <t>элводнагреватель</t>
  </si>
  <si>
    <t>"Супер Шуз"</t>
  </si>
  <si>
    <t>ИП Субботин</t>
  </si>
  <si>
    <t>Цунами</t>
  </si>
  <si>
    <t>Рембыттехника</t>
  </si>
  <si>
    <t>ЧУП  Ремтекстиль</t>
  </si>
  <si>
    <t>ПК Ремчас</t>
  </si>
  <si>
    <t>ИП Михайловская</t>
  </si>
  <si>
    <t>ИП Гразион</t>
  </si>
  <si>
    <t>Коронец</t>
  </si>
  <si>
    <t>Висем</t>
  </si>
  <si>
    <t>Белвторполимер</t>
  </si>
  <si>
    <t>Степанов А.В.</t>
  </si>
  <si>
    <t>ООО Жеторг</t>
  </si>
  <si>
    <t>ИП Смирнова</t>
  </si>
  <si>
    <t>ГОО  Семья</t>
  </si>
  <si>
    <t>ИП Павилойть</t>
  </si>
  <si>
    <t>Аптека №159   Клецкова 34</t>
  </si>
  <si>
    <t>ИП Мулярчик</t>
  </si>
  <si>
    <t>Олеся-Гродно</t>
  </si>
  <si>
    <t>ОДО"Комелия"</t>
  </si>
  <si>
    <t>ИП Мисюля</t>
  </si>
  <si>
    <t>СООО  МТС</t>
  </si>
  <si>
    <t>ЧУП "КанВа-сервис"</t>
  </si>
  <si>
    <t>ПК Манометр</t>
  </si>
  <si>
    <t>СТК Ремстрой</t>
  </si>
  <si>
    <t>ИП Томещик А.С.</t>
  </si>
  <si>
    <t>ОДО  Фатон</t>
  </si>
  <si>
    <t>МВД Щорса 41</t>
  </si>
  <si>
    <t>узел связи мвд фикс расход</t>
  </si>
  <si>
    <t>ПОДО "Пчелка плюс"</t>
  </si>
  <si>
    <t>Вест.трафик.Групп</t>
  </si>
  <si>
    <t>Эксион плюс</t>
  </si>
  <si>
    <t>дивад</t>
  </si>
  <si>
    <t>ЧУП "Лерэма"</t>
  </si>
  <si>
    <t>Умкаград</t>
  </si>
  <si>
    <t xml:space="preserve">ООО А и А </t>
  </si>
  <si>
    <t xml:space="preserve">Сервис Генуя </t>
  </si>
  <si>
    <t>Синкевич</t>
  </si>
  <si>
    <t>ИП  Демченко В.Н.</t>
  </si>
  <si>
    <t>ООО"Белмистр"</t>
  </si>
  <si>
    <t>Скляр</t>
  </si>
  <si>
    <t>Пилец</t>
  </si>
  <si>
    <t>"Демитра"</t>
  </si>
  <si>
    <t>Алексейчик</t>
  </si>
  <si>
    <t>Жданук</t>
  </si>
  <si>
    <t>Стромтранс</t>
  </si>
  <si>
    <t>УП Ивафарм</t>
  </si>
  <si>
    <t>Эдемик</t>
  </si>
  <si>
    <t>ИП Рублевская</t>
  </si>
  <si>
    <t>Отдел культуры горисп</t>
  </si>
  <si>
    <t>ИП Скорб</t>
  </si>
  <si>
    <t>Магазин БелГродТорг</t>
  </si>
  <si>
    <t>Инженер-энергетик</t>
  </si>
  <si>
    <t>М.И. Горегляд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</si>
  <si>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</si>
  <si>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диспетчерские лифтовые</t>
  </si>
  <si>
    <t>Пороховая 12</t>
  </si>
  <si>
    <t>Диспетчерская Пороховая 12</t>
  </si>
  <si>
    <t>Клецкова 96</t>
  </si>
  <si>
    <t>диспетчерская гроднолифт</t>
  </si>
  <si>
    <t>Я.Купалы 27-38а</t>
  </si>
  <si>
    <t>Мастерская "ГродноЛифт"</t>
  </si>
  <si>
    <t>Репина 9 кв 74</t>
  </si>
  <si>
    <t>Клецкова 29а</t>
  </si>
  <si>
    <t>Мастерская "Гроднолифт"</t>
  </si>
  <si>
    <t>ОТ ЦТП</t>
  </si>
  <si>
    <t>Кабяка 8/1</t>
  </si>
  <si>
    <t>Диспетчерская лифтов</t>
  </si>
  <si>
    <t>Фолюш 15/200а</t>
  </si>
  <si>
    <t>Диспетчерская лифтов Фолюш</t>
  </si>
  <si>
    <t>Южная 15</t>
  </si>
  <si>
    <t xml:space="preserve">Диспетчерская лифтов </t>
  </si>
  <si>
    <t>М. И. Горегляд</t>
  </si>
  <si>
    <t xml:space="preserve">курс. коэф.- </t>
  </si>
  <si>
    <t>на 76с ндс с ощего ндс отнять</t>
  </si>
  <si>
    <t>по лифтам</t>
  </si>
  <si>
    <t>Орды, 11</t>
  </si>
  <si>
    <t>Диспетчерская</t>
  </si>
  <si>
    <t xml:space="preserve">Инженер-энергетик                     </t>
  </si>
  <si>
    <t>Белуша, 8а, кв. 1</t>
  </si>
  <si>
    <t>фикс.расх</t>
  </si>
  <si>
    <t>ИП Микевич</t>
  </si>
  <si>
    <t>ЖСПК 31</t>
  </si>
  <si>
    <t>ЧП "ВТБ КОМ"</t>
  </si>
  <si>
    <t>Автофан</t>
  </si>
  <si>
    <t>Ойкодомос</t>
  </si>
  <si>
    <t>ИП Енза</t>
  </si>
  <si>
    <t>"Лидер Стандарт"</t>
  </si>
  <si>
    <t>2310-м</t>
  </si>
  <si>
    <t>а</t>
  </si>
  <si>
    <t>"Гарант"</t>
  </si>
  <si>
    <t>б</t>
  </si>
  <si>
    <t>ИП Фадеева</t>
  </si>
  <si>
    <t>ИП Покочайло</t>
  </si>
  <si>
    <t>ИП Руденко</t>
  </si>
  <si>
    <t>ИП Яцковский</t>
  </si>
  <si>
    <t>ИП Коротков В.А.</t>
  </si>
  <si>
    <t>Жиденевская</t>
  </si>
  <si>
    <t>элводонагреватель</t>
  </si>
  <si>
    <t>ИП Гнидко (Савана сервис)</t>
  </si>
  <si>
    <t>Соломовой. 60</t>
  </si>
  <si>
    <t>Фундамент-строй</t>
  </si>
  <si>
    <t>С.погр106а</t>
  </si>
  <si>
    <t>ул. Л.Чайкиной,41</t>
  </si>
  <si>
    <t>ИП Байчук</t>
  </si>
  <si>
    <t>Правильный свет</t>
  </si>
  <si>
    <t>БигБорд</t>
  </si>
  <si>
    <t>ИП Партфенова</t>
  </si>
  <si>
    <t>персона</t>
  </si>
  <si>
    <t>виваюл</t>
  </si>
  <si>
    <t>177607.</t>
  </si>
  <si>
    <t>Заря</t>
  </si>
  <si>
    <t>Арникатрейд</t>
  </si>
  <si>
    <t>ИП Мельниченко</t>
  </si>
  <si>
    <t>ИП Хильмон</t>
  </si>
  <si>
    <t>"Сити Борд"</t>
  </si>
  <si>
    <t>Офис ОДО"Корр"</t>
  </si>
  <si>
    <t>ООО "Друзья"</t>
  </si>
  <si>
    <t>пилипчик</t>
  </si>
  <si>
    <t>ООО"АКТИП"</t>
  </si>
  <si>
    <t>"Кватрастрой"</t>
  </si>
  <si>
    <t>ИП Ширяев</t>
  </si>
  <si>
    <t>ООО Ойкодомос</t>
  </si>
  <si>
    <t>ИП Чирков</t>
  </si>
  <si>
    <t>ул. Антонова,14</t>
  </si>
  <si>
    <t>Эльмарт</t>
  </si>
  <si>
    <t>ИП Давидович</t>
  </si>
  <si>
    <t>Зеленда (Кулевич)</t>
  </si>
  <si>
    <t>"Глобус медиа"</t>
  </si>
  <si>
    <t>Бузук</t>
  </si>
  <si>
    <t>Хорута</t>
  </si>
  <si>
    <t>ИП Аблавацкий</t>
  </si>
  <si>
    <t>Пилипчик</t>
  </si>
  <si>
    <t>2310-ФН</t>
  </si>
  <si>
    <t>Сорока П.Т.</t>
  </si>
  <si>
    <t>Опекун</t>
  </si>
  <si>
    <t>ИП Рогачевская</t>
  </si>
  <si>
    <t>ИП Караваева</t>
  </si>
  <si>
    <t xml:space="preserve">ИП Косило </t>
  </si>
  <si>
    <t>ИП Селедчик</t>
  </si>
  <si>
    <t xml:space="preserve">ИП Савостьян </t>
  </si>
  <si>
    <t>ул. Антонова, 1, кв 8</t>
  </si>
  <si>
    <t>Грицко П.И.(кв 8)</t>
  </si>
  <si>
    <t>Грицко П.И.(кв 9)</t>
  </si>
  <si>
    <t>РКЦ</t>
  </si>
  <si>
    <t>ИП Красько</t>
  </si>
  <si>
    <t>"Пчелка"</t>
  </si>
  <si>
    <t>кучко</t>
  </si>
  <si>
    <t>ИП Новицкая</t>
  </si>
  <si>
    <t>водонагрев</t>
  </si>
  <si>
    <t>"Мотор-Лайф</t>
  </si>
  <si>
    <t>Мукосей</t>
  </si>
  <si>
    <t>Кишкель</t>
  </si>
  <si>
    <t>ЧТУП Эльмарт</t>
  </si>
  <si>
    <t>ИП Можейко</t>
  </si>
  <si>
    <t>Ивафарм</t>
  </si>
  <si>
    <t>ЗАО Унифарм</t>
  </si>
  <si>
    <t>ЧТУП Пансистем Инв</t>
  </si>
  <si>
    <t>Титова, 13</t>
  </si>
  <si>
    <t>ГранитГродСтрой</t>
  </si>
  <si>
    <t>ИП Война Д.В.</t>
  </si>
  <si>
    <t>2605-до</t>
  </si>
  <si>
    <t>Сериндип</t>
  </si>
  <si>
    <t>Маг."Топ.книга"</t>
  </si>
  <si>
    <t>Маг."Военсервис"</t>
  </si>
  <si>
    <t xml:space="preserve">"Пинскдрев" </t>
  </si>
  <si>
    <t>Фомичева, 4</t>
  </si>
  <si>
    <t>ООО "Комповид"</t>
  </si>
  <si>
    <t>Виботорг</t>
  </si>
  <si>
    <t>Белуга</t>
  </si>
  <si>
    <t>ИП Санько</t>
  </si>
  <si>
    <t>ИП Мартысевич</t>
  </si>
  <si>
    <t>ИП Куджицкий</t>
  </si>
  <si>
    <t>ИП Карпей</t>
  </si>
  <si>
    <t>ИП Кумпель</t>
  </si>
  <si>
    <t>УЧПП Эрис</t>
  </si>
  <si>
    <t>Качанов Купалы24-168</t>
  </si>
  <si>
    <t>ИП Дудкевич</t>
  </si>
  <si>
    <t>ООО ЖилКомфорт</t>
  </si>
  <si>
    <t>ОДО Техномиг</t>
  </si>
  <si>
    <t>ИП Народовский</t>
  </si>
  <si>
    <t>Светофорный объект</t>
  </si>
  <si>
    <t>Технострой</t>
  </si>
  <si>
    <t>ИП Грецкая</t>
  </si>
  <si>
    <t>ИП Гордейчик № дог ЧУП "Арториус"</t>
  </si>
  <si>
    <t>- 10% от мастерской ЖЭС-12</t>
  </si>
  <si>
    <t>ЧП Реквием Ретуал</t>
  </si>
  <si>
    <t>ИП Матусевич</t>
  </si>
  <si>
    <t>Силко</t>
  </si>
  <si>
    <t>ИП Гайдар</t>
  </si>
  <si>
    <t>Ремопил</t>
  </si>
  <si>
    <t>Олещук</t>
  </si>
  <si>
    <t>ООО "Спортивные клубы Харт Рейт" Фитнес клуб Купалы 22</t>
  </si>
  <si>
    <t>Аптека № 147</t>
  </si>
  <si>
    <t>"Союз-Паритет"</t>
  </si>
  <si>
    <t>Тихомирова</t>
  </si>
  <si>
    <t>Мискевич</t>
  </si>
  <si>
    <t>Я. Купалы, 20</t>
  </si>
  <si>
    <t>Лифт Сити</t>
  </si>
  <si>
    <t>Горкалов</t>
  </si>
  <si>
    <t>Кривчун Д.С.</t>
  </si>
  <si>
    <t>ИП Жук</t>
  </si>
  <si>
    <t>ГВС Жук</t>
  </si>
  <si>
    <t>ИП Быков</t>
  </si>
  <si>
    <t>2310-М</t>
  </si>
  <si>
    <t>ЖСПК 68</t>
  </si>
  <si>
    <t>БЕСТ</t>
  </si>
  <si>
    <t>Белюробеспечение</t>
  </si>
  <si>
    <t>Пестрака, 44</t>
  </si>
  <si>
    <t>Строй.площадка Лен.р</t>
  </si>
  <si>
    <t>Калинина 25</t>
  </si>
  <si>
    <t>Гроднолифт</t>
  </si>
  <si>
    <t>Пестрака, 12</t>
  </si>
  <si>
    <t>ОДО Технострой</t>
  </si>
  <si>
    <t>"Тедол"</t>
  </si>
  <si>
    <t>Я.Купалы, 51</t>
  </si>
  <si>
    <t xml:space="preserve">РСУ - 6 </t>
  </si>
  <si>
    <t>ООО Рассомаха</t>
  </si>
  <si>
    <t>"Альтернативная цифр.сеть"</t>
  </si>
  <si>
    <t>Гродногаз (межрайгаз)</t>
  </si>
  <si>
    <t>Вишневский</t>
  </si>
  <si>
    <t>Чайкиной, 14</t>
  </si>
  <si>
    <t>ИП Матвеева</t>
  </si>
  <si>
    <t>ИП Андрушкевич</t>
  </si>
  <si>
    <t>ОАО Спартак</t>
  </si>
  <si>
    <t>Клецк,50.22</t>
  </si>
  <si>
    <t>Клецкова 40</t>
  </si>
  <si>
    <t>Фунд .строй</t>
  </si>
  <si>
    <t>"ТЕДОЛ"</t>
  </si>
  <si>
    <t>ЖСПК 78</t>
  </si>
  <si>
    <t>ЖСПК 81</t>
  </si>
  <si>
    <t xml:space="preserve">записано в жэс-17 </t>
  </si>
  <si>
    <t>Комната ЖСК-81</t>
  </si>
  <si>
    <t>Бест</t>
  </si>
  <si>
    <t>Грод. информац. Сети</t>
  </si>
  <si>
    <t>РУП "Белсоюзпечать"</t>
  </si>
  <si>
    <t>ИП Сорока М.К. (Солеенте)</t>
  </si>
  <si>
    <t>ИП Прудникова</t>
  </si>
  <si>
    <t>Тедол</t>
  </si>
  <si>
    <t>Кабяка 10/2</t>
  </si>
  <si>
    <t>"Фундамент строй"</t>
  </si>
  <si>
    <t>ЧП Гарден стайл</t>
  </si>
  <si>
    <t>Ин.ш 6</t>
  </si>
  <si>
    <t>ГРП-57 - межрайгаз</t>
  </si>
  <si>
    <t>ИП Гуриш В.В.</t>
  </si>
  <si>
    <t>Пролетарская, 41</t>
  </si>
  <si>
    <t>Алексеева</t>
  </si>
  <si>
    <t>УЧП Владан</t>
  </si>
  <si>
    <t>Белтелеком</t>
  </si>
  <si>
    <t>факс</t>
  </si>
  <si>
    <t>Щорса 43</t>
  </si>
  <si>
    <t>СтройКапител</t>
  </si>
  <si>
    <t>Щорса,32/1</t>
  </si>
  <si>
    <t>Бакалея</t>
  </si>
  <si>
    <t>ОЗ.шос 17</t>
  </si>
  <si>
    <t>РСУ-6</t>
  </si>
  <si>
    <t>Межрайгаз</t>
  </si>
  <si>
    <t>ООО "ТОРИА"</t>
  </si>
  <si>
    <t>Магазин Фол.15/193</t>
  </si>
  <si>
    <t>СиГани</t>
  </si>
  <si>
    <t>элводнагрев</t>
  </si>
  <si>
    <t>Тамтрейд</t>
  </si>
  <si>
    <t>НиДаНат</t>
  </si>
  <si>
    <t>Антен.усил."Гарант"</t>
  </si>
  <si>
    <t>Антен.усил.</t>
  </si>
  <si>
    <t>гарант</t>
  </si>
  <si>
    <t>ООО "Гродн.инф.сети"</t>
  </si>
  <si>
    <t>инф.сети</t>
  </si>
  <si>
    <t>ИП Макаренко</t>
  </si>
  <si>
    <t>Григоровича</t>
  </si>
  <si>
    <t>ИП Михалька Н</t>
  </si>
  <si>
    <t>ИТОГО</t>
  </si>
  <si>
    <t>CЧ 20/4</t>
  </si>
  <si>
    <t>CЧ 20/41</t>
  </si>
  <si>
    <t xml:space="preserve">ул. Сов. Пограничников, 51/1 </t>
  </si>
  <si>
    <t>Гая, 17</t>
  </si>
  <si>
    <t>Кабяка 12/1/4.10/2</t>
  </si>
  <si>
    <t>пер. Южный, 12а</t>
  </si>
  <si>
    <t>Фолюш, 203</t>
  </si>
  <si>
    <t>Фолюш, 15/197</t>
  </si>
  <si>
    <t>щорса, 25</t>
  </si>
  <si>
    <t>расчёт. точка закрыта</t>
  </si>
  <si>
    <t>ИП Гуриш М.В.</t>
  </si>
  <si>
    <t>Гагарина, 18а</t>
  </si>
  <si>
    <t>Расчётная точка закрыта ул. Антонова, 1, кв 9</t>
  </si>
  <si>
    <t>петручек</t>
  </si>
  <si>
    <t>в жэс-12 стоит 11</t>
  </si>
  <si>
    <t>ИП Карпинский</t>
  </si>
  <si>
    <t>Контора</t>
  </si>
  <si>
    <t>Мастерская</t>
  </si>
  <si>
    <t>Бытовка</t>
  </si>
  <si>
    <t>Административное помещение</t>
  </si>
  <si>
    <t>ЖЭС-4</t>
  </si>
  <si>
    <t>№ счётчика</t>
  </si>
  <si>
    <t>Соломовой, 66</t>
  </si>
  <si>
    <t>ИТП жилого дома</t>
  </si>
  <si>
    <t>Гоголя, 9</t>
  </si>
  <si>
    <t>Гагарина, 18/3</t>
  </si>
  <si>
    <t>Расход</t>
  </si>
  <si>
    <t>сумма</t>
  </si>
  <si>
    <t>ЖЭС-6</t>
  </si>
  <si>
    <t>ЖЭС-7</t>
  </si>
  <si>
    <t>Стройплощадка для ремонта помещения № 61а Суворова, 9</t>
  </si>
  <si>
    <t>ЖЭС-12</t>
  </si>
  <si>
    <t>ЖЭС-15</t>
  </si>
  <si>
    <t>Административное здание</t>
  </si>
  <si>
    <t>ЖЭС-17</t>
  </si>
  <si>
    <t>ЖЭС-20</t>
  </si>
  <si>
    <t>ЖЭС-21</t>
  </si>
  <si>
    <t>ЖЭС-22</t>
  </si>
  <si>
    <t>ЖЭС-23</t>
  </si>
  <si>
    <t>Бытовое помещение ЖЭС №23</t>
  </si>
  <si>
    <t>след. Строка</t>
  </si>
  <si>
    <t>ЖЭС-14</t>
  </si>
  <si>
    <t>ЦТП</t>
  </si>
  <si>
    <t>УЖРЭП</t>
  </si>
  <si>
    <t>2310 ЭП</t>
  </si>
  <si>
    <t>э/э Лифты(п-рсч)</t>
  </si>
  <si>
    <t>кВТ</t>
  </si>
  <si>
    <t xml:space="preserve">МОП(п-рсч) </t>
  </si>
  <si>
    <t xml:space="preserve"> кВТ</t>
  </si>
  <si>
    <t xml:space="preserve">МОП </t>
  </si>
  <si>
    <t>МОП -общ</t>
  </si>
  <si>
    <t>э/э Лифты-общ</t>
  </si>
  <si>
    <t>2605-ЛФ</t>
  </si>
  <si>
    <t>э/э Лифты</t>
  </si>
  <si>
    <t>Конторы</t>
  </si>
  <si>
    <t>Бытовки</t>
  </si>
  <si>
    <t>Лифты диспет</t>
  </si>
  <si>
    <t>ЦТП котельная лососно</t>
  </si>
  <si>
    <t>ЦТП котельная фабричный</t>
  </si>
  <si>
    <t>ЦТП - Фолюш</t>
  </si>
  <si>
    <t>2502  2502-ДО</t>
  </si>
  <si>
    <t>КНС</t>
  </si>
  <si>
    <t>ЦТП водок</t>
  </si>
  <si>
    <t>в/г</t>
  </si>
  <si>
    <t>Аренда+дис.лиф</t>
  </si>
  <si>
    <t>Суб.абон.</t>
  </si>
  <si>
    <t>Механич мас</t>
  </si>
  <si>
    <t>2605   1002</t>
  </si>
  <si>
    <t>Столярн.маст</t>
  </si>
  <si>
    <t>Администр.пом</t>
  </si>
  <si>
    <t>Население</t>
  </si>
  <si>
    <t>Сверхнорм.потр</t>
  </si>
  <si>
    <t>Гараж</t>
  </si>
  <si>
    <t>Итого кВТ</t>
  </si>
  <si>
    <t>Потребление в пределах нормативов</t>
  </si>
  <si>
    <t>Горновых, 7</t>
  </si>
  <si>
    <t>ГранитГрадСтрой</t>
  </si>
  <si>
    <t>Расчётная точка закрыта</t>
  </si>
  <si>
    <t>здание УЖРЭП</t>
  </si>
  <si>
    <t>230003, г.Гродно, ул.Пролетарская, 52</t>
  </si>
  <si>
    <t>в сентябре</t>
  </si>
  <si>
    <t>ЦТП 6-73 Поповича 13б</t>
  </si>
  <si>
    <t>ЦТП 6-74 Л,Чайкиной 16</t>
  </si>
  <si>
    <t>ЦТП 6-76 Репина 29</t>
  </si>
  <si>
    <t>ЦТП 6-78 Соломовой 120</t>
  </si>
  <si>
    <t>ЦТП 7-84 Я.Купалы 27</t>
  </si>
  <si>
    <t>ЦТП 7-85 Пестрака 44</t>
  </si>
  <si>
    <t>ЦТП 7-86 ул.Клецкова</t>
  </si>
  <si>
    <t>ЦТП 8-99 Антонова 1</t>
  </si>
  <si>
    <t>ЦТП 8-101 Кленовая 35</t>
  </si>
  <si>
    <t>ЦТП 8-102 Артема 8</t>
  </si>
  <si>
    <t>ЦТП 10-81 Я.Купалы28</t>
  </si>
  <si>
    <t>ЦТП 10-83 Фомичева4</t>
  </si>
  <si>
    <t>ЦТП10-91 Клецкова</t>
  </si>
  <si>
    <t>ЦТП10-92 Клецкова</t>
  </si>
  <si>
    <t>ЦТП 10-93 Я.Купалы</t>
  </si>
  <si>
    <t>ЦТП 10-94 п-т Я.Купалы</t>
  </si>
  <si>
    <t>ЦТП 10-95 Гая 31</t>
  </si>
  <si>
    <t>ЦТП 12-110 Кабяка</t>
  </si>
  <si>
    <t>ЦТП 12-112 Кабяка 12</t>
  </si>
  <si>
    <t>ЦТП 7-90 Томина</t>
  </si>
  <si>
    <t>ЦТП12-114 Рогачевско</t>
  </si>
  <si>
    <t>ЦТП 8-119 пер.Пороховой 3</t>
  </si>
  <si>
    <t>ЦТП 7-88,Пестрака,20</t>
  </si>
  <si>
    <t>ЦТП 7-88,Пестрака 20</t>
  </si>
  <si>
    <t>ЦТП 8-104 Захарова 26</t>
  </si>
  <si>
    <t>ЦТП 8-97 Мулярская .4</t>
  </si>
  <si>
    <t>ЦТП 8-105 Космонавтов . 37</t>
  </si>
  <si>
    <t>ЦТП 8-98 Пролетарская. 63</t>
  </si>
  <si>
    <t>ЦТП 8-96 Космонавтов. 36/1</t>
  </si>
  <si>
    <t>ЦТП 8-80 Белуша 10</t>
  </si>
  <si>
    <t>ЦТП 6-75 Репина 5</t>
  </si>
  <si>
    <t>ЦТП 7-87 ул.Клецкова</t>
  </si>
  <si>
    <t>ЦТП 7-87 ул. Клецкова</t>
  </si>
  <si>
    <t>ЦТП 12-115,Клецкова</t>
  </si>
  <si>
    <t>ЦТП 12-111 Индурское шоссе</t>
  </si>
  <si>
    <t>ЦТП 10-82 Фомичева</t>
  </si>
  <si>
    <t>ЦТП12-113,Централь-2</t>
  </si>
  <si>
    <t>ЦТП 8-120 Щорса 30а</t>
  </si>
  <si>
    <t>ЦТП 8-120 резерв</t>
  </si>
  <si>
    <t>ЦТП9-126 Гданьская 14</t>
  </si>
  <si>
    <t>ЦТП 7-89 улЯ..Купалы</t>
  </si>
  <si>
    <t>ЦТП 12-125 Томина14а</t>
  </si>
  <si>
    <t>ЦТП-12-127</t>
  </si>
  <si>
    <t>ЦТП 12-128 Южный</t>
  </si>
  <si>
    <t>Котельная Мира 9а</t>
  </si>
  <si>
    <t>ЦТП 6-69 Соломовой 40</t>
  </si>
  <si>
    <t>ЦТП 6-70 Соломовой 54</t>
  </si>
  <si>
    <t>ЦТП 6-71 Соломовой 74</t>
  </si>
  <si>
    <t>ЦТП 6-72 Л.Чайкиной 35</t>
  </si>
  <si>
    <t>ЦТП 9-107 Вишневая 28</t>
  </si>
  <si>
    <t>ЦТП 9-108 Титова 83а</t>
  </si>
  <si>
    <t>ЦТП 9-117 Гагарина 14а</t>
  </si>
  <si>
    <t>ЦТП9-118 Окульная 21</t>
  </si>
  <si>
    <t>ЦТП 9 - 109 Гагарина 18</t>
  </si>
  <si>
    <t>Тепловой пункт</t>
  </si>
  <si>
    <t>Теплосчетчик ж/дома</t>
  </si>
  <si>
    <t>Тепловой пункт-1</t>
  </si>
  <si>
    <t>Подкачка горячей воды</t>
  </si>
  <si>
    <t>1802-Л</t>
  </si>
  <si>
    <t>За вычетом:</t>
  </si>
  <si>
    <t>Мастерская ЖЭС-14</t>
  </si>
  <si>
    <t>Диспетчерская Клецкова, 29а ЖЭС-17</t>
  </si>
  <si>
    <t xml:space="preserve">С плюсом: </t>
  </si>
  <si>
    <t>43% Тепловой пункт Гоголя, 9 (ЖСПК-31)</t>
  </si>
  <si>
    <t>Здание УЖРЭП</t>
  </si>
  <si>
    <t>ИТОГО запись в пустографку:</t>
  </si>
  <si>
    <t>Водонагрев (резерв)</t>
  </si>
  <si>
    <t>2502-ДО</t>
  </si>
  <si>
    <t>2502-НО</t>
  </si>
  <si>
    <t>Обязательно проверить, т.к. №счётчика одинаков</t>
  </si>
  <si>
    <t>ИТОГО по КНС:</t>
  </si>
  <si>
    <t>ЦТП-Фолюш</t>
  </si>
  <si>
    <t>Газовая котельная</t>
  </si>
  <si>
    <t>Реконструкция котельной "Фолюш"под ЦТП с переключением нагрузки</t>
  </si>
  <si>
    <t>Котельная</t>
  </si>
  <si>
    <t>Центральный тепловой пункт ул.Волкова</t>
  </si>
  <si>
    <t>ИТОГО ЦТП-Фолюш:</t>
  </si>
  <si>
    <t>Реконструкция здания под гараж</t>
  </si>
  <si>
    <t>ИТОГО гараж:</t>
  </si>
  <si>
    <t xml:space="preserve"> </t>
  </si>
  <si>
    <t>Омельчук О.А.</t>
  </si>
  <si>
    <t>СОВМЕЩЕНЫ</t>
  </si>
  <si>
    <t>Совмещены</t>
  </si>
  <si>
    <t xml:space="preserve">Инженер-энергетик                      </t>
  </si>
  <si>
    <t>Наименование</t>
  </si>
  <si>
    <t>Код</t>
  </si>
  <si>
    <t xml:space="preserve">С начала года </t>
  </si>
  <si>
    <t>За соответствующий период предыдущего года</t>
  </si>
  <si>
    <t xml:space="preserve"> показателя</t>
  </si>
  <si>
    <t>стро-ки</t>
  </si>
  <si>
    <t>котельно-печное топливо, т усл. топл</t>
  </si>
  <si>
    <t>тепловая энергия,</t>
  </si>
  <si>
    <t>электри-</t>
  </si>
  <si>
    <t>Гкал</t>
  </si>
  <si>
    <t>ческая</t>
  </si>
  <si>
    <t>энергия,</t>
  </si>
  <si>
    <t>всего</t>
  </si>
  <si>
    <t xml:space="preserve">из него мест-ные виды топлива и отходы </t>
  </si>
  <si>
    <t>из них возобновляемые</t>
  </si>
  <si>
    <t>тыс.кВт.ч</t>
  </si>
  <si>
    <t>А</t>
  </si>
  <si>
    <t>Б</t>
  </si>
  <si>
    <t>Израсходовано, всего</t>
  </si>
  <si>
    <t>из него на производственные нужды</t>
  </si>
  <si>
    <t>из них:</t>
  </si>
  <si>
    <t>х</t>
  </si>
  <si>
    <t>на производство тепловой и электрической энергии</t>
  </si>
  <si>
    <t>потери в магистральных сетях</t>
  </si>
  <si>
    <t>Отпущено другим организациям</t>
  </si>
  <si>
    <t>Отпущено (продано) населению</t>
  </si>
  <si>
    <t>Произведено собственными энергоисточниками (тепловая энергия отпущенная; электрическая энергия выработанная)</t>
  </si>
  <si>
    <t>из них за счет использования:</t>
  </si>
  <si>
    <t>тепловых вторичных энергетических ресурсов (далее – ВЭР), ВЭР избыточного давления</t>
  </si>
  <si>
    <r>
      <t>энергии воды, ветра, солнца, геотермальных источников</t>
    </r>
    <r>
      <rPr>
        <sz val="9"/>
        <color theme="1"/>
        <rFont val="Times New Roman"/>
        <family val="1"/>
        <charset val="204"/>
      </rPr>
      <t>……</t>
    </r>
    <r>
      <rPr>
        <i/>
        <sz val="9"/>
        <color theme="1"/>
        <rFont val="Times New Roman"/>
        <family val="1"/>
        <charset val="204"/>
      </rPr>
      <t>.</t>
    </r>
  </si>
  <si>
    <t>Получено от  других организаций</t>
  </si>
  <si>
    <t>Всего</t>
  </si>
  <si>
    <t>гвс</t>
  </si>
  <si>
    <t>гвс общага</t>
  </si>
  <si>
    <t>потери</t>
  </si>
  <si>
    <t>конторы</t>
  </si>
  <si>
    <t>мастерские</t>
  </si>
  <si>
    <t>прочие</t>
  </si>
  <si>
    <t>26/1</t>
  </si>
  <si>
    <t>отопление</t>
  </si>
  <si>
    <t>отопление общага</t>
  </si>
  <si>
    <t>90/10</t>
  </si>
  <si>
    <t>суб.абон</t>
  </si>
  <si>
    <t>арендаторы</t>
  </si>
  <si>
    <t>62/10</t>
  </si>
  <si>
    <t>мастерские УЖРЭП</t>
  </si>
  <si>
    <t>25/1 пр. пом</t>
  </si>
  <si>
    <t>хоз. Нужды</t>
  </si>
  <si>
    <t>Свободные помещения</t>
  </si>
  <si>
    <t>потери т-ф НАС</t>
  </si>
  <si>
    <t>т усл.топл</t>
  </si>
  <si>
    <t>Наименование  показателя</t>
  </si>
  <si>
    <t>строки</t>
  </si>
  <si>
    <t>С начала года</t>
  </si>
  <si>
    <t>Суммарное потребление топливно-энергетических ресурсов</t>
  </si>
  <si>
    <t>топливо</t>
  </si>
  <si>
    <t>объём</t>
  </si>
  <si>
    <t>коэффициент</t>
  </si>
  <si>
    <t>тут</t>
  </si>
  <si>
    <t>дрова</t>
  </si>
  <si>
    <t>опилки</t>
  </si>
  <si>
    <t>горбыль</t>
  </si>
  <si>
    <t>Подкачка Гданьская 14</t>
  </si>
  <si>
    <t xml:space="preserve">Котельная Лососно </t>
  </si>
  <si>
    <t>Котельная Лососно</t>
  </si>
  <si>
    <t>+А1</t>
  </si>
  <si>
    <t>230006, г.Гродно, Фолюш</t>
  </si>
  <si>
    <t>24 800</t>
  </si>
  <si>
    <t>4 968</t>
  </si>
  <si>
    <t>зюлёва итог</t>
  </si>
  <si>
    <t>Сведения о потребленной электроэнергии по УЖРЭП Октябрьского р-на за 10.2020</t>
  </si>
  <si>
    <t>Циркуляционные насосы</t>
  </si>
  <si>
    <t>ЦТП 7-89 ул.Я.Куполы</t>
  </si>
  <si>
    <t>Лифт ЖЭС-20 Акт №085751 от 19.08.2020 + 121 кВтч (23 + 3,83 = 26,83 руб.)</t>
  </si>
  <si>
    <t>x</t>
  </si>
  <si>
    <t xml:space="preserve">Щорса 52, Огинского 9, Богушевича 38а, Богушевича 36, Орды 28, Орды, 26, Кабяка 2, Огинского 29, Короткевича 15, Кремко 19, Костюшко 2, 2а, Короткевича 17 </t>
  </si>
  <si>
    <t>пр. Космонавтов, 37</t>
  </si>
  <si>
    <t>УГП "Трест "Гродногорстрой"</t>
  </si>
  <si>
    <t>пер. Пороховой, 3</t>
  </si>
  <si>
    <t>Гагарина, 27, 33, 35</t>
  </si>
  <si>
    <t>Пестрака, 58</t>
  </si>
  <si>
    <t>Томина, 6а</t>
  </si>
  <si>
    <t>Фолюш, 199а</t>
  </si>
  <si>
    <t>Грожножилстрой</t>
  </si>
  <si>
    <t>Инд. Шоссе, 6</t>
  </si>
  <si>
    <t>-//- гвс</t>
  </si>
  <si>
    <t>Пинскдрев</t>
  </si>
  <si>
    <t>ГВС (резерв) "Чародейка стайл"</t>
  </si>
  <si>
    <t>СОБСТВЕННИК</t>
  </si>
  <si>
    <t>АКТ</t>
  </si>
  <si>
    <t>Расторгнут договор аренды</t>
  </si>
  <si>
    <t>Ушёл</t>
  </si>
  <si>
    <t>Томина, 6б</t>
  </si>
  <si>
    <t>Кленовая, 25</t>
  </si>
  <si>
    <t>Клецкова, 5</t>
  </si>
  <si>
    <t>АРЕНДА 11.2020</t>
  </si>
  <si>
    <t>Ушла</t>
  </si>
  <si>
    <t>Расход э/энергии за ноябрь 2020 г.</t>
  </si>
  <si>
    <t>Пестрака, 28</t>
  </si>
  <si>
    <t>Суб.абон 11.2020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</si>
</sst>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₽_-;\-* #,##0.00\ _₽_-;_-* &quot;-&quot;??\ _₽_-;_-@_-"/>
    <numFmt numFmtId="165" formatCode="0.00000"/>
    <numFmt numFmtId="166" formatCode="_-* #,##0.00_р_._-;\-* #,##0.00_р_._-;_-* &quot;-&quot;??_р_._-;_-@_-"/>
    <numFmt numFmtId="167" formatCode="#,##0.00_ ;\-#,##0.00\ "/>
    <numFmt numFmtId="168" formatCode="_-* #,##0_р_._-;\-* #,##0_р_._-;_-* &quot;-&quot;??_р_._-;_-@_-"/>
    <numFmt numFmtId="169" formatCode="0.000000"/>
  </numFmts>
  <fonts count="4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theme="1"/>
      <name val="Microsoft Sans Serif"/>
      <family val="2"/>
      <charset val="204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u val="double"/>
      <sz val="10"/>
      <color theme="1"/>
      <name val="Times New Roman"/>
      <family val="1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4"/>
      <color indexed="8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4"/>
      <color indexed="8"/>
      <name val="Calibri"/>
      <family val="2"/>
      <charset val="204"/>
      <scheme val="minor"/>
    </font>
    <font>
      <u val="double"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u val="double"/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4"/>
      <color indexed="8"/>
      <name val="Calibri"/>
      <family val="2"/>
      <charset val="204"/>
      <scheme val="minor"/>
    </font>
    <font>
      <i/>
      <u val="double"/>
      <sz val="12"/>
      <color theme="1"/>
      <name val="Times New Roman"/>
      <family val="1"/>
      <charset val="204"/>
    </font>
    <font>
      <i/>
      <u val="double"/>
      <sz val="12"/>
      <name val="Times New Roman"/>
      <family val="1"/>
      <charset val="204"/>
    </font>
    <font>
      <sz val="12"/>
      <color rgb="FFA52A2A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2"/>
      <color theme="0"/>
      <name val="Times New Roman"/>
      <family val="1"/>
      <charset val="204"/>
    </font>
    <font>
      <i/>
      <u/>
      <sz val="12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B3AC86"/>
      </right>
      <top style="medium">
        <color rgb="FFB3AC86"/>
      </top>
      <bottom style="medium">
        <color rgb="FFB3AC86"/>
      </bottom>
      <diagonal/>
    </border>
    <border>
      <left style="medium">
        <color rgb="FFB3AC86"/>
      </left>
      <right style="medium">
        <color rgb="FFB3AC86"/>
      </right>
      <top style="medium">
        <color rgb="FFB3AC86"/>
      </top>
      <bottom style="medium">
        <color rgb="FFB3AC86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B3AC86"/>
      </right>
      <top/>
      <bottom style="medium">
        <color rgb="FFB3AC86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medium">
        <color rgb="FFB3AC86"/>
      </left>
      <right/>
      <top style="medium">
        <color theme="1"/>
      </top>
      <bottom style="medium">
        <color theme="1"/>
      </bottom>
      <diagonal/>
    </border>
    <border>
      <left style="medium">
        <color rgb="FFB3AC86"/>
      </left>
      <right/>
      <top/>
      <bottom/>
      <diagonal/>
    </border>
    <border>
      <left style="medium">
        <color rgb="FFB3AC86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B3AC86"/>
      </left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166" fontId="13" fillId="0" borderId="0" applyFont="0" applyFill="0" applyBorder="0" applyAlignment="0" applyProtection="0"/>
  </cellStyleXfs>
  <cellXfs count="569">
    <xf numFmtId="0" fontId="0" fillId="0" borderId="0" xfId="0"/>
    <xf numFmtId="0" fontId="0" fillId="0" borderId="0" xfId="0" applyNumberFormat="1"/>
    <xf numFmtId="0" fontId="0" fillId="0" borderId="1" xfId="0" applyBorder="1"/>
    <xf numFmtId="0" fontId="6" fillId="0" borderId="1" xfId="2" applyFont="1" applyFill="1" applyBorder="1" applyAlignment="1">
      <alignment wrapText="1"/>
    </xf>
    <xf numFmtId="9" fontId="6" fillId="0" borderId="1" xfId="2" applyNumberFormat="1" applyFont="1" applyBorder="1" applyAlignment="1">
      <alignment horizontal="right"/>
    </xf>
    <xf numFmtId="0" fontId="6" fillId="0" borderId="0" xfId="2" applyFont="1" applyBorder="1" applyAlignment="1">
      <alignment wrapText="1"/>
    </xf>
    <xf numFmtId="0" fontId="6" fillId="0" borderId="0" xfId="2" applyFont="1" applyAlignment="1">
      <alignment wrapText="1"/>
    </xf>
    <xf numFmtId="0" fontId="7" fillId="0" borderId="0" xfId="2" applyFont="1" applyAlignment="1">
      <alignment horizontal="center" wrapText="1"/>
    </xf>
    <xf numFmtId="0" fontId="6" fillId="0" borderId="11" xfId="2" applyFont="1" applyBorder="1" applyAlignment="1">
      <alignment wrapText="1"/>
    </xf>
    <xf numFmtId="0" fontId="7" fillId="0" borderId="22" xfId="2" applyFont="1" applyBorder="1" applyAlignment="1">
      <alignment wrapText="1"/>
    </xf>
    <xf numFmtId="0" fontId="7" fillId="0" borderId="17" xfId="2" applyFont="1" applyFill="1" applyBorder="1" applyAlignment="1">
      <alignment wrapText="1"/>
    </xf>
    <xf numFmtId="0" fontId="7" fillId="0" borderId="17" xfId="2" applyFont="1" applyBorder="1" applyAlignment="1">
      <alignment wrapText="1"/>
    </xf>
    <xf numFmtId="0" fontId="7" fillId="0" borderId="21" xfId="2" applyFont="1" applyBorder="1" applyAlignment="1">
      <alignment wrapText="1"/>
    </xf>
    <xf numFmtId="0" fontId="7" fillId="0" borderId="11" xfId="2" applyFont="1" applyBorder="1" applyAlignment="1">
      <alignment wrapText="1"/>
    </xf>
    <xf numFmtId="0" fontId="7" fillId="0" borderId="0" xfId="2" applyFont="1" applyFill="1" applyBorder="1" applyAlignment="1">
      <alignment wrapText="1"/>
    </xf>
    <xf numFmtId="0" fontId="6" fillId="0" borderId="4" xfId="2" applyFont="1" applyBorder="1" applyAlignment="1">
      <alignment wrapText="1"/>
    </xf>
    <xf numFmtId="0" fontId="6" fillId="0" borderId="5" xfId="2" applyFont="1" applyFill="1" applyBorder="1" applyAlignment="1">
      <alignment wrapText="1"/>
    </xf>
    <xf numFmtId="167" fontId="8" fillId="0" borderId="4" xfId="3" applyNumberFormat="1" applyFont="1" applyBorder="1" applyAlignment="1">
      <alignment wrapText="1"/>
    </xf>
    <xf numFmtId="9" fontId="6" fillId="0" borderId="4" xfId="2" applyNumberFormat="1" applyFont="1" applyBorder="1" applyAlignment="1">
      <alignment wrapText="1"/>
    </xf>
    <xf numFmtId="167" fontId="8" fillId="0" borderId="6" xfId="0" applyNumberFormat="1" applyFont="1" applyBorder="1" applyAlignment="1">
      <alignment wrapText="1"/>
    </xf>
    <xf numFmtId="167" fontId="8" fillId="0" borderId="4" xfId="0" applyNumberFormat="1" applyFont="1" applyBorder="1" applyAlignment="1">
      <alignment wrapText="1"/>
    </xf>
    <xf numFmtId="0" fontId="6" fillId="0" borderId="1" xfId="2" applyFont="1" applyBorder="1" applyAlignment="1">
      <alignment wrapText="1"/>
    </xf>
    <xf numFmtId="0" fontId="6" fillId="0" borderId="8" xfId="2" applyFont="1" applyFill="1" applyBorder="1" applyAlignment="1">
      <alignment wrapText="1"/>
    </xf>
    <xf numFmtId="0" fontId="9" fillId="2" borderId="7" xfId="0" applyFont="1" applyFill="1" applyBorder="1" applyAlignment="1">
      <alignment horizontal="center" vertical="top" wrapText="1"/>
    </xf>
    <xf numFmtId="0" fontId="10" fillId="0" borderId="0" xfId="0" quotePrefix="1" applyFont="1" applyAlignment="1">
      <alignment horizontal="center"/>
    </xf>
    <xf numFmtId="0" fontId="6" fillId="0" borderId="18" xfId="2" applyFont="1" applyFill="1" applyBorder="1" applyAlignment="1">
      <alignment wrapText="1"/>
    </xf>
    <xf numFmtId="0" fontId="10" fillId="3" borderId="3" xfId="0" applyFont="1" applyFill="1" applyBorder="1" applyAlignment="1">
      <alignment horizontal="center" vertical="top" wrapText="1"/>
    </xf>
    <xf numFmtId="0" fontId="6" fillId="0" borderId="9" xfId="2" applyFont="1" applyFill="1" applyBorder="1" applyAlignment="1">
      <alignment wrapText="1"/>
    </xf>
    <xf numFmtId="0" fontId="6" fillId="0" borderId="9" xfId="2" applyFont="1" applyBorder="1" applyAlignment="1">
      <alignment wrapText="1"/>
    </xf>
    <xf numFmtId="0" fontId="6" fillId="0" borderId="10" xfId="2" applyFont="1" applyFill="1" applyBorder="1" applyAlignment="1">
      <alignment wrapText="1"/>
    </xf>
    <xf numFmtId="0" fontId="10" fillId="0" borderId="0" xfId="0" applyFont="1" applyAlignment="1">
      <alignment horizontal="center"/>
    </xf>
    <xf numFmtId="0" fontId="9" fillId="2" borderId="7" xfId="0" applyFont="1" applyFill="1" applyBorder="1" applyAlignment="1">
      <alignment horizontal="center" vertical="top"/>
    </xf>
    <xf numFmtId="0" fontId="10" fillId="3" borderId="3" xfId="0" applyFont="1" applyFill="1" applyBorder="1" applyAlignment="1">
      <alignment horizontal="center" vertical="top"/>
    </xf>
    <xf numFmtId="9" fontId="6" fillId="0" borderId="9" xfId="2" applyNumberFormat="1" applyFont="1" applyBorder="1" applyAlignment="1">
      <alignment wrapText="1"/>
    </xf>
    <xf numFmtId="0" fontId="10" fillId="0" borderId="0" xfId="0" applyFont="1"/>
    <xf numFmtId="0" fontId="7" fillId="7" borderId="20" xfId="2" applyFont="1" applyFill="1" applyBorder="1" applyAlignment="1">
      <alignment wrapText="1"/>
    </xf>
    <xf numFmtId="0" fontId="6" fillId="0" borderId="12" xfId="2" applyFont="1" applyBorder="1" applyAlignment="1">
      <alignment wrapText="1"/>
    </xf>
    <xf numFmtId="0" fontId="6" fillId="0" borderId="17" xfId="2" applyFont="1" applyBorder="1" applyAlignment="1">
      <alignment wrapText="1"/>
    </xf>
    <xf numFmtId="167" fontId="11" fillId="0" borderId="11" xfId="3" applyNumberFormat="1" applyFont="1" applyBorder="1" applyAlignment="1">
      <alignment wrapText="1"/>
    </xf>
    <xf numFmtId="0" fontId="7" fillId="0" borderId="0" xfId="2" applyFont="1" applyBorder="1" applyAlignment="1"/>
    <xf numFmtId="0" fontId="7" fillId="0" borderId="0" xfId="2" applyFont="1" applyBorder="1" applyAlignment="1">
      <alignment wrapText="1"/>
    </xf>
    <xf numFmtId="0" fontId="11" fillId="0" borderId="0" xfId="0" applyFont="1"/>
    <xf numFmtId="0" fontId="12" fillId="0" borderId="0" xfId="0" applyFont="1"/>
    <xf numFmtId="0" fontId="10" fillId="3" borderId="3" xfId="0" applyFont="1" applyFill="1" applyBorder="1" applyAlignment="1">
      <alignment horizontal="left" vertical="top"/>
    </xf>
    <xf numFmtId="0" fontId="6" fillId="7" borderId="4" xfId="2" applyFont="1" applyFill="1" applyBorder="1" applyAlignment="1">
      <alignment wrapText="1"/>
    </xf>
    <xf numFmtId="0" fontId="6" fillId="0" borderId="19" xfId="2" applyFont="1" applyBorder="1" applyAlignment="1">
      <alignment wrapText="1"/>
    </xf>
    <xf numFmtId="167" fontId="8" fillId="0" borderId="19" xfId="3" applyNumberFormat="1" applyFont="1" applyBorder="1" applyAlignment="1">
      <alignment wrapText="1"/>
    </xf>
    <xf numFmtId="9" fontId="6" fillId="0" borderId="19" xfId="2" applyNumberFormat="1" applyFont="1" applyBorder="1" applyAlignment="1">
      <alignment wrapText="1"/>
    </xf>
    <xf numFmtId="167" fontId="8" fillId="0" borderId="25" xfId="0" applyNumberFormat="1" applyFont="1" applyBorder="1" applyAlignment="1">
      <alignment wrapText="1"/>
    </xf>
    <xf numFmtId="167" fontId="8" fillId="0" borderId="19" xfId="0" applyNumberFormat="1" applyFont="1" applyBorder="1" applyAlignment="1">
      <alignment wrapText="1"/>
    </xf>
    <xf numFmtId="168" fontId="11" fillId="0" borderId="13" xfId="3" applyNumberFormat="1" applyFont="1" applyBorder="1" applyAlignment="1">
      <alignment wrapText="1"/>
    </xf>
    <xf numFmtId="168" fontId="11" fillId="0" borderId="0" xfId="3" applyNumberFormat="1" applyFont="1" applyBorder="1" applyAlignment="1">
      <alignment wrapText="1"/>
    </xf>
    <xf numFmtId="0" fontId="0" fillId="0" borderId="1" xfId="0" applyNumberFormat="1" applyBorder="1"/>
    <xf numFmtId="0" fontId="12" fillId="0" borderId="1" xfId="0" applyFont="1" applyBorder="1" applyAlignment="1"/>
    <xf numFmtId="0" fontId="12" fillId="0" borderId="26" xfId="0" applyFont="1" applyBorder="1" applyAlignment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0" xfId="0" applyFont="1" applyAlignment="1"/>
    <xf numFmtId="0" fontId="14" fillId="0" borderId="1" xfId="0" applyFont="1" applyBorder="1" applyAlignment="1">
      <alignment horizontal="left"/>
    </xf>
    <xf numFmtId="0" fontId="12" fillId="0" borderId="1" xfId="0" applyFont="1" applyBorder="1" applyAlignment="1">
      <alignment horizontal="right"/>
    </xf>
    <xf numFmtId="0" fontId="12" fillId="3" borderId="1" xfId="0" applyFont="1" applyFill="1" applyBorder="1" applyAlignment="1">
      <alignment horizontal="right" vertical="top" wrapText="1"/>
    </xf>
    <xf numFmtId="0" fontId="12" fillId="0" borderId="26" xfId="0" applyFont="1" applyFill="1" applyBorder="1" applyAlignment="1">
      <alignment horizontal="right"/>
    </xf>
    <xf numFmtId="0" fontId="14" fillId="0" borderId="1" xfId="0" applyFont="1" applyBorder="1" applyAlignment="1">
      <alignment horizontal="left" wrapText="1"/>
    </xf>
    <xf numFmtId="0" fontId="12" fillId="0" borderId="26" xfId="0" applyFont="1" applyBorder="1"/>
    <xf numFmtId="0" fontId="12" fillId="0" borderId="32" xfId="0" applyFont="1" applyBorder="1"/>
    <xf numFmtId="0" fontId="12" fillId="0" borderId="8" xfId="0" applyFont="1" applyBorder="1"/>
    <xf numFmtId="1" fontId="12" fillId="0" borderId="1" xfId="0" applyNumberFormat="1" applyFont="1" applyBorder="1" applyAlignment="1">
      <alignment horizontal="right" vertical="center"/>
    </xf>
    <xf numFmtId="0" fontId="12" fillId="3" borderId="1" xfId="0" applyFont="1" applyFill="1" applyBorder="1" applyAlignment="1">
      <alignment horizontal="right" wrapText="1"/>
    </xf>
    <xf numFmtId="1" fontId="14" fillId="0" borderId="1" xfId="0" applyNumberFormat="1" applyFont="1" applyBorder="1" applyAlignment="1">
      <alignment horizontal="right" vertical="center"/>
    </xf>
    <xf numFmtId="1" fontId="12" fillId="0" borderId="1" xfId="0" applyNumberFormat="1" applyFont="1" applyBorder="1"/>
    <xf numFmtId="0" fontId="14" fillId="0" borderId="1" xfId="0" applyFont="1" applyBorder="1"/>
    <xf numFmtId="0" fontId="12" fillId="3" borderId="1" xfId="0" applyFont="1" applyFill="1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/>
    </xf>
    <xf numFmtId="0" fontId="12" fillId="0" borderId="1" xfId="0" applyFont="1" applyFill="1" applyBorder="1"/>
    <xf numFmtId="1" fontId="14" fillId="0" borderId="1" xfId="0" applyNumberFormat="1" applyFont="1" applyBorder="1" applyAlignment="1">
      <alignment horizontal="right"/>
    </xf>
    <xf numFmtId="0" fontId="14" fillId="0" borderId="1" xfId="0" applyFont="1" applyFill="1" applyBorder="1"/>
    <xf numFmtId="1" fontId="14" fillId="0" borderId="1" xfId="0" applyNumberFormat="1" applyFont="1" applyBorder="1"/>
    <xf numFmtId="0" fontId="14" fillId="0" borderId="1" xfId="0" applyFont="1" applyFill="1" applyBorder="1" applyAlignment="1">
      <alignment horizontal="left"/>
    </xf>
    <xf numFmtId="0" fontId="12" fillId="0" borderId="4" xfId="0" applyFont="1" applyBorder="1"/>
    <xf numFmtId="0" fontId="12" fillId="6" borderId="0" xfId="0" applyFont="1" applyFill="1"/>
    <xf numFmtId="0" fontId="12" fillId="0" borderId="9" xfId="0" applyFont="1" applyBorder="1"/>
    <xf numFmtId="0" fontId="6" fillId="0" borderId="0" xfId="2" applyFont="1" applyAlignment="1"/>
    <xf numFmtId="0" fontId="12" fillId="6" borderId="1" xfId="0" applyFont="1" applyFill="1" applyBorder="1"/>
    <xf numFmtId="0" fontId="12" fillId="3" borderId="2" xfId="0" applyFont="1" applyFill="1" applyBorder="1" applyAlignment="1">
      <alignment vertical="top"/>
    </xf>
    <xf numFmtId="0" fontId="15" fillId="0" borderId="0" xfId="0" applyFont="1"/>
    <xf numFmtId="0" fontId="15" fillId="0" borderId="0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center" vertical="top" wrapText="1"/>
    </xf>
    <xf numFmtId="0" fontId="15" fillId="0" borderId="0" xfId="0" applyFont="1" applyFill="1" applyBorder="1"/>
    <xf numFmtId="0" fontId="15" fillId="0" borderId="11" xfId="0" applyFont="1" applyFill="1" applyBorder="1" applyAlignment="1">
      <alignment horizontal="center" vertical="top" wrapText="1"/>
    </xf>
    <xf numFmtId="0" fontId="15" fillId="0" borderId="11" xfId="0" applyFont="1" applyBorder="1"/>
    <xf numFmtId="0" fontId="15" fillId="0" borderId="11" xfId="0" applyFont="1" applyFill="1" applyBorder="1"/>
    <xf numFmtId="0" fontId="15" fillId="0" borderId="11" xfId="0" applyFont="1" applyBorder="1" applyAlignment="1">
      <alignment wrapText="1"/>
    </xf>
    <xf numFmtId="0" fontId="15" fillId="0" borderId="11" xfId="0" applyFont="1" applyFill="1" applyBorder="1" applyAlignment="1">
      <alignment horizontal="center" vertical="center"/>
    </xf>
    <xf numFmtId="0" fontId="16" fillId="0" borderId="11" xfId="0" applyFont="1" applyBorder="1"/>
    <xf numFmtId="0" fontId="16" fillId="0" borderId="11" xfId="0" applyFont="1" applyFill="1" applyBorder="1"/>
    <xf numFmtId="0" fontId="16" fillId="0" borderId="11" xfId="0" applyFont="1" applyFill="1" applyBorder="1" applyAlignment="1">
      <alignment wrapText="1"/>
    </xf>
    <xf numFmtId="0" fontId="7" fillId="0" borderId="0" xfId="2" applyFont="1" applyBorder="1" applyAlignment="1">
      <alignment horizontal="left" wrapText="1"/>
    </xf>
    <xf numFmtId="0" fontId="15" fillId="0" borderId="34" xfId="0" applyFont="1" applyFill="1" applyBorder="1" applyAlignment="1">
      <alignment vertical="top" wrapText="1"/>
    </xf>
    <xf numFmtId="0" fontId="15" fillId="0" borderId="35" xfId="0" applyFont="1" applyFill="1" applyBorder="1" applyAlignment="1">
      <alignment vertical="top" wrapText="1"/>
    </xf>
    <xf numFmtId="0" fontId="15" fillId="0" borderId="36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horizontal="center" vertical="top" wrapText="1"/>
    </xf>
    <xf numFmtId="0" fontId="15" fillId="0" borderId="38" xfId="0" applyFont="1" applyFill="1" applyBorder="1" applyAlignment="1">
      <alignment horizontal="center" vertical="top" wrapText="1"/>
    </xf>
    <xf numFmtId="0" fontId="15" fillId="0" borderId="39" xfId="0" applyFont="1" applyFill="1" applyBorder="1" applyAlignment="1">
      <alignment horizontal="center" vertical="top" wrapText="1"/>
    </xf>
    <xf numFmtId="0" fontId="15" fillId="0" borderId="41" xfId="0" applyFont="1" applyFill="1" applyBorder="1" applyAlignment="1">
      <alignment vertical="top" wrapText="1"/>
    </xf>
    <xf numFmtId="0" fontId="15" fillId="0" borderId="40" xfId="0" applyFont="1" applyFill="1" applyBorder="1" applyAlignment="1">
      <alignment vertical="top" wrapText="1"/>
    </xf>
    <xf numFmtId="0" fontId="15" fillId="0" borderId="40" xfId="0" applyFont="1" applyFill="1" applyBorder="1" applyAlignment="1">
      <alignment horizontal="center" vertical="top" wrapText="1"/>
    </xf>
    <xf numFmtId="0" fontId="15" fillId="0" borderId="40" xfId="0" applyFont="1" applyFill="1" applyBorder="1"/>
    <xf numFmtId="0" fontId="17" fillId="0" borderId="0" xfId="0" applyFont="1" applyFill="1" applyBorder="1"/>
    <xf numFmtId="0" fontId="17" fillId="0" borderId="0" xfId="0" applyFont="1" applyFill="1" applyBorder="1" applyAlignment="1">
      <alignment vertical="top" wrapText="1"/>
    </xf>
    <xf numFmtId="0" fontId="17" fillId="0" borderId="33" xfId="0" applyFont="1" applyFill="1" applyBorder="1" applyAlignment="1">
      <alignment vertical="top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wrapText="1"/>
    </xf>
    <xf numFmtId="0" fontId="20" fillId="0" borderId="0" xfId="0" applyFont="1"/>
    <xf numFmtId="0" fontId="18" fillId="0" borderId="1" xfId="0" applyFont="1" applyBorder="1"/>
    <xf numFmtId="3" fontId="18" fillId="0" borderId="1" xfId="0" applyNumberFormat="1" applyFont="1" applyBorder="1"/>
    <xf numFmtId="3" fontId="18" fillId="6" borderId="1" xfId="0" applyNumberFormat="1" applyFont="1" applyFill="1" applyBorder="1"/>
    <xf numFmtId="3" fontId="19" fillId="0" borderId="1" xfId="0" applyNumberFormat="1" applyFont="1" applyFill="1" applyBorder="1"/>
    <xf numFmtId="0" fontId="5" fillId="0" borderId="1" xfId="0" applyFont="1" applyBorder="1" applyAlignment="1"/>
    <xf numFmtId="0" fontId="23" fillId="0" borderId="0" xfId="0" applyFont="1"/>
    <xf numFmtId="0" fontId="17" fillId="0" borderId="0" xfId="0" applyFont="1"/>
    <xf numFmtId="0" fontId="7" fillId="0" borderId="0" xfId="2" applyFont="1" applyBorder="1" applyAlignment="1">
      <alignment horizontal="left"/>
    </xf>
    <xf numFmtId="0" fontId="20" fillId="6" borderId="0" xfId="0" applyFont="1" applyFill="1"/>
    <xf numFmtId="3" fontId="19" fillId="0" borderId="0" xfId="0" applyNumberFormat="1" applyFont="1"/>
    <xf numFmtId="3" fontId="18" fillId="0" borderId="47" xfId="0" quotePrefix="1" applyNumberFormat="1" applyFont="1" applyBorder="1" applyAlignment="1">
      <alignment horizontal="center"/>
    </xf>
    <xf numFmtId="0" fontId="26" fillId="0" borderId="27" xfId="0" applyFont="1" applyBorder="1" applyAlignment="1">
      <alignment horizontal="center" vertical="center" wrapText="1"/>
    </xf>
    <xf numFmtId="0" fontId="0" fillId="0" borderId="27" xfId="0" applyBorder="1" applyAlignment="1">
      <alignment vertical="top" wrapText="1"/>
    </xf>
    <xf numFmtId="0" fontId="0" fillId="0" borderId="49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46" xfId="0" applyBorder="1" applyAlignment="1">
      <alignment vertical="top" wrapText="1"/>
    </xf>
    <xf numFmtId="0" fontId="26" fillId="0" borderId="53" xfId="0" applyFont="1" applyBorder="1" applyAlignment="1">
      <alignment horizontal="center" vertical="center" wrapText="1"/>
    </xf>
    <xf numFmtId="0" fontId="26" fillId="0" borderId="27" xfId="0" applyFont="1" applyBorder="1" applyAlignment="1">
      <alignment vertical="center" wrapText="1"/>
    </xf>
    <xf numFmtId="0" fontId="26" fillId="0" borderId="54" xfId="0" applyFont="1" applyBorder="1" applyAlignment="1">
      <alignment horizontal="center" vertical="center" wrapText="1"/>
    </xf>
    <xf numFmtId="0" fontId="10" fillId="0" borderId="55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left" vertical="center" wrapText="1" indent="1"/>
    </xf>
    <xf numFmtId="0" fontId="26" fillId="0" borderId="15" xfId="0" applyFont="1" applyBorder="1" applyAlignment="1">
      <alignment vertical="center" wrapText="1"/>
    </xf>
    <xf numFmtId="0" fontId="26" fillId="0" borderId="55" xfId="0" applyFont="1" applyBorder="1" applyAlignment="1">
      <alignment horizontal="center" vertical="center" wrapText="1"/>
    </xf>
    <xf numFmtId="2" fontId="0" fillId="0" borderId="1" xfId="0" quotePrefix="1" applyNumberFormat="1" applyBorder="1"/>
    <xf numFmtId="0" fontId="0" fillId="0" borderId="1" xfId="0" quotePrefix="1" applyBorder="1"/>
    <xf numFmtId="0" fontId="25" fillId="0" borderId="1" xfId="0" applyFont="1" applyBorder="1"/>
    <xf numFmtId="0" fontId="2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29" fillId="0" borderId="46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1" fontId="29" fillId="7" borderId="46" xfId="0" applyNumberFormat="1" applyFont="1" applyFill="1" applyBorder="1" applyAlignment="1">
      <alignment horizontal="center" vertical="center" wrapText="1"/>
    </xf>
    <xf numFmtId="3" fontId="29" fillId="7" borderId="46" xfId="0" applyNumberFormat="1" applyFont="1" applyFill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7" fillId="0" borderId="30" xfId="2" applyFont="1" applyFill="1" applyBorder="1" applyAlignment="1">
      <alignment wrapText="1"/>
    </xf>
    <xf numFmtId="165" fontId="6" fillId="0" borderId="4" xfId="2" applyNumberFormat="1" applyFont="1" applyFill="1" applyBorder="1" applyAlignment="1">
      <alignment wrapText="1"/>
    </xf>
    <xf numFmtId="9" fontId="6" fillId="0" borderId="1" xfId="2" applyNumberFormat="1" applyFont="1" applyBorder="1" applyAlignment="1">
      <alignment wrapText="1"/>
    </xf>
    <xf numFmtId="0" fontId="10" fillId="0" borderId="1" xfId="0" applyNumberFormat="1" applyFont="1" applyBorder="1"/>
    <xf numFmtId="0" fontId="25" fillId="0" borderId="0" xfId="0" applyNumberFormat="1" applyFont="1"/>
    <xf numFmtId="0" fontId="16" fillId="6" borderId="11" xfId="0" applyFont="1" applyFill="1" applyBorder="1"/>
    <xf numFmtId="0" fontId="10" fillId="6" borderId="1" xfId="0" applyNumberFormat="1" applyFont="1" applyFill="1" applyBorder="1"/>
    <xf numFmtId="0" fontId="30" fillId="0" borderId="0" xfId="0" applyFont="1" applyAlignment="1">
      <alignment wrapText="1"/>
    </xf>
    <xf numFmtId="0" fontId="7" fillId="0" borderId="1" xfId="2" applyFont="1" applyBorder="1" applyAlignment="1">
      <alignment wrapText="1"/>
    </xf>
    <xf numFmtId="0" fontId="7" fillId="0" borderId="1" xfId="2" applyFont="1" applyFill="1" applyBorder="1" applyAlignment="1">
      <alignment wrapText="1"/>
    </xf>
    <xf numFmtId="0" fontId="10" fillId="0" borderId="1" xfId="0" applyFont="1" applyBorder="1"/>
    <xf numFmtId="0" fontId="10" fillId="0" borderId="0" xfId="0" applyFont="1" applyFill="1" applyBorder="1"/>
    <xf numFmtId="0" fontId="10" fillId="0" borderId="0" xfId="0" applyFont="1" applyAlignment="1">
      <alignment horizontal="right"/>
    </xf>
    <xf numFmtId="0" fontId="10" fillId="0" borderId="0" xfId="0" applyFont="1" applyFill="1" applyAlignment="1">
      <alignment horizontal="right"/>
    </xf>
    <xf numFmtId="0" fontId="6" fillId="0" borderId="1" xfId="2" applyNumberFormat="1" applyFont="1" applyFill="1" applyBorder="1" applyAlignment="1">
      <alignment wrapText="1"/>
    </xf>
    <xf numFmtId="0" fontId="28" fillId="6" borderId="1" xfId="0" applyNumberFormat="1" applyFont="1" applyFill="1" applyBorder="1"/>
    <xf numFmtId="0" fontId="6" fillId="0" borderId="19" xfId="2" applyFont="1" applyFill="1" applyBorder="1" applyAlignment="1">
      <alignment wrapText="1"/>
    </xf>
    <xf numFmtId="0" fontId="7" fillId="0" borderId="14" xfId="2" applyFont="1" applyBorder="1" applyAlignment="1">
      <alignment wrapText="1"/>
    </xf>
    <xf numFmtId="0" fontId="7" fillId="0" borderId="15" xfId="2" applyFont="1" applyBorder="1" applyAlignment="1">
      <alignment wrapText="1"/>
    </xf>
    <xf numFmtId="0" fontId="7" fillId="7" borderId="19" xfId="2" applyFont="1" applyFill="1" applyBorder="1" applyAlignment="1">
      <alignment wrapText="1"/>
    </xf>
    <xf numFmtId="0" fontId="7" fillId="0" borderId="12" xfId="2" applyFont="1" applyBorder="1" applyAlignment="1">
      <alignment wrapText="1"/>
    </xf>
    <xf numFmtId="0" fontId="6" fillId="0" borderId="4" xfId="2" applyFont="1" applyFill="1" applyBorder="1" applyAlignment="1">
      <alignment wrapText="1"/>
    </xf>
    <xf numFmtId="0" fontId="10" fillId="0" borderId="0" xfId="0" applyFont="1" applyFill="1" applyAlignment="1">
      <alignment horizontal="left"/>
    </xf>
    <xf numFmtId="0" fontId="7" fillId="0" borderId="31" xfId="2" applyFont="1" applyBorder="1" applyAlignment="1">
      <alignment wrapText="1"/>
    </xf>
    <xf numFmtId="0" fontId="7" fillId="7" borderId="1" xfId="2" applyFont="1" applyFill="1" applyBorder="1" applyAlignment="1">
      <alignment wrapText="1"/>
    </xf>
    <xf numFmtId="0" fontId="6" fillId="0" borderId="5" xfId="2" applyFont="1" applyBorder="1" applyAlignment="1">
      <alignment wrapText="1"/>
    </xf>
    <xf numFmtId="0" fontId="6" fillId="0" borderId="8" xfId="2" applyFont="1" applyBorder="1" applyAlignment="1">
      <alignment wrapText="1"/>
    </xf>
    <xf numFmtId="0" fontId="6" fillId="0" borderId="18" xfId="2" applyFont="1" applyBorder="1" applyAlignment="1">
      <alignment wrapText="1"/>
    </xf>
    <xf numFmtId="0" fontId="7" fillId="0" borderId="12" xfId="2" applyFont="1" applyFill="1" applyBorder="1" applyAlignment="1">
      <alignment wrapText="1"/>
    </xf>
    <xf numFmtId="0" fontId="7" fillId="0" borderId="23" xfId="2" applyFont="1" applyBorder="1" applyAlignment="1">
      <alignment wrapText="1"/>
    </xf>
    <xf numFmtId="0" fontId="7" fillId="0" borderId="0" xfId="2" applyFont="1" applyAlignment="1">
      <alignment wrapText="1"/>
    </xf>
    <xf numFmtId="3" fontId="7" fillId="0" borderId="0" xfId="2" applyNumberFormat="1" applyFont="1" applyFill="1" applyBorder="1" applyAlignment="1">
      <alignment wrapText="1"/>
    </xf>
    <xf numFmtId="0" fontId="7" fillId="0" borderId="0" xfId="2" applyFont="1" applyFill="1" applyAlignment="1">
      <alignment horizontal="center"/>
    </xf>
    <xf numFmtId="0" fontId="11" fillId="0" borderId="0" xfId="0" applyFont="1" applyAlignment="1">
      <alignment horizontal="right"/>
    </xf>
    <xf numFmtId="0" fontId="7" fillId="0" borderId="0" xfId="2" applyFont="1" applyAlignment="1">
      <alignment horizontal="left" wrapText="1"/>
    </xf>
    <xf numFmtId="0" fontId="7" fillId="0" borderId="0" xfId="2" applyFont="1" applyFill="1" applyAlignment="1">
      <alignment horizontal="right" wrapText="1"/>
    </xf>
    <xf numFmtId="169" fontId="7" fillId="0" borderId="0" xfId="2" applyNumberFormat="1" applyFont="1" applyFill="1" applyAlignment="1">
      <alignment horizontal="left" wrapText="1"/>
    </xf>
    <xf numFmtId="0" fontId="16" fillId="0" borderId="62" xfId="0" applyFont="1" applyFill="1" applyBorder="1"/>
    <xf numFmtId="0" fontId="15" fillId="0" borderId="15" xfId="0" applyFont="1" applyFill="1" applyBorder="1"/>
    <xf numFmtId="0" fontId="15" fillId="0" borderId="45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top" wrapText="1"/>
    </xf>
    <xf numFmtId="0" fontId="17" fillId="0" borderId="65" xfId="0" applyFont="1" applyFill="1" applyBorder="1" applyAlignment="1">
      <alignment vertical="top" wrapText="1"/>
    </xf>
    <xf numFmtId="0" fontId="15" fillId="0" borderId="32" xfId="0" applyFont="1" applyBorder="1"/>
    <xf numFmtId="0" fontId="15" fillId="0" borderId="0" xfId="0" applyFont="1" applyBorder="1"/>
    <xf numFmtId="0" fontId="3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horizontal="right" vertical="top" wrapText="1"/>
    </xf>
    <xf numFmtId="0" fontId="15" fillId="0" borderId="0" xfId="0" applyFont="1" applyAlignment="1">
      <alignment wrapText="1"/>
    </xf>
    <xf numFmtId="0" fontId="10" fillId="0" borderId="0" xfId="0" applyFont="1" applyFill="1"/>
    <xf numFmtId="0" fontId="16" fillId="0" borderId="43" xfId="0" applyFont="1" applyFill="1" applyBorder="1" applyAlignment="1">
      <alignment horizontal="left" vertical="top" wrapText="1"/>
    </xf>
    <xf numFmtId="0" fontId="16" fillId="0" borderId="44" xfId="0" applyFont="1" applyFill="1" applyBorder="1" applyAlignment="1">
      <alignment horizontal="left" vertical="top" wrapText="1"/>
    </xf>
    <xf numFmtId="0" fontId="16" fillId="0" borderId="63" xfId="0" applyFont="1" applyFill="1" applyBorder="1" applyAlignment="1">
      <alignment horizontal="left"/>
    </xf>
    <xf numFmtId="0" fontId="16" fillId="0" borderId="64" xfId="0" applyFont="1" applyFill="1" applyBorder="1" applyAlignment="1">
      <alignment horizontal="left"/>
    </xf>
    <xf numFmtId="0" fontId="16" fillId="0" borderId="23" xfId="0" applyFont="1" applyBorder="1"/>
    <xf numFmtId="0" fontId="15" fillId="0" borderId="13" xfId="0" applyFont="1" applyBorder="1"/>
    <xf numFmtId="0" fontId="15" fillId="0" borderId="44" xfId="0" applyFont="1" applyBorder="1"/>
    <xf numFmtId="0" fontId="16" fillId="0" borderId="46" xfId="0" applyFont="1" applyBorder="1"/>
    <xf numFmtId="0" fontId="15" fillId="0" borderId="11" xfId="0" applyFont="1" applyBorder="1" applyAlignment="1">
      <alignment vertical="top" wrapText="1"/>
    </xf>
    <xf numFmtId="0" fontId="15" fillId="3" borderId="48" xfId="0" applyFont="1" applyFill="1" applyBorder="1" applyAlignment="1">
      <alignment horizontal="center" vertical="top" wrapText="1"/>
    </xf>
    <xf numFmtId="0" fontId="15" fillId="0" borderId="42" xfId="0" applyFont="1" applyBorder="1" applyAlignment="1">
      <alignment vertical="top" wrapText="1"/>
    </xf>
    <xf numFmtId="0" fontId="15" fillId="0" borderId="48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0" fontId="15" fillId="0" borderId="49" xfId="0" applyFont="1" applyBorder="1" applyAlignment="1">
      <alignment horizontal="center" vertical="top" wrapText="1"/>
    </xf>
    <xf numFmtId="0" fontId="15" fillId="0" borderId="50" xfId="0" applyFont="1" applyBorder="1" applyAlignment="1">
      <alignment vertical="top" wrapText="1"/>
    </xf>
    <xf numFmtId="0" fontId="15" fillId="0" borderId="42" xfId="0" applyFont="1" applyBorder="1" applyAlignment="1">
      <alignment horizontal="center" vertical="top" wrapText="1"/>
    </xf>
    <xf numFmtId="0" fontId="15" fillId="0" borderId="45" xfId="0" applyFont="1" applyBorder="1" applyAlignment="1">
      <alignment vertical="top" wrapText="1"/>
    </xf>
    <xf numFmtId="0" fontId="15" fillId="0" borderId="52" xfId="0" applyFont="1" applyBorder="1" applyAlignment="1">
      <alignment vertical="top" wrapText="1"/>
    </xf>
    <xf numFmtId="0" fontId="15" fillId="0" borderId="15" xfId="0" applyFont="1" applyBorder="1" applyAlignment="1">
      <alignment vertical="top" wrapText="1"/>
    </xf>
    <xf numFmtId="0" fontId="15" fillId="0" borderId="15" xfId="0" applyFont="1" applyBorder="1" applyAlignment="1">
      <alignment horizontal="center" vertical="top" wrapText="1"/>
    </xf>
    <xf numFmtId="0" fontId="15" fillId="0" borderId="27" xfId="0" applyFont="1" applyBorder="1" applyAlignment="1">
      <alignment horizontal="center" vertical="top" wrapText="1"/>
    </xf>
    <xf numFmtId="3" fontId="18" fillId="0" borderId="1" xfId="0" applyNumberFormat="1" applyFont="1" applyFill="1" applyBorder="1"/>
    <xf numFmtId="3" fontId="18" fillId="13" borderId="1" xfId="0" applyNumberFormat="1" applyFont="1" applyFill="1" applyBorder="1"/>
    <xf numFmtId="3" fontId="21" fillId="0" borderId="0" xfId="0" applyNumberFormat="1" applyFont="1" applyFill="1"/>
    <xf numFmtId="3" fontId="22" fillId="0" borderId="1" xfId="2" applyNumberFormat="1" applyFont="1" applyFill="1" applyBorder="1" applyAlignment="1">
      <alignment wrapText="1"/>
    </xf>
    <xf numFmtId="1" fontId="29" fillId="7" borderId="53" xfId="0" applyNumberFormat="1" applyFont="1" applyFill="1" applyBorder="1" applyAlignment="1">
      <alignment horizontal="center" vertical="center" wrapText="1"/>
    </xf>
    <xf numFmtId="0" fontId="10" fillId="7" borderId="61" xfId="0" applyFont="1" applyFill="1" applyBorder="1" applyAlignment="1">
      <alignment horizontal="center" vertical="center" wrapText="1"/>
    </xf>
    <xf numFmtId="0" fontId="29" fillId="7" borderId="53" xfId="0" applyFont="1" applyFill="1" applyBorder="1" applyAlignment="1">
      <alignment horizontal="center" vertical="center" wrapText="1"/>
    </xf>
    <xf numFmtId="0" fontId="29" fillId="7" borderId="61" xfId="0" applyFont="1" applyFill="1" applyBorder="1" applyAlignment="1">
      <alignment horizontal="center" vertical="center" wrapText="1"/>
    </xf>
    <xf numFmtId="0" fontId="29" fillId="7" borderId="46" xfId="0" applyFont="1" applyFill="1" applyBorder="1" applyAlignment="1">
      <alignment horizontal="center" vertical="center" wrapText="1"/>
    </xf>
    <xf numFmtId="0" fontId="29" fillId="7" borderId="55" xfId="0" applyFont="1" applyFill="1" applyBorder="1" applyAlignment="1">
      <alignment horizontal="center" vertical="center" wrapText="1"/>
    </xf>
    <xf numFmtId="0" fontId="23" fillId="0" borderId="1" xfId="0" applyFont="1" applyBorder="1"/>
    <xf numFmtId="0" fontId="32" fillId="0" borderId="1" xfId="0" applyFont="1" applyBorder="1"/>
    <xf numFmtId="0" fontId="10" fillId="7" borderId="53" xfId="0" applyFont="1" applyFill="1" applyBorder="1" applyAlignment="1">
      <alignment horizontal="center" vertical="center" wrapText="1"/>
    </xf>
    <xf numFmtId="0" fontId="26" fillId="0" borderId="48" xfId="0" applyFont="1" applyBorder="1" applyAlignment="1">
      <alignment horizontal="center" vertical="center" wrapText="1"/>
    </xf>
    <xf numFmtId="0" fontId="26" fillId="0" borderId="49" xfId="0" applyFont="1" applyBorder="1" applyAlignment="1">
      <alignment horizontal="center" vertical="center" wrapText="1"/>
    </xf>
    <xf numFmtId="0" fontId="26" fillId="0" borderId="46" xfId="0" applyFont="1" applyBorder="1" applyAlignment="1">
      <alignment horizontal="center" vertical="center" wrapText="1"/>
    </xf>
    <xf numFmtId="0" fontId="26" fillId="0" borderId="42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10" fillId="0" borderId="24" xfId="0" applyFont="1" applyBorder="1"/>
    <xf numFmtId="0" fontId="10" fillId="0" borderId="6" xfId="0" applyFont="1" applyBorder="1"/>
    <xf numFmtId="0" fontId="10" fillId="3" borderId="1" xfId="0" applyFont="1" applyFill="1" applyBorder="1" applyAlignment="1">
      <alignment vertical="top" wrapText="1"/>
    </xf>
    <xf numFmtId="0" fontId="6" fillId="0" borderId="66" xfId="2" applyFont="1" applyFill="1" applyBorder="1" applyAlignment="1">
      <alignment wrapText="1"/>
    </xf>
    <xf numFmtId="0" fontId="6" fillId="0" borderId="32" xfId="2" applyFont="1" applyFill="1" applyBorder="1" applyAlignment="1">
      <alignment wrapText="1"/>
    </xf>
    <xf numFmtId="0" fontId="6" fillId="0" borderId="47" xfId="2" applyFont="1" applyFill="1" applyBorder="1" applyAlignment="1">
      <alignment wrapText="1"/>
    </xf>
    <xf numFmtId="0" fontId="6" fillId="0" borderId="26" xfId="2" applyFont="1" applyFill="1" applyBorder="1" applyAlignment="1">
      <alignment wrapText="1"/>
    </xf>
    <xf numFmtId="0" fontId="6" fillId="0" borderId="24" xfId="2" applyFont="1" applyFill="1" applyBorder="1" applyAlignment="1">
      <alignment wrapText="1"/>
    </xf>
    <xf numFmtId="0" fontId="6" fillId="0" borderId="26" xfId="2" applyFont="1" applyBorder="1" applyAlignment="1">
      <alignment wrapText="1"/>
    </xf>
    <xf numFmtId="0" fontId="6" fillId="12" borderId="4" xfId="2" applyFont="1" applyFill="1" applyBorder="1" applyAlignment="1">
      <alignment wrapText="1"/>
    </xf>
    <xf numFmtId="0" fontId="6" fillId="12" borderId="66" xfId="2" applyFont="1" applyFill="1" applyBorder="1" applyAlignment="1">
      <alignment wrapText="1"/>
    </xf>
    <xf numFmtId="0" fontId="6" fillId="0" borderId="25" xfId="2" applyFont="1" applyFill="1" applyBorder="1" applyAlignment="1">
      <alignment wrapText="1"/>
    </xf>
    <xf numFmtId="0" fontId="7" fillId="0" borderId="45" xfId="2" applyFont="1" applyBorder="1" applyAlignment="1">
      <alignment wrapText="1"/>
    </xf>
    <xf numFmtId="0" fontId="10" fillId="0" borderId="1" xfId="0" applyNumberFormat="1" applyFont="1" applyFill="1" applyBorder="1"/>
    <xf numFmtId="0" fontId="10" fillId="11" borderId="1" xfId="0" applyNumberFormat="1" applyFont="1" applyFill="1" applyBorder="1"/>
    <xf numFmtId="0" fontId="10" fillId="11" borderId="1" xfId="0" applyFont="1" applyFill="1" applyBorder="1"/>
    <xf numFmtId="165" fontId="6" fillId="0" borderId="5" xfId="2" applyNumberFormat="1" applyFont="1" applyFill="1" applyBorder="1" applyAlignment="1">
      <alignment wrapText="1"/>
    </xf>
    <xf numFmtId="0" fontId="6" fillId="0" borderId="0" xfId="2" applyFont="1" applyFill="1" applyBorder="1" applyAlignment="1">
      <alignment wrapText="1"/>
    </xf>
    <xf numFmtId="0" fontId="6" fillId="6" borderId="47" xfId="2" applyFont="1" applyFill="1" applyBorder="1" applyAlignment="1">
      <alignment wrapText="1"/>
    </xf>
    <xf numFmtId="0" fontId="6" fillId="0" borderId="22" xfId="2" applyFont="1" applyBorder="1" applyAlignment="1">
      <alignment wrapText="1"/>
    </xf>
    <xf numFmtId="0" fontId="3" fillId="3" borderId="3" xfId="0" applyFont="1" applyFill="1" applyBorder="1" applyAlignment="1">
      <alignment vertical="top" wrapText="1"/>
    </xf>
    <xf numFmtId="0" fontId="16" fillId="0" borderId="0" xfId="0" applyFont="1"/>
    <xf numFmtId="0" fontId="15" fillId="6" borderId="11" xfId="0" applyFont="1" applyFill="1" applyBorder="1"/>
    <xf numFmtId="0" fontId="15" fillId="0" borderId="11" xfId="0" applyFont="1" applyBorder="1" applyAlignment="1"/>
    <xf numFmtId="167" fontId="31" fillId="0" borderId="6" xfId="0" applyNumberFormat="1" applyFont="1" applyBorder="1" applyAlignment="1">
      <alignment wrapText="1"/>
    </xf>
    <xf numFmtId="165" fontId="6" fillId="0" borderId="8" xfId="2" applyNumberFormat="1" applyFont="1" applyFill="1" applyBorder="1" applyAlignment="1">
      <alignment wrapText="1"/>
    </xf>
    <xf numFmtId="9" fontId="6" fillId="0" borderId="1" xfId="2" applyNumberFormat="1" applyFont="1" applyFill="1" applyBorder="1" applyAlignment="1">
      <alignment wrapText="1"/>
    </xf>
    <xf numFmtId="0" fontId="7" fillId="0" borderId="22" xfId="2" applyFont="1" applyFill="1" applyBorder="1" applyAlignment="1">
      <alignment wrapText="1"/>
    </xf>
    <xf numFmtId="167" fontId="11" fillId="0" borderId="23" xfId="3" applyNumberFormat="1" applyFont="1" applyBorder="1" applyAlignment="1">
      <alignment wrapText="1"/>
    </xf>
    <xf numFmtId="167" fontId="8" fillId="0" borderId="1" xfId="1" applyNumberFormat="1" applyFont="1" applyBorder="1" applyAlignment="1">
      <alignment horizontal="right"/>
    </xf>
    <xf numFmtId="167" fontId="8" fillId="0" borderId="4" xfId="0" applyNumberFormat="1" applyFont="1" applyBorder="1" applyAlignment="1">
      <alignment horizontal="right"/>
    </xf>
    <xf numFmtId="167" fontId="8" fillId="0" borderId="6" xfId="0" applyNumberFormat="1" applyFont="1" applyBorder="1" applyAlignment="1">
      <alignment horizontal="right"/>
    </xf>
    <xf numFmtId="167" fontId="8" fillId="0" borderId="4" xfId="3" applyNumberFormat="1" applyFont="1" applyFill="1" applyBorder="1" applyAlignment="1">
      <alignment wrapText="1"/>
    </xf>
    <xf numFmtId="9" fontId="6" fillId="0" borderId="4" xfId="2" applyNumberFormat="1" applyFont="1" applyFill="1" applyBorder="1" applyAlignment="1">
      <alignment wrapText="1"/>
    </xf>
    <xf numFmtId="167" fontId="8" fillId="0" borderId="6" xfId="0" applyNumberFormat="1" applyFont="1" applyFill="1" applyBorder="1" applyAlignment="1">
      <alignment wrapText="1"/>
    </xf>
    <xf numFmtId="165" fontId="6" fillId="0" borderId="19" xfId="2" applyNumberFormat="1" applyFont="1" applyFill="1" applyBorder="1" applyAlignment="1">
      <alignment wrapText="1"/>
    </xf>
    <xf numFmtId="0" fontId="6" fillId="0" borderId="17" xfId="2" applyFont="1" applyFill="1" applyBorder="1" applyAlignment="1">
      <alignment wrapText="1"/>
    </xf>
    <xf numFmtId="167" fontId="11" fillId="7" borderId="17" xfId="3" applyNumberFormat="1" applyFont="1" applyFill="1" applyBorder="1" applyAlignment="1">
      <alignment wrapText="1"/>
    </xf>
    <xf numFmtId="167" fontId="11" fillId="0" borderId="17" xfId="3" applyNumberFormat="1" applyFont="1" applyBorder="1" applyAlignment="1">
      <alignment wrapText="1"/>
    </xf>
    <xf numFmtId="167" fontId="11" fillId="7" borderId="21" xfId="3" applyNumberFormat="1" applyFont="1" applyFill="1" applyBorder="1" applyAlignment="1">
      <alignment wrapText="1"/>
    </xf>
    <xf numFmtId="165" fontId="6" fillId="0" borderId="1" xfId="2" applyNumberFormat="1" applyFont="1" applyFill="1" applyBorder="1" applyAlignment="1">
      <alignment wrapText="1"/>
    </xf>
    <xf numFmtId="167" fontId="11" fillId="0" borderId="21" xfId="3" applyNumberFormat="1" applyFont="1" applyBorder="1" applyAlignment="1">
      <alignment wrapText="1"/>
    </xf>
    <xf numFmtId="9" fontId="6" fillId="0" borderId="19" xfId="2" applyNumberFormat="1" applyFont="1" applyFill="1" applyBorder="1" applyAlignment="1">
      <alignment wrapText="1"/>
    </xf>
    <xf numFmtId="167" fontId="11" fillId="0" borderId="13" xfId="3" applyNumberFormat="1" applyFont="1" applyBorder="1" applyAlignment="1">
      <alignment wrapText="1"/>
    </xf>
    <xf numFmtId="0" fontId="6" fillId="0" borderId="22" xfId="2" applyFont="1" applyFill="1" applyBorder="1" applyAlignment="1">
      <alignment wrapText="1"/>
    </xf>
    <xf numFmtId="167" fontId="11" fillId="0" borderId="22" xfId="3" applyNumberFormat="1" applyFont="1" applyBorder="1" applyAlignment="1">
      <alignment wrapText="1"/>
    </xf>
    <xf numFmtId="165" fontId="6" fillId="0" borderId="18" xfId="2" applyNumberFormat="1" applyFont="1" applyFill="1" applyBorder="1" applyAlignment="1">
      <alignment wrapText="1"/>
    </xf>
    <xf numFmtId="0" fontId="6" fillId="0" borderId="67" xfId="2" applyFont="1" applyFill="1" applyBorder="1" applyAlignment="1">
      <alignment wrapText="1"/>
    </xf>
    <xf numFmtId="167" fontId="11" fillId="0" borderId="15" xfId="3" applyNumberFormat="1" applyFont="1" applyBorder="1" applyAlignment="1">
      <alignment wrapText="1"/>
    </xf>
    <xf numFmtId="167" fontId="11" fillId="0" borderId="31" xfId="3" applyNumberFormat="1" applyFont="1" applyBorder="1" applyAlignment="1">
      <alignment wrapText="1"/>
    </xf>
    <xf numFmtId="167" fontId="11" fillId="0" borderId="45" xfId="3" applyNumberFormat="1" applyFont="1" applyBorder="1" applyAlignment="1">
      <alignment wrapText="1"/>
    </xf>
    <xf numFmtId="167" fontId="11" fillId="0" borderId="20" xfId="3" applyNumberFormat="1" applyFont="1" applyBorder="1" applyAlignment="1">
      <alignment wrapText="1"/>
    </xf>
    <xf numFmtId="165" fontId="6" fillId="0" borderId="1" xfId="2" applyNumberFormat="1" applyFont="1" applyFill="1" applyBorder="1" applyAlignment="1">
      <alignment horizontal="right"/>
    </xf>
    <xf numFmtId="165" fontId="6" fillId="7" borderId="4" xfId="2" applyNumberFormat="1" applyFont="1" applyFill="1" applyBorder="1" applyAlignment="1">
      <alignment wrapText="1"/>
    </xf>
    <xf numFmtId="165" fontId="6" fillId="0" borderId="9" xfId="2" applyNumberFormat="1" applyFont="1" applyFill="1" applyBorder="1" applyAlignment="1">
      <alignment horizontal="right"/>
    </xf>
    <xf numFmtId="167" fontId="8" fillId="0" borderId="1" xfId="3" applyNumberFormat="1" applyFont="1" applyBorder="1" applyAlignment="1">
      <alignment wrapText="1"/>
    </xf>
    <xf numFmtId="167" fontId="8" fillId="0" borderId="1" xfId="0" applyNumberFormat="1" applyFont="1" applyBorder="1" applyAlignment="1">
      <alignment wrapText="1"/>
    </xf>
    <xf numFmtId="0" fontId="7" fillId="0" borderId="16" xfId="2" applyFont="1" applyFill="1" applyBorder="1" applyAlignment="1">
      <alignment wrapText="1"/>
    </xf>
    <xf numFmtId="2" fontId="11" fillId="0" borderId="16" xfId="3" applyNumberFormat="1" applyFont="1" applyBorder="1" applyAlignment="1">
      <alignment wrapText="1"/>
    </xf>
    <xf numFmtId="2" fontId="7" fillId="0" borderId="16" xfId="2" applyNumberFormat="1" applyFont="1" applyBorder="1" applyAlignment="1">
      <alignment wrapText="1"/>
    </xf>
    <xf numFmtId="2" fontId="11" fillId="0" borderId="16" xfId="0" applyNumberFormat="1" applyFont="1" applyBorder="1" applyAlignment="1">
      <alignment wrapText="1"/>
    </xf>
    <xf numFmtId="2" fontId="11" fillId="0" borderId="28" xfId="0" applyNumberFormat="1" applyFont="1" applyBorder="1" applyAlignment="1">
      <alignment wrapText="1"/>
    </xf>
    <xf numFmtId="2" fontId="11" fillId="0" borderId="17" xfId="3" applyNumberFormat="1" applyFont="1" applyBorder="1" applyAlignment="1">
      <alignment wrapText="1"/>
    </xf>
    <xf numFmtId="2" fontId="7" fillId="0" borderId="17" xfId="2" applyNumberFormat="1" applyFont="1" applyBorder="1" applyAlignment="1">
      <alignment wrapText="1"/>
    </xf>
    <xf numFmtId="2" fontId="11" fillId="0" borderId="17" xfId="0" applyNumberFormat="1" applyFont="1" applyBorder="1" applyAlignment="1">
      <alignment wrapText="1"/>
    </xf>
    <xf numFmtId="2" fontId="11" fillId="0" borderId="13" xfId="0" applyNumberFormat="1" applyFont="1" applyBorder="1" applyAlignment="1">
      <alignment wrapText="1"/>
    </xf>
    <xf numFmtId="2" fontId="7" fillId="0" borderId="0" xfId="2" applyNumberFormat="1" applyFont="1" applyBorder="1" applyAlignment="1">
      <alignment wrapText="1"/>
    </xf>
    <xf numFmtId="0" fontId="6" fillId="0" borderId="0" xfId="2" applyFont="1"/>
    <xf numFmtId="0" fontId="7" fillId="0" borderId="0" xfId="2" applyFont="1" applyFill="1"/>
    <xf numFmtId="0" fontId="8" fillId="0" borderId="0" xfId="0" applyFont="1"/>
    <xf numFmtId="3" fontId="11" fillId="0" borderId="0" xfId="0" applyNumberFormat="1" applyFont="1"/>
    <xf numFmtId="0" fontId="10" fillId="0" borderId="0" xfId="0" applyNumberFormat="1" applyFont="1"/>
    <xf numFmtId="0" fontId="10" fillId="0" borderId="8" xfId="0" applyFont="1" applyBorder="1"/>
    <xf numFmtId="0" fontId="9" fillId="2" borderId="26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0" fontId="10" fillId="0" borderId="5" xfId="0" applyFont="1" applyBorder="1"/>
    <xf numFmtId="0" fontId="6" fillId="0" borderId="6" xfId="2" applyFont="1" applyBorder="1" applyAlignment="1">
      <alignment wrapText="1"/>
    </xf>
    <xf numFmtId="0" fontId="9" fillId="2" borderId="6" xfId="0" applyFont="1" applyFill="1" applyBorder="1" applyAlignment="1">
      <alignment horizontal="center" vertical="top" wrapText="1"/>
    </xf>
    <xf numFmtId="0" fontId="10" fillId="3" borderId="0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horizontal="center" vertical="top" wrapText="1"/>
    </xf>
    <xf numFmtId="0" fontId="6" fillId="0" borderId="1" xfId="2" applyFont="1" applyBorder="1"/>
    <xf numFmtId="0" fontId="7" fillId="0" borderId="1" xfId="2" applyFont="1" applyBorder="1" applyAlignment="1">
      <alignment horizontal="left" wrapText="1"/>
    </xf>
    <xf numFmtId="0" fontId="10" fillId="0" borderId="0" xfId="0" applyFont="1" applyBorder="1"/>
    <xf numFmtId="0" fontId="9" fillId="4" borderId="1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 wrapText="1"/>
    </xf>
    <xf numFmtId="168" fontId="11" fillId="7" borderId="1" xfId="3" applyNumberFormat="1" applyFont="1" applyFill="1" applyBorder="1" applyAlignment="1">
      <alignment horizontal="right" wrapText="1"/>
    </xf>
    <xf numFmtId="0" fontId="7" fillId="0" borderId="1" xfId="2" applyFont="1" applyBorder="1" applyAlignment="1">
      <alignment horizontal="right"/>
    </xf>
    <xf numFmtId="0" fontId="7" fillId="0" borderId="1" xfId="2" applyFont="1" applyBorder="1"/>
    <xf numFmtId="0" fontId="6" fillId="6" borderId="1" xfId="2" applyFont="1" applyFill="1" applyBorder="1" applyAlignment="1">
      <alignment horizontal="right"/>
    </xf>
    <xf numFmtId="0" fontId="10" fillId="12" borderId="1" xfId="0" applyFont="1" applyFill="1" applyBorder="1"/>
    <xf numFmtId="0" fontId="9" fillId="0" borderId="1" xfId="0" applyFont="1" applyFill="1" applyBorder="1" applyAlignment="1">
      <alignment horizontal="center" vertical="top" wrapText="1"/>
    </xf>
    <xf numFmtId="0" fontId="33" fillId="11" borderId="26" xfId="0" applyFont="1" applyFill="1" applyBorder="1"/>
    <xf numFmtId="0" fontId="10" fillId="6" borderId="1" xfId="0" applyFont="1" applyFill="1" applyBorder="1"/>
    <xf numFmtId="0" fontId="34" fillId="11" borderId="24" xfId="2" applyFont="1" applyFill="1" applyBorder="1" applyAlignment="1">
      <alignment wrapText="1"/>
    </xf>
    <xf numFmtId="0" fontId="33" fillId="11" borderId="1" xfId="0" applyNumberFormat="1" applyFont="1" applyFill="1" applyBorder="1"/>
    <xf numFmtId="0" fontId="35" fillId="4" borderId="1" xfId="0" applyFont="1" applyFill="1" applyBorder="1" applyAlignment="1">
      <alignment horizontal="center" vertical="top" wrapText="1"/>
    </xf>
    <xf numFmtId="0" fontId="9" fillId="4" borderId="7" xfId="0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 wrapText="1"/>
    </xf>
    <xf numFmtId="0" fontId="6" fillId="0" borderId="1" xfId="2" applyFont="1" applyFill="1" applyBorder="1" applyAlignment="1"/>
    <xf numFmtId="0" fontId="6" fillId="0" borderId="1" xfId="2" applyFont="1" applyFill="1" applyBorder="1" applyAlignment="1">
      <alignment horizontal="left"/>
    </xf>
    <xf numFmtId="0" fontId="6" fillId="0" borderId="1" xfId="2" applyFont="1" applyBorder="1" applyAlignment="1">
      <alignment horizontal="right"/>
    </xf>
    <xf numFmtId="0" fontId="10" fillId="3" borderId="2" xfId="0" applyFont="1" applyFill="1" applyBorder="1" applyAlignment="1">
      <alignment vertical="top" wrapText="1"/>
    </xf>
    <xf numFmtId="0" fontId="9" fillId="2" borderId="1" xfId="0" applyNumberFormat="1" applyFont="1" applyFill="1" applyBorder="1" applyAlignment="1">
      <alignment horizontal="center" vertical="top" wrapText="1"/>
    </xf>
    <xf numFmtId="0" fontId="10" fillId="6" borderId="1" xfId="0" applyFont="1" applyFill="1" applyBorder="1" applyAlignment="1">
      <alignment horizontal="center" vertical="top" wrapText="1"/>
    </xf>
    <xf numFmtId="0" fontId="10" fillId="3" borderId="9" xfId="0" applyFont="1" applyFill="1" applyBorder="1" applyAlignment="1">
      <alignment horizontal="center" vertical="top" wrapText="1"/>
    </xf>
    <xf numFmtId="0" fontId="34" fillId="11" borderId="10" xfId="2" applyFont="1" applyFill="1" applyBorder="1" applyAlignment="1">
      <alignment wrapText="1"/>
    </xf>
    <xf numFmtId="0" fontId="10" fillId="0" borderId="1" xfId="0" applyFont="1" applyBorder="1" applyAlignment="1">
      <alignment horizontal="center"/>
    </xf>
    <xf numFmtId="0" fontId="34" fillId="11" borderId="1" xfId="2" applyFont="1" applyFill="1" applyBorder="1" applyAlignment="1">
      <alignment wrapText="1"/>
    </xf>
    <xf numFmtId="0" fontId="10" fillId="3" borderId="4" xfId="0" applyFont="1" applyFill="1" applyBorder="1" applyAlignment="1">
      <alignment horizontal="center" vertical="top" wrapText="1"/>
    </xf>
    <xf numFmtId="0" fontId="10" fillId="0" borderId="4" xfId="0" applyFont="1" applyBorder="1"/>
    <xf numFmtId="0" fontId="11" fillId="0" borderId="1" xfId="0" applyFont="1" applyBorder="1"/>
    <xf numFmtId="0" fontId="34" fillId="11" borderId="8" xfId="2" applyFont="1" applyFill="1" applyBorder="1" applyAlignment="1">
      <alignment wrapText="1"/>
    </xf>
    <xf numFmtId="0" fontId="33" fillId="0" borderId="1" xfId="0" applyFont="1" applyBorder="1"/>
    <xf numFmtId="0" fontId="34" fillId="11" borderId="4" xfId="2" applyFont="1" applyFill="1" applyBorder="1" applyAlignment="1">
      <alignment wrapText="1"/>
    </xf>
    <xf numFmtId="0" fontId="10" fillId="0" borderId="9" xfId="0" applyFont="1" applyBorder="1"/>
    <xf numFmtId="0" fontId="9" fillId="2" borderId="9" xfId="0" applyFont="1" applyFill="1" applyBorder="1" applyAlignment="1">
      <alignment horizontal="center" vertical="top" wrapText="1"/>
    </xf>
    <xf numFmtId="0" fontId="33" fillId="11" borderId="1" xfId="0" applyFont="1" applyFill="1" applyBorder="1"/>
    <xf numFmtId="0" fontId="7" fillId="7" borderId="4" xfId="2" applyFont="1" applyFill="1" applyBorder="1" applyAlignment="1">
      <alignment wrapText="1"/>
    </xf>
    <xf numFmtId="0" fontId="6" fillId="0" borderId="4" xfId="2" applyFont="1" applyBorder="1" applyAlignment="1">
      <alignment horizontal="right"/>
    </xf>
    <xf numFmtId="0" fontId="7" fillId="0" borderId="0" xfId="2" applyFont="1" applyAlignment="1">
      <alignment horizontal="right"/>
    </xf>
    <xf numFmtId="0" fontId="7" fillId="0" borderId="0" xfId="2" applyFont="1"/>
    <xf numFmtId="0" fontId="10" fillId="0" borderId="0" xfId="0" quotePrefix="1" applyFont="1"/>
    <xf numFmtId="0" fontId="9" fillId="2" borderId="7" xfId="0" applyFont="1" applyFill="1" applyBorder="1" applyAlignment="1">
      <alignment vertical="top"/>
    </xf>
    <xf numFmtId="0" fontId="10" fillId="6" borderId="0" xfId="0" applyFont="1" applyFill="1"/>
    <xf numFmtId="0" fontId="10" fillId="3" borderId="3" xfId="0" applyFont="1" applyFill="1" applyBorder="1" applyAlignment="1">
      <alignment vertical="top"/>
    </xf>
    <xf numFmtId="0" fontId="7" fillId="0" borderId="0" xfId="2" applyFont="1" applyAlignment="1">
      <alignment horizontal="left"/>
    </xf>
    <xf numFmtId="0" fontId="6" fillId="0" borderId="23" xfId="2" applyFont="1" applyBorder="1" applyAlignment="1">
      <alignment wrapText="1"/>
    </xf>
    <xf numFmtId="0" fontId="7" fillId="0" borderId="1" xfId="2" applyFont="1" applyFill="1" applyBorder="1" applyAlignment="1">
      <alignment horizontal="center" wrapText="1"/>
    </xf>
    <xf numFmtId="0" fontId="7" fillId="0" borderId="1" xfId="2" applyFont="1" applyBorder="1" applyAlignment="1">
      <alignment horizontal="center" wrapText="1"/>
    </xf>
    <xf numFmtId="0" fontId="7" fillId="0" borderId="25" xfId="2" applyFont="1" applyFill="1" applyBorder="1" applyAlignment="1">
      <alignment horizontal="center" wrapText="1"/>
    </xf>
    <xf numFmtId="0" fontId="7" fillId="0" borderId="6" xfId="2" applyNumberFormat="1" applyFont="1" applyFill="1" applyBorder="1" applyAlignment="1"/>
    <xf numFmtId="167" fontId="8" fillId="0" borderId="1" xfId="4" applyNumberFormat="1" applyFont="1" applyFill="1" applyBorder="1" applyAlignment="1">
      <alignment horizontal="right"/>
    </xf>
    <xf numFmtId="9" fontId="6" fillId="0" borderId="1" xfId="2" applyNumberFormat="1" applyFont="1" applyFill="1" applyBorder="1" applyAlignment="1">
      <alignment horizontal="right"/>
    </xf>
    <xf numFmtId="167" fontId="8" fillId="0" borderId="1" xfId="0" applyNumberFormat="1" applyFont="1" applyFill="1" applyBorder="1" applyAlignment="1">
      <alignment horizontal="right"/>
    </xf>
    <xf numFmtId="0" fontId="9" fillId="4" borderId="7" xfId="0" applyFont="1" applyFill="1" applyBorder="1" applyAlignment="1">
      <alignment horizontal="center" vertical="top" wrapText="1"/>
    </xf>
    <xf numFmtId="0" fontId="7" fillId="0" borderId="6" xfId="2" applyFont="1" applyFill="1" applyBorder="1" applyAlignment="1"/>
    <xf numFmtId="0" fontId="6" fillId="0" borderId="6" xfId="2" applyFont="1" applyFill="1" applyBorder="1" applyAlignment="1">
      <alignment wrapText="1"/>
    </xf>
    <xf numFmtId="167" fontId="8" fillId="0" borderId="4" xfId="4" applyNumberFormat="1" applyFont="1" applyFill="1" applyBorder="1" applyAlignment="1">
      <alignment horizontal="right"/>
    </xf>
    <xf numFmtId="9" fontId="6" fillId="0" borderId="4" xfId="2" applyNumberFormat="1" applyFont="1" applyFill="1" applyBorder="1" applyAlignment="1">
      <alignment horizontal="right"/>
    </xf>
    <xf numFmtId="167" fontId="8" fillId="0" borderId="4" xfId="0" applyNumberFormat="1" applyFont="1" applyFill="1" applyBorder="1" applyAlignment="1">
      <alignment horizontal="right"/>
    </xf>
    <xf numFmtId="0" fontId="31" fillId="0" borderId="47" xfId="2" applyFont="1" applyFill="1" applyBorder="1" applyAlignment="1">
      <alignment wrapText="1"/>
    </xf>
    <xf numFmtId="167" fontId="31" fillId="0" borderId="4" xfId="0" applyNumberFormat="1" applyFont="1" applyBorder="1" applyAlignment="1">
      <alignment wrapText="1"/>
    </xf>
    <xf numFmtId="0" fontId="7" fillId="0" borderId="26" xfId="2" applyFont="1" applyFill="1" applyBorder="1" applyAlignment="1"/>
    <xf numFmtId="0" fontId="7" fillId="0" borderId="1" xfId="2" applyFont="1" applyFill="1" applyBorder="1" applyAlignment="1"/>
    <xf numFmtId="0" fontId="9" fillId="5" borderId="7" xfId="0" applyFont="1" applyFill="1" applyBorder="1" applyAlignment="1">
      <alignment horizontal="center" vertical="top" wrapText="1"/>
    </xf>
    <xf numFmtId="0" fontId="7" fillId="0" borderId="19" xfId="2" applyFont="1" applyFill="1" applyBorder="1" applyAlignment="1"/>
    <xf numFmtId="0" fontId="6" fillId="8" borderId="25" xfId="2" applyFont="1" applyFill="1" applyBorder="1" applyAlignment="1">
      <alignment wrapText="1"/>
    </xf>
    <xf numFmtId="9" fontId="6" fillId="0" borderId="19" xfId="2" applyNumberFormat="1" applyFont="1" applyFill="1" applyBorder="1" applyAlignment="1">
      <alignment horizontal="right"/>
    </xf>
    <xf numFmtId="0" fontId="6" fillId="7" borderId="26" xfId="2" applyFont="1" applyFill="1" applyBorder="1" applyAlignment="1">
      <alignment wrapText="1"/>
    </xf>
    <xf numFmtId="9" fontId="6" fillId="0" borderId="9" xfId="2" applyNumberFormat="1" applyFont="1" applyFill="1" applyBorder="1" applyAlignment="1">
      <alignment horizontal="right"/>
    </xf>
    <xf numFmtId="0" fontId="10" fillId="6" borderId="0" xfId="0" applyFont="1" applyFill="1" applyBorder="1"/>
    <xf numFmtId="0" fontId="9" fillId="4" borderId="7" xfId="0" applyNumberFormat="1" applyFont="1" applyFill="1" applyBorder="1" applyAlignment="1">
      <alignment horizontal="center" vertical="top" wrapText="1"/>
    </xf>
    <xf numFmtId="0" fontId="10" fillId="8" borderId="0" xfId="0" applyFont="1" applyFill="1"/>
    <xf numFmtId="0" fontId="7" fillId="0" borderId="4" xfId="2" applyFont="1" applyFill="1" applyBorder="1" applyAlignment="1"/>
    <xf numFmtId="0" fontId="6" fillId="7" borderId="25" xfId="2" applyFont="1" applyFill="1" applyBorder="1" applyAlignment="1">
      <alignment wrapText="1"/>
    </xf>
    <xf numFmtId="0" fontId="6" fillId="0" borderId="1" xfId="2" applyNumberFormat="1" applyFont="1" applyFill="1" applyBorder="1" applyAlignment="1"/>
    <xf numFmtId="0" fontId="7" fillId="0" borderId="23" xfId="2" applyFont="1" applyFill="1" applyBorder="1" applyAlignment="1"/>
    <xf numFmtId="0" fontId="7" fillId="0" borderId="20" xfId="2" applyFont="1" applyFill="1" applyBorder="1" applyAlignment="1">
      <alignment wrapText="1"/>
    </xf>
    <xf numFmtId="0" fontId="7" fillId="0" borderId="22" xfId="2" applyFont="1" applyFill="1" applyBorder="1" applyAlignment="1">
      <alignment horizontal="right"/>
    </xf>
    <xf numFmtId="2" fontId="11" fillId="0" borderId="17" xfId="0" applyNumberFormat="1" applyFont="1" applyFill="1" applyBorder="1" applyAlignment="1">
      <alignment horizontal="right"/>
    </xf>
    <xf numFmtId="2" fontId="7" fillId="0" borderId="17" xfId="2" applyNumberFormat="1" applyFont="1" applyFill="1" applyBorder="1" applyAlignment="1">
      <alignment horizontal="right"/>
    </xf>
    <xf numFmtId="2" fontId="11" fillId="0" borderId="29" xfId="0" applyNumberFormat="1" applyFont="1" applyFill="1" applyBorder="1" applyAlignment="1">
      <alignment horizontal="right"/>
    </xf>
    <xf numFmtId="0" fontId="7" fillId="0" borderId="26" xfId="2" applyNumberFormat="1" applyFont="1" applyFill="1" applyBorder="1" applyAlignment="1"/>
    <xf numFmtId="0" fontId="7" fillId="0" borderId="1" xfId="2" applyNumberFormat="1" applyFont="1" applyFill="1" applyBorder="1" applyAlignment="1"/>
    <xf numFmtId="0" fontId="7" fillId="0" borderId="9" xfId="2" applyNumberFormat="1" applyFont="1" applyFill="1" applyBorder="1" applyAlignment="1"/>
    <xf numFmtId="0" fontId="6" fillId="8" borderId="26" xfId="2" applyFont="1" applyFill="1" applyBorder="1" applyAlignment="1">
      <alignment wrapText="1"/>
    </xf>
    <xf numFmtId="167" fontId="8" fillId="0" borderId="4" xfId="0" applyNumberFormat="1" applyFont="1" applyFill="1" applyBorder="1" applyAlignment="1">
      <alignment wrapText="1"/>
    </xf>
    <xf numFmtId="0" fontId="6" fillId="6" borderId="26" xfId="2" applyFont="1" applyFill="1" applyBorder="1" applyAlignment="1">
      <alignment wrapText="1"/>
    </xf>
    <xf numFmtId="0" fontId="6" fillId="0" borderId="26" xfId="2" applyFont="1" applyFill="1" applyBorder="1" applyAlignment="1">
      <alignment horizontal="left"/>
    </xf>
    <xf numFmtId="0" fontId="6" fillId="0" borderId="9" xfId="2" applyNumberFormat="1" applyFont="1" applyFill="1" applyBorder="1" applyAlignment="1">
      <alignment wrapText="1"/>
    </xf>
    <xf numFmtId="0" fontId="7" fillId="0" borderId="23" xfId="2" applyNumberFormat="1" applyFont="1" applyFill="1" applyBorder="1" applyAlignment="1"/>
    <xf numFmtId="0" fontId="6" fillId="0" borderId="21" xfId="2" applyFont="1" applyFill="1" applyBorder="1" applyAlignment="1">
      <alignment wrapText="1"/>
    </xf>
    <xf numFmtId="2" fontId="7" fillId="0" borderId="17" xfId="2" applyNumberFormat="1" applyFont="1" applyFill="1" applyBorder="1" applyAlignment="1">
      <alignment horizontal="center"/>
    </xf>
    <xf numFmtId="2" fontId="7" fillId="0" borderId="29" xfId="2" applyNumberFormat="1" applyFont="1" applyFill="1" applyBorder="1" applyAlignment="1">
      <alignment horizontal="center"/>
    </xf>
    <xf numFmtId="0" fontId="6" fillId="0" borderId="6" xfId="2" applyFont="1" applyFill="1" applyBorder="1" applyAlignment="1"/>
    <xf numFmtId="0" fontId="6" fillId="0" borderId="26" xfId="2" applyFont="1" applyFill="1" applyBorder="1" applyAlignment="1"/>
    <xf numFmtId="0" fontId="7" fillId="0" borderId="24" xfId="2" applyNumberFormat="1" applyFont="1" applyFill="1" applyBorder="1" applyAlignment="1"/>
    <xf numFmtId="0" fontId="6" fillId="0" borderId="9" xfId="2" applyFont="1" applyFill="1" applyBorder="1" applyAlignment="1"/>
    <xf numFmtId="165" fontId="6" fillId="0" borderId="8" xfId="2" applyNumberFormat="1" applyFont="1" applyFill="1" applyBorder="1" applyAlignment="1">
      <alignment horizontal="right"/>
    </xf>
    <xf numFmtId="0" fontId="7" fillId="0" borderId="9" xfId="2" applyFont="1" applyFill="1" applyBorder="1" applyAlignment="1"/>
    <xf numFmtId="0" fontId="7" fillId="0" borderId="12" xfId="2" applyFont="1" applyFill="1" applyBorder="1" applyAlignment="1"/>
    <xf numFmtId="2" fontId="11" fillId="0" borderId="17" xfId="4" applyNumberFormat="1" applyFont="1" applyFill="1" applyBorder="1" applyAlignment="1">
      <alignment horizontal="right"/>
    </xf>
    <xf numFmtId="2" fontId="6" fillId="0" borderId="17" xfId="2" applyNumberFormat="1" applyFont="1" applyFill="1" applyBorder="1" applyAlignment="1">
      <alignment horizontal="right"/>
    </xf>
    <xf numFmtId="0" fontId="31" fillId="0" borderId="26" xfId="2" applyFont="1" applyFill="1" applyBorder="1" applyAlignment="1">
      <alignment wrapText="1"/>
    </xf>
    <xf numFmtId="0" fontId="10" fillId="6" borderId="0" xfId="0" quotePrefix="1" applyFont="1" applyFill="1"/>
    <xf numFmtId="0" fontId="6" fillId="0" borderId="1" xfId="2" applyFont="1" applyBorder="1" applyAlignment="1"/>
    <xf numFmtId="0" fontId="10" fillId="6" borderId="3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 vertical="top"/>
    </xf>
    <xf numFmtId="0" fontId="6" fillId="0" borderId="1" xfId="2" quotePrefix="1" applyFont="1" applyFill="1" applyBorder="1" applyAlignment="1">
      <alignment wrapText="1"/>
    </xf>
    <xf numFmtId="0" fontId="6" fillId="0" borderId="6" xfId="2" applyNumberFormat="1" applyFont="1" applyFill="1" applyBorder="1" applyAlignment="1"/>
    <xf numFmtId="0" fontId="36" fillId="0" borderId="26" xfId="2" applyFont="1" applyFill="1" applyBorder="1" applyAlignment="1"/>
    <xf numFmtId="165" fontId="6" fillId="0" borderId="5" xfId="2" applyNumberFormat="1" applyFont="1" applyFill="1" applyBorder="1" applyAlignment="1">
      <alignment horizontal="right"/>
    </xf>
    <xf numFmtId="0" fontId="10" fillId="7" borderId="0" xfId="0" applyFont="1" applyFill="1"/>
    <xf numFmtId="0" fontId="6" fillId="0" borderId="22" xfId="2" applyFont="1" applyFill="1" applyBorder="1" applyAlignment="1">
      <alignment horizontal="right"/>
    </xf>
    <xf numFmtId="167" fontId="11" fillId="0" borderId="17" xfId="4" applyNumberFormat="1" applyFont="1" applyFill="1" applyBorder="1" applyAlignment="1">
      <alignment horizontal="right"/>
    </xf>
    <xf numFmtId="9" fontId="6" fillId="0" borderId="17" xfId="2" applyNumberFormat="1" applyFont="1" applyFill="1" applyBorder="1" applyAlignment="1">
      <alignment horizontal="right"/>
    </xf>
    <xf numFmtId="167" fontId="11" fillId="0" borderId="17" xfId="0" applyNumberFormat="1" applyFont="1" applyFill="1" applyBorder="1" applyAlignment="1">
      <alignment horizontal="right"/>
    </xf>
    <xf numFmtId="167" fontId="11" fillId="0" borderId="29" xfId="0" applyNumberFormat="1" applyFont="1" applyFill="1" applyBorder="1" applyAlignment="1">
      <alignment horizontal="right"/>
    </xf>
    <xf numFmtId="0" fontId="6" fillId="7" borderId="6" xfId="2" applyFont="1" applyFill="1" applyBorder="1" applyAlignment="1">
      <alignment wrapText="1"/>
    </xf>
    <xf numFmtId="0" fontId="9" fillId="5" borderId="7" xfId="0" applyNumberFormat="1" applyFont="1" applyFill="1" applyBorder="1" applyAlignment="1">
      <alignment horizontal="center" vertical="top" wrapText="1"/>
    </xf>
    <xf numFmtId="0" fontId="36" fillId="0" borderId="1" xfId="2" applyFont="1" applyFill="1" applyBorder="1" applyAlignment="1"/>
    <xf numFmtId="0" fontId="7" fillId="0" borderId="14" xfId="2" applyFont="1" applyFill="1" applyBorder="1" applyAlignment="1"/>
    <xf numFmtId="168" fontId="11" fillId="0" borderId="17" xfId="4" applyNumberFormat="1" applyFont="1" applyFill="1" applyBorder="1" applyAlignment="1">
      <alignment horizontal="right"/>
    </xf>
    <xf numFmtId="167" fontId="11" fillId="0" borderId="29" xfId="4" applyNumberFormat="1" applyFont="1" applyFill="1" applyBorder="1" applyAlignment="1">
      <alignment horizontal="right"/>
    </xf>
    <xf numFmtId="0" fontId="9" fillId="2" borderId="7" xfId="0" applyFont="1" applyFill="1" applyBorder="1" applyAlignment="1">
      <alignment vertical="top" wrapText="1"/>
    </xf>
    <xf numFmtId="0" fontId="7" fillId="0" borderId="24" xfId="2" applyFont="1" applyFill="1" applyBorder="1" applyAlignment="1"/>
    <xf numFmtId="0" fontId="6" fillId="0" borderId="24" xfId="2" applyFont="1" applyFill="1" applyBorder="1" applyAlignment="1"/>
    <xf numFmtId="165" fontId="6" fillId="0" borderId="10" xfId="2" applyNumberFormat="1" applyFont="1" applyFill="1" applyBorder="1" applyAlignment="1">
      <alignment wrapText="1"/>
    </xf>
    <xf numFmtId="167" fontId="8" fillId="0" borderId="19" xfId="4" applyNumberFormat="1" applyFont="1" applyFill="1" applyBorder="1" applyAlignment="1">
      <alignment horizontal="right"/>
    </xf>
    <xf numFmtId="167" fontId="8" fillId="0" borderId="19" xfId="0" applyNumberFormat="1" applyFont="1" applyFill="1" applyBorder="1" applyAlignment="1">
      <alignment horizontal="right"/>
    </xf>
    <xf numFmtId="0" fontId="7" fillId="0" borderId="45" xfId="2" applyFont="1" applyFill="1" applyBorder="1" applyAlignment="1"/>
    <xf numFmtId="0" fontId="6" fillId="0" borderId="67" xfId="2" applyFont="1" applyFill="1" applyBorder="1" applyAlignment="1">
      <alignment horizontal="right"/>
    </xf>
    <xf numFmtId="167" fontId="7" fillId="0" borderId="16" xfId="2" applyNumberFormat="1" applyFont="1" applyFill="1" applyBorder="1" applyAlignment="1">
      <alignment horizontal="right"/>
    </xf>
    <xf numFmtId="9" fontId="6" fillId="0" borderId="16" xfId="2" applyNumberFormat="1" applyFont="1" applyFill="1" applyBorder="1" applyAlignment="1">
      <alignment horizontal="right"/>
    </xf>
    <xf numFmtId="167" fontId="11" fillId="0" borderId="16" xfId="0" applyNumberFormat="1" applyFont="1" applyFill="1" applyBorder="1" applyAlignment="1">
      <alignment horizontal="right"/>
    </xf>
    <xf numFmtId="0" fontId="9" fillId="2" borderId="7" xfId="0" applyNumberFormat="1" applyFont="1" applyFill="1" applyBorder="1" applyAlignment="1">
      <alignment horizontal="center" vertical="top" wrapText="1"/>
    </xf>
    <xf numFmtId="0" fontId="6" fillId="0" borderId="25" xfId="2" applyFont="1" applyFill="1" applyBorder="1" applyAlignment="1"/>
    <xf numFmtId="0" fontId="9" fillId="2" borderId="0" xfId="0" applyNumberFormat="1" applyFont="1" applyFill="1" applyBorder="1" applyAlignment="1">
      <alignment horizontal="center" vertical="top" wrapText="1"/>
    </xf>
    <xf numFmtId="0" fontId="7" fillId="0" borderId="9" xfId="2" applyFont="1" applyFill="1" applyBorder="1" applyAlignment="1">
      <alignment wrapText="1"/>
    </xf>
    <xf numFmtId="0" fontId="7" fillId="0" borderId="11" xfId="2" applyFont="1" applyFill="1" applyBorder="1" applyAlignment="1"/>
    <xf numFmtId="0" fontId="6" fillId="0" borderId="23" xfId="2" applyFont="1" applyFill="1" applyBorder="1" applyAlignment="1"/>
    <xf numFmtId="0" fontId="6" fillId="0" borderId="13" xfId="2" applyFont="1" applyFill="1" applyBorder="1" applyAlignment="1">
      <alignment horizontal="right"/>
    </xf>
    <xf numFmtId="0" fontId="6" fillId="0" borderId="20" xfId="2" applyFont="1" applyFill="1" applyBorder="1" applyAlignment="1">
      <alignment wrapText="1"/>
    </xf>
    <xf numFmtId="167" fontId="11" fillId="0" borderId="11" xfId="4" applyNumberFormat="1" applyFont="1" applyFill="1" applyBorder="1" applyAlignment="1">
      <alignment horizontal="right"/>
    </xf>
    <xf numFmtId="9" fontId="6" fillId="0" borderId="20" xfId="2" applyNumberFormat="1" applyFont="1" applyFill="1" applyBorder="1" applyAlignment="1">
      <alignment horizontal="right"/>
    </xf>
    <xf numFmtId="167" fontId="11" fillId="0" borderId="11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11" xfId="0" applyFont="1" applyFill="1" applyBorder="1" applyAlignment="1"/>
    <xf numFmtId="0" fontId="8" fillId="0" borderId="23" xfId="0" applyFont="1" applyFill="1" applyBorder="1" applyAlignment="1"/>
    <xf numFmtId="168" fontId="11" fillId="0" borderId="13" xfId="0" applyNumberFormat="1" applyFont="1" applyFill="1" applyBorder="1" applyAlignment="1">
      <alignment horizontal="left"/>
    </xf>
    <xf numFmtId="168" fontId="11" fillId="0" borderId="11" xfId="0" applyNumberFormat="1" applyFont="1" applyFill="1" applyBorder="1" applyAlignment="1">
      <alignment horizontal="left"/>
    </xf>
    <xf numFmtId="167" fontId="11" fillId="0" borderId="11" xfId="0" applyNumberFormat="1" applyFont="1" applyFill="1" applyBorder="1" applyAlignment="1">
      <alignment horizontal="left"/>
    </xf>
    <xf numFmtId="167" fontId="11" fillId="0" borderId="11" xfId="0" applyNumberFormat="1" applyFont="1" applyFill="1" applyBorder="1" applyAlignment="1">
      <alignment horizontal="center"/>
    </xf>
    <xf numFmtId="0" fontId="8" fillId="0" borderId="0" xfId="0" applyFont="1" applyFill="1" applyBorder="1" applyAlignment="1"/>
    <xf numFmtId="0" fontId="37" fillId="0" borderId="0" xfId="0" applyFont="1" applyFill="1" applyBorder="1" applyAlignment="1"/>
    <xf numFmtId="168" fontId="38" fillId="0" borderId="0" xfId="0" applyNumberFormat="1" applyFont="1" applyFill="1" applyBorder="1" applyAlignment="1">
      <alignment horizontal="left"/>
    </xf>
    <xf numFmtId="168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/>
    </xf>
    <xf numFmtId="0" fontId="8" fillId="0" borderId="0" xfId="0" applyFont="1" applyBorder="1" applyAlignment="1"/>
    <xf numFmtId="168" fontId="11" fillId="0" borderId="0" xfId="0" applyNumberFormat="1" applyFont="1" applyBorder="1" applyAlignment="1">
      <alignment horizontal="left"/>
    </xf>
    <xf numFmtId="167" fontId="11" fillId="0" borderId="0" xfId="0" applyNumberFormat="1" applyFont="1" applyBorder="1" applyAlignment="1">
      <alignment horizontal="left"/>
    </xf>
    <xf numFmtId="0" fontId="34" fillId="11" borderId="26" xfId="2" applyFont="1" applyFill="1" applyBorder="1" applyAlignment="1">
      <alignment wrapText="1"/>
    </xf>
    <xf numFmtId="0" fontId="34" fillId="0" borderId="26" xfId="2" applyFont="1" applyFill="1" applyBorder="1" applyAlignment="1">
      <alignment wrapText="1"/>
    </xf>
    <xf numFmtId="3" fontId="11" fillId="0" borderId="1" xfId="0" applyNumberFormat="1" applyFont="1" applyFill="1" applyBorder="1" applyAlignment="1">
      <alignment horizontal="right"/>
    </xf>
    <xf numFmtId="0" fontId="6" fillId="6" borderId="1" xfId="2" applyNumberFormat="1" applyFont="1" applyFill="1" applyBorder="1" applyAlignment="1">
      <alignment wrapText="1"/>
    </xf>
    <xf numFmtId="0" fontId="10" fillId="9" borderId="1" xfId="0" applyNumberFormat="1" applyFont="1" applyFill="1" applyBorder="1"/>
    <xf numFmtId="3" fontId="7" fillId="0" borderId="1" xfId="2" applyNumberFormat="1" applyFont="1" applyFill="1" applyBorder="1" applyAlignment="1">
      <alignment horizontal="right"/>
    </xf>
    <xf numFmtId="0" fontId="6" fillId="9" borderId="1" xfId="2" applyFont="1" applyFill="1" applyBorder="1" applyAlignment="1">
      <alignment horizontal="right"/>
    </xf>
    <xf numFmtId="0" fontId="7" fillId="0" borderId="1" xfId="2" applyFont="1" applyFill="1" applyBorder="1" applyAlignment="1">
      <alignment horizontal="right"/>
    </xf>
    <xf numFmtId="0" fontId="39" fillId="11" borderId="26" xfId="2" applyFont="1" applyFill="1" applyBorder="1" applyAlignment="1">
      <alignment wrapText="1"/>
    </xf>
    <xf numFmtId="0" fontId="10" fillId="9" borderId="3" xfId="0" applyFont="1" applyFill="1" applyBorder="1" applyAlignment="1">
      <alignment horizontal="center" vertical="top" wrapText="1"/>
    </xf>
    <xf numFmtId="0" fontId="6" fillId="0" borderId="1" xfId="2" applyFont="1" applyFill="1" applyBorder="1" applyAlignment="1">
      <alignment horizontal="right"/>
    </xf>
    <xf numFmtId="0" fontId="10" fillId="9" borderId="1" xfId="0" applyFont="1" applyFill="1" applyBorder="1"/>
    <xf numFmtId="0" fontId="6" fillId="10" borderId="1" xfId="2" applyFont="1" applyFill="1" applyBorder="1" applyAlignment="1">
      <alignment horizontal="right"/>
    </xf>
    <xf numFmtId="0" fontId="34" fillId="11" borderId="6" xfId="2" applyFont="1" applyFill="1" applyBorder="1" applyAlignment="1">
      <alignment wrapText="1"/>
    </xf>
    <xf numFmtId="0" fontId="14" fillId="0" borderId="32" xfId="0" applyFont="1" applyBorder="1" applyAlignment="1"/>
    <xf numFmtId="2" fontId="15" fillId="0" borderId="0" xfId="0" applyNumberFormat="1" applyFont="1"/>
    <xf numFmtId="2" fontId="12" fillId="0" borderId="0" xfId="0" applyNumberFormat="1" applyFont="1"/>
    <xf numFmtId="0" fontId="3" fillId="14" borderId="3" xfId="0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horizontal="right" vertical="top" wrapText="1"/>
    </xf>
    <xf numFmtId="168" fontId="11" fillId="0" borderId="1" xfId="0" applyNumberFormat="1" applyFont="1" applyFill="1" applyBorder="1" applyAlignment="1">
      <alignment horizontal="right"/>
    </xf>
    <xf numFmtId="0" fontId="7" fillId="0" borderId="9" xfId="2" applyFont="1" applyBorder="1" applyAlignment="1">
      <alignment wrapText="1"/>
    </xf>
    <xf numFmtId="0" fontId="31" fillId="6" borderId="9" xfId="2" applyFont="1" applyFill="1" applyBorder="1" applyAlignment="1">
      <alignment horizontal="center" wrapText="1"/>
    </xf>
    <xf numFmtId="0" fontId="31" fillId="6" borderId="4" xfId="2" applyFont="1" applyFill="1" applyBorder="1" applyAlignment="1">
      <alignment horizontal="center" wrapText="1"/>
    </xf>
    <xf numFmtId="0" fontId="31" fillId="6" borderId="9" xfId="2" applyFont="1" applyFill="1" applyBorder="1" applyAlignment="1">
      <alignment horizontal="center" vertical="center" wrapText="1"/>
    </xf>
    <xf numFmtId="0" fontId="31" fillId="6" borderId="4" xfId="2" applyFont="1" applyFill="1" applyBorder="1" applyAlignment="1">
      <alignment horizontal="center" vertical="center" wrapText="1"/>
    </xf>
    <xf numFmtId="0" fontId="10" fillId="6" borderId="9" xfId="2" applyFont="1" applyFill="1" applyBorder="1" applyAlignment="1">
      <alignment horizontal="left" wrapText="1"/>
    </xf>
    <xf numFmtId="0" fontId="31" fillId="6" borderId="4" xfId="2" applyFont="1" applyFill="1" applyBorder="1" applyAlignment="1">
      <alignment horizontal="left" wrapText="1"/>
    </xf>
    <xf numFmtId="0" fontId="31" fillId="6" borderId="19" xfId="2" applyFont="1" applyFill="1" applyBorder="1" applyAlignment="1">
      <alignment horizontal="center" wrapText="1"/>
    </xf>
    <xf numFmtId="0" fontId="7" fillId="6" borderId="30" xfId="2" applyFont="1" applyFill="1" applyBorder="1" applyAlignment="1">
      <alignment horizontal="right" vertical="top"/>
    </xf>
    <xf numFmtId="0" fontId="7" fillId="6" borderId="4" xfId="2" applyFont="1" applyFill="1" applyBorder="1" applyAlignment="1">
      <alignment horizontal="right" vertical="top"/>
    </xf>
    <xf numFmtId="0" fontId="6" fillId="6" borderId="9" xfId="2" applyFont="1" applyFill="1" applyBorder="1" applyAlignment="1">
      <alignment horizontal="center" wrapText="1"/>
    </xf>
    <xf numFmtId="0" fontId="6" fillId="6" borderId="4" xfId="2" applyFont="1" applyFill="1" applyBorder="1" applyAlignment="1">
      <alignment horizontal="center" wrapText="1"/>
    </xf>
    <xf numFmtId="0" fontId="31" fillId="6" borderId="9" xfId="2" applyNumberFormat="1" applyFont="1" applyFill="1" applyBorder="1" applyAlignment="1">
      <alignment horizontal="center"/>
    </xf>
    <xf numFmtId="0" fontId="31" fillId="6" borderId="4" xfId="2" applyNumberFormat="1" applyFont="1" applyFill="1" applyBorder="1" applyAlignment="1">
      <alignment horizontal="center"/>
    </xf>
    <xf numFmtId="0" fontId="36" fillId="6" borderId="9" xfId="2" applyFont="1" applyFill="1" applyBorder="1" applyAlignment="1">
      <alignment horizontal="center"/>
    </xf>
    <xf numFmtId="0" fontId="36" fillId="6" borderId="19" xfId="2" applyFont="1" applyFill="1" applyBorder="1" applyAlignment="1">
      <alignment horizontal="center"/>
    </xf>
    <xf numFmtId="0" fontId="36" fillId="6" borderId="4" xfId="2" applyFont="1" applyFill="1" applyBorder="1" applyAlignment="1">
      <alignment horizontal="center"/>
    </xf>
    <xf numFmtId="0" fontId="36" fillId="6" borderId="9" xfId="2" applyNumberFormat="1" applyFont="1" applyFill="1" applyBorder="1" applyAlignment="1">
      <alignment horizontal="center"/>
    </xf>
    <xf numFmtId="0" fontId="36" fillId="6" borderId="4" xfId="2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9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2" fillId="0" borderId="9" xfId="0" applyFont="1" applyBorder="1" applyAlignment="1">
      <alignment horizontal="right" vertical="center"/>
    </xf>
    <xf numFmtId="0" fontId="12" fillId="0" borderId="19" xfId="0" applyFont="1" applyBorder="1" applyAlignment="1">
      <alignment horizontal="right" vertical="center"/>
    </xf>
    <xf numFmtId="0" fontId="12" fillId="0" borderId="4" xfId="0" applyFont="1" applyBorder="1" applyAlignment="1">
      <alignment horizontal="right" vertical="center"/>
    </xf>
    <xf numFmtId="0" fontId="14" fillId="0" borderId="9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0" fontId="12" fillId="0" borderId="24" xfId="0" applyFont="1" applyBorder="1" applyAlignment="1">
      <alignment horizontal="right" vertical="center"/>
    </xf>
    <xf numFmtId="0" fontId="12" fillId="0" borderId="6" xfId="0" applyFont="1" applyBorder="1" applyAlignment="1">
      <alignment horizontal="right" vertical="center"/>
    </xf>
    <xf numFmtId="1" fontId="12" fillId="0" borderId="9" xfId="0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left" vertical="center"/>
    </xf>
    <xf numFmtId="0" fontId="26" fillId="0" borderId="42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26" fillId="0" borderId="56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7" borderId="42" xfId="0" applyFont="1" applyFill="1" applyBorder="1" applyAlignment="1">
      <alignment horizontal="center" vertical="center" wrapText="1"/>
    </xf>
    <xf numFmtId="0" fontId="29" fillId="7" borderId="15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0" fontId="10" fillId="0" borderId="31" xfId="0" applyFont="1" applyBorder="1" applyAlignment="1">
      <alignment horizontal="right" vertical="center" wrapText="1"/>
    </xf>
    <xf numFmtId="0" fontId="29" fillId="7" borderId="57" xfId="0" applyFont="1" applyFill="1" applyBorder="1" applyAlignment="1">
      <alignment horizontal="center" vertical="center" wrapText="1"/>
    </xf>
    <xf numFmtId="0" fontId="29" fillId="7" borderId="59" xfId="0" applyFont="1" applyFill="1" applyBorder="1" applyAlignment="1">
      <alignment horizontal="center" vertical="center" wrapText="1"/>
    </xf>
    <xf numFmtId="1" fontId="29" fillId="7" borderId="42" xfId="0" applyNumberFormat="1" applyFont="1" applyFill="1" applyBorder="1" applyAlignment="1">
      <alignment horizontal="center" vertical="center" wrapText="1"/>
    </xf>
    <xf numFmtId="1" fontId="29" fillId="7" borderId="15" xfId="0" applyNumberFormat="1" applyFont="1" applyFill="1" applyBorder="1" applyAlignment="1">
      <alignment horizontal="center" vertical="center" wrapText="1"/>
    </xf>
    <xf numFmtId="3" fontId="19" fillId="0" borderId="26" xfId="0" applyNumberFormat="1" applyFont="1" applyBorder="1" applyAlignment="1">
      <alignment horizontal="center" wrapText="1"/>
    </xf>
    <xf numFmtId="3" fontId="19" fillId="0" borderId="8" xfId="0" applyNumberFormat="1" applyFont="1" applyBorder="1" applyAlignment="1">
      <alignment horizontal="center" wrapText="1"/>
    </xf>
    <xf numFmtId="0" fontId="24" fillId="0" borderId="47" xfId="0" applyFont="1" applyBorder="1" applyAlignment="1">
      <alignment horizontal="right"/>
    </xf>
    <xf numFmtId="0" fontId="26" fillId="0" borderId="23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6" fillId="0" borderId="50" xfId="0" applyFont="1" applyBorder="1" applyAlignment="1">
      <alignment horizontal="center" vertical="center" wrapText="1"/>
    </xf>
    <xf numFmtId="0" fontId="26" fillId="0" borderId="51" xfId="0" applyFont="1" applyBorder="1" applyAlignment="1">
      <alignment horizontal="center" vertical="center" wrapText="1"/>
    </xf>
    <xf numFmtId="0" fontId="26" fillId="0" borderId="48" xfId="0" applyFont="1" applyBorder="1" applyAlignment="1">
      <alignment horizontal="center" vertical="center" wrapText="1"/>
    </xf>
    <xf numFmtId="0" fontId="26" fillId="0" borderId="52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49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26" fillId="0" borderId="46" xfId="0" applyFont="1" applyBorder="1" applyAlignment="1">
      <alignment horizontal="center" vertical="center" wrapText="1"/>
    </xf>
  </cellXfs>
  <cellStyles count="5">
    <cellStyle name="Обычный" xfId="0" builtinId="0"/>
    <cellStyle name="Обычный 2" xfId="2" xr:uid="{00000000-0005-0000-0000-000001000000}"/>
    <cellStyle name="Финансовый" xfId="1" builtinId="3"/>
    <cellStyle name="Финансовый 2" xfId="3" xr:uid="{00000000-0005-0000-0000-000003000000}"/>
    <cellStyle name="Финансовый 2 2" xfId="4" xr:uid="{00000000-0005-0000-0000-000004000000}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481965</xdr:colOff>
      <xdr:row>3</xdr:row>
      <xdr:rowOff>198120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167765" y="83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1</xdr:col>
      <xdr:colOff>481965</xdr:colOff>
      <xdr:row>4</xdr:row>
      <xdr:rowOff>198120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167765" y="102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1</xdr:col>
      <xdr:colOff>481965</xdr:colOff>
      <xdr:row>5</xdr:row>
      <xdr:rowOff>198120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1167765" y="12268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1</xdr:col>
      <xdr:colOff>481965</xdr:colOff>
      <xdr:row>5</xdr:row>
      <xdr:rowOff>198120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167765" y="12268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1</xdr:col>
      <xdr:colOff>481965</xdr:colOff>
      <xdr:row>4</xdr:row>
      <xdr:rowOff>198120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1167765" y="102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Telegram%20Desktop/aren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РЕНДА 11.2020"/>
      <sheetName val="Лист2"/>
      <sheetName val="суб абон"/>
      <sheetName val="Конторы"/>
      <sheetName val="Пустографка"/>
      <sheetName val="Лист1"/>
      <sheetName val="ЦТП, ЦТП-Фолюш, КНС, гараж"/>
    </sheetNames>
    <sheetDataSet>
      <sheetData sheetId="0"/>
      <sheetData sheetId="1"/>
      <sheetData sheetId="2">
        <row r="64">
          <cell r="D64">
            <v>823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47"/>
  <sheetViews>
    <sheetView topLeftCell="A34" zoomScale="85" zoomScaleNormal="85" workbookViewId="0">
      <selection activeCell="D53" sqref="D53"/>
    </sheetView>
  </sheetViews>
  <sheetFormatPr defaultColWidth="19.7109375" defaultRowHeight="16.899999999999999" customHeight="1" x14ac:dyDescent="0.25"/>
  <cols>
    <col min="1" max="1" width="11.85546875" style="34" customWidth="1"/>
    <col min="2" max="2" width="20.5703125" style="34" customWidth="1"/>
    <col min="3" max="3" width="31.5703125" style="34" customWidth="1"/>
    <col min="4" max="4" width="14.42578125" style="34" customWidth="1"/>
    <col min="5" max="5" width="11.140625" style="34" customWidth="1"/>
    <col min="6" max="6" width="12.28515625" style="34" customWidth="1"/>
    <col min="7" max="7" width="16.7109375" style="34" customWidth="1"/>
    <col min="8" max="8" width="13.5703125" style="34" customWidth="1"/>
    <col min="9" max="9" width="11.28515625" style="34" customWidth="1"/>
    <col min="10" max="10" width="14.7109375" style="34" customWidth="1"/>
    <col min="11" max="16384" width="19.7109375" style="34"/>
  </cols>
  <sheetData>
    <row r="1" spans="1:16" ht="16.899999999999999" customHeight="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6</v>
      </c>
      <c r="I1" s="34" t="s">
        <v>7</v>
      </c>
      <c r="J1" s="34" t="s">
        <v>8</v>
      </c>
      <c r="K1" s="311" t="s">
        <v>9</v>
      </c>
    </row>
    <row r="2" spans="1:16" ht="32.450000000000003" customHeight="1" x14ac:dyDescent="0.25">
      <c r="A2" s="158" t="s">
        <v>675</v>
      </c>
      <c r="B2" s="21" t="s">
        <v>10</v>
      </c>
      <c r="C2" s="159" t="s">
        <v>11</v>
      </c>
      <c r="D2" s="160" t="s">
        <v>12</v>
      </c>
      <c r="E2" s="160" t="s">
        <v>13</v>
      </c>
      <c r="F2" s="160" t="s">
        <v>14</v>
      </c>
      <c r="G2" s="159" t="s">
        <v>15</v>
      </c>
      <c r="H2" s="159" t="s">
        <v>16</v>
      </c>
      <c r="I2" s="159" t="s">
        <v>17</v>
      </c>
      <c r="J2" s="159" t="s">
        <v>18</v>
      </c>
      <c r="K2" s="307"/>
    </row>
    <row r="3" spans="1:16" ht="16.899999999999999" customHeight="1" x14ac:dyDescent="0.25">
      <c r="B3" s="161"/>
      <c r="C3" s="240" t="s">
        <v>19</v>
      </c>
      <c r="D3" s="161"/>
      <c r="E3" s="312"/>
      <c r="F3" s="21"/>
      <c r="G3" s="21"/>
      <c r="H3" s="21">
        <v>20.41</v>
      </c>
      <c r="I3" s="21"/>
      <c r="J3" s="313"/>
      <c r="K3" s="314">
        <v>57715</v>
      </c>
      <c r="M3" s="314"/>
    </row>
    <row r="4" spans="1:16" ht="16.899999999999999" customHeight="1" x14ac:dyDescent="0.25">
      <c r="B4" s="241"/>
      <c r="C4" s="242" t="s">
        <v>667</v>
      </c>
      <c r="D4" s="312"/>
      <c r="E4" s="315"/>
      <c r="F4" s="15"/>
      <c r="G4" s="15"/>
      <c r="H4" s="15"/>
      <c r="I4" s="316"/>
      <c r="J4" s="317"/>
      <c r="K4" s="314">
        <v>413130</v>
      </c>
      <c r="L4" s="314"/>
      <c r="M4" s="318"/>
    </row>
    <row r="5" spans="1:16" ht="16.899999999999999" customHeight="1" x14ac:dyDescent="0.25">
      <c r="A5" s="34">
        <v>2605</v>
      </c>
      <c r="B5" s="15">
        <v>4</v>
      </c>
      <c r="C5" s="243" t="s">
        <v>20</v>
      </c>
      <c r="D5" s="161"/>
      <c r="E5" s="256">
        <v>0.33048</v>
      </c>
      <c r="F5" s="15">
        <v>1.1080239999999999</v>
      </c>
      <c r="G5" s="17">
        <f t="shared" ref="G5:G29" si="0">ROUND(D5*E5*F5,2)</f>
        <v>0</v>
      </c>
      <c r="H5" s="18">
        <v>0.2</v>
      </c>
      <c r="I5" s="19">
        <f>ROUND(G5*H5,2)</f>
        <v>0</v>
      </c>
      <c r="J5" s="19">
        <f>G5+I5</f>
        <v>0</v>
      </c>
      <c r="K5" s="319">
        <v>509690</v>
      </c>
      <c r="L5" s="320"/>
    </row>
    <row r="6" spans="1:16" ht="16.899999999999999" customHeight="1" x14ac:dyDescent="0.25">
      <c r="A6" s="34">
        <v>2705</v>
      </c>
      <c r="B6" s="21"/>
      <c r="C6" s="244" t="s">
        <v>21</v>
      </c>
      <c r="D6" s="161"/>
      <c r="E6" s="256">
        <v>0.33048</v>
      </c>
      <c r="F6" s="21">
        <v>1.1080239999999999</v>
      </c>
      <c r="G6" s="17">
        <f t="shared" si="0"/>
        <v>0</v>
      </c>
      <c r="H6" s="18">
        <v>0.2</v>
      </c>
      <c r="I6" s="19">
        <f>ROUND(G6*H6,2)</f>
        <v>0</v>
      </c>
      <c r="J6" s="19">
        <f t="shared" ref="J6:J66" si="1">G6+I6</f>
        <v>0</v>
      </c>
      <c r="K6" s="319">
        <v>2143514</v>
      </c>
      <c r="L6" s="320"/>
    </row>
    <row r="7" spans="1:16" ht="16.899999999999999" customHeight="1" x14ac:dyDescent="0.25">
      <c r="A7" s="162">
        <v>2605</v>
      </c>
      <c r="B7" s="21"/>
      <c r="C7" s="244" t="s">
        <v>22</v>
      </c>
      <c r="D7" s="154"/>
      <c r="E7" s="256">
        <v>0.33048</v>
      </c>
      <c r="F7" s="21">
        <v>1.1080239999999999</v>
      </c>
      <c r="G7" s="17">
        <f t="shared" si="0"/>
        <v>0</v>
      </c>
      <c r="H7" s="18">
        <v>0.2</v>
      </c>
      <c r="I7" s="19">
        <f>ROUND(G7*H7,2)</f>
        <v>0</v>
      </c>
      <c r="J7" s="264">
        <f>G7+I7</f>
        <v>0</v>
      </c>
      <c r="K7" s="319">
        <v>451809</v>
      </c>
      <c r="L7" s="321"/>
      <c r="M7" s="322"/>
      <c r="N7" s="322"/>
      <c r="O7" s="322"/>
      <c r="P7" s="322"/>
    </row>
    <row r="8" spans="1:16" ht="16.899999999999999" customHeight="1" x14ac:dyDescent="0.25">
      <c r="A8" s="162">
        <v>2705</v>
      </c>
      <c r="B8" s="28"/>
      <c r="C8" s="245" t="s">
        <v>23</v>
      </c>
      <c r="D8" s="161"/>
      <c r="E8" s="256">
        <v>0.33048</v>
      </c>
      <c r="F8" s="21">
        <v>1.1080239999999999</v>
      </c>
      <c r="G8" s="17">
        <f t="shared" si="0"/>
        <v>0</v>
      </c>
      <c r="H8" s="18">
        <v>0.2</v>
      </c>
      <c r="I8" s="19">
        <f t="shared" ref="I8:I26" si="2">ROUND(G8*H8,2)</f>
        <v>0</v>
      </c>
      <c r="J8" s="264">
        <f>G8+I8</f>
        <v>0</v>
      </c>
      <c r="K8" s="319">
        <v>710124</v>
      </c>
      <c r="L8" s="321"/>
      <c r="M8" s="322"/>
      <c r="N8" s="322"/>
      <c r="O8" s="322"/>
      <c r="P8" s="322"/>
    </row>
    <row r="9" spans="1:16" ht="16.899999999999999" customHeight="1" x14ac:dyDescent="0.25">
      <c r="A9" s="162">
        <v>2706</v>
      </c>
      <c r="B9" s="28"/>
      <c r="C9" s="245" t="s">
        <v>24</v>
      </c>
      <c r="D9" s="161"/>
      <c r="E9" s="256">
        <v>0.27273999999999998</v>
      </c>
      <c r="F9" s="21">
        <v>1.1080239999999999</v>
      </c>
      <c r="G9" s="17">
        <f t="shared" si="0"/>
        <v>0</v>
      </c>
      <c r="H9" s="18">
        <v>0.2</v>
      </c>
      <c r="I9" s="19">
        <f t="shared" si="2"/>
        <v>0</v>
      </c>
      <c r="J9" s="19">
        <f t="shared" si="1"/>
        <v>0</v>
      </c>
      <c r="K9" s="319">
        <v>544167</v>
      </c>
      <c r="L9" s="320"/>
      <c r="M9" s="322"/>
      <c r="N9" s="322"/>
      <c r="O9" s="322"/>
      <c r="P9" s="322"/>
    </row>
    <row r="10" spans="1:16" ht="16.899999999999999" customHeight="1" x14ac:dyDescent="0.25">
      <c r="A10" s="162">
        <v>2705</v>
      </c>
      <c r="B10" s="28"/>
      <c r="C10" s="245" t="s">
        <v>25</v>
      </c>
      <c r="D10" s="154"/>
      <c r="E10" s="256">
        <v>0.33048</v>
      </c>
      <c r="F10" s="21">
        <v>1.1080239999999999</v>
      </c>
      <c r="G10" s="17">
        <f t="shared" si="0"/>
        <v>0</v>
      </c>
      <c r="H10" s="18">
        <v>0.2</v>
      </c>
      <c r="I10" s="19">
        <f t="shared" si="2"/>
        <v>0</v>
      </c>
      <c r="J10" s="19">
        <f>G10+I10</f>
        <v>0</v>
      </c>
      <c r="K10" s="319">
        <v>357718</v>
      </c>
      <c r="L10" s="320"/>
    </row>
    <row r="11" spans="1:16" ht="16.899999999999999" customHeight="1" x14ac:dyDescent="0.25">
      <c r="A11" s="162">
        <v>2705</v>
      </c>
      <c r="B11" s="28"/>
      <c r="C11" s="245" t="s">
        <v>26</v>
      </c>
      <c r="D11" s="161"/>
      <c r="E11" s="256">
        <v>0.33048</v>
      </c>
      <c r="F11" s="21">
        <v>1.1080239999999999</v>
      </c>
      <c r="G11" s="17">
        <f t="shared" si="0"/>
        <v>0</v>
      </c>
      <c r="H11" s="18">
        <v>0.2</v>
      </c>
      <c r="I11" s="19">
        <f t="shared" si="2"/>
        <v>0</v>
      </c>
      <c r="J11" s="264">
        <f>G11+I11</f>
        <v>0</v>
      </c>
      <c r="K11" s="319">
        <v>2109529</v>
      </c>
      <c r="L11" s="320"/>
    </row>
    <row r="12" spans="1:16" ht="16.899999999999999" customHeight="1" x14ac:dyDescent="0.25">
      <c r="A12" s="162">
        <v>2705</v>
      </c>
      <c r="B12" s="21"/>
      <c r="C12" s="246" t="s">
        <v>27</v>
      </c>
      <c r="D12" s="161"/>
      <c r="E12" s="256">
        <v>0.33048</v>
      </c>
      <c r="F12" s="21">
        <v>1.1080239999999999</v>
      </c>
      <c r="G12" s="17">
        <f t="shared" si="0"/>
        <v>0</v>
      </c>
      <c r="H12" s="18">
        <v>0.2</v>
      </c>
      <c r="I12" s="19">
        <f t="shared" si="2"/>
        <v>0</v>
      </c>
      <c r="J12" s="19">
        <f>G12+I12</f>
        <v>0</v>
      </c>
      <c r="K12" s="319">
        <v>496820</v>
      </c>
      <c r="L12" s="320"/>
    </row>
    <row r="13" spans="1:16" ht="16.899999999999999" customHeight="1" x14ac:dyDescent="0.25">
      <c r="A13" s="162"/>
      <c r="B13" s="28"/>
      <c r="C13" s="245" t="s">
        <v>28</v>
      </c>
      <c r="D13" s="161"/>
      <c r="E13" s="256">
        <v>0.33048</v>
      </c>
      <c r="F13" s="21">
        <v>1.1080239999999999</v>
      </c>
      <c r="G13" s="17">
        <f t="shared" si="0"/>
        <v>0</v>
      </c>
      <c r="H13" s="18">
        <v>0.2</v>
      </c>
      <c r="I13" s="19">
        <f t="shared" si="2"/>
        <v>0</v>
      </c>
      <c r="J13" s="264">
        <f>G13+I13</f>
        <v>0</v>
      </c>
      <c r="K13" s="319">
        <v>2109924</v>
      </c>
      <c r="L13" s="320"/>
    </row>
    <row r="14" spans="1:16" ht="16.899999999999999" customHeight="1" x14ac:dyDescent="0.25">
      <c r="A14" s="162"/>
      <c r="B14" s="28"/>
      <c r="C14" s="246" t="s">
        <v>29</v>
      </c>
      <c r="D14" s="154"/>
      <c r="E14" s="265">
        <v>0.15176999999999999</v>
      </c>
      <c r="F14" s="21">
        <v>1.1080239999999999</v>
      </c>
      <c r="G14" s="17">
        <f t="shared" si="0"/>
        <v>0</v>
      </c>
      <c r="H14" s="18">
        <v>0.2</v>
      </c>
      <c r="I14" s="19">
        <f t="shared" si="2"/>
        <v>0</v>
      </c>
      <c r="J14" s="19">
        <f>G14+I14</f>
        <v>0</v>
      </c>
      <c r="K14" s="319">
        <v>496739</v>
      </c>
      <c r="L14" s="320"/>
    </row>
    <row r="15" spans="1:16" ht="16.899999999999999" customHeight="1" x14ac:dyDescent="0.25">
      <c r="A15" s="162">
        <v>2605</v>
      </c>
      <c r="B15" s="28"/>
      <c r="C15" s="245" t="s">
        <v>30</v>
      </c>
      <c r="D15" s="161"/>
      <c r="E15" s="256">
        <v>0.33048</v>
      </c>
      <c r="F15" s="21">
        <v>1.1080239999999999</v>
      </c>
      <c r="G15" s="17">
        <f t="shared" si="0"/>
        <v>0</v>
      </c>
      <c r="H15" s="18">
        <v>0.2</v>
      </c>
      <c r="I15" s="19">
        <f t="shared" si="2"/>
        <v>0</v>
      </c>
      <c r="J15" s="19">
        <f t="shared" si="1"/>
        <v>0</v>
      </c>
      <c r="K15" s="319">
        <v>218641</v>
      </c>
      <c r="L15" s="320"/>
    </row>
    <row r="16" spans="1:16" ht="16.899999999999999" customHeight="1" x14ac:dyDescent="0.25">
      <c r="A16" s="162">
        <v>2702</v>
      </c>
      <c r="B16" s="3"/>
      <c r="C16" s="246" t="s">
        <v>31</v>
      </c>
      <c r="D16" s="161"/>
      <c r="E16" s="256">
        <v>0.24295</v>
      </c>
      <c r="F16" s="21">
        <v>1.1080239999999999</v>
      </c>
      <c r="G16" s="17">
        <f t="shared" si="0"/>
        <v>0</v>
      </c>
      <c r="H16" s="266">
        <v>0.2</v>
      </c>
      <c r="I16" s="19">
        <f t="shared" si="2"/>
        <v>0</v>
      </c>
      <c r="J16" s="19">
        <f t="shared" si="1"/>
        <v>0</v>
      </c>
      <c r="K16" s="319">
        <v>474151</v>
      </c>
      <c r="L16" s="320"/>
    </row>
    <row r="17" spans="1:16" ht="16.899999999999999" customHeight="1" x14ac:dyDescent="0.25">
      <c r="A17" s="162">
        <v>2605</v>
      </c>
      <c r="B17" s="21"/>
      <c r="C17" s="246" t="s">
        <v>32</v>
      </c>
      <c r="D17" s="161"/>
      <c r="E17" s="256">
        <v>0.33048</v>
      </c>
      <c r="F17" s="21">
        <v>1.1080239999999999</v>
      </c>
      <c r="G17" s="17">
        <f t="shared" si="0"/>
        <v>0</v>
      </c>
      <c r="H17" s="153">
        <v>0.2</v>
      </c>
      <c r="I17" s="19">
        <f t="shared" si="2"/>
        <v>0</v>
      </c>
      <c r="J17" s="19">
        <f t="shared" si="1"/>
        <v>0</v>
      </c>
      <c r="K17" s="323">
        <v>1185245438830</v>
      </c>
      <c r="L17" s="320"/>
    </row>
    <row r="18" spans="1:16" ht="16.899999999999999" customHeight="1" x14ac:dyDescent="0.25">
      <c r="A18" s="163" t="s">
        <v>33</v>
      </c>
      <c r="B18" s="21"/>
      <c r="C18" s="246" t="s">
        <v>34</v>
      </c>
      <c r="D18" s="154"/>
      <c r="E18" s="256">
        <v>0.33048</v>
      </c>
      <c r="F18" s="21">
        <v>1.1080239999999999</v>
      </c>
      <c r="G18" s="17">
        <f t="shared" si="0"/>
        <v>0</v>
      </c>
      <c r="H18" s="153">
        <v>0.2</v>
      </c>
      <c r="I18" s="19">
        <f t="shared" si="2"/>
        <v>0</v>
      </c>
      <c r="J18" s="19">
        <f t="shared" si="1"/>
        <v>0</v>
      </c>
      <c r="K18" s="324">
        <v>83524</v>
      </c>
      <c r="L18" s="320"/>
    </row>
    <row r="19" spans="1:16" ht="16.899999999999999" customHeight="1" x14ac:dyDescent="0.25">
      <c r="A19" s="163"/>
      <c r="B19" s="21"/>
      <c r="C19" s="246" t="s">
        <v>35</v>
      </c>
      <c r="D19" s="161"/>
      <c r="E19" s="256">
        <v>0.33048</v>
      </c>
      <c r="F19" s="21">
        <v>1.1080239999999999</v>
      </c>
      <c r="G19" s="17">
        <f t="shared" si="0"/>
        <v>0</v>
      </c>
      <c r="H19" s="153">
        <v>0.2</v>
      </c>
      <c r="I19" s="19">
        <f t="shared" si="2"/>
        <v>0</v>
      </c>
      <c r="J19" s="19">
        <f t="shared" si="1"/>
        <v>0</v>
      </c>
      <c r="K19" s="319">
        <v>671060</v>
      </c>
      <c r="L19" s="320"/>
    </row>
    <row r="20" spans="1:16" ht="16.899999999999999" customHeight="1" x14ac:dyDescent="0.25">
      <c r="A20" s="163" t="s">
        <v>33</v>
      </c>
      <c r="B20" s="21"/>
      <c r="C20" s="246" t="s">
        <v>34</v>
      </c>
      <c r="D20" s="154"/>
      <c r="E20" s="256">
        <v>0.33048</v>
      </c>
      <c r="F20" s="21">
        <v>1.1080239999999999</v>
      </c>
      <c r="G20" s="17">
        <f t="shared" si="0"/>
        <v>0</v>
      </c>
      <c r="H20" s="153">
        <v>0.2</v>
      </c>
      <c r="I20" s="19">
        <f t="shared" si="2"/>
        <v>0</v>
      </c>
      <c r="J20" s="19">
        <f t="shared" si="1"/>
        <v>0</v>
      </c>
      <c r="K20" s="319">
        <v>443738</v>
      </c>
      <c r="L20" s="320"/>
    </row>
    <row r="21" spans="1:16" ht="16.899999999999999" customHeight="1" x14ac:dyDescent="0.25">
      <c r="A21" s="163"/>
      <c r="B21" s="21"/>
      <c r="C21" s="246" t="s">
        <v>36</v>
      </c>
      <c r="D21" s="161"/>
      <c r="E21" s="256">
        <v>0.33048</v>
      </c>
      <c r="F21" s="21">
        <v>1.1080239999999999</v>
      </c>
      <c r="G21" s="17">
        <f t="shared" si="0"/>
        <v>0</v>
      </c>
      <c r="H21" s="153">
        <v>0.2</v>
      </c>
      <c r="I21" s="19">
        <f t="shared" si="2"/>
        <v>0</v>
      </c>
      <c r="J21" s="19">
        <f t="shared" si="1"/>
        <v>0</v>
      </c>
      <c r="K21" s="319">
        <v>130704</v>
      </c>
      <c r="L21" s="320"/>
    </row>
    <row r="22" spans="1:16" ht="16.899999999999999" customHeight="1" x14ac:dyDescent="0.25">
      <c r="A22" s="163"/>
      <c r="B22" s="21"/>
      <c r="C22" s="246" t="s">
        <v>37</v>
      </c>
      <c r="D22" s="161"/>
      <c r="E22" s="256">
        <v>0.33048</v>
      </c>
      <c r="F22" s="21">
        <v>1.1080239999999999</v>
      </c>
      <c r="G22" s="17">
        <f t="shared" si="0"/>
        <v>0</v>
      </c>
      <c r="H22" s="18">
        <v>0.2</v>
      </c>
      <c r="I22" s="19">
        <f t="shared" si="2"/>
        <v>0</v>
      </c>
      <c r="J22" s="19">
        <f t="shared" si="1"/>
        <v>0</v>
      </c>
      <c r="K22" s="319">
        <v>330629</v>
      </c>
      <c r="L22" s="320"/>
    </row>
    <row r="23" spans="1:16" ht="16.899999999999999" customHeight="1" x14ac:dyDescent="0.25">
      <c r="A23" s="163">
        <v>2705</v>
      </c>
      <c r="B23" s="21"/>
      <c r="C23" s="246" t="s">
        <v>38</v>
      </c>
      <c r="D23" s="161"/>
      <c r="E23" s="256">
        <v>0.33048</v>
      </c>
      <c r="F23" s="21">
        <v>1.1080239999999999</v>
      </c>
      <c r="G23" s="17">
        <f t="shared" si="0"/>
        <v>0</v>
      </c>
      <c r="H23" s="18">
        <v>0.2</v>
      </c>
      <c r="I23" s="19">
        <f t="shared" si="2"/>
        <v>0</v>
      </c>
      <c r="J23" s="19">
        <f t="shared" si="1"/>
        <v>0</v>
      </c>
      <c r="K23" s="319">
        <v>9005422</v>
      </c>
      <c r="L23" s="320"/>
    </row>
    <row r="24" spans="1:16" ht="16.899999999999999" customHeight="1" x14ac:dyDescent="0.25">
      <c r="A24" s="163"/>
      <c r="B24" s="21"/>
      <c r="C24" s="246" t="s">
        <v>27</v>
      </c>
      <c r="D24" s="161"/>
      <c r="E24" s="256">
        <v>0.33048</v>
      </c>
      <c r="F24" s="21">
        <v>1.1080239999999999</v>
      </c>
      <c r="G24" s="17">
        <f t="shared" si="0"/>
        <v>0</v>
      </c>
      <c r="H24" s="18">
        <v>0.2</v>
      </c>
      <c r="I24" s="19">
        <f t="shared" si="2"/>
        <v>0</v>
      </c>
      <c r="J24" s="19">
        <f t="shared" si="1"/>
        <v>0</v>
      </c>
      <c r="K24" s="325">
        <v>2095299</v>
      </c>
      <c r="L24" s="320"/>
    </row>
    <row r="25" spans="1:16" ht="16.899999999999999" customHeight="1" x14ac:dyDescent="0.25">
      <c r="A25" s="163"/>
      <c r="B25" s="28"/>
      <c r="C25" s="246" t="s">
        <v>29</v>
      </c>
      <c r="D25" s="161"/>
      <c r="E25" s="265">
        <v>0.15176999999999999</v>
      </c>
      <c r="F25" s="21">
        <v>1.1080239999999999</v>
      </c>
      <c r="G25" s="17">
        <f t="shared" si="0"/>
        <v>0</v>
      </c>
      <c r="H25" s="18">
        <v>0.2</v>
      </c>
      <c r="I25" s="19">
        <f>ROUND(G25*H25,2)</f>
        <v>0</v>
      </c>
      <c r="J25" s="19">
        <f>G25+I25</f>
        <v>0</v>
      </c>
      <c r="K25" s="325">
        <v>2095299</v>
      </c>
      <c r="L25" s="320"/>
    </row>
    <row r="26" spans="1:16" ht="16.899999999999999" customHeight="1" x14ac:dyDescent="0.25">
      <c r="A26" s="163"/>
      <c r="B26" s="21"/>
      <c r="C26" s="246" t="s">
        <v>39</v>
      </c>
      <c r="D26" s="161"/>
      <c r="E26" s="265">
        <v>0.33048</v>
      </c>
      <c r="F26" s="21">
        <v>1.1080239999999999</v>
      </c>
      <c r="G26" s="17">
        <f t="shared" si="0"/>
        <v>0</v>
      </c>
      <c r="H26" s="153">
        <v>0.2</v>
      </c>
      <c r="I26" s="19">
        <f t="shared" si="2"/>
        <v>0</v>
      </c>
      <c r="J26" s="19">
        <f t="shared" si="1"/>
        <v>0</v>
      </c>
      <c r="K26" s="319">
        <v>64848370</v>
      </c>
      <c r="L26" s="320"/>
    </row>
    <row r="27" spans="1:16" ht="16.899999999999999" customHeight="1" x14ac:dyDescent="0.25">
      <c r="A27" s="164">
        <v>2705</v>
      </c>
      <c r="B27" s="21"/>
      <c r="C27" s="246" t="s">
        <v>40</v>
      </c>
      <c r="D27" s="161"/>
      <c r="E27" s="265">
        <v>0.33048</v>
      </c>
      <c r="F27" s="21">
        <v>1.1080239999999999</v>
      </c>
      <c r="G27" s="17">
        <f t="shared" si="0"/>
        <v>0</v>
      </c>
      <c r="H27" s="266">
        <v>0.2</v>
      </c>
      <c r="I27" s="19">
        <f>ROUND(G27*H27,2)</f>
        <v>0</v>
      </c>
      <c r="J27" s="19">
        <f t="shared" si="1"/>
        <v>0</v>
      </c>
      <c r="K27" s="319">
        <v>134565</v>
      </c>
      <c r="L27" s="320"/>
    </row>
    <row r="28" spans="1:16" ht="16.899999999999999" customHeight="1" x14ac:dyDescent="0.25">
      <c r="A28" s="164">
        <v>2705</v>
      </c>
      <c r="B28" s="3"/>
      <c r="C28" s="246" t="s">
        <v>41</v>
      </c>
      <c r="D28" s="161"/>
      <c r="E28" s="265">
        <v>0.33048</v>
      </c>
      <c r="F28" s="21">
        <v>1.1080239999999999</v>
      </c>
      <c r="G28" s="17">
        <f t="shared" si="0"/>
        <v>0</v>
      </c>
      <c r="H28" s="266">
        <v>0.2</v>
      </c>
      <c r="I28" s="19">
        <f>ROUND(G28*H28,2)</f>
        <v>0</v>
      </c>
      <c r="J28" s="19">
        <f t="shared" si="1"/>
        <v>0</v>
      </c>
      <c r="K28" s="319">
        <v>589311</v>
      </c>
      <c r="L28" s="320"/>
    </row>
    <row r="29" spans="1:16" ht="16.899999999999999" customHeight="1" x14ac:dyDescent="0.25">
      <c r="A29" s="164"/>
      <c r="B29" s="27"/>
      <c r="C29" s="247" t="s">
        <v>42</v>
      </c>
      <c r="D29" s="161"/>
      <c r="E29" s="265">
        <v>0.33048</v>
      </c>
      <c r="F29" s="21">
        <v>1.1080239999999999</v>
      </c>
      <c r="G29" s="17">
        <f t="shared" si="0"/>
        <v>0</v>
      </c>
      <c r="H29" s="266">
        <v>0.2</v>
      </c>
      <c r="I29" s="19">
        <f>ROUND(G29*H29,2)</f>
        <v>0</v>
      </c>
      <c r="J29" s="19">
        <f>G29+I29</f>
        <v>0</v>
      </c>
      <c r="K29" s="319">
        <v>738833</v>
      </c>
      <c r="L29" s="320"/>
    </row>
    <row r="30" spans="1:16" ht="16.899999999999999" customHeight="1" thickBot="1" x14ac:dyDescent="0.3">
      <c r="A30" s="164">
        <v>2705</v>
      </c>
      <c r="B30" s="27"/>
      <c r="C30" s="246" t="s">
        <v>37</v>
      </c>
      <c r="D30" s="161"/>
      <c r="E30" s="265">
        <v>0.33048</v>
      </c>
      <c r="F30" s="21">
        <v>1.1080239999999999</v>
      </c>
      <c r="G30" s="17">
        <f>D30*E30*F30</f>
        <v>0</v>
      </c>
      <c r="H30" s="18">
        <v>0.2</v>
      </c>
      <c r="I30" s="19">
        <f>ROUND(G30*H30,2)</f>
        <v>0</v>
      </c>
      <c r="J30" s="19">
        <f>G30+I30</f>
        <v>0</v>
      </c>
      <c r="K30" s="319">
        <v>739463</v>
      </c>
      <c r="L30" s="320"/>
    </row>
    <row r="31" spans="1:16" ht="16.899999999999999" customHeight="1" thickBot="1" x14ac:dyDescent="0.3">
      <c r="A31" s="41"/>
      <c r="B31" s="13"/>
      <c r="C31" s="180" t="s">
        <v>43</v>
      </c>
      <c r="D31" s="326">
        <f>SUM(D3:D30)</f>
        <v>0</v>
      </c>
      <c r="E31" s="267"/>
      <c r="F31" s="21"/>
      <c r="G31" s="38">
        <f>SUM(G5:G30)</f>
        <v>0</v>
      </c>
      <c r="H31" s="50"/>
      <c r="I31" s="38">
        <f>SUM(I5:I30)</f>
        <v>0</v>
      </c>
      <c r="J31" s="268">
        <f>SUM(J5:J30)</f>
        <v>0</v>
      </c>
      <c r="K31" s="327"/>
      <c r="L31" s="328"/>
      <c r="M31" s="41"/>
      <c r="N31" s="41"/>
      <c r="O31" s="41"/>
    </row>
    <row r="32" spans="1:16" ht="29.45" customHeight="1" x14ac:dyDescent="0.25">
      <c r="A32" s="34">
        <v>2706</v>
      </c>
      <c r="B32" s="21">
        <v>6</v>
      </c>
      <c r="C32" s="248" t="s">
        <v>44</v>
      </c>
      <c r="D32" s="154"/>
      <c r="E32" s="152">
        <v>0.27273999999999998</v>
      </c>
      <c r="F32" s="21">
        <v>1.1080239999999999</v>
      </c>
      <c r="G32" s="17">
        <f t="shared" ref="G32:G51" si="3">ROUND(D32*E32*F32,2)</f>
        <v>0</v>
      </c>
      <c r="H32" s="18">
        <v>0.2</v>
      </c>
      <c r="I32" s="19">
        <f>ROUND(G32*H32,2)</f>
        <v>0</v>
      </c>
      <c r="J32" s="19">
        <f t="shared" si="1"/>
        <v>0</v>
      </c>
      <c r="K32" s="329"/>
      <c r="L32" s="320" t="s">
        <v>85</v>
      </c>
      <c r="P32" s="41"/>
    </row>
    <row r="33" spans="1:12" ht="16.899999999999999" customHeight="1" x14ac:dyDescent="0.25">
      <c r="A33" s="34">
        <v>2605</v>
      </c>
      <c r="B33" s="21"/>
      <c r="C33" s="248" t="s">
        <v>45</v>
      </c>
      <c r="D33" s="161"/>
      <c r="E33" s="152">
        <v>0.33048</v>
      </c>
      <c r="F33" s="21">
        <v>1.1080239999999999</v>
      </c>
      <c r="G33" s="17">
        <f t="shared" si="3"/>
        <v>0</v>
      </c>
      <c r="H33" s="18">
        <v>0.2</v>
      </c>
      <c r="I33" s="19">
        <f t="shared" ref="I33:I66" si="4">ROUND(G33*H33,2)</f>
        <v>0</v>
      </c>
      <c r="J33" s="19">
        <f t="shared" si="1"/>
        <v>0</v>
      </c>
      <c r="K33" s="319">
        <v>147720</v>
      </c>
      <c r="L33" s="320"/>
    </row>
    <row r="34" spans="1:12" ht="16.899999999999999" customHeight="1" x14ac:dyDescent="0.25">
      <c r="A34" s="162">
        <v>2605</v>
      </c>
      <c r="B34" s="21" t="s">
        <v>47</v>
      </c>
      <c r="C34" s="248" t="s">
        <v>48</v>
      </c>
      <c r="D34" s="161"/>
      <c r="E34" s="152">
        <v>0.33048</v>
      </c>
      <c r="F34" s="21">
        <v>1.1080239999999999</v>
      </c>
      <c r="G34" s="17">
        <f t="shared" si="3"/>
        <v>0</v>
      </c>
      <c r="H34" s="18">
        <v>0.2</v>
      </c>
      <c r="I34" s="19">
        <f t="shared" si="4"/>
        <v>0</v>
      </c>
      <c r="J34" s="19">
        <f t="shared" si="1"/>
        <v>0</v>
      </c>
      <c r="K34" s="319">
        <v>7705</v>
      </c>
      <c r="L34" s="320"/>
    </row>
    <row r="35" spans="1:12" ht="16.899999999999999" customHeight="1" x14ac:dyDescent="0.25">
      <c r="A35" s="34" t="s">
        <v>33</v>
      </c>
      <c r="B35" s="21"/>
      <c r="C35" s="246" t="s">
        <v>49</v>
      </c>
      <c r="D35" s="161"/>
      <c r="E35" s="152">
        <v>0.33048</v>
      </c>
      <c r="F35" s="21">
        <v>1.1080239999999999</v>
      </c>
      <c r="G35" s="17">
        <f t="shared" si="3"/>
        <v>0</v>
      </c>
      <c r="H35" s="18">
        <v>0.2</v>
      </c>
      <c r="I35" s="19">
        <f t="shared" si="4"/>
        <v>0</v>
      </c>
      <c r="J35" s="19">
        <f t="shared" si="1"/>
        <v>0</v>
      </c>
      <c r="K35" s="319">
        <v>242864</v>
      </c>
      <c r="L35" s="320"/>
    </row>
    <row r="36" spans="1:12" ht="16.899999999999999" customHeight="1" x14ac:dyDescent="0.25">
      <c r="A36" s="162">
        <v>2605</v>
      </c>
      <c r="B36" s="21"/>
      <c r="C36" s="248" t="s">
        <v>50</v>
      </c>
      <c r="D36" s="161"/>
      <c r="E36" s="152">
        <v>0.33048</v>
      </c>
      <c r="F36" s="21">
        <v>1.1080239999999999</v>
      </c>
      <c r="G36" s="17">
        <f t="shared" si="3"/>
        <v>0</v>
      </c>
      <c r="H36" s="18">
        <v>0.2</v>
      </c>
      <c r="I36" s="19">
        <f t="shared" si="4"/>
        <v>0</v>
      </c>
      <c r="J36" s="19">
        <f t="shared" si="1"/>
        <v>0</v>
      </c>
      <c r="K36" s="319">
        <v>106169</v>
      </c>
      <c r="L36" s="320"/>
    </row>
    <row r="37" spans="1:12" ht="16.899999999999999" customHeight="1" x14ac:dyDescent="0.25">
      <c r="A37" s="162"/>
      <c r="B37" s="21"/>
      <c r="C37" s="248" t="s">
        <v>51</v>
      </c>
      <c r="D37" s="161"/>
      <c r="E37" s="152">
        <v>0.33048</v>
      </c>
      <c r="F37" s="21">
        <v>1.1080239999999999</v>
      </c>
      <c r="G37" s="17">
        <f t="shared" si="3"/>
        <v>0</v>
      </c>
      <c r="H37" s="18">
        <v>0.2</v>
      </c>
      <c r="I37" s="19">
        <f t="shared" si="4"/>
        <v>0</v>
      </c>
      <c r="J37" s="19">
        <f t="shared" si="1"/>
        <v>0</v>
      </c>
      <c r="K37" s="323">
        <v>1185116800300</v>
      </c>
      <c r="L37" s="320"/>
    </row>
    <row r="38" spans="1:12" ht="16.899999999999999" customHeight="1" x14ac:dyDescent="0.25">
      <c r="A38" s="162">
        <v>902</v>
      </c>
      <c r="B38" s="21"/>
      <c r="C38" s="246" t="s">
        <v>52</v>
      </c>
      <c r="D38" s="161"/>
      <c r="E38" s="152">
        <v>0.33048</v>
      </c>
      <c r="F38" s="21">
        <v>1.1080239999999999</v>
      </c>
      <c r="G38" s="17">
        <f t="shared" si="3"/>
        <v>0</v>
      </c>
      <c r="H38" s="18">
        <v>0.2</v>
      </c>
      <c r="I38" s="19">
        <f t="shared" si="4"/>
        <v>0</v>
      </c>
      <c r="J38" s="19">
        <f t="shared" si="1"/>
        <v>0</v>
      </c>
      <c r="K38" s="319">
        <v>648819</v>
      </c>
      <c r="L38" s="320"/>
    </row>
    <row r="39" spans="1:12" ht="16.899999999999999" customHeight="1" x14ac:dyDescent="0.25">
      <c r="A39" s="162">
        <v>902</v>
      </c>
      <c r="B39" s="21"/>
      <c r="C39" s="244" t="s">
        <v>53</v>
      </c>
      <c r="D39" s="161"/>
      <c r="E39" s="152">
        <v>0.24295</v>
      </c>
      <c r="F39" s="21">
        <v>1.1080239999999999</v>
      </c>
      <c r="G39" s="17">
        <f t="shared" si="3"/>
        <v>0</v>
      </c>
      <c r="H39" s="18">
        <v>0.2</v>
      </c>
      <c r="I39" s="19">
        <f t="shared" si="4"/>
        <v>0</v>
      </c>
      <c r="J39" s="19">
        <f t="shared" si="1"/>
        <v>0</v>
      </c>
      <c r="K39" s="319">
        <v>1599</v>
      </c>
      <c r="L39" s="320"/>
    </row>
    <row r="40" spans="1:12" ht="16.899999999999999" customHeight="1" x14ac:dyDescent="0.25">
      <c r="A40" s="162">
        <v>2705</v>
      </c>
      <c r="B40" s="21"/>
      <c r="C40" s="244" t="s">
        <v>54</v>
      </c>
      <c r="D40" s="161"/>
      <c r="E40" s="152">
        <v>0.33048</v>
      </c>
      <c r="F40" s="21">
        <v>1.1080239999999999</v>
      </c>
      <c r="G40" s="17">
        <f t="shared" si="3"/>
        <v>0</v>
      </c>
      <c r="H40" s="18">
        <v>0.2</v>
      </c>
      <c r="I40" s="19">
        <f t="shared" si="4"/>
        <v>0</v>
      </c>
      <c r="J40" s="19">
        <f t="shared" si="1"/>
        <v>0</v>
      </c>
      <c r="K40" s="319">
        <v>65841908</v>
      </c>
      <c r="L40" s="320"/>
    </row>
    <row r="41" spans="1:12" ht="16.899999999999999" customHeight="1" x14ac:dyDescent="0.25">
      <c r="A41" s="162">
        <v>2705</v>
      </c>
      <c r="B41" s="21"/>
      <c r="C41" s="244" t="s">
        <v>55</v>
      </c>
      <c r="D41" s="161"/>
      <c r="E41" s="152">
        <v>0.33048</v>
      </c>
      <c r="F41" s="21">
        <v>1.1080239999999999</v>
      </c>
      <c r="G41" s="17">
        <f t="shared" si="3"/>
        <v>0</v>
      </c>
      <c r="H41" s="18">
        <v>0.2</v>
      </c>
      <c r="I41" s="19">
        <f t="shared" si="4"/>
        <v>0</v>
      </c>
      <c r="J41" s="19">
        <f t="shared" si="1"/>
        <v>0</v>
      </c>
      <c r="K41" s="319">
        <v>587123</v>
      </c>
      <c r="L41" s="320"/>
    </row>
    <row r="42" spans="1:12" ht="16.899999999999999" customHeight="1" x14ac:dyDescent="0.25">
      <c r="A42" s="162">
        <v>2705</v>
      </c>
      <c r="B42" s="21"/>
      <c r="C42" s="244" t="s">
        <v>56</v>
      </c>
      <c r="D42" s="161"/>
      <c r="E42" s="152">
        <v>0.33048</v>
      </c>
      <c r="F42" s="21">
        <v>1.1080239999999999</v>
      </c>
      <c r="G42" s="17">
        <f t="shared" si="3"/>
        <v>0</v>
      </c>
      <c r="H42" s="18">
        <v>0.2</v>
      </c>
      <c r="I42" s="19">
        <f t="shared" si="4"/>
        <v>0</v>
      </c>
      <c r="J42" s="19">
        <f t="shared" si="1"/>
        <v>0</v>
      </c>
      <c r="K42" s="319">
        <v>437763</v>
      </c>
      <c r="L42" s="320"/>
    </row>
    <row r="43" spans="1:12" ht="16.899999999999999" customHeight="1" x14ac:dyDescent="0.25">
      <c r="B43" s="3"/>
      <c r="C43" s="246" t="s">
        <v>57</v>
      </c>
      <c r="D43" s="161">
        <v>22</v>
      </c>
      <c r="E43" s="152">
        <v>0.33048</v>
      </c>
      <c r="F43" s="21">
        <v>1.1080239999999999</v>
      </c>
      <c r="G43" s="17">
        <f t="shared" si="3"/>
        <v>8.06</v>
      </c>
      <c r="H43" s="266">
        <v>0.2</v>
      </c>
      <c r="I43" s="19">
        <f t="shared" si="4"/>
        <v>1.61</v>
      </c>
      <c r="J43" s="19">
        <f t="shared" si="1"/>
        <v>9.67</v>
      </c>
      <c r="K43" s="319">
        <v>2096266</v>
      </c>
      <c r="L43" s="320"/>
    </row>
    <row r="44" spans="1:12" ht="16.899999999999999" customHeight="1" x14ac:dyDescent="0.25">
      <c r="A44" s="200"/>
      <c r="B44" s="249" t="s">
        <v>669</v>
      </c>
      <c r="C44" s="250" t="s">
        <v>58</v>
      </c>
      <c r="D44" s="330">
        <v>22</v>
      </c>
      <c r="E44" s="152">
        <v>0.33048</v>
      </c>
      <c r="F44" s="3">
        <v>1.1080239999999999</v>
      </c>
      <c r="G44" s="272">
        <f t="shared" si="3"/>
        <v>8.06</v>
      </c>
      <c r="H44" s="273">
        <v>0.2</v>
      </c>
      <c r="I44" s="274">
        <f>ROUND(G44*H44,2)</f>
        <v>1.61</v>
      </c>
      <c r="J44" s="274">
        <f>G44+I44</f>
        <v>9.67</v>
      </c>
      <c r="K44" s="331">
        <v>471810</v>
      </c>
      <c r="L44" s="320"/>
    </row>
    <row r="45" spans="1:12" ht="16.899999999999999" customHeight="1" x14ac:dyDescent="0.25">
      <c r="B45" s="15"/>
      <c r="C45" s="243" t="s">
        <v>59</v>
      </c>
      <c r="D45" s="161">
        <v>22</v>
      </c>
      <c r="E45" s="152">
        <v>0.33048</v>
      </c>
      <c r="F45" s="21">
        <v>1.1080239999999999</v>
      </c>
      <c r="G45" s="17">
        <f t="shared" si="3"/>
        <v>8.06</v>
      </c>
      <c r="H45" s="18">
        <v>0.2</v>
      </c>
      <c r="I45" s="19">
        <f>ROUND(G45*H45,2)</f>
        <v>1.61</v>
      </c>
      <c r="J45" s="19">
        <f>G45+I45</f>
        <v>9.67</v>
      </c>
      <c r="K45" s="319">
        <v>76874051</v>
      </c>
      <c r="L45" s="320"/>
    </row>
    <row r="46" spans="1:12" ht="16.899999999999999" customHeight="1" x14ac:dyDescent="0.25">
      <c r="A46" s="34">
        <v>2705</v>
      </c>
      <c r="B46" s="21"/>
      <c r="C46" s="246" t="s">
        <v>60</v>
      </c>
      <c r="D46" s="161">
        <v>22</v>
      </c>
      <c r="E46" s="152">
        <v>0.33048</v>
      </c>
      <c r="F46" s="21">
        <v>1.1080239999999999</v>
      </c>
      <c r="G46" s="17">
        <f t="shared" si="3"/>
        <v>8.06</v>
      </c>
      <c r="H46" s="153">
        <v>0.2</v>
      </c>
      <c r="I46" s="19">
        <f t="shared" si="4"/>
        <v>1.61</v>
      </c>
      <c r="J46" s="19">
        <f>G46+I46</f>
        <v>9.67</v>
      </c>
      <c r="K46" s="319">
        <v>142730</v>
      </c>
      <c r="L46" s="320"/>
    </row>
    <row r="47" spans="1:12" ht="16.899999999999999" customHeight="1" x14ac:dyDescent="0.25">
      <c r="A47" s="34">
        <v>1002</v>
      </c>
      <c r="B47" s="21"/>
      <c r="C47" s="246" t="s">
        <v>60</v>
      </c>
      <c r="D47" s="154">
        <v>22</v>
      </c>
      <c r="E47" s="152">
        <v>0.24295</v>
      </c>
      <c r="F47" s="21">
        <v>1.1080239999999999</v>
      </c>
      <c r="G47" s="17">
        <f t="shared" si="3"/>
        <v>5.92</v>
      </c>
      <c r="H47" s="153">
        <v>0.2</v>
      </c>
      <c r="I47" s="19">
        <f>ROUND(G47*H47,2)</f>
        <v>1.18</v>
      </c>
      <c r="J47" s="19">
        <f>G47+I47</f>
        <v>7.1</v>
      </c>
      <c r="K47" s="319">
        <v>169445</v>
      </c>
      <c r="L47" s="320"/>
    </row>
    <row r="48" spans="1:12" ht="16.899999999999999" customHeight="1" x14ac:dyDescent="0.25">
      <c r="A48" s="34">
        <v>2705</v>
      </c>
      <c r="B48" s="28"/>
      <c r="C48" s="245" t="s">
        <v>61</v>
      </c>
      <c r="D48" s="161">
        <v>22</v>
      </c>
      <c r="E48" s="152">
        <v>0.33048</v>
      </c>
      <c r="F48" s="21">
        <v>1.1080239999999999</v>
      </c>
      <c r="G48" s="17">
        <f t="shared" si="3"/>
        <v>8.06</v>
      </c>
      <c r="H48" s="18">
        <v>0.2</v>
      </c>
      <c r="I48" s="19">
        <f t="shared" si="4"/>
        <v>1.61</v>
      </c>
      <c r="J48" s="19">
        <f t="shared" si="1"/>
        <v>9.67</v>
      </c>
      <c r="K48" s="319">
        <v>503206</v>
      </c>
      <c r="L48" s="320"/>
    </row>
    <row r="49" spans="1:12" ht="16.899999999999999" customHeight="1" x14ac:dyDescent="0.25">
      <c r="A49" s="34">
        <v>2705</v>
      </c>
      <c r="B49" s="28"/>
      <c r="C49" s="245" t="s">
        <v>62</v>
      </c>
      <c r="D49" s="161">
        <v>22</v>
      </c>
      <c r="E49" s="152">
        <v>0.33048</v>
      </c>
      <c r="F49" s="21">
        <v>1.1080239999999999</v>
      </c>
      <c r="G49" s="17">
        <f t="shared" si="3"/>
        <v>8.06</v>
      </c>
      <c r="H49" s="18">
        <v>0.2</v>
      </c>
      <c r="I49" s="19">
        <f t="shared" si="4"/>
        <v>1.61</v>
      </c>
      <c r="J49" s="19">
        <f t="shared" si="1"/>
        <v>9.67</v>
      </c>
      <c r="K49" s="319">
        <v>2078586</v>
      </c>
      <c r="L49" s="320"/>
    </row>
    <row r="50" spans="1:12" ht="16.899999999999999" customHeight="1" x14ac:dyDescent="0.25">
      <c r="A50" s="34">
        <v>2705</v>
      </c>
      <c r="B50" s="28"/>
      <c r="C50" s="245" t="s">
        <v>63</v>
      </c>
      <c r="D50" s="161">
        <v>22</v>
      </c>
      <c r="E50" s="152">
        <v>0.33048</v>
      </c>
      <c r="F50" s="21">
        <v>1.1080239999999999</v>
      </c>
      <c r="G50" s="17">
        <f t="shared" si="3"/>
        <v>8.06</v>
      </c>
      <c r="H50" s="18">
        <v>0.2</v>
      </c>
      <c r="I50" s="19">
        <f t="shared" si="4"/>
        <v>1.61</v>
      </c>
      <c r="J50" s="19">
        <f t="shared" si="1"/>
        <v>9.67</v>
      </c>
      <c r="K50" s="319">
        <v>51217063634</v>
      </c>
      <c r="L50" s="320"/>
    </row>
    <row r="51" spans="1:12" ht="28.9" customHeight="1" x14ac:dyDescent="0.25">
      <c r="A51" s="34">
        <v>2705</v>
      </c>
      <c r="B51" s="505" t="s">
        <v>577</v>
      </c>
      <c r="C51" s="246" t="s">
        <v>64</v>
      </c>
      <c r="D51" s="161">
        <v>22</v>
      </c>
      <c r="E51" s="152">
        <v>0.33048</v>
      </c>
      <c r="F51" s="21">
        <v>1.1080239999999999</v>
      </c>
      <c r="G51" s="17">
        <f t="shared" si="3"/>
        <v>8.06</v>
      </c>
      <c r="H51" s="153">
        <v>0.2</v>
      </c>
      <c r="I51" s="19">
        <f>ROUND(G51*H51,2)</f>
        <v>1.61</v>
      </c>
      <c r="J51" s="19">
        <f t="shared" si="1"/>
        <v>9.67</v>
      </c>
      <c r="K51" s="319">
        <v>75853570</v>
      </c>
    </row>
    <row r="52" spans="1:12" ht="16.899999999999999" customHeight="1" x14ac:dyDescent="0.25">
      <c r="A52" s="34">
        <v>2705</v>
      </c>
      <c r="B52" s="506"/>
      <c r="C52" s="332" t="s">
        <v>576</v>
      </c>
      <c r="D52" s="255">
        <v>389</v>
      </c>
      <c r="E52" s="152">
        <v>0.33048</v>
      </c>
      <c r="F52" s="21">
        <v>1.1080239999999999</v>
      </c>
      <c r="G52" s="17">
        <f>ROUND('[1]суб абон'!D64*E52*F52,2)</f>
        <v>301.37</v>
      </c>
      <c r="H52" s="18">
        <v>0.2</v>
      </c>
      <c r="I52" s="19">
        <f t="shared" si="4"/>
        <v>60.27</v>
      </c>
      <c r="J52" s="19">
        <f t="shared" si="1"/>
        <v>361.64</v>
      </c>
      <c r="K52" s="319">
        <v>580224</v>
      </c>
      <c r="L52" s="320"/>
    </row>
    <row r="53" spans="1:12" ht="16.899999999999999" customHeight="1" x14ac:dyDescent="0.25">
      <c r="A53" s="34">
        <v>902</v>
      </c>
      <c r="B53" s="28"/>
      <c r="C53" s="245" t="s">
        <v>66</v>
      </c>
      <c r="D53" s="161"/>
      <c r="E53" s="152">
        <v>0.24295</v>
      </c>
      <c r="F53" s="21">
        <v>1.1080239999999999</v>
      </c>
      <c r="G53" s="17">
        <f t="shared" ref="G53:G66" si="5">ROUND(D53*E53*F53,2)</f>
        <v>0</v>
      </c>
      <c r="H53" s="18">
        <v>0.2</v>
      </c>
      <c r="I53" s="19">
        <f t="shared" si="4"/>
        <v>0</v>
      </c>
      <c r="J53" s="19">
        <f t="shared" si="1"/>
        <v>0</v>
      </c>
      <c r="K53" s="319">
        <v>71200059</v>
      </c>
      <c r="L53" s="320"/>
    </row>
    <row r="54" spans="1:12" ht="16.899999999999999" customHeight="1" x14ac:dyDescent="0.25">
      <c r="A54" s="34">
        <v>902</v>
      </c>
      <c r="B54" s="28"/>
      <c r="C54" s="245" t="s">
        <v>67</v>
      </c>
      <c r="D54" s="161"/>
      <c r="E54" s="152">
        <v>0.24295</v>
      </c>
      <c r="F54" s="21">
        <v>1.1080239999999999</v>
      </c>
      <c r="G54" s="17">
        <f t="shared" si="5"/>
        <v>0</v>
      </c>
      <c r="H54" s="18">
        <v>0.2</v>
      </c>
      <c r="I54" s="19">
        <f>ROUND(G54*H54,2)</f>
        <v>0</v>
      </c>
      <c r="J54" s="19">
        <f>G54+I54</f>
        <v>0</v>
      </c>
      <c r="K54" s="319">
        <v>187639</v>
      </c>
      <c r="L54" s="320"/>
    </row>
    <row r="55" spans="1:12" ht="16.899999999999999" customHeight="1" x14ac:dyDescent="0.25">
      <c r="A55" s="34">
        <v>2705</v>
      </c>
      <c r="B55" s="28"/>
      <c r="C55" s="245" t="s">
        <v>68</v>
      </c>
      <c r="D55" s="161"/>
      <c r="E55" s="152">
        <v>0.33048</v>
      </c>
      <c r="F55" s="21">
        <v>1.1080239999999999</v>
      </c>
      <c r="G55" s="17">
        <f t="shared" si="5"/>
        <v>0</v>
      </c>
      <c r="H55" s="18">
        <v>0.2</v>
      </c>
      <c r="I55" s="19">
        <f t="shared" si="4"/>
        <v>0</v>
      </c>
      <c r="J55" s="19">
        <f t="shared" si="1"/>
        <v>0</v>
      </c>
      <c r="K55" s="323">
        <v>1195245456538</v>
      </c>
      <c r="L55" s="320"/>
    </row>
    <row r="56" spans="1:12" ht="16.899999999999999" customHeight="1" x14ac:dyDescent="0.25">
      <c r="A56" s="34">
        <v>2705</v>
      </c>
      <c r="B56" s="28"/>
      <c r="C56" s="245" t="s">
        <v>69</v>
      </c>
      <c r="D56" s="154"/>
      <c r="E56" s="152">
        <v>0.33048</v>
      </c>
      <c r="F56" s="21">
        <v>1.1080239999999999</v>
      </c>
      <c r="G56" s="17">
        <f t="shared" si="5"/>
        <v>0</v>
      </c>
      <c r="H56" s="18">
        <v>0.2</v>
      </c>
      <c r="I56" s="19">
        <f t="shared" si="4"/>
        <v>0</v>
      </c>
      <c r="J56" s="19">
        <f t="shared" si="1"/>
        <v>0</v>
      </c>
      <c r="K56" s="319">
        <v>620258</v>
      </c>
      <c r="L56" s="320"/>
    </row>
    <row r="57" spans="1:12" ht="16.899999999999999" customHeight="1" x14ac:dyDescent="0.25">
      <c r="A57" s="34">
        <v>2705</v>
      </c>
      <c r="B57" s="28"/>
      <c r="C57" s="245" t="s">
        <v>70</v>
      </c>
      <c r="D57" s="161"/>
      <c r="E57" s="152">
        <v>0.33048</v>
      </c>
      <c r="F57" s="21">
        <v>1.1080239999999999</v>
      </c>
      <c r="G57" s="17">
        <f t="shared" si="5"/>
        <v>0</v>
      </c>
      <c r="H57" s="153">
        <v>0.2</v>
      </c>
      <c r="I57" s="19">
        <f t="shared" si="4"/>
        <v>0</v>
      </c>
      <c r="J57" s="19">
        <f t="shared" si="1"/>
        <v>0</v>
      </c>
      <c r="K57" s="319">
        <v>384241</v>
      </c>
      <c r="L57" s="320"/>
    </row>
    <row r="58" spans="1:12" ht="16.899999999999999" customHeight="1" x14ac:dyDescent="0.25">
      <c r="A58" s="34">
        <v>902</v>
      </c>
      <c r="B58" s="28"/>
      <c r="C58" s="245" t="s">
        <v>71</v>
      </c>
      <c r="D58" s="154"/>
      <c r="E58" s="152">
        <v>0.24295</v>
      </c>
      <c r="F58" s="21">
        <v>1.1080239999999999</v>
      </c>
      <c r="G58" s="17">
        <f t="shared" si="5"/>
        <v>0</v>
      </c>
      <c r="H58" s="153">
        <v>0.2</v>
      </c>
      <c r="I58" s="19">
        <f t="shared" si="4"/>
        <v>0</v>
      </c>
      <c r="J58" s="19">
        <f t="shared" si="1"/>
        <v>0</v>
      </c>
      <c r="K58" s="319">
        <v>7917</v>
      </c>
      <c r="L58" s="320"/>
    </row>
    <row r="59" spans="1:12" ht="16.899999999999999" customHeight="1" x14ac:dyDescent="0.25">
      <c r="A59" s="34">
        <v>2705</v>
      </c>
      <c r="B59" s="28"/>
      <c r="C59" s="245" t="s">
        <v>72</v>
      </c>
      <c r="D59" s="161"/>
      <c r="E59" s="152">
        <v>0.33048</v>
      </c>
      <c r="F59" s="21">
        <v>1.1080239999999999</v>
      </c>
      <c r="G59" s="17">
        <f t="shared" si="5"/>
        <v>0</v>
      </c>
      <c r="H59" s="153">
        <v>0.2</v>
      </c>
      <c r="I59" s="19">
        <f t="shared" si="4"/>
        <v>0</v>
      </c>
      <c r="J59" s="19">
        <f t="shared" si="1"/>
        <v>0</v>
      </c>
      <c r="K59" s="319">
        <v>369741</v>
      </c>
      <c r="L59" s="320"/>
    </row>
    <row r="60" spans="1:12" ht="16.899999999999999" customHeight="1" x14ac:dyDescent="0.25">
      <c r="A60" s="34">
        <v>2705</v>
      </c>
      <c r="B60" s="28"/>
      <c r="C60" s="245" t="s">
        <v>73</v>
      </c>
      <c r="D60" s="161"/>
      <c r="E60" s="152">
        <v>0.33048</v>
      </c>
      <c r="F60" s="21">
        <v>1.1080239999999999</v>
      </c>
      <c r="G60" s="17">
        <f t="shared" si="5"/>
        <v>0</v>
      </c>
      <c r="H60" s="153">
        <v>0.2</v>
      </c>
      <c r="I60" s="19">
        <f t="shared" si="4"/>
        <v>0</v>
      </c>
      <c r="J60" s="19">
        <f t="shared" si="1"/>
        <v>0</v>
      </c>
      <c r="K60" s="319">
        <v>497364</v>
      </c>
      <c r="L60" s="320"/>
    </row>
    <row r="61" spans="1:12" ht="16.899999999999999" customHeight="1" x14ac:dyDescent="0.25">
      <c r="A61" s="34">
        <v>2705</v>
      </c>
      <c r="B61" s="28"/>
      <c r="C61" s="245" t="s">
        <v>74</v>
      </c>
      <c r="D61" s="333"/>
      <c r="E61" s="152">
        <v>0.33048</v>
      </c>
      <c r="F61" s="21">
        <v>1.1080239999999999</v>
      </c>
      <c r="G61" s="17">
        <f t="shared" si="5"/>
        <v>0</v>
      </c>
      <c r="H61" s="153">
        <v>0.2</v>
      </c>
      <c r="I61" s="19">
        <f>ROUND(G61*H61,2)</f>
        <v>0</v>
      </c>
      <c r="J61" s="19">
        <f>G61+I61</f>
        <v>0</v>
      </c>
      <c r="L61" s="161" t="s">
        <v>75</v>
      </c>
    </row>
    <row r="62" spans="1:12" ht="16.899999999999999" customHeight="1" x14ac:dyDescent="0.25">
      <c r="A62" s="34">
        <v>2605</v>
      </c>
      <c r="B62" s="28"/>
      <c r="C62" s="245" t="s">
        <v>76</v>
      </c>
      <c r="D62" s="161"/>
      <c r="E62" s="152">
        <v>0.33048</v>
      </c>
      <c r="F62" s="21">
        <v>1.1080239999999999</v>
      </c>
      <c r="G62" s="17">
        <f t="shared" si="5"/>
        <v>0</v>
      </c>
      <c r="H62" s="153">
        <v>0.2</v>
      </c>
      <c r="I62" s="19">
        <f t="shared" si="4"/>
        <v>0</v>
      </c>
      <c r="J62" s="19">
        <f t="shared" si="1"/>
        <v>0</v>
      </c>
      <c r="K62" s="323">
        <v>1195245433284</v>
      </c>
      <c r="L62" s="320"/>
    </row>
    <row r="63" spans="1:12" ht="16.899999999999999" customHeight="1" x14ac:dyDescent="0.25">
      <c r="A63" s="34">
        <v>2705</v>
      </c>
      <c r="B63" s="21"/>
      <c r="C63" s="246" t="s">
        <v>77</v>
      </c>
      <c r="D63" s="161"/>
      <c r="E63" s="152">
        <v>0.33048</v>
      </c>
      <c r="F63" s="21">
        <v>1.1080239999999999</v>
      </c>
      <c r="G63" s="17">
        <f t="shared" si="5"/>
        <v>0</v>
      </c>
      <c r="H63" s="153">
        <v>0.2</v>
      </c>
      <c r="I63" s="19">
        <f t="shared" si="4"/>
        <v>0</v>
      </c>
      <c r="J63" s="19">
        <f t="shared" si="1"/>
        <v>0</v>
      </c>
      <c r="K63" s="323">
        <v>119511155463</v>
      </c>
      <c r="L63" s="320"/>
    </row>
    <row r="64" spans="1:12" ht="16.899999999999999" customHeight="1" x14ac:dyDescent="0.25">
      <c r="A64" s="34">
        <v>902</v>
      </c>
      <c r="B64" s="21"/>
      <c r="C64" s="246" t="s">
        <v>78</v>
      </c>
      <c r="D64" s="161"/>
      <c r="E64" s="152">
        <v>0.33048</v>
      </c>
      <c r="F64" s="21">
        <v>1.1080239999999999</v>
      </c>
      <c r="G64" s="17">
        <f t="shared" si="5"/>
        <v>0</v>
      </c>
      <c r="H64" s="153">
        <v>0.2</v>
      </c>
      <c r="I64" s="19">
        <f t="shared" si="4"/>
        <v>0</v>
      </c>
      <c r="J64" s="19">
        <f t="shared" si="1"/>
        <v>0</v>
      </c>
      <c r="K64" s="319">
        <v>437797</v>
      </c>
      <c r="L64" s="320"/>
    </row>
    <row r="65" spans="1:16" ht="16.899999999999999" customHeight="1" x14ac:dyDescent="0.25">
      <c r="A65" s="34">
        <v>2705</v>
      </c>
      <c r="B65" s="21"/>
      <c r="C65" s="246" t="s">
        <v>79</v>
      </c>
      <c r="D65" s="154"/>
      <c r="E65" s="152">
        <v>0.33048</v>
      </c>
      <c r="F65" s="21">
        <v>1.1080239999999999</v>
      </c>
      <c r="G65" s="17">
        <f t="shared" si="5"/>
        <v>0</v>
      </c>
      <c r="H65" s="153">
        <v>0.2</v>
      </c>
      <c r="I65" s="19">
        <f t="shared" si="4"/>
        <v>0</v>
      </c>
      <c r="J65" s="19">
        <f t="shared" si="1"/>
        <v>0</v>
      </c>
      <c r="K65" s="325">
        <v>7564</v>
      </c>
      <c r="L65" s="320"/>
    </row>
    <row r="66" spans="1:16" ht="16.899999999999999" customHeight="1" x14ac:dyDescent="0.25">
      <c r="A66" s="34">
        <v>2705</v>
      </c>
      <c r="B66" s="507" t="s">
        <v>670</v>
      </c>
      <c r="C66" s="247" t="s">
        <v>80</v>
      </c>
      <c r="D66" s="166"/>
      <c r="E66" s="275">
        <v>0.33048</v>
      </c>
      <c r="F66" s="28">
        <v>1.1080239999999999</v>
      </c>
      <c r="G66" s="46">
        <f t="shared" si="5"/>
        <v>0</v>
      </c>
      <c r="H66" s="33">
        <v>0.2</v>
      </c>
      <c r="I66" s="48">
        <f t="shared" si="4"/>
        <v>0</v>
      </c>
      <c r="J66" s="48">
        <f t="shared" si="1"/>
        <v>0</v>
      </c>
      <c r="K66" s="319">
        <v>527176</v>
      </c>
      <c r="M66" s="34" t="s">
        <v>81</v>
      </c>
    </row>
    <row r="67" spans="1:16" ht="16.899999999999999" customHeight="1" x14ac:dyDescent="0.25">
      <c r="B67" s="508"/>
      <c r="C67" s="334" t="s">
        <v>80</v>
      </c>
      <c r="D67" s="335"/>
      <c r="E67" s="161"/>
      <c r="F67" s="161"/>
      <c r="G67" s="161"/>
      <c r="H67" s="161"/>
      <c r="I67" s="161"/>
      <c r="J67" s="161"/>
      <c r="K67" s="319">
        <v>527291</v>
      </c>
    </row>
    <row r="68" spans="1:16" ht="16.899999999999999" customHeight="1" x14ac:dyDescent="0.25">
      <c r="A68" s="34">
        <v>2705</v>
      </c>
      <c r="B68" s="45"/>
      <c r="C68" s="251" t="s">
        <v>82</v>
      </c>
      <c r="D68" s="161"/>
      <c r="E68" s="152">
        <v>0.33048</v>
      </c>
      <c r="F68" s="15">
        <v>1.1080239999999999</v>
      </c>
      <c r="G68" s="17">
        <f t="shared" ref="G68:G75" si="6">ROUND(D68*E68*F68,2)</f>
        <v>0</v>
      </c>
      <c r="H68" s="18">
        <v>0.2</v>
      </c>
      <c r="I68" s="19">
        <f t="shared" ref="I68:I75" si="7">ROUND(G68*H68,2)</f>
        <v>0</v>
      </c>
      <c r="J68" s="19">
        <f t="shared" ref="J68:J75" si="8">G68+I68</f>
        <v>0</v>
      </c>
      <c r="K68" s="323">
        <v>1195112315701</v>
      </c>
      <c r="L68" s="320"/>
    </row>
    <row r="69" spans="1:16" ht="16.899999999999999" customHeight="1" thickBot="1" x14ac:dyDescent="0.3">
      <c r="B69" s="28"/>
      <c r="C69" s="247" t="s">
        <v>83</v>
      </c>
      <c r="D69" s="161"/>
      <c r="E69" s="152">
        <v>0.33048</v>
      </c>
      <c r="F69" s="21">
        <v>1.1080239999999999</v>
      </c>
      <c r="G69" s="17">
        <f t="shared" si="6"/>
        <v>0</v>
      </c>
      <c r="H69" s="153">
        <v>0.2</v>
      </c>
      <c r="I69" s="19">
        <f t="shared" si="7"/>
        <v>0</v>
      </c>
      <c r="J69" s="19">
        <f t="shared" si="8"/>
        <v>0</v>
      </c>
      <c r="L69" s="336" t="s">
        <v>85</v>
      </c>
      <c r="M69" s="337" t="s">
        <v>86</v>
      </c>
      <c r="N69" s="338" t="s">
        <v>84</v>
      </c>
    </row>
    <row r="70" spans="1:16" ht="16.899999999999999" customHeight="1" x14ac:dyDescent="0.25">
      <c r="A70" s="34">
        <v>2705</v>
      </c>
      <c r="B70" s="21" t="s">
        <v>222</v>
      </c>
      <c r="C70" s="246" t="s">
        <v>87</v>
      </c>
      <c r="D70" s="161"/>
      <c r="E70" s="152">
        <v>0.33048</v>
      </c>
      <c r="F70" s="21">
        <v>1.1080239999999999</v>
      </c>
      <c r="G70" s="17">
        <f t="shared" si="6"/>
        <v>0</v>
      </c>
      <c r="H70" s="153">
        <v>0.2</v>
      </c>
      <c r="I70" s="19">
        <f t="shared" si="7"/>
        <v>0</v>
      </c>
      <c r="J70" s="19">
        <f t="shared" si="8"/>
        <v>0</v>
      </c>
      <c r="K70" s="323">
        <v>1195118109269</v>
      </c>
      <c r="L70" s="320"/>
    </row>
    <row r="71" spans="1:16" ht="16.899999999999999" customHeight="1" x14ac:dyDescent="0.25">
      <c r="A71" s="34">
        <v>2705</v>
      </c>
      <c r="B71" s="21"/>
      <c r="C71" s="246" t="s">
        <v>88</v>
      </c>
      <c r="D71" s="161"/>
      <c r="E71" s="152">
        <v>0.33048</v>
      </c>
      <c r="F71" s="21">
        <v>1.1080239999999999</v>
      </c>
      <c r="G71" s="17">
        <f t="shared" si="6"/>
        <v>0</v>
      </c>
      <c r="H71" s="153">
        <v>0.2</v>
      </c>
      <c r="I71" s="19">
        <f t="shared" si="7"/>
        <v>0</v>
      </c>
      <c r="J71" s="19">
        <f t="shared" si="8"/>
        <v>0</v>
      </c>
      <c r="K71" s="323">
        <v>1185116800228</v>
      </c>
      <c r="L71" s="320"/>
    </row>
    <row r="72" spans="1:16" ht="16.899999999999999" customHeight="1" x14ac:dyDescent="0.25">
      <c r="A72" s="34">
        <v>905</v>
      </c>
      <c r="B72" s="28"/>
      <c r="C72" s="247" t="s">
        <v>89</v>
      </c>
      <c r="D72" s="161"/>
      <c r="E72" s="152">
        <v>0.33048</v>
      </c>
      <c r="F72" s="21">
        <v>1.1080239999999999</v>
      </c>
      <c r="G72" s="17">
        <f t="shared" si="6"/>
        <v>0</v>
      </c>
      <c r="H72" s="153">
        <v>0.2</v>
      </c>
      <c r="I72" s="19">
        <f t="shared" si="7"/>
        <v>0</v>
      </c>
      <c r="J72" s="19">
        <f t="shared" si="8"/>
        <v>0</v>
      </c>
      <c r="K72" s="323">
        <v>1185223731600</v>
      </c>
      <c r="L72" s="320"/>
    </row>
    <row r="73" spans="1:16" ht="16.899999999999999" customHeight="1" x14ac:dyDescent="0.25">
      <c r="A73" s="34">
        <v>2705</v>
      </c>
      <c r="B73" s="21"/>
      <c r="C73" s="246" t="s">
        <v>90</v>
      </c>
      <c r="D73" s="154"/>
      <c r="E73" s="152">
        <v>0.33048</v>
      </c>
      <c r="F73" s="21">
        <v>1.1080239999999999</v>
      </c>
      <c r="G73" s="17">
        <f t="shared" si="6"/>
        <v>0</v>
      </c>
      <c r="H73" s="153">
        <v>0.2</v>
      </c>
      <c r="I73" s="19">
        <f t="shared" si="7"/>
        <v>0</v>
      </c>
      <c r="J73" s="19">
        <f t="shared" si="8"/>
        <v>0</v>
      </c>
      <c r="K73" s="329"/>
      <c r="L73" s="320"/>
    </row>
    <row r="74" spans="1:16" ht="16.899999999999999" customHeight="1" x14ac:dyDescent="0.25">
      <c r="B74" s="159" t="s">
        <v>671</v>
      </c>
      <c r="C74" s="246" t="s">
        <v>91</v>
      </c>
      <c r="D74" s="154"/>
      <c r="E74" s="152">
        <v>0.33048</v>
      </c>
      <c r="F74" s="21">
        <v>1.1080239999999999</v>
      </c>
      <c r="G74" s="17">
        <f t="shared" si="6"/>
        <v>0</v>
      </c>
      <c r="H74" s="153">
        <v>0.2</v>
      </c>
      <c r="I74" s="19">
        <f t="shared" si="7"/>
        <v>0</v>
      </c>
      <c r="J74" s="19">
        <f t="shared" si="8"/>
        <v>0</v>
      </c>
      <c r="K74" s="323"/>
      <c r="L74" s="320"/>
    </row>
    <row r="75" spans="1:16" ht="16.899999999999999" customHeight="1" thickBot="1" x14ac:dyDescent="0.3">
      <c r="A75" s="34">
        <v>2705</v>
      </c>
      <c r="B75" s="21"/>
      <c r="C75" s="246" t="s">
        <v>92</v>
      </c>
      <c r="D75" s="161"/>
      <c r="E75" s="152">
        <v>0.33048</v>
      </c>
      <c r="F75" s="21">
        <v>1.1080239999999999</v>
      </c>
      <c r="G75" s="17">
        <f t="shared" si="6"/>
        <v>0</v>
      </c>
      <c r="H75" s="153">
        <v>0.2</v>
      </c>
      <c r="I75" s="19">
        <f t="shared" si="7"/>
        <v>0</v>
      </c>
      <c r="J75" s="19">
        <f t="shared" si="8"/>
        <v>0</v>
      </c>
      <c r="K75" s="323">
        <v>8842084002257</v>
      </c>
      <c r="L75" s="320"/>
      <c r="N75" s="41"/>
      <c r="O75" s="41"/>
    </row>
    <row r="76" spans="1:16" ht="16.899999999999999" customHeight="1" thickBot="1" x14ac:dyDescent="0.3">
      <c r="A76" s="41"/>
      <c r="B76" s="168"/>
      <c r="C76" s="252" t="s">
        <v>43</v>
      </c>
      <c r="D76" s="175">
        <f>SUM(D32:D75)-D67-D52</f>
        <v>198</v>
      </c>
      <c r="E76" s="276"/>
      <c r="F76" s="21"/>
      <c r="G76" s="277">
        <f>SUM(G32:G75)</f>
        <v>371.77</v>
      </c>
      <c r="H76" s="278"/>
      <c r="I76" s="277">
        <f>SUM(I32:I75)</f>
        <v>74.33</v>
      </c>
      <c r="J76" s="279">
        <f>SUM(J32:J75)</f>
        <v>446.1</v>
      </c>
      <c r="K76" s="327"/>
      <c r="L76" s="328"/>
      <c r="M76" s="41"/>
      <c r="P76" s="41"/>
    </row>
    <row r="77" spans="1:16" ht="16.899999999999999" customHeight="1" x14ac:dyDescent="0.25">
      <c r="A77" s="162">
        <v>2705</v>
      </c>
      <c r="B77" s="15">
        <v>7</v>
      </c>
      <c r="C77" s="16" t="s">
        <v>93</v>
      </c>
      <c r="D77" s="161"/>
      <c r="E77" s="152">
        <v>0.33048</v>
      </c>
      <c r="F77" s="21">
        <v>1.1080239999999999</v>
      </c>
      <c r="G77" s="17">
        <f>ROUND(D77*E77*F77,2)</f>
        <v>0</v>
      </c>
      <c r="H77" s="18">
        <v>0.2</v>
      </c>
      <c r="I77" s="19">
        <f>ROUND(G77*H77,2)</f>
        <v>0</v>
      </c>
      <c r="J77" s="19">
        <f t="shared" ref="J77:J108" si="9">G77+I77</f>
        <v>0</v>
      </c>
      <c r="K77" s="319">
        <v>350317</v>
      </c>
      <c r="L77" s="320"/>
    </row>
    <row r="78" spans="1:16" ht="16.899999999999999" customHeight="1" x14ac:dyDescent="0.25">
      <c r="A78" s="162">
        <v>2705</v>
      </c>
      <c r="B78" s="21"/>
      <c r="C78" s="22" t="s">
        <v>94</v>
      </c>
      <c r="D78" s="161"/>
      <c r="E78" s="152">
        <v>0.33048</v>
      </c>
      <c r="F78" s="21">
        <v>1.1080239999999999</v>
      </c>
      <c r="G78" s="17">
        <f t="shared" ref="G78:G108" si="10">ROUND(D78*E78*F78,2)</f>
        <v>0</v>
      </c>
      <c r="H78" s="18">
        <v>0.2</v>
      </c>
      <c r="I78" s="19">
        <f t="shared" ref="I78:I108" si="11">ROUND(G78*H78,2)</f>
        <v>0</v>
      </c>
      <c r="J78" s="19">
        <f t="shared" si="9"/>
        <v>0</v>
      </c>
      <c r="K78" s="319">
        <v>41116009989</v>
      </c>
      <c r="L78" s="320"/>
    </row>
    <row r="79" spans="1:16" ht="16.899999999999999" customHeight="1" x14ac:dyDescent="0.25">
      <c r="A79" s="34" t="s">
        <v>95</v>
      </c>
      <c r="B79" s="21"/>
      <c r="C79" s="3" t="s">
        <v>27</v>
      </c>
      <c r="D79" s="161"/>
      <c r="E79" s="152">
        <v>0.33048</v>
      </c>
      <c r="F79" s="21">
        <v>1.1080239999999999</v>
      </c>
      <c r="G79" s="17">
        <f t="shared" si="10"/>
        <v>0</v>
      </c>
      <c r="H79" s="18">
        <v>0.2</v>
      </c>
      <c r="I79" s="19">
        <f t="shared" si="11"/>
        <v>0</v>
      </c>
      <c r="J79" s="19">
        <f t="shared" si="9"/>
        <v>0</v>
      </c>
      <c r="K79" s="325">
        <v>135493</v>
      </c>
      <c r="L79" s="320"/>
    </row>
    <row r="80" spans="1:16" ht="16.899999999999999" customHeight="1" x14ac:dyDescent="0.25">
      <c r="A80" s="34" t="s">
        <v>96</v>
      </c>
      <c r="B80" s="21"/>
      <c r="C80" s="3" t="s">
        <v>29</v>
      </c>
      <c r="D80" s="161"/>
      <c r="E80" s="280">
        <v>0.15176999999999999</v>
      </c>
      <c r="F80" s="21">
        <v>1.1080239999999999</v>
      </c>
      <c r="G80" s="17">
        <f t="shared" si="10"/>
        <v>0</v>
      </c>
      <c r="H80" s="18">
        <v>0.2</v>
      </c>
      <c r="I80" s="19">
        <f t="shared" si="11"/>
        <v>0</v>
      </c>
      <c r="J80" s="19">
        <f t="shared" si="9"/>
        <v>0</v>
      </c>
      <c r="K80" s="325">
        <v>135493</v>
      </c>
      <c r="L80" s="320"/>
    </row>
    <row r="81" spans="1:12" ht="16.899999999999999" customHeight="1" x14ac:dyDescent="0.25">
      <c r="A81" s="34">
        <v>2705</v>
      </c>
      <c r="B81" s="21"/>
      <c r="C81" s="29" t="s">
        <v>97</v>
      </c>
      <c r="D81" s="161"/>
      <c r="E81" s="152">
        <v>0.33048</v>
      </c>
      <c r="F81" s="21">
        <v>1.1080239999999999</v>
      </c>
      <c r="G81" s="17">
        <f t="shared" si="10"/>
        <v>0</v>
      </c>
      <c r="H81" s="18">
        <v>0.2</v>
      </c>
      <c r="I81" s="19">
        <f t="shared" si="11"/>
        <v>0</v>
      </c>
      <c r="J81" s="19">
        <f t="shared" si="9"/>
        <v>0</v>
      </c>
      <c r="K81" s="319">
        <v>2010155</v>
      </c>
      <c r="L81" s="320"/>
    </row>
    <row r="82" spans="1:12" ht="16.899999999999999" customHeight="1" x14ac:dyDescent="0.25">
      <c r="A82" s="34">
        <v>2705</v>
      </c>
      <c r="B82" s="21"/>
      <c r="C82" s="22" t="s">
        <v>98</v>
      </c>
      <c r="D82" s="161"/>
      <c r="E82" s="152">
        <v>0.33048</v>
      </c>
      <c r="F82" s="21">
        <v>1.1080239999999999</v>
      </c>
      <c r="G82" s="17">
        <f t="shared" si="10"/>
        <v>0</v>
      </c>
      <c r="H82" s="18">
        <v>0.2</v>
      </c>
      <c r="I82" s="19">
        <f t="shared" si="11"/>
        <v>0</v>
      </c>
      <c r="J82" s="19">
        <f t="shared" si="9"/>
        <v>0</v>
      </c>
      <c r="K82" s="319">
        <v>84864562</v>
      </c>
      <c r="L82" s="320"/>
    </row>
    <row r="83" spans="1:12" ht="16.899999999999999" customHeight="1" x14ac:dyDescent="0.25">
      <c r="A83" s="34">
        <v>902</v>
      </c>
      <c r="B83" s="21"/>
      <c r="C83" s="22" t="s">
        <v>99</v>
      </c>
      <c r="D83" s="154"/>
      <c r="E83" s="152">
        <v>0.24295</v>
      </c>
      <c r="F83" s="21">
        <v>1.1080239999999999</v>
      </c>
      <c r="G83" s="17">
        <f t="shared" si="10"/>
        <v>0</v>
      </c>
      <c r="H83" s="18">
        <v>0.2</v>
      </c>
      <c r="I83" s="19">
        <f t="shared" si="11"/>
        <v>0</v>
      </c>
      <c r="J83" s="19">
        <f t="shared" si="9"/>
        <v>0</v>
      </c>
      <c r="K83" s="319">
        <v>273397</v>
      </c>
      <c r="L83" s="320"/>
    </row>
    <row r="84" spans="1:12" ht="16.899999999999999" customHeight="1" x14ac:dyDescent="0.25">
      <c r="A84" s="34" t="s">
        <v>33</v>
      </c>
      <c r="B84" s="21"/>
      <c r="C84" s="3" t="s">
        <v>37</v>
      </c>
      <c r="D84" s="154"/>
      <c r="E84" s="280">
        <v>0.33048</v>
      </c>
      <c r="F84" s="21">
        <v>1.1080239999999999</v>
      </c>
      <c r="G84" s="17">
        <f t="shared" si="10"/>
        <v>0</v>
      </c>
      <c r="H84" s="18">
        <v>0.2</v>
      </c>
      <c r="I84" s="19">
        <f t="shared" si="11"/>
        <v>0</v>
      </c>
      <c r="J84" s="19">
        <f t="shared" si="9"/>
        <v>0</v>
      </c>
      <c r="K84" s="319">
        <v>357480</v>
      </c>
      <c r="L84" s="320"/>
    </row>
    <row r="85" spans="1:12" ht="16.899999999999999" customHeight="1" x14ac:dyDescent="0.25">
      <c r="A85" s="34">
        <v>2605</v>
      </c>
      <c r="B85" s="21"/>
      <c r="C85" s="22" t="s">
        <v>100</v>
      </c>
      <c r="D85" s="161"/>
      <c r="E85" s="280">
        <v>0.33048</v>
      </c>
      <c r="F85" s="21">
        <v>1.1080239999999999</v>
      </c>
      <c r="G85" s="17">
        <f t="shared" si="10"/>
        <v>0</v>
      </c>
      <c r="H85" s="18">
        <v>0.2</v>
      </c>
      <c r="I85" s="19">
        <f t="shared" si="11"/>
        <v>0</v>
      </c>
      <c r="J85" s="19">
        <f t="shared" si="9"/>
        <v>0</v>
      </c>
      <c r="K85" s="319">
        <v>12413</v>
      </c>
      <c r="L85" s="320"/>
    </row>
    <row r="86" spans="1:12" ht="16.899999999999999" customHeight="1" x14ac:dyDescent="0.25">
      <c r="A86" s="34">
        <v>2705</v>
      </c>
      <c r="B86" s="3"/>
      <c r="C86" s="22" t="s">
        <v>101</v>
      </c>
      <c r="D86" s="161"/>
      <c r="E86" s="280">
        <v>0.33048</v>
      </c>
      <c r="F86" s="21">
        <v>1.1080239999999999</v>
      </c>
      <c r="G86" s="17">
        <f t="shared" si="10"/>
        <v>0</v>
      </c>
      <c r="H86" s="273">
        <v>0.2</v>
      </c>
      <c r="I86" s="19">
        <f t="shared" si="11"/>
        <v>0</v>
      </c>
      <c r="J86" s="19">
        <f t="shared" si="9"/>
        <v>0</v>
      </c>
      <c r="K86" s="319">
        <v>644684</v>
      </c>
      <c r="L86" s="339"/>
    </row>
    <row r="87" spans="1:12" ht="16.899999999999999" customHeight="1" x14ac:dyDescent="0.25">
      <c r="B87" s="3"/>
      <c r="C87" s="3" t="s">
        <v>27</v>
      </c>
      <c r="D87" s="154"/>
      <c r="E87" s="280">
        <v>0.33048</v>
      </c>
      <c r="F87" s="21">
        <v>1.1080239999999999</v>
      </c>
      <c r="G87" s="17">
        <f>ROUND(D87*E87*F87,2)</f>
        <v>0</v>
      </c>
      <c r="H87" s="18">
        <v>0.2</v>
      </c>
      <c r="I87" s="19">
        <f>ROUND(G87*H87,2)</f>
        <v>0</v>
      </c>
      <c r="J87" s="19">
        <f>G87+I87</f>
        <v>0</v>
      </c>
      <c r="K87" s="319">
        <v>33391</v>
      </c>
      <c r="L87" s="340"/>
    </row>
    <row r="88" spans="1:12" ht="16.899999999999999" customHeight="1" x14ac:dyDescent="0.25">
      <c r="A88" s="34">
        <v>2705</v>
      </c>
      <c r="B88" s="21"/>
      <c r="C88" s="22" t="s">
        <v>102</v>
      </c>
      <c r="D88" s="161"/>
      <c r="E88" s="280">
        <v>0.33048</v>
      </c>
      <c r="F88" s="21">
        <v>1.1080239999999999</v>
      </c>
      <c r="G88" s="17">
        <f t="shared" si="10"/>
        <v>0</v>
      </c>
      <c r="H88" s="18">
        <v>0.2</v>
      </c>
      <c r="I88" s="19">
        <f t="shared" si="11"/>
        <v>0</v>
      </c>
      <c r="J88" s="19">
        <f t="shared" si="9"/>
        <v>0</v>
      </c>
      <c r="K88" s="319">
        <v>587955</v>
      </c>
      <c r="L88" s="320"/>
    </row>
    <row r="89" spans="1:12" ht="16.899999999999999" customHeight="1" x14ac:dyDescent="0.25">
      <c r="A89" s="34">
        <v>2705</v>
      </c>
      <c r="B89" s="28"/>
      <c r="C89" s="29" t="s">
        <v>103</v>
      </c>
      <c r="D89" s="154"/>
      <c r="E89" s="280">
        <v>0.33048</v>
      </c>
      <c r="F89" s="21">
        <v>1.1080239999999999</v>
      </c>
      <c r="G89" s="17">
        <f t="shared" si="10"/>
        <v>0</v>
      </c>
      <c r="H89" s="18">
        <v>0.2</v>
      </c>
      <c r="I89" s="19">
        <f t="shared" si="11"/>
        <v>0</v>
      </c>
      <c r="J89" s="264">
        <f t="shared" si="9"/>
        <v>0</v>
      </c>
      <c r="K89" s="323">
        <v>8842082000036</v>
      </c>
      <c r="L89" s="320"/>
    </row>
    <row r="90" spans="1:12" ht="16.899999999999999" customHeight="1" x14ac:dyDescent="0.25">
      <c r="B90" s="28"/>
      <c r="C90" s="3" t="s">
        <v>27</v>
      </c>
      <c r="D90" s="154"/>
      <c r="E90" s="280">
        <v>0.33048</v>
      </c>
      <c r="F90" s="21">
        <v>1.1080239999999999</v>
      </c>
      <c r="G90" s="17">
        <f>ROUND(D90*E90*F90,2)</f>
        <v>0</v>
      </c>
      <c r="H90" s="18">
        <v>0.2</v>
      </c>
      <c r="I90" s="19">
        <f>ROUND(G90*H90,2)</f>
        <v>0</v>
      </c>
      <c r="J90" s="19">
        <f>G90+I90</f>
        <v>0</v>
      </c>
      <c r="K90" s="325">
        <v>78893681</v>
      </c>
      <c r="L90" s="320"/>
    </row>
    <row r="91" spans="1:12" ht="16.899999999999999" customHeight="1" thickBot="1" x14ac:dyDescent="0.3">
      <c r="B91" s="28"/>
      <c r="C91" s="3" t="s">
        <v>29</v>
      </c>
      <c r="D91" s="154"/>
      <c r="E91" s="280">
        <v>0.15176999999999999</v>
      </c>
      <c r="F91" s="21">
        <v>1.1080239999999999</v>
      </c>
      <c r="G91" s="17">
        <f>ROUND(D91*E91*F91,2)</f>
        <v>0</v>
      </c>
      <c r="H91" s="18">
        <v>0.2</v>
      </c>
      <c r="I91" s="19">
        <f>ROUND(G91*H91,2)</f>
        <v>0</v>
      </c>
      <c r="J91" s="19">
        <f>G91+I91</f>
        <v>0</v>
      </c>
      <c r="K91" s="325">
        <v>78893681</v>
      </c>
      <c r="L91" s="320"/>
    </row>
    <row r="92" spans="1:12" ht="16.899999999999999" customHeight="1" thickBot="1" x14ac:dyDescent="0.3">
      <c r="A92" s="34">
        <v>2705</v>
      </c>
      <c r="B92" s="28"/>
      <c r="C92" s="29" t="s">
        <v>104</v>
      </c>
      <c r="D92" s="253"/>
      <c r="E92" s="152">
        <v>0.33048</v>
      </c>
      <c r="F92" s="21">
        <v>1.1080239999999999</v>
      </c>
      <c r="G92" s="17">
        <f t="shared" si="10"/>
        <v>0</v>
      </c>
      <c r="H92" s="18">
        <v>0.2</v>
      </c>
      <c r="I92" s="19">
        <f t="shared" si="11"/>
        <v>0</v>
      </c>
      <c r="J92" s="19">
        <f t="shared" si="9"/>
        <v>0</v>
      </c>
      <c r="K92" s="26">
        <v>80022780</v>
      </c>
      <c r="L92" s="320"/>
    </row>
    <row r="93" spans="1:12" ht="16.899999999999999" customHeight="1" x14ac:dyDescent="0.25">
      <c r="A93" s="34">
        <v>2706</v>
      </c>
      <c r="B93" s="28"/>
      <c r="C93" s="29" t="s">
        <v>105</v>
      </c>
      <c r="D93" s="154"/>
      <c r="E93" s="152">
        <v>0.27273999999999998</v>
      </c>
      <c r="F93" s="21">
        <v>1.1080239999999999</v>
      </c>
      <c r="G93" s="17">
        <f t="shared" si="10"/>
        <v>0</v>
      </c>
      <c r="H93" s="18">
        <v>0.2</v>
      </c>
      <c r="I93" s="19">
        <f t="shared" si="11"/>
        <v>0</v>
      </c>
      <c r="J93" s="19">
        <f t="shared" si="9"/>
        <v>0</v>
      </c>
      <c r="K93" s="329"/>
      <c r="L93" s="320" t="s">
        <v>223</v>
      </c>
    </row>
    <row r="94" spans="1:12" ht="16.899999999999999" customHeight="1" x14ac:dyDescent="0.25">
      <c r="A94" s="34">
        <v>2706</v>
      </c>
      <c r="B94" s="28"/>
      <c r="C94" s="29" t="s">
        <v>106</v>
      </c>
      <c r="D94" s="154"/>
      <c r="E94" s="152">
        <v>0.27273999999999998</v>
      </c>
      <c r="F94" s="21">
        <v>1.1080239999999999</v>
      </c>
      <c r="G94" s="17">
        <f t="shared" si="10"/>
        <v>0</v>
      </c>
      <c r="H94" s="18">
        <v>0.2</v>
      </c>
      <c r="I94" s="19">
        <f t="shared" si="11"/>
        <v>0</v>
      </c>
      <c r="J94" s="19">
        <f t="shared" si="9"/>
        <v>0</v>
      </c>
      <c r="K94" s="319">
        <v>5520018</v>
      </c>
      <c r="L94" s="320"/>
    </row>
    <row r="95" spans="1:12" ht="16.899999999999999" customHeight="1" x14ac:dyDescent="0.25">
      <c r="A95" s="34" t="s">
        <v>107</v>
      </c>
      <c r="B95" s="28"/>
      <c r="C95" s="29" t="s">
        <v>108</v>
      </c>
      <c r="D95" s="161"/>
      <c r="E95" s="152">
        <v>0.27273999999999998</v>
      </c>
      <c r="F95" s="21">
        <v>1.1080239999999999</v>
      </c>
      <c r="G95" s="17">
        <f t="shared" si="10"/>
        <v>0</v>
      </c>
      <c r="H95" s="18">
        <v>0.2</v>
      </c>
      <c r="I95" s="19">
        <f t="shared" si="11"/>
        <v>0</v>
      </c>
      <c r="J95" s="19">
        <f t="shared" si="9"/>
        <v>0</v>
      </c>
      <c r="K95" s="319">
        <v>439924</v>
      </c>
      <c r="L95" s="320"/>
    </row>
    <row r="96" spans="1:12" ht="16.899999999999999" customHeight="1" x14ac:dyDescent="0.25">
      <c r="A96" s="34" t="s">
        <v>107</v>
      </c>
      <c r="B96" s="28"/>
      <c r="C96" s="29" t="s">
        <v>109</v>
      </c>
      <c r="D96" s="161"/>
      <c r="E96" s="152">
        <v>0.27273999999999998</v>
      </c>
      <c r="F96" s="21">
        <v>1.1080239999999999</v>
      </c>
      <c r="G96" s="17">
        <f t="shared" si="10"/>
        <v>0</v>
      </c>
      <c r="H96" s="18">
        <v>0.2</v>
      </c>
      <c r="I96" s="19">
        <f t="shared" si="11"/>
        <v>0</v>
      </c>
      <c r="J96" s="19">
        <f t="shared" si="9"/>
        <v>0</v>
      </c>
      <c r="K96" s="319">
        <v>439257</v>
      </c>
      <c r="L96" s="320"/>
    </row>
    <row r="97" spans="1:16" ht="16.899999999999999" customHeight="1" x14ac:dyDescent="0.25">
      <c r="B97" s="28"/>
      <c r="C97" s="29" t="s">
        <v>110</v>
      </c>
      <c r="D97" s="154"/>
      <c r="E97" s="152">
        <v>0.33048</v>
      </c>
      <c r="F97" s="21">
        <v>1.1080239999999999</v>
      </c>
      <c r="G97" s="17">
        <f>ROUND(D97*E97*F97,2)</f>
        <v>0</v>
      </c>
      <c r="H97" s="153">
        <v>0.2</v>
      </c>
      <c r="I97" s="19">
        <f>ROUND(G97*H97,2)</f>
        <v>0</v>
      </c>
      <c r="J97" s="19">
        <f>G97+I97</f>
        <v>0</v>
      </c>
      <c r="K97" s="319">
        <v>2016538</v>
      </c>
      <c r="L97" s="320"/>
    </row>
    <row r="98" spans="1:16" ht="16.899999999999999" customHeight="1" x14ac:dyDescent="0.25">
      <c r="A98" s="34">
        <v>902</v>
      </c>
      <c r="B98" s="21"/>
      <c r="C98" s="3" t="s">
        <v>111</v>
      </c>
      <c r="D98" s="161"/>
      <c r="E98" s="152">
        <v>0.24295</v>
      </c>
      <c r="F98" s="21">
        <v>1.1080239999999999</v>
      </c>
      <c r="G98" s="17">
        <f t="shared" si="10"/>
        <v>0</v>
      </c>
      <c r="H98" s="153">
        <v>0.2</v>
      </c>
      <c r="I98" s="19">
        <f t="shared" si="11"/>
        <v>0</v>
      </c>
      <c r="J98" s="19">
        <f t="shared" si="9"/>
        <v>0</v>
      </c>
      <c r="K98" s="319">
        <v>73857000</v>
      </c>
      <c r="L98" s="320"/>
    </row>
    <row r="99" spans="1:16" ht="16.899999999999999" customHeight="1" x14ac:dyDescent="0.25">
      <c r="A99" s="34">
        <v>2705</v>
      </c>
      <c r="B99" s="21"/>
      <c r="C99" s="3" t="s">
        <v>112</v>
      </c>
      <c r="D99" s="154"/>
      <c r="E99" s="152">
        <v>0.33048</v>
      </c>
      <c r="F99" s="21">
        <v>1.1080239999999999</v>
      </c>
      <c r="G99" s="17">
        <f>ROUND(D99*E99*F99,2)</f>
        <v>0</v>
      </c>
      <c r="H99" s="153">
        <v>0.2</v>
      </c>
      <c r="I99" s="19">
        <f>ROUND(G99*H99,2)</f>
        <v>0</v>
      </c>
      <c r="J99" s="19">
        <f>G99+I99</f>
        <v>0</v>
      </c>
      <c r="K99" s="319">
        <v>51117055533</v>
      </c>
      <c r="L99" s="320"/>
    </row>
    <row r="100" spans="1:16" ht="16.899999999999999" customHeight="1" x14ac:dyDescent="0.25">
      <c r="A100" s="34">
        <v>2705</v>
      </c>
      <c r="B100" s="21"/>
      <c r="C100" s="3" t="s">
        <v>113</v>
      </c>
      <c r="D100" s="161"/>
      <c r="E100" s="152">
        <v>0.33048</v>
      </c>
      <c r="F100" s="21">
        <v>1.1080239999999999</v>
      </c>
      <c r="G100" s="17">
        <f t="shared" si="10"/>
        <v>0</v>
      </c>
      <c r="H100" s="153">
        <v>0.2</v>
      </c>
      <c r="I100" s="19">
        <f t="shared" si="11"/>
        <v>0</v>
      </c>
      <c r="J100" s="19">
        <f t="shared" si="9"/>
        <v>0</v>
      </c>
      <c r="K100" s="319">
        <v>615387</v>
      </c>
      <c r="L100" s="320"/>
    </row>
    <row r="101" spans="1:16" ht="16.899999999999999" customHeight="1" x14ac:dyDescent="0.25">
      <c r="A101" s="34" t="s">
        <v>95</v>
      </c>
      <c r="B101" s="21"/>
      <c r="C101" s="3" t="s">
        <v>114</v>
      </c>
      <c r="D101" s="154"/>
      <c r="E101" s="152">
        <v>0.33048</v>
      </c>
      <c r="F101" s="21">
        <v>1.1080239999999999</v>
      </c>
      <c r="G101" s="17">
        <f t="shared" si="10"/>
        <v>0</v>
      </c>
      <c r="H101" s="153">
        <v>0.2</v>
      </c>
      <c r="I101" s="19">
        <f t="shared" si="11"/>
        <v>0</v>
      </c>
      <c r="J101" s="19">
        <f t="shared" si="9"/>
        <v>0</v>
      </c>
      <c r="K101" s="319">
        <v>94559</v>
      </c>
      <c r="L101" s="320"/>
    </row>
    <row r="102" spans="1:16" ht="16.899999999999999" customHeight="1" x14ac:dyDescent="0.25">
      <c r="A102" s="34">
        <v>2605</v>
      </c>
      <c r="B102" s="21"/>
      <c r="C102" s="3" t="s">
        <v>115</v>
      </c>
      <c r="D102" s="161"/>
      <c r="E102" s="152">
        <v>0.33048</v>
      </c>
      <c r="F102" s="21">
        <v>1.1080239999999999</v>
      </c>
      <c r="G102" s="17">
        <f t="shared" si="10"/>
        <v>0</v>
      </c>
      <c r="H102" s="153">
        <v>0.2</v>
      </c>
      <c r="I102" s="19">
        <f t="shared" si="11"/>
        <v>0</v>
      </c>
      <c r="J102" s="19">
        <f t="shared" si="9"/>
        <v>0</v>
      </c>
      <c r="K102" s="319">
        <v>46984</v>
      </c>
      <c r="L102" s="320"/>
    </row>
    <row r="103" spans="1:16" ht="16.899999999999999" customHeight="1" x14ac:dyDescent="0.25">
      <c r="A103" s="34" t="s">
        <v>33</v>
      </c>
      <c r="B103" s="21"/>
      <c r="C103" s="3" t="s">
        <v>116</v>
      </c>
      <c r="D103" s="154"/>
      <c r="E103" s="152">
        <v>0.33048</v>
      </c>
      <c r="F103" s="21">
        <v>1.1080239999999999</v>
      </c>
      <c r="G103" s="17">
        <f t="shared" si="10"/>
        <v>0</v>
      </c>
      <c r="H103" s="153">
        <v>0.2</v>
      </c>
      <c r="I103" s="19">
        <f t="shared" si="11"/>
        <v>0</v>
      </c>
      <c r="J103" s="19">
        <f t="shared" si="9"/>
        <v>0</v>
      </c>
      <c r="K103" s="319">
        <v>47136</v>
      </c>
      <c r="L103" s="320"/>
    </row>
    <row r="104" spans="1:16" ht="16.899999999999999" customHeight="1" x14ac:dyDescent="0.25">
      <c r="A104" s="34">
        <v>2605</v>
      </c>
      <c r="B104" s="21"/>
      <c r="C104" s="3" t="s">
        <v>117</v>
      </c>
      <c r="D104" s="161"/>
      <c r="E104" s="152">
        <v>0.33048</v>
      </c>
      <c r="F104" s="21">
        <v>1.1080239999999999</v>
      </c>
      <c r="G104" s="17">
        <f t="shared" si="10"/>
        <v>0</v>
      </c>
      <c r="H104" s="153">
        <v>0.2</v>
      </c>
      <c r="I104" s="19">
        <f t="shared" si="11"/>
        <v>0</v>
      </c>
      <c r="J104" s="19">
        <f t="shared" si="9"/>
        <v>0</v>
      </c>
      <c r="K104" s="319">
        <v>484583</v>
      </c>
      <c r="L104" s="320"/>
    </row>
    <row r="105" spans="1:16" ht="16.899999999999999" customHeight="1" x14ac:dyDescent="0.25">
      <c r="A105" s="162">
        <v>2705</v>
      </c>
      <c r="B105" s="21"/>
      <c r="C105" s="3" t="s">
        <v>116</v>
      </c>
      <c r="D105" s="161"/>
      <c r="E105" s="152">
        <v>0.33048</v>
      </c>
      <c r="F105" s="21">
        <v>1.1080239999999999</v>
      </c>
      <c r="G105" s="17">
        <f t="shared" si="10"/>
        <v>0</v>
      </c>
      <c r="H105" s="153">
        <v>0.2</v>
      </c>
      <c r="I105" s="19">
        <f t="shared" si="11"/>
        <v>0</v>
      </c>
      <c r="J105" s="19">
        <f t="shared" si="9"/>
        <v>0</v>
      </c>
      <c r="K105" s="325">
        <v>484620</v>
      </c>
      <c r="L105" s="320"/>
    </row>
    <row r="106" spans="1:16" ht="16.899999999999999" customHeight="1" x14ac:dyDescent="0.25">
      <c r="A106" s="162"/>
      <c r="B106" s="28"/>
      <c r="C106" s="3" t="s">
        <v>118</v>
      </c>
      <c r="D106" s="161"/>
      <c r="E106" s="280">
        <v>0.15176999999999999</v>
      </c>
      <c r="F106" s="21">
        <v>1.1080239999999999</v>
      </c>
      <c r="G106" s="17">
        <f>ROUND(D106*E106*F106,2)</f>
        <v>0</v>
      </c>
      <c r="H106" s="18">
        <v>0.2</v>
      </c>
      <c r="I106" s="19">
        <f>ROUND(G106*H106,2)</f>
        <v>0</v>
      </c>
      <c r="J106" s="19">
        <f>G106+I106</f>
        <v>0</v>
      </c>
      <c r="K106" s="325">
        <v>484620</v>
      </c>
      <c r="L106" s="320"/>
    </row>
    <row r="107" spans="1:16" ht="16.899999999999999" customHeight="1" x14ac:dyDescent="0.25">
      <c r="A107" s="162">
        <v>2705</v>
      </c>
      <c r="B107" s="28"/>
      <c r="C107" s="27" t="s">
        <v>119</v>
      </c>
      <c r="D107" s="161"/>
      <c r="E107" s="152">
        <v>0.33048</v>
      </c>
      <c r="F107" s="21">
        <v>1.1080239999999999</v>
      </c>
      <c r="G107" s="17">
        <f t="shared" si="10"/>
        <v>0</v>
      </c>
      <c r="H107" s="153">
        <v>0.2</v>
      </c>
      <c r="I107" s="19">
        <f t="shared" si="11"/>
        <v>0</v>
      </c>
      <c r="J107" s="19">
        <f t="shared" si="9"/>
        <v>0</v>
      </c>
      <c r="K107" s="319">
        <v>6286</v>
      </c>
      <c r="L107" s="320"/>
    </row>
    <row r="108" spans="1:16" ht="16.899999999999999" customHeight="1" thickBot="1" x14ac:dyDescent="0.3">
      <c r="A108" s="162" t="s">
        <v>120</v>
      </c>
      <c r="B108" s="28"/>
      <c r="C108" s="3" t="s">
        <v>121</v>
      </c>
      <c r="D108" s="154"/>
      <c r="E108" s="152">
        <v>0.33048</v>
      </c>
      <c r="F108" s="21">
        <v>1.1080239999999999</v>
      </c>
      <c r="G108" s="17">
        <f t="shared" si="10"/>
        <v>0</v>
      </c>
      <c r="H108" s="153">
        <v>0.2</v>
      </c>
      <c r="I108" s="19">
        <f t="shared" si="11"/>
        <v>0</v>
      </c>
      <c r="J108" s="19">
        <f t="shared" si="9"/>
        <v>0</v>
      </c>
      <c r="K108" s="319">
        <v>458092</v>
      </c>
      <c r="L108" s="320"/>
      <c r="N108" s="41"/>
      <c r="O108" s="41"/>
    </row>
    <row r="109" spans="1:16" ht="16.899999999999999" customHeight="1" thickBot="1" x14ac:dyDescent="0.3">
      <c r="A109" s="41"/>
      <c r="B109" s="171"/>
      <c r="C109" s="11" t="s">
        <v>122</v>
      </c>
      <c r="D109" s="170">
        <f>SUM(D77:D108)</f>
        <v>0</v>
      </c>
      <c r="E109" s="276"/>
      <c r="F109" s="21"/>
      <c r="G109" s="278">
        <f>SUM(G77:G108)</f>
        <v>0</v>
      </c>
      <c r="H109" s="278"/>
      <c r="I109" s="278">
        <f>SUM(I77:I108)</f>
        <v>0</v>
      </c>
      <c r="J109" s="281">
        <f>SUM(J77:J108)</f>
        <v>0</v>
      </c>
      <c r="K109" s="327"/>
      <c r="L109" s="328"/>
      <c r="M109" s="41"/>
      <c r="P109" s="41"/>
    </row>
    <row r="110" spans="1:16" ht="16.899999999999999" customHeight="1" thickBot="1" x14ac:dyDescent="0.3">
      <c r="A110" s="34">
        <v>2706</v>
      </c>
      <c r="B110" s="172">
        <v>12</v>
      </c>
      <c r="C110" s="25" t="s">
        <v>123</v>
      </c>
      <c r="D110" s="154"/>
      <c r="E110" s="152">
        <v>0.27273999999999998</v>
      </c>
      <c r="F110" s="21">
        <v>1.1080239999999999</v>
      </c>
      <c r="G110" s="17">
        <f t="shared" ref="G110:G121" si="12">ROUND(D110*E110*F110,2)</f>
        <v>0</v>
      </c>
      <c r="H110" s="18">
        <v>0.2</v>
      </c>
      <c r="I110" s="19">
        <f t="shared" ref="I110:I121" si="13">ROUND(G110*H110,2)</f>
        <v>0</v>
      </c>
      <c r="J110" s="19">
        <f t="shared" ref="J110:J121" si="14">G110+I110</f>
        <v>0</v>
      </c>
      <c r="K110" s="314">
        <v>63796</v>
      </c>
      <c r="L110" s="320"/>
    </row>
    <row r="111" spans="1:16" ht="16.899999999999999" customHeight="1" thickBot="1" x14ac:dyDescent="0.3">
      <c r="A111" s="162">
        <v>2705</v>
      </c>
      <c r="B111" s="21"/>
      <c r="C111" s="22" t="s">
        <v>124</v>
      </c>
      <c r="D111" s="154"/>
      <c r="E111" s="152">
        <v>0.33048</v>
      </c>
      <c r="F111" s="21">
        <v>1.1080239999999999</v>
      </c>
      <c r="G111" s="17">
        <f>ROUND(D111*E111*F111,2)</f>
        <v>0</v>
      </c>
      <c r="H111" s="18">
        <v>0.2</v>
      </c>
      <c r="I111" s="19">
        <f>ROUND(G111*H111,2)</f>
        <v>0</v>
      </c>
      <c r="J111" s="19">
        <f>G111+I111</f>
        <v>0</v>
      </c>
      <c r="K111" s="341"/>
      <c r="L111" s="242" t="s">
        <v>126</v>
      </c>
      <c r="M111" s="342" t="s">
        <v>127</v>
      </c>
      <c r="N111" s="341" t="s">
        <v>125</v>
      </c>
    </row>
    <row r="112" spans="1:16" ht="16.899999999999999" customHeight="1" x14ac:dyDescent="0.25">
      <c r="A112" s="162">
        <v>2705</v>
      </c>
      <c r="B112" s="21"/>
      <c r="C112" s="22" t="s">
        <v>128</v>
      </c>
      <c r="D112" s="161"/>
      <c r="E112" s="152">
        <v>0.33048</v>
      </c>
      <c r="F112" s="21">
        <v>1.1080239999999999</v>
      </c>
      <c r="G112" s="17">
        <f t="shared" si="12"/>
        <v>0</v>
      </c>
      <c r="H112" s="18">
        <v>0.2</v>
      </c>
      <c r="I112" s="19">
        <f t="shared" si="13"/>
        <v>0</v>
      </c>
      <c r="J112" s="19">
        <f t="shared" si="14"/>
        <v>0</v>
      </c>
      <c r="K112" s="314">
        <v>1195112335820</v>
      </c>
      <c r="L112" s="320"/>
    </row>
    <row r="113" spans="1:16" ht="16.899999999999999" customHeight="1" x14ac:dyDescent="0.25">
      <c r="A113" s="162" t="s">
        <v>96</v>
      </c>
      <c r="B113" s="28"/>
      <c r="C113" s="3" t="s">
        <v>118</v>
      </c>
      <c r="D113" s="154"/>
      <c r="E113" s="280">
        <v>0.15176999999999999</v>
      </c>
      <c r="F113" s="21">
        <v>1.1080239999999999</v>
      </c>
      <c r="G113" s="17">
        <f>ROUND(D113*E113*F113,2)</f>
        <v>0</v>
      </c>
      <c r="H113" s="18">
        <v>0.2</v>
      </c>
      <c r="I113" s="19">
        <f>ROUND(G113*H113,2)</f>
        <v>0</v>
      </c>
      <c r="J113" s="19">
        <f>G113+I113</f>
        <v>0</v>
      </c>
      <c r="K113" s="341"/>
      <c r="L113" s="320"/>
    </row>
    <row r="114" spans="1:16" ht="16.899999999999999" customHeight="1" x14ac:dyDescent="0.25">
      <c r="A114" s="162">
        <v>2602</v>
      </c>
      <c r="B114" s="21"/>
      <c r="C114" s="22" t="s">
        <v>129</v>
      </c>
      <c r="D114" s="157"/>
      <c r="E114" s="152">
        <v>0.24295</v>
      </c>
      <c r="F114" s="21">
        <v>1.1080239999999999</v>
      </c>
      <c r="G114" s="17">
        <f t="shared" si="12"/>
        <v>0</v>
      </c>
      <c r="H114" s="18">
        <v>0.2</v>
      </c>
      <c r="I114" s="19">
        <f t="shared" si="13"/>
        <v>0</v>
      </c>
      <c r="J114" s="19">
        <f t="shared" si="14"/>
        <v>0</v>
      </c>
      <c r="K114" s="343">
        <v>2205118116586</v>
      </c>
      <c r="L114" s="320" t="s">
        <v>130</v>
      </c>
    </row>
    <row r="115" spans="1:16" ht="16.899999999999999" customHeight="1" x14ac:dyDescent="0.25">
      <c r="A115" s="162">
        <v>2605</v>
      </c>
      <c r="B115" s="21"/>
      <c r="C115" s="22" t="s">
        <v>131</v>
      </c>
      <c r="D115" s="161"/>
      <c r="E115" s="152">
        <v>0.33048</v>
      </c>
      <c r="F115" s="21">
        <v>1.1080239999999999</v>
      </c>
      <c r="G115" s="17">
        <f t="shared" si="12"/>
        <v>0</v>
      </c>
      <c r="H115" s="18">
        <v>0.2</v>
      </c>
      <c r="I115" s="19">
        <f t="shared" si="13"/>
        <v>0</v>
      </c>
      <c r="J115" s="19">
        <f t="shared" si="14"/>
        <v>0</v>
      </c>
      <c r="K115" s="314">
        <v>628132</v>
      </c>
      <c r="L115" s="320"/>
    </row>
    <row r="116" spans="1:16" ht="16.899999999999999" customHeight="1" x14ac:dyDescent="0.25">
      <c r="A116" s="162">
        <v>2605</v>
      </c>
      <c r="B116" s="21"/>
      <c r="C116" s="22" t="s">
        <v>132</v>
      </c>
      <c r="D116" s="161"/>
      <c r="E116" s="152">
        <v>0.33048</v>
      </c>
      <c r="F116" s="21">
        <v>1.1080239999999999</v>
      </c>
      <c r="G116" s="17">
        <f t="shared" si="12"/>
        <v>0</v>
      </c>
      <c r="H116" s="18">
        <v>0.2</v>
      </c>
      <c r="I116" s="19">
        <f t="shared" si="13"/>
        <v>0</v>
      </c>
      <c r="J116" s="19">
        <f t="shared" si="14"/>
        <v>0</v>
      </c>
      <c r="K116" s="314">
        <v>2010412</v>
      </c>
      <c r="L116" s="320"/>
    </row>
    <row r="117" spans="1:16" ht="16.899999999999999" customHeight="1" x14ac:dyDescent="0.25">
      <c r="A117" s="34">
        <v>2705</v>
      </c>
      <c r="B117" s="21"/>
      <c r="C117" s="3" t="s">
        <v>133</v>
      </c>
      <c r="D117" s="161"/>
      <c r="E117" s="152">
        <v>0.33048</v>
      </c>
      <c r="F117" s="21">
        <v>1.1080239999999999</v>
      </c>
      <c r="G117" s="17">
        <f>ROUND(D117*E117*F117,2)</f>
        <v>0</v>
      </c>
      <c r="H117" s="47">
        <v>0.2</v>
      </c>
      <c r="I117" s="19">
        <f>ROUND(G117*H117,2)</f>
        <v>0</v>
      </c>
      <c r="J117" s="19">
        <f>G117+I117</f>
        <v>0</v>
      </c>
      <c r="K117" s="314">
        <v>2151822</v>
      </c>
      <c r="L117" s="314"/>
    </row>
    <row r="118" spans="1:16" ht="16.899999999999999" customHeight="1" x14ac:dyDescent="0.25">
      <c r="A118" s="162">
        <v>2705</v>
      </c>
      <c r="B118" s="21"/>
      <c r="C118" s="3" t="s">
        <v>116</v>
      </c>
      <c r="D118" s="161"/>
      <c r="E118" s="152">
        <v>0.33048</v>
      </c>
      <c r="F118" s="21">
        <v>1.1080239999999999</v>
      </c>
      <c r="G118" s="17">
        <f>ROUND(D118*E118*F118,2)</f>
        <v>0</v>
      </c>
      <c r="H118" s="153">
        <v>0.2</v>
      </c>
      <c r="I118" s="19">
        <f>ROUND(G118*H118,2)</f>
        <v>0</v>
      </c>
      <c r="J118" s="19">
        <f>G118+I118</f>
        <v>0</v>
      </c>
      <c r="K118" s="344">
        <v>2149285</v>
      </c>
      <c r="L118" s="320"/>
    </row>
    <row r="119" spans="1:16" ht="16.899999999999999" customHeight="1" x14ac:dyDescent="0.25">
      <c r="A119" s="162">
        <v>2705</v>
      </c>
      <c r="B119" s="21"/>
      <c r="C119" s="3" t="s">
        <v>118</v>
      </c>
      <c r="D119" s="161"/>
      <c r="E119" s="152"/>
      <c r="F119" s="21"/>
      <c r="G119" s="17"/>
      <c r="H119" s="18"/>
      <c r="I119" s="19"/>
      <c r="J119" s="19"/>
      <c r="K119" s="344">
        <v>2149285</v>
      </c>
      <c r="L119" s="320"/>
    </row>
    <row r="120" spans="1:16" ht="16.899999999999999" customHeight="1" thickBot="1" x14ac:dyDescent="0.3">
      <c r="A120" s="34">
        <v>2605</v>
      </c>
      <c r="B120" s="21"/>
      <c r="C120" s="22" t="s">
        <v>106</v>
      </c>
      <c r="D120" s="154"/>
      <c r="E120" s="152">
        <v>0.33048</v>
      </c>
      <c r="F120" s="21">
        <v>1.1080239999999999</v>
      </c>
      <c r="G120" s="17">
        <f t="shared" si="12"/>
        <v>0</v>
      </c>
      <c r="H120" s="18">
        <v>0.2</v>
      </c>
      <c r="I120" s="19">
        <f t="shared" si="13"/>
        <v>0</v>
      </c>
      <c r="J120" s="19">
        <f t="shared" si="14"/>
        <v>0</v>
      </c>
      <c r="K120" s="329"/>
      <c r="L120" s="320"/>
    </row>
    <row r="121" spans="1:16" ht="16.899999999999999" customHeight="1" thickBot="1" x14ac:dyDescent="0.3">
      <c r="A121" s="173">
        <v>2706</v>
      </c>
      <c r="B121" s="503" t="s">
        <v>577</v>
      </c>
      <c r="C121" s="29" t="s">
        <v>134</v>
      </c>
      <c r="D121" s="161"/>
      <c r="E121" s="275">
        <v>0.27273999999999998</v>
      </c>
      <c r="F121" s="28">
        <v>1.1080239999999999</v>
      </c>
      <c r="G121" s="46">
        <f t="shared" si="12"/>
        <v>0</v>
      </c>
      <c r="H121" s="282">
        <v>0.2</v>
      </c>
      <c r="I121" s="48">
        <f t="shared" si="13"/>
        <v>0</v>
      </c>
      <c r="J121" s="48">
        <f t="shared" si="14"/>
        <v>0</v>
      </c>
      <c r="K121" s="345">
        <v>82272</v>
      </c>
      <c r="L121" s="345"/>
      <c r="M121" s="34" t="s">
        <v>135</v>
      </c>
      <c r="N121" s="26"/>
    </row>
    <row r="122" spans="1:16" ht="16.899999999999999" customHeight="1" x14ac:dyDescent="0.25">
      <c r="B122" s="509"/>
      <c r="C122" s="346" t="s">
        <v>134</v>
      </c>
      <c r="D122" s="255">
        <v>174</v>
      </c>
      <c r="E122" s="161"/>
      <c r="F122" s="161"/>
      <c r="G122" s="161"/>
      <c r="H122" s="161"/>
      <c r="I122" s="161"/>
      <c r="J122" s="161"/>
      <c r="K122" s="347">
        <v>2144179</v>
      </c>
      <c r="L122" s="161"/>
    </row>
    <row r="123" spans="1:16" ht="16.899999999999999" customHeight="1" x14ac:dyDescent="0.25">
      <c r="B123" s="509"/>
      <c r="C123" s="346" t="s">
        <v>134</v>
      </c>
      <c r="D123" s="255">
        <v>1071</v>
      </c>
      <c r="E123" s="161"/>
      <c r="F123" s="161"/>
      <c r="G123" s="161"/>
      <c r="H123" s="161"/>
      <c r="I123" s="161"/>
      <c r="J123" s="161"/>
      <c r="K123" s="347">
        <v>906142</v>
      </c>
      <c r="L123" s="161"/>
      <c r="P123" s="41"/>
    </row>
    <row r="124" spans="1:16" ht="16.899999999999999" customHeight="1" x14ac:dyDescent="0.25">
      <c r="B124" s="504"/>
      <c r="C124" s="348" t="s">
        <v>134</v>
      </c>
      <c r="D124" s="254">
        <v>0</v>
      </c>
      <c r="E124" s="161"/>
      <c r="F124" s="161"/>
      <c r="G124" s="161"/>
      <c r="H124" s="161"/>
      <c r="I124" s="161"/>
      <c r="J124" s="161"/>
      <c r="K124" s="347">
        <v>5107</v>
      </c>
      <c r="L124" s="161"/>
    </row>
    <row r="125" spans="1:16" ht="16.899999999999999" customHeight="1" thickBot="1" x14ac:dyDescent="0.3">
      <c r="A125" s="34">
        <v>2705</v>
      </c>
      <c r="B125" s="15"/>
      <c r="C125" s="3" t="s">
        <v>136</v>
      </c>
      <c r="D125" s="161"/>
      <c r="E125" s="152">
        <v>0.33048</v>
      </c>
      <c r="F125" s="15">
        <v>1.1080239999999999</v>
      </c>
      <c r="G125" s="17">
        <f>ROUND(D125*E125*F125,2)</f>
        <v>0</v>
      </c>
      <c r="H125" s="47">
        <v>0.2</v>
      </c>
      <c r="I125" s="19">
        <f>ROUND(G125*H125,2)</f>
        <v>0</v>
      </c>
      <c r="J125" s="19">
        <f>G125+I125</f>
        <v>0</v>
      </c>
      <c r="K125" s="349">
        <v>26837</v>
      </c>
      <c r="L125" s="350"/>
      <c r="N125" s="41"/>
      <c r="O125" s="41"/>
    </row>
    <row r="126" spans="1:16" ht="16.899999999999999" customHeight="1" thickBot="1" x14ac:dyDescent="0.3">
      <c r="A126" s="41"/>
      <c r="B126" s="13"/>
      <c r="C126" s="174" t="s">
        <v>122</v>
      </c>
      <c r="D126" s="175"/>
      <c r="E126" s="152"/>
      <c r="F126" s="21"/>
      <c r="G126" s="38">
        <f>SUM(G110:G125)</f>
        <v>0</v>
      </c>
      <c r="H126" s="283"/>
      <c r="I126" s="38">
        <f>SUM(I110:I125)</f>
        <v>0</v>
      </c>
      <c r="J126" s="268">
        <f>SUM(J110:J125)</f>
        <v>0</v>
      </c>
      <c r="K126" s="327"/>
      <c r="L126" s="351"/>
      <c r="M126" s="41"/>
    </row>
    <row r="127" spans="1:16" ht="16.899999999999999" customHeight="1" x14ac:dyDescent="0.25">
      <c r="A127" s="162">
        <v>2605</v>
      </c>
      <c r="B127" s="15">
        <v>14</v>
      </c>
      <c r="C127" s="176" t="s">
        <v>137</v>
      </c>
      <c r="D127" s="161"/>
      <c r="E127" s="256">
        <v>0.33048</v>
      </c>
      <c r="F127" s="21">
        <v>1.1080239999999999</v>
      </c>
      <c r="G127" s="17">
        <f>ROUND(D127*E127*F127,2)</f>
        <v>0</v>
      </c>
      <c r="H127" s="18">
        <v>0.2</v>
      </c>
      <c r="I127" s="19">
        <f>ROUND(G127*H127,2)</f>
        <v>0</v>
      </c>
      <c r="J127" s="19">
        <f t="shared" ref="J127:J131" si="15">G127+I127</f>
        <v>0</v>
      </c>
      <c r="K127" s="319">
        <v>309623</v>
      </c>
      <c r="L127" s="161"/>
    </row>
    <row r="128" spans="1:16" ht="16.899999999999999" customHeight="1" x14ac:dyDescent="0.25">
      <c r="A128" s="162">
        <v>2605</v>
      </c>
      <c r="B128" s="21"/>
      <c r="C128" s="177" t="s">
        <v>138</v>
      </c>
      <c r="D128" s="161"/>
      <c r="E128" s="256">
        <v>0.33048</v>
      </c>
      <c r="F128" s="21">
        <v>1.1080239999999999</v>
      </c>
      <c r="G128" s="17">
        <f t="shared" ref="G128:G131" si="16">ROUND(D128*E128*F128,2)</f>
        <v>0</v>
      </c>
      <c r="H128" s="18">
        <v>0.2</v>
      </c>
      <c r="I128" s="19">
        <f t="shared" ref="I128:I131" si="17">ROUND(G128*H128,2)</f>
        <v>0</v>
      </c>
      <c r="J128" s="19">
        <f t="shared" si="15"/>
        <v>0</v>
      </c>
      <c r="K128" s="319">
        <v>173492</v>
      </c>
      <c r="L128" s="320"/>
    </row>
    <row r="129" spans="1:16" ht="16.899999999999999" customHeight="1" x14ac:dyDescent="0.25">
      <c r="A129" s="34" t="s">
        <v>33</v>
      </c>
      <c r="B129" s="21"/>
      <c r="C129" s="3" t="s">
        <v>27</v>
      </c>
      <c r="D129" s="154"/>
      <c r="E129" s="256">
        <v>0.33048</v>
      </c>
      <c r="F129" s="21">
        <v>1.1080239999999999</v>
      </c>
      <c r="G129" s="17">
        <f t="shared" si="16"/>
        <v>0</v>
      </c>
      <c r="H129" s="18">
        <v>0.2</v>
      </c>
      <c r="I129" s="19">
        <f t="shared" si="17"/>
        <v>0</v>
      </c>
      <c r="J129" s="19">
        <f t="shared" si="15"/>
        <v>0</v>
      </c>
      <c r="K129" s="319">
        <v>301998</v>
      </c>
      <c r="L129" s="320"/>
    </row>
    <row r="130" spans="1:16" ht="16.899999999999999" customHeight="1" x14ac:dyDescent="0.25">
      <c r="A130" s="34">
        <v>2605</v>
      </c>
      <c r="B130" s="21"/>
      <c r="C130" s="177" t="s">
        <v>139</v>
      </c>
      <c r="D130" s="161"/>
      <c r="E130" s="256">
        <v>0.33048</v>
      </c>
      <c r="F130" s="21">
        <v>1.1080239999999999</v>
      </c>
      <c r="G130" s="17">
        <f t="shared" si="16"/>
        <v>0</v>
      </c>
      <c r="H130" s="18">
        <v>0.2</v>
      </c>
      <c r="I130" s="19">
        <f t="shared" si="17"/>
        <v>0</v>
      </c>
      <c r="J130" s="19">
        <f t="shared" si="15"/>
        <v>0</v>
      </c>
      <c r="K130" s="319">
        <v>393256</v>
      </c>
      <c r="L130" s="320"/>
    </row>
    <row r="131" spans="1:16" ht="16.899999999999999" customHeight="1" x14ac:dyDescent="0.25">
      <c r="A131" s="162">
        <v>2705</v>
      </c>
      <c r="B131" s="21"/>
      <c r="C131" s="177" t="s">
        <v>140</v>
      </c>
      <c r="D131" s="161"/>
      <c r="E131" s="256">
        <v>0.33048</v>
      </c>
      <c r="F131" s="21">
        <v>1.1080239999999999</v>
      </c>
      <c r="G131" s="17">
        <f t="shared" si="16"/>
        <v>0</v>
      </c>
      <c r="H131" s="18">
        <v>0.2</v>
      </c>
      <c r="I131" s="19">
        <f t="shared" si="17"/>
        <v>0</v>
      </c>
      <c r="J131" s="19">
        <f t="shared" si="15"/>
        <v>0</v>
      </c>
      <c r="K131" s="319">
        <v>260015</v>
      </c>
      <c r="L131" s="34" t="s">
        <v>81</v>
      </c>
    </row>
    <row r="132" spans="1:16" ht="16.899999999999999" customHeight="1" x14ac:dyDescent="0.25">
      <c r="A132" s="162">
        <v>2705</v>
      </c>
      <c r="B132" s="161"/>
      <c r="C132" s="352" t="s">
        <v>140</v>
      </c>
      <c r="D132" s="255">
        <v>75</v>
      </c>
      <c r="E132" s="312"/>
      <c r="F132" s="161"/>
      <c r="G132" s="161"/>
      <c r="H132" s="161"/>
      <c r="I132" s="161"/>
      <c r="J132" s="161"/>
      <c r="K132" s="319">
        <v>969139</v>
      </c>
    </row>
    <row r="133" spans="1:16" ht="16.899999999999999" customHeight="1" x14ac:dyDescent="0.25">
      <c r="A133" s="162">
        <v>2605</v>
      </c>
      <c r="B133" s="15"/>
      <c r="C133" s="176" t="s">
        <v>141</v>
      </c>
      <c r="D133" s="161"/>
      <c r="E133" s="256">
        <v>0.33048</v>
      </c>
      <c r="F133" s="15">
        <v>1.1080239999999999</v>
      </c>
      <c r="G133" s="17">
        <f>ROUND(D133*E133*F133,2)</f>
        <v>0</v>
      </c>
      <c r="H133" s="18">
        <v>0.2</v>
      </c>
      <c r="I133" s="19">
        <f>ROUND(G133*H133,2)</f>
        <v>0</v>
      </c>
      <c r="J133" s="19">
        <f>G133+I133</f>
        <v>0</v>
      </c>
      <c r="K133" s="319">
        <v>187396</v>
      </c>
    </row>
    <row r="134" spans="1:16" ht="16.899999999999999" customHeight="1" x14ac:dyDescent="0.25">
      <c r="A134" s="162">
        <v>2605</v>
      </c>
      <c r="B134" s="161"/>
      <c r="C134" s="353" t="s">
        <v>27</v>
      </c>
      <c r="D134" s="154"/>
      <c r="E134" s="312"/>
      <c r="F134" s="161"/>
      <c r="G134" s="161"/>
      <c r="H134" s="161"/>
      <c r="I134" s="161"/>
      <c r="J134" s="161"/>
      <c r="K134" s="319">
        <v>450924</v>
      </c>
      <c r="L134" s="34" t="s">
        <v>142</v>
      </c>
    </row>
    <row r="135" spans="1:16" ht="16.899999999999999" customHeight="1" x14ac:dyDescent="0.25">
      <c r="A135" s="162"/>
      <c r="B135" s="15"/>
      <c r="C135" s="176" t="s">
        <v>143</v>
      </c>
      <c r="D135" s="161"/>
      <c r="E135" s="256">
        <v>0.33048</v>
      </c>
      <c r="F135" s="15">
        <v>1.1080239999999999</v>
      </c>
      <c r="G135" s="17">
        <f t="shared" ref="G135:G148" si="18">ROUND(D135*E135*F135,2)</f>
        <v>0</v>
      </c>
      <c r="H135" s="18">
        <v>0.2</v>
      </c>
      <c r="I135" s="19">
        <f t="shared" ref="I135:I148" si="19">ROUND(G135*H135,2)</f>
        <v>0</v>
      </c>
      <c r="J135" s="19">
        <f t="shared" ref="J135:J148" si="20">G135+I135</f>
        <v>0</v>
      </c>
      <c r="K135" s="323">
        <v>1195112332955</v>
      </c>
      <c r="L135" s="320"/>
    </row>
    <row r="136" spans="1:16" ht="16.899999999999999" customHeight="1" x14ac:dyDescent="0.25">
      <c r="A136" s="162"/>
      <c r="B136" s="21"/>
      <c r="C136" s="22" t="s">
        <v>144</v>
      </c>
      <c r="D136" s="161"/>
      <c r="E136" s="256">
        <v>0.33048</v>
      </c>
      <c r="F136" s="21">
        <v>1.1080239999999999</v>
      </c>
      <c r="G136" s="17">
        <f t="shared" si="18"/>
        <v>0</v>
      </c>
      <c r="H136" s="18">
        <v>0.2</v>
      </c>
      <c r="I136" s="19">
        <f t="shared" si="19"/>
        <v>0</v>
      </c>
      <c r="J136" s="19">
        <f t="shared" si="20"/>
        <v>0</v>
      </c>
      <c r="K136" s="319">
        <v>250473</v>
      </c>
      <c r="L136" s="320"/>
    </row>
    <row r="137" spans="1:16" ht="16.899999999999999" customHeight="1" x14ac:dyDescent="0.25">
      <c r="A137" s="162">
        <v>2705</v>
      </c>
      <c r="B137" s="21"/>
      <c r="C137" s="22" t="s">
        <v>145</v>
      </c>
      <c r="D137" s="154"/>
      <c r="E137" s="256">
        <v>0.33048</v>
      </c>
      <c r="F137" s="21">
        <v>1.1080239999999999</v>
      </c>
      <c r="G137" s="17">
        <f t="shared" si="18"/>
        <v>0</v>
      </c>
      <c r="H137" s="18">
        <v>0.2</v>
      </c>
      <c r="I137" s="19">
        <f t="shared" si="19"/>
        <v>0</v>
      </c>
      <c r="J137" s="19">
        <f t="shared" si="20"/>
        <v>0</v>
      </c>
      <c r="K137" s="319">
        <v>117771</v>
      </c>
      <c r="L137" s="320"/>
    </row>
    <row r="138" spans="1:16" ht="16.899999999999999" customHeight="1" x14ac:dyDescent="0.25">
      <c r="A138" s="162">
        <v>2705</v>
      </c>
      <c r="B138" s="21"/>
      <c r="C138" s="22" t="s">
        <v>146</v>
      </c>
      <c r="D138" s="154"/>
      <c r="E138" s="256">
        <v>0.33048</v>
      </c>
      <c r="F138" s="21">
        <v>1.1080239999999999</v>
      </c>
      <c r="G138" s="17">
        <f t="shared" si="18"/>
        <v>0</v>
      </c>
      <c r="H138" s="18">
        <v>0.2</v>
      </c>
      <c r="I138" s="19">
        <f t="shared" si="19"/>
        <v>0</v>
      </c>
      <c r="J138" s="19">
        <f t="shared" si="20"/>
        <v>0</v>
      </c>
      <c r="K138" s="319">
        <v>504261</v>
      </c>
      <c r="L138" s="320"/>
    </row>
    <row r="139" spans="1:16" ht="16.899999999999999" customHeight="1" x14ac:dyDescent="0.25">
      <c r="A139" s="162"/>
      <c r="B139" s="21"/>
      <c r="C139" s="22" t="s">
        <v>147</v>
      </c>
      <c r="D139" s="161"/>
      <c r="E139" s="256">
        <v>0.33048</v>
      </c>
      <c r="F139" s="21">
        <v>1.1080239999999999</v>
      </c>
      <c r="G139" s="17">
        <f t="shared" si="18"/>
        <v>0</v>
      </c>
      <c r="H139" s="18">
        <v>0.2</v>
      </c>
      <c r="I139" s="19">
        <f t="shared" si="19"/>
        <v>0</v>
      </c>
      <c r="J139" s="19">
        <f t="shared" si="20"/>
        <v>0</v>
      </c>
      <c r="K139" s="319">
        <v>624883</v>
      </c>
      <c r="L139" s="320"/>
    </row>
    <row r="140" spans="1:16" ht="16.899999999999999" customHeight="1" x14ac:dyDescent="0.25">
      <c r="A140" s="162"/>
      <c r="B140" s="21"/>
      <c r="C140" s="27" t="s">
        <v>148</v>
      </c>
      <c r="D140" s="161"/>
      <c r="E140" s="256">
        <v>0.33048</v>
      </c>
      <c r="F140" s="21">
        <v>1.1080239999999999</v>
      </c>
      <c r="G140" s="17">
        <f t="shared" si="18"/>
        <v>0</v>
      </c>
      <c r="H140" s="153">
        <v>0.2</v>
      </c>
      <c r="I140" s="19">
        <f t="shared" si="19"/>
        <v>0</v>
      </c>
      <c r="J140" s="19">
        <f t="shared" si="20"/>
        <v>0</v>
      </c>
      <c r="K140" s="319">
        <v>1314681</v>
      </c>
      <c r="L140" s="320"/>
    </row>
    <row r="141" spans="1:16" ht="16.899999999999999" customHeight="1" x14ac:dyDescent="0.25">
      <c r="A141" s="162">
        <v>2705</v>
      </c>
      <c r="B141" s="21"/>
      <c r="C141" s="27" t="s">
        <v>149</v>
      </c>
      <c r="D141" s="161"/>
      <c r="E141" s="256">
        <v>0.33048</v>
      </c>
      <c r="F141" s="21">
        <v>1.1080239999999999</v>
      </c>
      <c r="G141" s="17">
        <f t="shared" si="18"/>
        <v>0</v>
      </c>
      <c r="H141" s="153">
        <v>0.2</v>
      </c>
      <c r="I141" s="19">
        <f t="shared" si="19"/>
        <v>0</v>
      </c>
      <c r="J141" s="19">
        <f t="shared" si="20"/>
        <v>0</v>
      </c>
      <c r="K141" s="319">
        <v>2079342</v>
      </c>
      <c r="L141" s="320"/>
    </row>
    <row r="142" spans="1:16" ht="16.899999999999999" customHeight="1" x14ac:dyDescent="0.25">
      <c r="A142" s="162">
        <v>2705</v>
      </c>
      <c r="B142" s="21"/>
      <c r="C142" s="27" t="s">
        <v>150</v>
      </c>
      <c r="D142" s="161"/>
      <c r="E142" s="256">
        <v>0.33048</v>
      </c>
      <c r="F142" s="21">
        <v>1.1080239999999999</v>
      </c>
      <c r="G142" s="17">
        <f t="shared" si="18"/>
        <v>0</v>
      </c>
      <c r="H142" s="153">
        <v>0.2</v>
      </c>
      <c r="I142" s="19">
        <f t="shared" si="19"/>
        <v>0</v>
      </c>
      <c r="J142" s="19">
        <f t="shared" si="20"/>
        <v>0</v>
      </c>
      <c r="K142" s="319">
        <v>2033120</v>
      </c>
      <c r="L142" s="320"/>
    </row>
    <row r="143" spans="1:16" ht="16.899999999999999" customHeight="1" x14ac:dyDescent="0.25">
      <c r="A143" s="162"/>
      <c r="B143" s="21"/>
      <c r="C143" s="27" t="s">
        <v>151</v>
      </c>
      <c r="D143" s="154"/>
      <c r="E143" s="256">
        <v>0.33048</v>
      </c>
      <c r="F143" s="21">
        <v>1.1080239999999999</v>
      </c>
      <c r="G143" s="17">
        <f t="shared" si="18"/>
        <v>0</v>
      </c>
      <c r="H143" s="153">
        <v>0.2</v>
      </c>
      <c r="I143" s="19">
        <f t="shared" si="19"/>
        <v>0</v>
      </c>
      <c r="J143" s="19">
        <f t="shared" si="20"/>
        <v>0</v>
      </c>
      <c r="K143" s="319">
        <v>2096040</v>
      </c>
      <c r="L143" s="320"/>
    </row>
    <row r="144" spans="1:16" ht="16.899999999999999" customHeight="1" x14ac:dyDescent="0.25">
      <c r="A144" s="162">
        <v>2705</v>
      </c>
      <c r="B144" s="21"/>
      <c r="C144" s="27" t="s">
        <v>152</v>
      </c>
      <c r="D144" s="161"/>
      <c r="E144" s="256">
        <v>0.33048</v>
      </c>
      <c r="F144" s="21">
        <v>1.1080239999999999</v>
      </c>
      <c r="G144" s="17">
        <f t="shared" si="18"/>
        <v>0</v>
      </c>
      <c r="H144" s="153">
        <v>0.2</v>
      </c>
      <c r="I144" s="19">
        <f t="shared" si="19"/>
        <v>0</v>
      </c>
      <c r="J144" s="19">
        <f t="shared" si="20"/>
        <v>0</v>
      </c>
      <c r="K144" s="319">
        <v>42085</v>
      </c>
      <c r="L144" s="320"/>
      <c r="P144" s="41"/>
    </row>
    <row r="145" spans="1:16" ht="16.899999999999999" customHeight="1" x14ac:dyDescent="0.25">
      <c r="A145" s="162">
        <v>2705</v>
      </c>
      <c r="B145" s="21"/>
      <c r="C145" s="27" t="s">
        <v>153</v>
      </c>
      <c r="D145" s="161"/>
      <c r="E145" s="256">
        <v>0.33048</v>
      </c>
      <c r="F145" s="21">
        <v>1.1080239999999999</v>
      </c>
      <c r="G145" s="17">
        <f t="shared" si="18"/>
        <v>0</v>
      </c>
      <c r="H145" s="153">
        <v>0.2</v>
      </c>
      <c r="I145" s="19">
        <f t="shared" si="19"/>
        <v>0</v>
      </c>
      <c r="J145" s="19">
        <f t="shared" si="20"/>
        <v>0</v>
      </c>
      <c r="K145" s="319">
        <v>457473</v>
      </c>
      <c r="L145" s="320"/>
      <c r="P145" s="41"/>
    </row>
    <row r="146" spans="1:16" ht="16.899999999999999" customHeight="1" x14ac:dyDescent="0.25">
      <c r="A146" s="162">
        <v>2705</v>
      </c>
      <c r="B146" s="21"/>
      <c r="C146" s="27" t="s">
        <v>154</v>
      </c>
      <c r="D146" s="154"/>
      <c r="E146" s="256">
        <v>0.33048</v>
      </c>
      <c r="F146" s="21">
        <v>1.1080239999999999</v>
      </c>
      <c r="G146" s="17">
        <f t="shared" si="18"/>
        <v>0</v>
      </c>
      <c r="H146" s="153">
        <v>0.2</v>
      </c>
      <c r="I146" s="19">
        <f t="shared" si="19"/>
        <v>0</v>
      </c>
      <c r="J146" s="19">
        <f t="shared" si="20"/>
        <v>0</v>
      </c>
      <c r="K146" s="319">
        <v>383986</v>
      </c>
      <c r="L146" s="320"/>
    </row>
    <row r="147" spans="1:16" ht="16.899999999999999" customHeight="1" x14ac:dyDescent="0.25">
      <c r="A147" s="41"/>
      <c r="B147" s="21"/>
      <c r="C147" s="3" t="s">
        <v>155</v>
      </c>
      <c r="D147" s="161"/>
      <c r="E147" s="256">
        <v>0.33048</v>
      </c>
      <c r="F147" s="21">
        <v>1.1080239999999999</v>
      </c>
      <c r="G147" s="17">
        <f t="shared" si="18"/>
        <v>0</v>
      </c>
      <c r="H147" s="153">
        <v>0.2</v>
      </c>
      <c r="I147" s="19">
        <f t="shared" si="19"/>
        <v>0</v>
      </c>
      <c r="J147" s="19">
        <f t="shared" si="20"/>
        <v>0</v>
      </c>
      <c r="K147" s="319">
        <v>225273</v>
      </c>
      <c r="L147" s="320"/>
      <c r="O147" s="41"/>
    </row>
    <row r="148" spans="1:16" ht="16.899999999999999" customHeight="1" thickBot="1" x14ac:dyDescent="0.3">
      <c r="B148" s="502" t="s">
        <v>676</v>
      </c>
      <c r="C148" s="27" t="s">
        <v>156</v>
      </c>
      <c r="D148" s="154"/>
      <c r="E148" s="256">
        <v>0.33048</v>
      </c>
      <c r="F148" s="21">
        <v>1.1080239999999999</v>
      </c>
      <c r="G148" s="17">
        <f t="shared" si="18"/>
        <v>0</v>
      </c>
      <c r="H148" s="153">
        <v>0.2</v>
      </c>
      <c r="I148" s="19">
        <f t="shared" si="19"/>
        <v>0</v>
      </c>
      <c r="J148" s="19">
        <f t="shared" si="20"/>
        <v>0</v>
      </c>
      <c r="K148" s="319">
        <v>607280</v>
      </c>
      <c r="L148" s="320"/>
      <c r="N148" s="41"/>
      <c r="O148" s="41"/>
    </row>
    <row r="149" spans="1:16" ht="16.899999999999999" customHeight="1" thickBot="1" x14ac:dyDescent="0.3">
      <c r="B149" s="171"/>
      <c r="C149" s="11" t="s">
        <v>122</v>
      </c>
      <c r="D149" s="175"/>
      <c r="E149" s="284"/>
      <c r="F149" s="21"/>
      <c r="G149" s="285">
        <f>SUM(G127:G148)</f>
        <v>0</v>
      </c>
      <c r="H149" s="278"/>
      <c r="I149" s="278">
        <f>SUM(I127:I148)</f>
        <v>0</v>
      </c>
      <c r="J149" s="281">
        <f>SUM(J127:J148)</f>
        <v>0</v>
      </c>
      <c r="K149" s="327"/>
      <c r="L149" s="328"/>
      <c r="M149" s="41"/>
      <c r="N149" s="41"/>
    </row>
    <row r="150" spans="1:16" ht="16.899999999999999" customHeight="1" x14ac:dyDescent="0.25">
      <c r="A150" s="41">
        <v>2705</v>
      </c>
      <c r="B150" s="15">
        <v>17</v>
      </c>
      <c r="C150" s="178" t="s">
        <v>157</v>
      </c>
      <c r="D150" s="154"/>
      <c r="E150" s="256">
        <v>0.33048</v>
      </c>
      <c r="F150" s="21">
        <v>1.1080239999999999</v>
      </c>
      <c r="G150" s="17">
        <f t="shared" ref="G150:G151" si="21">ROUND(D150*E150*F150,2)</f>
        <v>0</v>
      </c>
      <c r="H150" s="18">
        <v>0.2</v>
      </c>
      <c r="I150" s="19">
        <f t="shared" ref="I150:I151" si="22">ROUND(G150*H150,2)</f>
        <v>0</v>
      </c>
      <c r="J150" s="19">
        <f t="shared" ref="J150:J151" si="23">G150+I150</f>
        <v>0</v>
      </c>
      <c r="K150" s="319">
        <v>34529695</v>
      </c>
      <c r="L150" s="328"/>
      <c r="M150" s="41"/>
    </row>
    <row r="151" spans="1:16" ht="16.899999999999999" customHeight="1" x14ac:dyDescent="0.25">
      <c r="A151" s="34">
        <v>2605</v>
      </c>
      <c r="B151" s="21"/>
      <c r="C151" s="21" t="s">
        <v>158</v>
      </c>
      <c r="D151" s="161"/>
      <c r="E151" s="256">
        <v>0.33048</v>
      </c>
      <c r="F151" s="21">
        <v>1.1080239999999999</v>
      </c>
      <c r="G151" s="17">
        <f t="shared" si="21"/>
        <v>0</v>
      </c>
      <c r="H151" s="153">
        <v>0.2</v>
      </c>
      <c r="I151" s="19">
        <f t="shared" si="22"/>
        <v>0</v>
      </c>
      <c r="J151" s="19">
        <f t="shared" si="23"/>
        <v>0</v>
      </c>
      <c r="K151" s="319">
        <v>2018109</v>
      </c>
      <c r="L151" s="320"/>
    </row>
    <row r="152" spans="1:16" ht="16.899999999999999" customHeight="1" x14ac:dyDescent="0.25">
      <c r="B152" s="21"/>
      <c r="C152" s="27" t="s">
        <v>27</v>
      </c>
      <c r="D152" s="161"/>
      <c r="E152" s="256">
        <v>0.33048</v>
      </c>
      <c r="F152" s="21">
        <v>1.1080239999999999</v>
      </c>
      <c r="G152" s="17">
        <f>ROUND(D152*E152*F152,2)</f>
        <v>0</v>
      </c>
      <c r="H152" s="33">
        <v>0.2</v>
      </c>
      <c r="I152" s="19">
        <f>ROUND(G152*H152,2)</f>
        <v>0</v>
      </c>
      <c r="J152" s="19">
        <f>G152+I152</f>
        <v>0</v>
      </c>
      <c r="K152" s="319">
        <v>2041951</v>
      </c>
      <c r="L152" s="320"/>
    </row>
    <row r="153" spans="1:16" ht="16.899999999999999" customHeight="1" x14ac:dyDescent="0.25">
      <c r="A153" s="34" t="s">
        <v>96</v>
      </c>
      <c r="B153" s="28"/>
      <c r="C153" s="29" t="s">
        <v>37</v>
      </c>
      <c r="D153" s="161"/>
      <c r="E153" s="265">
        <v>0.15176999999999999</v>
      </c>
      <c r="F153" s="21">
        <v>1.1080239999999999</v>
      </c>
      <c r="G153" s="17">
        <f>ROUND(D153*E153*F153,2)</f>
        <v>0</v>
      </c>
      <c r="H153" s="18">
        <v>0.2</v>
      </c>
      <c r="I153" s="19">
        <f>ROUND(G153*H153,2)</f>
        <v>0</v>
      </c>
      <c r="J153" s="19">
        <f>G153+I153</f>
        <v>0</v>
      </c>
      <c r="K153" s="319">
        <v>2041951</v>
      </c>
      <c r="L153" s="320"/>
    </row>
    <row r="154" spans="1:16" ht="16.899999999999999" customHeight="1" x14ac:dyDescent="0.25">
      <c r="B154" s="21"/>
      <c r="C154" s="21" t="s">
        <v>159</v>
      </c>
      <c r="D154" s="161"/>
      <c r="E154" s="256">
        <v>0.33048</v>
      </c>
      <c r="F154" s="21">
        <v>1.1080239999999999</v>
      </c>
      <c r="G154" s="17">
        <f>ROUND(D154*E154*F154,2)</f>
        <v>0</v>
      </c>
      <c r="H154" s="153">
        <v>0.2</v>
      </c>
      <c r="I154" s="19">
        <f>ROUND(G154*H154,2)</f>
        <v>0</v>
      </c>
      <c r="J154" s="19">
        <f>G154+I154</f>
        <v>0</v>
      </c>
      <c r="K154" s="319">
        <v>342709</v>
      </c>
    </row>
    <row r="155" spans="1:16" ht="16.899999999999999" customHeight="1" x14ac:dyDescent="0.25">
      <c r="B155" s="161"/>
      <c r="C155" s="353" t="s">
        <v>27</v>
      </c>
      <c r="D155" s="154"/>
      <c r="E155" s="312"/>
      <c r="F155" s="161"/>
      <c r="G155" s="161"/>
      <c r="H155" s="161"/>
      <c r="I155" s="161"/>
      <c r="J155" s="161"/>
      <c r="K155" s="323">
        <v>7516030000513</v>
      </c>
      <c r="L155" s="34" t="s">
        <v>142</v>
      </c>
    </row>
    <row r="156" spans="1:16" ht="16.899999999999999" customHeight="1" x14ac:dyDescent="0.25">
      <c r="B156" s="15"/>
      <c r="C156" s="15" t="s">
        <v>160</v>
      </c>
      <c r="D156" s="161"/>
      <c r="E156" s="256">
        <v>0.33048</v>
      </c>
      <c r="F156" s="15">
        <v>1.1080239999999999</v>
      </c>
      <c r="G156" s="17">
        <f>ROUND(D156*E156*F156,2)</f>
        <v>0</v>
      </c>
      <c r="H156" s="18">
        <v>0.2</v>
      </c>
      <c r="I156" s="19">
        <f>ROUND(G156*H156,2)</f>
        <v>0</v>
      </c>
      <c r="J156" s="19">
        <f>G156+I156</f>
        <v>0</v>
      </c>
      <c r="K156" s="323">
        <v>7516019001330</v>
      </c>
      <c r="L156" s="320"/>
      <c r="P156" s="41"/>
    </row>
    <row r="157" spans="1:16" ht="16.899999999999999" customHeight="1" x14ac:dyDescent="0.25">
      <c r="B157" s="21"/>
      <c r="C157" s="21" t="s">
        <v>161</v>
      </c>
      <c r="D157" s="161"/>
      <c r="E157" s="256">
        <v>0.33048</v>
      </c>
      <c r="F157" s="21">
        <v>1.1080239999999999</v>
      </c>
      <c r="G157" s="17">
        <f>ROUND(D157*E157*F157,2)</f>
        <v>0</v>
      </c>
      <c r="H157" s="153">
        <v>0.2</v>
      </c>
      <c r="I157" s="19">
        <f>ROUND(G157*H157,2)</f>
        <v>0</v>
      </c>
      <c r="J157" s="19">
        <f>G157+I157</f>
        <v>0</v>
      </c>
      <c r="K157" s="319">
        <v>102469</v>
      </c>
      <c r="L157" s="320"/>
    </row>
    <row r="158" spans="1:16" ht="16.899999999999999" customHeight="1" x14ac:dyDescent="0.25">
      <c r="B158" s="21"/>
      <c r="C158" s="27" t="s">
        <v>27</v>
      </c>
      <c r="D158" s="154"/>
      <c r="E158" s="256">
        <v>0.33048</v>
      </c>
      <c r="F158" s="21">
        <v>1.1080239999999999</v>
      </c>
      <c r="G158" s="17">
        <f>ROUND(D158*E158*F158,2)</f>
        <v>0</v>
      </c>
      <c r="H158" s="33">
        <v>0.2</v>
      </c>
      <c r="I158" s="19">
        <f>ROUND(G158*H158,2)</f>
        <v>0</v>
      </c>
      <c r="J158" s="19">
        <f>G158+I158</f>
        <v>0</v>
      </c>
      <c r="K158" s="319">
        <v>2268002</v>
      </c>
      <c r="L158" s="320"/>
    </row>
    <row r="159" spans="1:16" ht="16.899999999999999" customHeight="1" x14ac:dyDescent="0.25">
      <c r="A159" s="34">
        <v>2705</v>
      </c>
      <c r="B159" s="21"/>
      <c r="C159" s="21" t="s">
        <v>162</v>
      </c>
      <c r="D159" s="161"/>
      <c r="E159" s="256">
        <v>0.33048</v>
      </c>
      <c r="F159" s="21">
        <v>1.1080239999999999</v>
      </c>
      <c r="G159" s="17">
        <f>ROUND(D159*E159*F159,2)</f>
        <v>0</v>
      </c>
      <c r="H159" s="153">
        <v>0.2</v>
      </c>
      <c r="I159" s="19">
        <f>ROUND(G159*H159,2)</f>
        <v>0</v>
      </c>
      <c r="J159" s="19">
        <f>G159+I159</f>
        <v>0</v>
      </c>
      <c r="K159" s="323">
        <v>1185244938497</v>
      </c>
      <c r="M159" s="34" t="s">
        <v>81</v>
      </c>
      <c r="O159" s="41"/>
    </row>
    <row r="160" spans="1:16" ht="16.899999999999999" customHeight="1" x14ac:dyDescent="0.25">
      <c r="B160" s="161"/>
      <c r="C160" s="348" t="s">
        <v>162</v>
      </c>
      <c r="D160" s="255">
        <v>2607</v>
      </c>
      <c r="E160" s="312"/>
      <c r="F160" s="161"/>
      <c r="G160" s="161"/>
      <c r="H160" s="161"/>
      <c r="I160" s="161"/>
      <c r="J160" s="161"/>
      <c r="K160" s="323">
        <v>1195245459529</v>
      </c>
    </row>
    <row r="161" spans="1:16" ht="16.899999999999999" customHeight="1" x14ac:dyDescent="0.25">
      <c r="B161" s="45"/>
      <c r="C161" s="167" t="s">
        <v>27</v>
      </c>
      <c r="D161" s="161"/>
      <c r="E161" s="256">
        <v>0.33048</v>
      </c>
      <c r="F161" s="15">
        <v>1.1080239999999999</v>
      </c>
      <c r="G161" s="17">
        <f>ROUND(D161*E161*F161,2)</f>
        <v>0</v>
      </c>
      <c r="H161" s="47">
        <v>0.2</v>
      </c>
      <c r="I161" s="19">
        <f>ROUND(G161*H161,2)</f>
        <v>0</v>
      </c>
      <c r="J161" s="19">
        <f>G161+I161</f>
        <v>0</v>
      </c>
      <c r="K161" s="323">
        <v>2205245436868</v>
      </c>
      <c r="L161" s="320"/>
      <c r="P161" s="41"/>
    </row>
    <row r="162" spans="1:16" ht="16.899999999999999" customHeight="1" x14ac:dyDescent="0.25">
      <c r="A162" s="162">
        <v>2705</v>
      </c>
      <c r="B162" s="28"/>
      <c r="C162" s="28" t="s">
        <v>163</v>
      </c>
      <c r="D162" s="161"/>
      <c r="E162" s="286">
        <v>0.33048</v>
      </c>
      <c r="F162" s="28">
        <v>1.1080239999999999</v>
      </c>
      <c r="G162" s="46">
        <f>ROUND(D162*E162*F162,2)</f>
        <v>0</v>
      </c>
      <c r="H162" s="33">
        <v>0.2</v>
      </c>
      <c r="I162" s="48">
        <f>ROUND(G162*H162,2)</f>
        <v>0</v>
      </c>
      <c r="J162" s="48">
        <f>G162+I162</f>
        <v>0</v>
      </c>
      <c r="K162" s="323">
        <v>1195245458214</v>
      </c>
      <c r="N162" s="41"/>
    </row>
    <row r="163" spans="1:16" ht="16.899999999999999" customHeight="1" x14ac:dyDescent="0.25">
      <c r="A163" s="41"/>
      <c r="B163" s="161"/>
      <c r="C163" s="353" t="s">
        <v>27</v>
      </c>
      <c r="D163" s="154"/>
      <c r="E163" s="312"/>
      <c r="F163" s="161"/>
      <c r="G163" s="161"/>
      <c r="H163" s="161"/>
      <c r="I163" s="161"/>
      <c r="J163" s="161"/>
      <c r="K163" s="323">
        <v>1195112315443</v>
      </c>
    </row>
    <row r="164" spans="1:16" ht="16.899999999999999" customHeight="1" thickBot="1" x14ac:dyDescent="0.3">
      <c r="B164" s="169"/>
      <c r="C164" s="168" t="s">
        <v>122</v>
      </c>
      <c r="D164" s="175">
        <f>SUM(D150:D163)-D160-D155-D163</f>
        <v>0</v>
      </c>
      <c r="E164" s="287"/>
      <c r="F164" s="15"/>
      <c r="G164" s="288">
        <f>SUM(G150:G162)</f>
        <v>0</v>
      </c>
      <c r="H164" s="289"/>
      <c r="I164" s="288">
        <f>SUM(I150:I162)</f>
        <v>0</v>
      </c>
      <c r="J164" s="290">
        <f>SUM(J150:J162)</f>
        <v>0</v>
      </c>
      <c r="K164" s="351"/>
      <c r="L164" s="328"/>
      <c r="M164" s="41"/>
      <c r="O164" s="41"/>
    </row>
    <row r="165" spans="1:16" ht="16.899999999999999" customHeight="1" x14ac:dyDescent="0.25">
      <c r="A165" s="162">
        <v>2702</v>
      </c>
      <c r="B165" s="15">
        <v>20</v>
      </c>
      <c r="C165" s="172" t="s">
        <v>164</v>
      </c>
      <c r="D165" s="161"/>
      <c r="E165" s="256">
        <v>0.24295</v>
      </c>
      <c r="F165" s="21">
        <v>1.1080239999999999</v>
      </c>
      <c r="G165" s="17">
        <f>ROUND(D165*E165*F165,2)</f>
        <v>0</v>
      </c>
      <c r="H165" s="18">
        <v>0.2</v>
      </c>
      <c r="I165" s="19">
        <f>ROUND(G165*H165,2)</f>
        <v>0</v>
      </c>
      <c r="J165" s="19">
        <f>G165+I165</f>
        <v>0</v>
      </c>
      <c r="K165" s="324">
        <v>667194</v>
      </c>
    </row>
    <row r="166" spans="1:16" ht="16.899999999999999" customHeight="1" x14ac:dyDescent="0.25">
      <c r="B166" s="161"/>
      <c r="C166" s="354" t="s">
        <v>164</v>
      </c>
      <c r="D166" s="255">
        <v>3350</v>
      </c>
      <c r="E166" s="312"/>
      <c r="F166" s="161"/>
      <c r="G166" s="161"/>
      <c r="H166" s="161"/>
      <c r="I166" s="161"/>
      <c r="J166" s="161"/>
      <c r="K166" s="343">
        <v>634680700069951</v>
      </c>
    </row>
    <row r="167" spans="1:16" ht="16.899999999999999" customHeight="1" thickBot="1" x14ac:dyDescent="0.3">
      <c r="A167" s="162">
        <v>2605</v>
      </c>
      <c r="B167" s="15"/>
      <c r="C167" s="15" t="s">
        <v>165</v>
      </c>
      <c r="D167" s="161"/>
      <c r="E167" s="256">
        <v>0.33048</v>
      </c>
      <c r="F167" s="15">
        <v>1.1080239999999999</v>
      </c>
      <c r="G167" s="17">
        <f>ROUND(D167*E167*F167,2)</f>
        <v>0</v>
      </c>
      <c r="H167" s="18">
        <v>0.2</v>
      </c>
      <c r="I167" s="19">
        <f>ROUND(G167*H167,2)</f>
        <v>0</v>
      </c>
      <c r="J167" s="19">
        <f>G167+I167</f>
        <v>0</v>
      </c>
      <c r="K167" s="314">
        <v>1195245433260</v>
      </c>
      <c r="L167" s="320"/>
    </row>
    <row r="168" spans="1:16" ht="16.899999999999999" customHeight="1" thickBot="1" x14ac:dyDescent="0.3">
      <c r="A168" s="41"/>
      <c r="B168" s="13"/>
      <c r="C168" s="179" t="s">
        <v>122</v>
      </c>
      <c r="D168" s="175">
        <f>SUM(D165:D167)-D166</f>
        <v>0</v>
      </c>
      <c r="E168" s="284"/>
      <c r="F168" s="21"/>
      <c r="G168" s="38">
        <f>SUM(G165:G167)</f>
        <v>0</v>
      </c>
      <c r="H168" s="291"/>
      <c r="I168" s="38">
        <f>SUM(I165:I167)</f>
        <v>0</v>
      </c>
      <c r="J168" s="268">
        <f>SUM(J165:J167)</f>
        <v>0</v>
      </c>
      <c r="K168" s="327"/>
      <c r="L168" s="328"/>
      <c r="M168" s="41"/>
    </row>
    <row r="169" spans="1:16" ht="16.899999999999999" customHeight="1" x14ac:dyDescent="0.25">
      <c r="A169" s="162">
        <v>2705</v>
      </c>
      <c r="B169" s="15">
        <v>21</v>
      </c>
      <c r="C169" s="16" t="s">
        <v>166</v>
      </c>
      <c r="D169" s="161"/>
      <c r="E169" s="152">
        <v>0.33048</v>
      </c>
      <c r="F169" s="21">
        <v>1.1080239999999999</v>
      </c>
      <c r="G169" s="17">
        <f>ROUND(D169*E169*F169,2)</f>
        <v>0</v>
      </c>
      <c r="H169" s="18">
        <v>0.2</v>
      </c>
      <c r="I169" s="19">
        <f>ROUND(G169*H169,2)</f>
        <v>0</v>
      </c>
      <c r="J169" s="19">
        <f t="shared" ref="J169:J192" si="24">G169+I169</f>
        <v>0</v>
      </c>
      <c r="K169" s="324">
        <v>193894</v>
      </c>
      <c r="L169" s="320"/>
    </row>
    <row r="170" spans="1:16" ht="16.899999999999999" customHeight="1" x14ac:dyDescent="0.25">
      <c r="A170" s="162">
        <v>2705</v>
      </c>
      <c r="B170" s="21"/>
      <c r="C170" s="22" t="s">
        <v>167</v>
      </c>
      <c r="D170" s="161"/>
      <c r="E170" s="152">
        <v>0.33048</v>
      </c>
      <c r="F170" s="21">
        <v>1.1080239999999999</v>
      </c>
      <c r="G170" s="17">
        <f t="shared" ref="G170:G192" si="25">ROUND(D170*E170*F170,2)</f>
        <v>0</v>
      </c>
      <c r="H170" s="18">
        <v>0.2</v>
      </c>
      <c r="I170" s="19">
        <f t="shared" ref="I170:I192" si="26">ROUND(G170*H170,2)</f>
        <v>0</v>
      </c>
      <c r="J170" s="19">
        <f t="shared" si="24"/>
        <v>0</v>
      </c>
      <c r="K170" s="324">
        <v>180133</v>
      </c>
      <c r="L170" s="320"/>
    </row>
    <row r="171" spans="1:16" ht="16.899999999999999" customHeight="1" x14ac:dyDescent="0.25">
      <c r="A171" s="162">
        <v>2605</v>
      </c>
      <c r="B171" s="21"/>
      <c r="C171" s="22" t="s">
        <v>168</v>
      </c>
      <c r="D171" s="161"/>
      <c r="E171" s="152">
        <v>0.33048</v>
      </c>
      <c r="F171" s="21">
        <v>1.1080239999999999</v>
      </c>
      <c r="G171" s="17">
        <f t="shared" si="25"/>
        <v>0</v>
      </c>
      <c r="H171" s="18">
        <v>0.2</v>
      </c>
      <c r="I171" s="19">
        <f t="shared" si="26"/>
        <v>0</v>
      </c>
      <c r="J171" s="19">
        <f t="shared" si="24"/>
        <v>0</v>
      </c>
      <c r="K171" s="319">
        <v>74643</v>
      </c>
      <c r="L171" s="320"/>
    </row>
    <row r="172" spans="1:16" ht="28.15" customHeight="1" x14ac:dyDescent="0.25">
      <c r="A172" s="162">
        <v>2705</v>
      </c>
      <c r="B172" s="21" t="s">
        <v>492</v>
      </c>
      <c r="C172" s="22" t="s">
        <v>169</v>
      </c>
      <c r="D172" s="161"/>
      <c r="E172" s="152">
        <v>0.33048</v>
      </c>
      <c r="F172" s="21">
        <v>1.1080239999999999</v>
      </c>
      <c r="G172" s="17">
        <f>ROUND(D174*E172*F172,2)</f>
        <v>0</v>
      </c>
      <c r="H172" s="18">
        <v>0.2</v>
      </c>
      <c r="I172" s="19">
        <f t="shared" si="26"/>
        <v>0</v>
      </c>
      <c r="J172" s="19">
        <f t="shared" si="24"/>
        <v>0</v>
      </c>
      <c r="K172" s="329"/>
      <c r="L172" s="320"/>
    </row>
    <row r="173" spans="1:16" ht="16.899999999999999" customHeight="1" x14ac:dyDescent="0.25">
      <c r="A173" s="162">
        <v>2706</v>
      </c>
      <c r="B173" s="21"/>
      <c r="C173" s="22" t="s">
        <v>170</v>
      </c>
      <c r="D173" s="154"/>
      <c r="E173" s="152">
        <v>0.27273999999999998</v>
      </c>
      <c r="F173" s="21">
        <v>1.1080239999999999</v>
      </c>
      <c r="G173" s="17">
        <f t="shared" si="25"/>
        <v>0</v>
      </c>
      <c r="H173" s="18">
        <v>0.2</v>
      </c>
      <c r="I173" s="19">
        <f t="shared" si="26"/>
        <v>0</v>
      </c>
      <c r="J173" s="19">
        <f t="shared" si="24"/>
        <v>0</v>
      </c>
      <c r="L173" s="161" t="s">
        <v>171</v>
      </c>
    </row>
    <row r="174" spans="1:16" ht="16.899999999999999" customHeight="1" x14ac:dyDescent="0.25">
      <c r="A174" s="162">
        <v>2706</v>
      </c>
      <c r="B174" s="21"/>
      <c r="C174" s="29" t="s">
        <v>106</v>
      </c>
      <c r="D174" s="161"/>
      <c r="E174" s="152">
        <v>0.27273999999999998</v>
      </c>
      <c r="F174" s="21">
        <v>1.1080239999999999</v>
      </c>
      <c r="G174" s="17" t="e">
        <f>ROUND(#REF!*E174*F174,2)</f>
        <v>#REF!</v>
      </c>
      <c r="H174" s="18">
        <v>0.2</v>
      </c>
      <c r="I174" s="19" t="e">
        <f t="shared" si="26"/>
        <v>#REF!</v>
      </c>
      <c r="J174" s="19" t="e">
        <f t="shared" si="24"/>
        <v>#REF!</v>
      </c>
      <c r="K174" s="324">
        <v>20504</v>
      </c>
      <c r="L174" s="320"/>
    </row>
    <row r="175" spans="1:16" ht="16.899999999999999" customHeight="1" x14ac:dyDescent="0.25">
      <c r="A175" s="162">
        <v>902</v>
      </c>
      <c r="B175" s="21"/>
      <c r="C175" s="29" t="s">
        <v>172</v>
      </c>
      <c r="D175" s="154"/>
      <c r="E175" s="152">
        <v>0.24295</v>
      </c>
      <c r="F175" s="21">
        <v>1.1080239999999999</v>
      </c>
      <c r="G175" s="17">
        <f t="shared" si="25"/>
        <v>0</v>
      </c>
      <c r="H175" s="18">
        <v>0.2</v>
      </c>
      <c r="I175" s="19">
        <f t="shared" si="26"/>
        <v>0</v>
      </c>
      <c r="J175" s="19">
        <f t="shared" si="24"/>
        <v>0</v>
      </c>
      <c r="K175" s="324">
        <v>78950</v>
      </c>
      <c r="L175" s="320"/>
    </row>
    <row r="176" spans="1:16" ht="16.899999999999999" customHeight="1" x14ac:dyDescent="0.25">
      <c r="A176" s="162">
        <v>2705</v>
      </c>
      <c r="B176" s="21"/>
      <c r="C176" s="29" t="s">
        <v>173</v>
      </c>
      <c r="D176" s="154"/>
      <c r="E176" s="152">
        <v>0.33048</v>
      </c>
      <c r="F176" s="21">
        <v>1.1080239999999999</v>
      </c>
      <c r="G176" s="17">
        <f t="shared" si="25"/>
        <v>0</v>
      </c>
      <c r="H176" s="18">
        <v>0.2</v>
      </c>
      <c r="I176" s="19">
        <f t="shared" si="26"/>
        <v>0</v>
      </c>
      <c r="J176" s="19">
        <f t="shared" si="24"/>
        <v>0</v>
      </c>
      <c r="K176" s="324">
        <v>149520</v>
      </c>
      <c r="L176" s="320"/>
    </row>
    <row r="177" spans="1:16" ht="16.899999999999999" customHeight="1" x14ac:dyDescent="0.25">
      <c r="A177" s="162">
        <v>2705</v>
      </c>
      <c r="B177" s="21"/>
      <c r="C177" s="29" t="s">
        <v>174</v>
      </c>
      <c r="D177" s="154"/>
      <c r="E177" s="152">
        <v>0.33048</v>
      </c>
      <c r="F177" s="21">
        <v>1.1080239999999999</v>
      </c>
      <c r="G177" s="17">
        <f t="shared" si="25"/>
        <v>0</v>
      </c>
      <c r="H177" s="18">
        <v>0.2</v>
      </c>
      <c r="I177" s="19">
        <f t="shared" si="26"/>
        <v>0</v>
      </c>
      <c r="J177" s="19">
        <f t="shared" si="24"/>
        <v>0</v>
      </c>
      <c r="K177" s="324"/>
      <c r="L177" s="320" t="s">
        <v>175</v>
      </c>
    </row>
    <row r="178" spans="1:16" ht="16.899999999999999" customHeight="1" x14ac:dyDescent="0.25">
      <c r="A178" s="34">
        <v>2705</v>
      </c>
      <c r="B178" s="28"/>
      <c r="C178" s="29" t="s">
        <v>176</v>
      </c>
      <c r="D178" s="154"/>
      <c r="E178" s="152">
        <v>0.33048</v>
      </c>
      <c r="F178" s="21">
        <v>1.1080239999999999</v>
      </c>
      <c r="G178" s="17">
        <f t="shared" si="25"/>
        <v>0</v>
      </c>
      <c r="H178" s="18">
        <v>0.2</v>
      </c>
      <c r="I178" s="19">
        <f t="shared" si="26"/>
        <v>0</v>
      </c>
      <c r="J178" s="19">
        <f t="shared" si="24"/>
        <v>0</v>
      </c>
      <c r="K178" s="324">
        <v>524375</v>
      </c>
      <c r="L178" s="320"/>
    </row>
    <row r="179" spans="1:16" ht="16.899999999999999" customHeight="1" x14ac:dyDescent="0.25">
      <c r="A179" s="34">
        <v>2705</v>
      </c>
      <c r="B179" s="28"/>
      <c r="C179" s="29" t="s">
        <v>177</v>
      </c>
      <c r="D179" s="161"/>
      <c r="E179" s="152">
        <v>0.33048</v>
      </c>
      <c r="F179" s="21">
        <v>1.1080239999999999</v>
      </c>
      <c r="G179" s="17">
        <f t="shared" si="25"/>
        <v>0</v>
      </c>
      <c r="H179" s="18">
        <v>0.2</v>
      </c>
      <c r="I179" s="19">
        <f t="shared" si="26"/>
        <v>0</v>
      </c>
      <c r="J179" s="19">
        <f t="shared" si="24"/>
        <v>0</v>
      </c>
      <c r="K179" s="324">
        <v>133220</v>
      </c>
      <c r="L179" s="320"/>
    </row>
    <row r="180" spans="1:16" ht="16.899999999999999" customHeight="1" x14ac:dyDescent="0.25">
      <c r="A180" s="34" t="s">
        <v>95</v>
      </c>
      <c r="B180" s="28"/>
      <c r="C180" s="3" t="s">
        <v>37</v>
      </c>
      <c r="D180" s="161"/>
      <c r="E180" s="152">
        <v>0.33048</v>
      </c>
      <c r="F180" s="21">
        <v>1.1080239999999999</v>
      </c>
      <c r="G180" s="17">
        <f t="shared" si="25"/>
        <v>0</v>
      </c>
      <c r="H180" s="18">
        <v>0.2</v>
      </c>
      <c r="I180" s="19">
        <f t="shared" si="26"/>
        <v>0</v>
      </c>
      <c r="J180" s="19">
        <f t="shared" si="24"/>
        <v>0</v>
      </c>
      <c r="K180" s="324">
        <v>2133211</v>
      </c>
      <c r="L180" s="320"/>
    </row>
    <row r="181" spans="1:16" ht="16.899999999999999" customHeight="1" x14ac:dyDescent="0.25">
      <c r="A181" s="34">
        <v>902</v>
      </c>
      <c r="B181" s="28"/>
      <c r="C181" s="29" t="s">
        <v>178</v>
      </c>
      <c r="D181" s="161"/>
      <c r="E181" s="152">
        <v>0.24295</v>
      </c>
      <c r="F181" s="21">
        <v>1.1080239999999999</v>
      </c>
      <c r="G181" s="17">
        <f t="shared" si="25"/>
        <v>0</v>
      </c>
      <c r="H181" s="18">
        <v>0.2</v>
      </c>
      <c r="I181" s="19">
        <f t="shared" si="26"/>
        <v>0</v>
      </c>
      <c r="J181" s="19">
        <f t="shared" si="24"/>
        <v>0</v>
      </c>
      <c r="K181" s="324">
        <v>676245</v>
      </c>
      <c r="L181" s="320"/>
    </row>
    <row r="182" spans="1:16" ht="16.899999999999999" customHeight="1" x14ac:dyDescent="0.25">
      <c r="A182" s="34">
        <v>2705</v>
      </c>
      <c r="B182" s="28"/>
      <c r="C182" s="29" t="s">
        <v>179</v>
      </c>
      <c r="D182" s="161"/>
      <c r="E182" s="152">
        <v>0.33048</v>
      </c>
      <c r="F182" s="21">
        <v>1.1080239999999999</v>
      </c>
      <c r="G182" s="17">
        <f t="shared" si="25"/>
        <v>0</v>
      </c>
      <c r="H182" s="18">
        <v>0.2</v>
      </c>
      <c r="I182" s="19">
        <f t="shared" si="26"/>
        <v>0</v>
      </c>
      <c r="J182" s="19">
        <f t="shared" si="24"/>
        <v>0</v>
      </c>
      <c r="K182" s="324">
        <v>151016</v>
      </c>
      <c r="L182" s="320"/>
    </row>
    <row r="183" spans="1:16" ht="16.899999999999999" customHeight="1" x14ac:dyDescent="0.25">
      <c r="A183" s="34">
        <v>2705</v>
      </c>
      <c r="B183" s="28"/>
      <c r="C183" s="29" t="s">
        <v>180</v>
      </c>
      <c r="D183" s="161"/>
      <c r="E183" s="152">
        <v>0.33048</v>
      </c>
      <c r="F183" s="21">
        <v>1.1080239999999999</v>
      </c>
      <c r="G183" s="17">
        <f t="shared" si="25"/>
        <v>0</v>
      </c>
      <c r="H183" s="18">
        <v>0.2</v>
      </c>
      <c r="I183" s="19">
        <f t="shared" si="26"/>
        <v>0</v>
      </c>
      <c r="J183" s="19">
        <f t="shared" si="24"/>
        <v>0</v>
      </c>
      <c r="K183" s="324">
        <v>128986</v>
      </c>
      <c r="L183" s="320"/>
    </row>
    <row r="184" spans="1:16" ht="16.899999999999999" customHeight="1" x14ac:dyDescent="0.25">
      <c r="A184" s="34">
        <v>2605</v>
      </c>
      <c r="B184" s="21"/>
      <c r="C184" s="3" t="s">
        <v>181</v>
      </c>
      <c r="D184" s="161"/>
      <c r="E184" s="152">
        <v>0.33048</v>
      </c>
      <c r="F184" s="21">
        <v>1.1080239999999999</v>
      </c>
      <c r="G184" s="17">
        <f t="shared" si="25"/>
        <v>0</v>
      </c>
      <c r="H184" s="153">
        <v>0.2</v>
      </c>
      <c r="I184" s="19">
        <f t="shared" si="26"/>
        <v>0</v>
      </c>
      <c r="J184" s="19">
        <f t="shared" si="24"/>
        <v>0</v>
      </c>
      <c r="K184" s="324">
        <v>4745</v>
      </c>
      <c r="L184" s="320"/>
      <c r="P184" s="41"/>
    </row>
    <row r="185" spans="1:16" ht="16.899999999999999" customHeight="1" x14ac:dyDescent="0.25">
      <c r="A185" s="34">
        <v>2605</v>
      </c>
      <c r="B185" s="21"/>
      <c r="C185" s="3" t="s">
        <v>182</v>
      </c>
      <c r="D185" s="161"/>
      <c r="E185" s="152">
        <v>0.33048</v>
      </c>
      <c r="F185" s="21">
        <v>1.1080239999999999</v>
      </c>
      <c r="G185" s="17">
        <f t="shared" si="25"/>
        <v>0</v>
      </c>
      <c r="H185" s="153">
        <v>0.2</v>
      </c>
      <c r="I185" s="19">
        <f t="shared" si="26"/>
        <v>0</v>
      </c>
      <c r="J185" s="19">
        <f t="shared" si="24"/>
        <v>0</v>
      </c>
      <c r="K185" s="324">
        <v>1243617</v>
      </c>
      <c r="L185" s="320"/>
    </row>
    <row r="186" spans="1:16" ht="16.899999999999999" customHeight="1" x14ac:dyDescent="0.25">
      <c r="A186" s="34" t="s">
        <v>107</v>
      </c>
      <c r="B186" s="28"/>
      <c r="C186" s="3" t="s">
        <v>183</v>
      </c>
      <c r="D186" s="161"/>
      <c r="E186" s="292">
        <v>0.27273999999999998</v>
      </c>
      <c r="F186" s="21">
        <v>1.1080239999999999</v>
      </c>
      <c r="G186" s="17">
        <f t="shared" si="25"/>
        <v>0</v>
      </c>
      <c r="H186" s="4">
        <v>0.2</v>
      </c>
      <c r="I186" s="19">
        <f t="shared" si="26"/>
        <v>0</v>
      </c>
      <c r="J186" s="19">
        <f t="shared" si="24"/>
        <v>0</v>
      </c>
      <c r="K186" s="324">
        <v>458822</v>
      </c>
      <c r="L186" s="320"/>
    </row>
    <row r="187" spans="1:16" ht="16.899999999999999" customHeight="1" x14ac:dyDescent="0.25">
      <c r="A187" s="34">
        <v>2705</v>
      </c>
      <c r="B187" s="21"/>
      <c r="C187" s="3" t="s">
        <v>184</v>
      </c>
      <c r="D187" s="161"/>
      <c r="E187" s="152">
        <v>0.33048</v>
      </c>
      <c r="F187" s="21">
        <v>1.1080239999999999</v>
      </c>
      <c r="G187" s="17">
        <f>ROUND(D187*E187*F187,2)</f>
        <v>0</v>
      </c>
      <c r="H187" s="153">
        <v>0.2</v>
      </c>
      <c r="I187" s="19">
        <f>ROUND(G187*H187,2)</f>
        <v>0</v>
      </c>
      <c r="J187" s="19">
        <f>G187+I187</f>
        <v>0</v>
      </c>
      <c r="K187" s="343">
        <v>1195112356730</v>
      </c>
      <c r="L187" s="320"/>
      <c r="O187" s="41"/>
    </row>
    <row r="188" spans="1:16" ht="16.899999999999999" customHeight="1" x14ac:dyDescent="0.25">
      <c r="A188" s="34">
        <v>2705</v>
      </c>
      <c r="B188" s="21"/>
      <c r="C188" s="3" t="s">
        <v>185</v>
      </c>
      <c r="D188" s="161"/>
      <c r="E188" s="152">
        <v>0.33048</v>
      </c>
      <c r="F188" s="21">
        <v>1.1080239999999999</v>
      </c>
      <c r="G188" s="17">
        <f t="shared" si="25"/>
        <v>0</v>
      </c>
      <c r="H188" s="153">
        <v>0.2</v>
      </c>
      <c r="I188" s="19">
        <f t="shared" si="26"/>
        <v>0</v>
      </c>
      <c r="J188" s="19">
        <f t="shared" si="24"/>
        <v>0</v>
      </c>
      <c r="K188" s="343">
        <v>8639064000758</v>
      </c>
      <c r="L188" s="320"/>
    </row>
    <row r="189" spans="1:16" ht="16.899999999999999" customHeight="1" x14ac:dyDescent="0.25">
      <c r="A189" s="34">
        <v>2605</v>
      </c>
      <c r="B189" s="21"/>
      <c r="C189" s="3" t="s">
        <v>186</v>
      </c>
      <c r="D189" s="161"/>
      <c r="E189" s="152">
        <v>0.33048</v>
      </c>
      <c r="F189" s="21">
        <v>1.1080239999999999</v>
      </c>
      <c r="G189" s="17">
        <f>ROUND(D189*E189*F189,2)</f>
        <v>0</v>
      </c>
      <c r="H189" s="153">
        <v>0.2</v>
      </c>
      <c r="I189" s="19">
        <f>ROUND(G189*H189,2)</f>
        <v>0</v>
      </c>
      <c r="J189" s="19">
        <f>G189+I189</f>
        <v>0</v>
      </c>
      <c r="K189" s="324">
        <v>2837092</v>
      </c>
      <c r="L189" s="320"/>
    </row>
    <row r="190" spans="1:16" ht="16.899999999999999" customHeight="1" x14ac:dyDescent="0.25">
      <c r="A190" s="34">
        <v>2705</v>
      </c>
      <c r="B190" s="21"/>
      <c r="C190" s="3" t="s">
        <v>187</v>
      </c>
      <c r="D190" s="161"/>
      <c r="E190" s="152">
        <v>0.33048</v>
      </c>
      <c r="F190" s="21">
        <v>1.1080239999999999</v>
      </c>
      <c r="G190" s="17">
        <f t="shared" si="25"/>
        <v>0</v>
      </c>
      <c r="H190" s="153">
        <v>0.2</v>
      </c>
      <c r="I190" s="19">
        <f t="shared" si="26"/>
        <v>0</v>
      </c>
      <c r="J190" s="19">
        <f t="shared" si="24"/>
        <v>0</v>
      </c>
      <c r="K190" s="324">
        <v>458389</v>
      </c>
      <c r="L190" s="320"/>
    </row>
    <row r="191" spans="1:16" ht="16.899999999999999" customHeight="1" x14ac:dyDescent="0.25">
      <c r="A191" s="34">
        <v>2605</v>
      </c>
      <c r="B191" s="28"/>
      <c r="C191" s="27" t="s">
        <v>188</v>
      </c>
      <c r="D191" s="161"/>
      <c r="E191" s="152">
        <v>0.33048</v>
      </c>
      <c r="F191" s="21">
        <v>1.1080239999999999</v>
      </c>
      <c r="G191" s="17">
        <f>ROUND(D191*E191*F191,2)</f>
        <v>0</v>
      </c>
      <c r="H191" s="33">
        <v>0.2</v>
      </c>
      <c r="I191" s="19">
        <f>ROUND(G191*H191,2)</f>
        <v>0</v>
      </c>
      <c r="J191" s="19">
        <f>G191+I191</f>
        <v>0</v>
      </c>
      <c r="K191" s="324">
        <v>2339</v>
      </c>
      <c r="L191" s="320"/>
      <c r="N191" s="41"/>
    </row>
    <row r="192" spans="1:16" ht="16.899999999999999" customHeight="1" thickBot="1" x14ac:dyDescent="0.3">
      <c r="A192" s="34" t="s">
        <v>95</v>
      </c>
      <c r="B192" s="28"/>
      <c r="C192" s="3" t="s">
        <v>37</v>
      </c>
      <c r="D192" s="154"/>
      <c r="E192" s="152">
        <v>0.33048</v>
      </c>
      <c r="F192" s="21">
        <v>1.1080239999999999</v>
      </c>
      <c r="G192" s="17">
        <f t="shared" si="25"/>
        <v>0</v>
      </c>
      <c r="H192" s="33">
        <v>0.2</v>
      </c>
      <c r="I192" s="19">
        <f t="shared" si="26"/>
        <v>0</v>
      </c>
      <c r="J192" s="19">
        <f t="shared" si="24"/>
        <v>0</v>
      </c>
      <c r="K192" s="324">
        <v>306595</v>
      </c>
      <c r="L192" s="320"/>
    </row>
    <row r="193" spans="1:16" ht="16.899999999999999" customHeight="1" thickBot="1" x14ac:dyDescent="0.3">
      <c r="B193" s="13"/>
      <c r="C193" s="180" t="s">
        <v>122</v>
      </c>
      <c r="D193" s="175">
        <f>SUM(D169:D192)</f>
        <v>0</v>
      </c>
      <c r="E193" s="276"/>
      <c r="F193" s="21"/>
      <c r="G193" s="285" t="e">
        <f>SUM(G169:G192)</f>
        <v>#REF!</v>
      </c>
      <c r="H193" s="278"/>
      <c r="I193" s="285" t="e">
        <f>SUM(I169:I192)</f>
        <v>#REF!</v>
      </c>
      <c r="J193" s="291" t="e">
        <f>SUM(J169:J192)</f>
        <v>#REF!</v>
      </c>
      <c r="K193" s="327"/>
      <c r="L193" s="328"/>
      <c r="M193" s="41"/>
    </row>
    <row r="194" spans="1:16" ht="16.899999999999999" customHeight="1" x14ac:dyDescent="0.25">
      <c r="A194" s="41"/>
      <c r="B194" s="15">
        <v>22</v>
      </c>
      <c r="C194" s="16"/>
      <c r="D194" s="154"/>
      <c r="E194" s="152">
        <v>0.33048</v>
      </c>
      <c r="F194" s="21">
        <v>1.1080239999999999</v>
      </c>
      <c r="G194" s="17">
        <f t="shared" ref="G194:G200" si="27">ROUND(D194*E194*F194,2)</f>
        <v>0</v>
      </c>
      <c r="H194" s="18">
        <v>0.2</v>
      </c>
      <c r="I194" s="19">
        <f t="shared" ref="I194:I200" si="28">ROUND(G194*H194,2)</f>
        <v>0</v>
      </c>
      <c r="J194" s="19">
        <f t="shared" ref="J194:J200" si="29">G194+I194</f>
        <v>0</v>
      </c>
      <c r="K194" s="341"/>
      <c r="L194" s="320"/>
    </row>
    <row r="195" spans="1:16" ht="16.899999999999999" customHeight="1" x14ac:dyDescent="0.25">
      <c r="A195" s="162"/>
      <c r="B195" s="15"/>
      <c r="C195" s="16" t="s">
        <v>189</v>
      </c>
      <c r="D195" s="161"/>
      <c r="E195" s="152">
        <v>0.33048</v>
      </c>
      <c r="F195" s="21">
        <v>1.1080239999999999</v>
      </c>
      <c r="G195" s="17">
        <f t="shared" si="27"/>
        <v>0</v>
      </c>
      <c r="H195" s="18">
        <v>0.2</v>
      </c>
      <c r="I195" s="19">
        <f t="shared" si="28"/>
        <v>0</v>
      </c>
      <c r="J195" s="19">
        <f t="shared" si="29"/>
        <v>0</v>
      </c>
      <c r="K195" s="324">
        <v>551482</v>
      </c>
      <c r="L195" s="320"/>
    </row>
    <row r="196" spans="1:16" ht="16.899999999999999" customHeight="1" x14ac:dyDescent="0.25">
      <c r="A196" s="162"/>
      <c r="B196" s="15"/>
      <c r="C196" s="3" t="s">
        <v>27</v>
      </c>
      <c r="D196" s="161"/>
      <c r="E196" s="152">
        <v>0.33048</v>
      </c>
      <c r="F196" s="21">
        <v>1.1080239999999999</v>
      </c>
      <c r="G196" s="17">
        <f t="shared" si="27"/>
        <v>0</v>
      </c>
      <c r="H196" s="153">
        <v>0.2</v>
      </c>
      <c r="I196" s="19">
        <f t="shared" si="28"/>
        <v>0</v>
      </c>
      <c r="J196" s="19">
        <f t="shared" si="29"/>
        <v>0</v>
      </c>
      <c r="K196" s="343">
        <v>7011016002433</v>
      </c>
      <c r="L196" s="320"/>
    </row>
    <row r="197" spans="1:16" ht="16.899999999999999" customHeight="1" x14ac:dyDescent="0.25">
      <c r="A197" s="162"/>
      <c r="B197" s="15"/>
      <c r="C197" s="16" t="s">
        <v>190</v>
      </c>
      <c r="D197" s="161"/>
      <c r="E197" s="152">
        <v>0.33048</v>
      </c>
      <c r="F197" s="21">
        <v>1.1080239999999999</v>
      </c>
      <c r="G197" s="17">
        <f>ROUND(D197*E197*F197,2)</f>
        <v>0</v>
      </c>
      <c r="H197" s="18">
        <v>0.2</v>
      </c>
      <c r="I197" s="19">
        <f>ROUND(G197*H197,2)</f>
        <v>0</v>
      </c>
      <c r="J197" s="19">
        <f>G197+I197</f>
        <v>0</v>
      </c>
      <c r="K197" s="324">
        <v>2027729</v>
      </c>
      <c r="L197" s="320"/>
    </row>
    <row r="198" spans="1:16" ht="16.899999999999999" customHeight="1" x14ac:dyDescent="0.25">
      <c r="A198" s="162"/>
      <c r="B198" s="15"/>
      <c r="C198" s="3" t="s">
        <v>27</v>
      </c>
      <c r="D198" s="161"/>
      <c r="E198" s="152">
        <v>0.33048</v>
      </c>
      <c r="F198" s="21">
        <v>1.1080239999999999</v>
      </c>
      <c r="G198" s="17">
        <f>ROUND(D198*E198*F198,2)</f>
        <v>0</v>
      </c>
      <c r="H198" s="153">
        <v>0.2</v>
      </c>
      <c r="I198" s="19">
        <f>ROUND(G198*H198,2)</f>
        <v>0</v>
      </c>
      <c r="J198" s="19">
        <f>G198+I198</f>
        <v>0</v>
      </c>
      <c r="K198" s="324">
        <v>2027971</v>
      </c>
      <c r="L198" s="320"/>
      <c r="P198" s="41"/>
    </row>
    <row r="199" spans="1:16" ht="16.899999999999999" customHeight="1" x14ac:dyDescent="0.25">
      <c r="A199" s="162"/>
      <c r="B199" s="15"/>
      <c r="C199" s="16" t="s">
        <v>191</v>
      </c>
      <c r="D199" s="161"/>
      <c r="E199" s="293">
        <v>0.17416999999999999</v>
      </c>
      <c r="F199" s="21">
        <v>1</v>
      </c>
      <c r="G199" s="17">
        <f>ROUND(D199*E199*F199,2)</f>
        <v>0</v>
      </c>
      <c r="H199" s="18">
        <v>0.2</v>
      </c>
      <c r="I199" s="19">
        <f>ROUND(G199*H199,2)</f>
        <v>0</v>
      </c>
      <c r="J199" s="19">
        <f>G199+I199</f>
        <v>0</v>
      </c>
      <c r="K199" s="324">
        <v>2044556</v>
      </c>
      <c r="L199" s="320"/>
      <c r="P199" s="41"/>
    </row>
    <row r="200" spans="1:16" ht="16.899999999999999" customHeight="1" x14ac:dyDescent="0.25">
      <c r="A200" s="162">
        <v>2706</v>
      </c>
      <c r="B200" s="503" t="s">
        <v>577</v>
      </c>
      <c r="C200" s="27" t="s">
        <v>192</v>
      </c>
      <c r="D200" s="355"/>
      <c r="E200" s="294">
        <v>0.27273999999999998</v>
      </c>
      <c r="F200" s="28">
        <v>1.1080239999999999</v>
      </c>
      <c r="G200" s="46">
        <f t="shared" si="27"/>
        <v>0</v>
      </c>
      <c r="H200" s="33">
        <v>0.2</v>
      </c>
      <c r="I200" s="48">
        <f t="shared" si="28"/>
        <v>0</v>
      </c>
      <c r="J200" s="48">
        <f t="shared" si="29"/>
        <v>0</v>
      </c>
      <c r="K200" s="356">
        <v>1835016</v>
      </c>
      <c r="L200" s="324"/>
    </row>
    <row r="201" spans="1:16" ht="16.899999999999999" customHeight="1" x14ac:dyDescent="0.25">
      <c r="A201" s="162"/>
      <c r="B201" s="504"/>
      <c r="C201" s="348" t="s">
        <v>192</v>
      </c>
      <c r="D201" s="357"/>
      <c r="E201" s="292"/>
      <c r="F201" s="21"/>
      <c r="G201" s="295"/>
      <c r="H201" s="153"/>
      <c r="I201" s="296"/>
      <c r="J201" s="296"/>
      <c r="K201" s="324"/>
      <c r="L201" s="324"/>
    </row>
    <row r="202" spans="1:16" ht="16.899999999999999" customHeight="1" thickBot="1" x14ac:dyDescent="0.3">
      <c r="B202" s="168"/>
      <c r="C202" s="160" t="s">
        <v>122</v>
      </c>
      <c r="D202" s="358">
        <f>SUM(D194:D200)-D201</f>
        <v>0</v>
      </c>
      <c r="E202" s="297"/>
      <c r="F202" s="15"/>
      <c r="G202" s="298">
        <f>SUM(G194:G200)</f>
        <v>0</v>
      </c>
      <c r="H202" s="299"/>
      <c r="I202" s="300">
        <f>SUM(I194:I200)</f>
        <v>0</v>
      </c>
      <c r="J202" s="301">
        <f>SUM(J194:J200)</f>
        <v>0</v>
      </c>
      <c r="K202" s="359"/>
      <c r="L202" s="320"/>
      <c r="O202" s="41"/>
    </row>
    <row r="203" spans="1:16" ht="16.899999999999999" customHeight="1" x14ac:dyDescent="0.25">
      <c r="B203" s="15">
        <v>23</v>
      </c>
      <c r="C203" s="172" t="s">
        <v>106</v>
      </c>
      <c r="D203" s="161"/>
      <c r="E203" s="152">
        <v>0.27273999999999998</v>
      </c>
      <c r="F203" s="21">
        <v>1.1080239999999999</v>
      </c>
      <c r="G203" s="17">
        <f>ROUND(D203*E203*F203,2)</f>
        <v>0</v>
      </c>
      <c r="H203" s="18">
        <v>0.2</v>
      </c>
      <c r="I203" s="19">
        <f>ROUND(G203*H203,2)</f>
        <v>0</v>
      </c>
      <c r="J203" s="19">
        <f>G203+I203</f>
        <v>0</v>
      </c>
      <c r="K203" s="314">
        <v>580347</v>
      </c>
      <c r="L203" s="320"/>
      <c r="O203" s="41"/>
    </row>
    <row r="204" spans="1:16" ht="16.899999999999999" customHeight="1" x14ac:dyDescent="0.25">
      <c r="A204" s="34">
        <v>2605</v>
      </c>
      <c r="B204" s="21"/>
      <c r="C204" s="27" t="s">
        <v>193</v>
      </c>
      <c r="D204" s="161"/>
      <c r="E204" s="152">
        <v>0.33048</v>
      </c>
      <c r="F204" s="21">
        <v>1.1080239999999999</v>
      </c>
      <c r="G204" s="17">
        <f>ROUND(D204*E204*F204,2)</f>
        <v>0</v>
      </c>
      <c r="H204" s="33">
        <v>0.2</v>
      </c>
      <c r="I204" s="19">
        <f>ROUND(G204*H204,2)</f>
        <v>0</v>
      </c>
      <c r="J204" s="19">
        <f>G204+I204</f>
        <v>0</v>
      </c>
      <c r="K204" s="329">
        <v>1185223705575</v>
      </c>
      <c r="L204" s="320"/>
    </row>
    <row r="205" spans="1:16" ht="16.899999999999999" customHeight="1" x14ac:dyDescent="0.25">
      <c r="B205" s="21"/>
      <c r="C205" s="27" t="s">
        <v>194</v>
      </c>
      <c r="D205" s="161"/>
      <c r="E205" s="152">
        <v>0.33048</v>
      </c>
      <c r="F205" s="21">
        <v>1.1080239999999999</v>
      </c>
      <c r="G205" s="17">
        <f>ROUND(D205*E205*F205,2)</f>
        <v>0</v>
      </c>
      <c r="H205" s="18">
        <v>0.2</v>
      </c>
      <c r="I205" s="19">
        <f>ROUND(G205*H205,2)</f>
        <v>0</v>
      </c>
      <c r="J205" s="19">
        <f>G205+I205</f>
        <v>0</v>
      </c>
      <c r="K205" s="314">
        <v>752805</v>
      </c>
      <c r="L205" s="320"/>
    </row>
    <row r="206" spans="1:16" ht="16.899999999999999" customHeight="1" x14ac:dyDescent="0.25">
      <c r="B206" s="21"/>
      <c r="C206" s="3" t="s">
        <v>27</v>
      </c>
      <c r="D206" s="161"/>
      <c r="E206" s="152">
        <v>0.33048</v>
      </c>
      <c r="F206" s="21">
        <v>1.1080239999999999</v>
      </c>
      <c r="G206" s="17">
        <f>ROUND(D206*E206*F206,2)</f>
        <v>0</v>
      </c>
      <c r="H206" s="153">
        <v>0.2</v>
      </c>
      <c r="I206" s="19">
        <f>ROUND(G206*H206,2)</f>
        <v>0</v>
      </c>
      <c r="J206" s="19">
        <f>G206+I206</f>
        <v>0</v>
      </c>
      <c r="K206" s="344">
        <v>669514</v>
      </c>
      <c r="L206" s="320"/>
      <c r="N206" s="41"/>
    </row>
    <row r="207" spans="1:16" ht="16.899999999999999" customHeight="1" thickBot="1" x14ac:dyDescent="0.3">
      <c r="B207" s="21"/>
      <c r="C207" s="3" t="s">
        <v>29</v>
      </c>
      <c r="D207" s="161"/>
      <c r="E207" s="152">
        <v>0.15176999999999999</v>
      </c>
      <c r="F207" s="21">
        <v>1.1080239999999999</v>
      </c>
      <c r="G207" s="17">
        <f>ROUND(D207*E207*F207,2)</f>
        <v>0</v>
      </c>
      <c r="H207" s="153">
        <v>0.2</v>
      </c>
      <c r="I207" s="19">
        <f>ROUND(G207*H207,2)</f>
        <v>0</v>
      </c>
      <c r="J207" s="19">
        <f>G207+I207</f>
        <v>0</v>
      </c>
      <c r="K207" s="344">
        <v>669514</v>
      </c>
      <c r="L207" s="320"/>
      <c r="N207" s="41"/>
    </row>
    <row r="208" spans="1:16" ht="16.899999999999999" customHeight="1" thickBot="1" x14ac:dyDescent="0.3">
      <c r="B208" s="168"/>
      <c r="C208" s="11" t="s">
        <v>122</v>
      </c>
      <c r="D208" s="175">
        <f>D203+D204+D205+D206+D207</f>
        <v>0</v>
      </c>
      <c r="E208" s="276"/>
      <c r="F208" s="37"/>
      <c r="G208" s="302">
        <f>SUM(G203:G207)</f>
        <v>0</v>
      </c>
      <c r="H208" s="303"/>
      <c r="I208" s="304">
        <f>SUM(I203:I207)</f>
        <v>0</v>
      </c>
      <c r="J208" s="305">
        <f>SUM(J203:J207)</f>
        <v>0</v>
      </c>
      <c r="K208" s="360"/>
      <c r="L208" s="361"/>
      <c r="M208" s="41"/>
    </row>
    <row r="209" spans="1:14" ht="16.899999999999999" customHeight="1" x14ac:dyDescent="0.25">
      <c r="B209" s="181"/>
      <c r="C209" s="40"/>
      <c r="D209" s="182">
        <f>D31+D76+D109+D126+D149+D164+D168+D193+D202+D208</f>
        <v>198</v>
      </c>
      <c r="E209" s="40"/>
      <c r="F209" s="40"/>
      <c r="G209" s="306" t="e">
        <f>G31+G76+G109+G126+G149+G164+G168+G193+G202+G208</f>
        <v>#REF!</v>
      </c>
      <c r="H209" s="306"/>
      <c r="I209" s="306" t="e">
        <f>I31+I76+I109+I126+I149+I164+I168+I193+I202+I208</f>
        <v>#REF!</v>
      </c>
      <c r="J209" s="306" t="e">
        <f>J31+J76+J109+J126+J149+J164+J168+J193+J202+J208</f>
        <v>#REF!</v>
      </c>
      <c r="K209" s="361"/>
      <c r="L209" s="361"/>
      <c r="M209" s="41"/>
    </row>
    <row r="210" spans="1:14" ht="16.899999999999999" customHeight="1" x14ac:dyDescent="0.25">
      <c r="B210" s="183" t="s">
        <v>195</v>
      </c>
      <c r="C210" s="184" t="s">
        <v>196</v>
      </c>
      <c r="F210" s="5"/>
      <c r="G210" s="41"/>
      <c r="H210" s="307"/>
      <c r="I210" s="307"/>
      <c r="J210" s="307"/>
      <c r="K210" s="307"/>
      <c r="L210" s="307"/>
    </row>
    <row r="211" spans="1:14" ht="16.899999999999999" customHeight="1" x14ac:dyDescent="0.25">
      <c r="B211" s="40"/>
      <c r="C211" s="308"/>
      <c r="D211" s="309"/>
      <c r="E211" s="41"/>
      <c r="F211" s="5"/>
      <c r="G211" s="51"/>
      <c r="H211" s="51"/>
      <c r="I211" s="51"/>
      <c r="J211" s="51"/>
    </row>
    <row r="212" spans="1:14" ht="16.899999999999999" customHeight="1" x14ac:dyDescent="0.25">
      <c r="B212" s="40"/>
      <c r="C212" s="308"/>
      <c r="D212" s="309"/>
      <c r="E212" s="310">
        <f>D209+D231+D245-355</f>
        <v>-157</v>
      </c>
      <c r="F212" s="5"/>
      <c r="G212" s="51"/>
      <c r="H212" s="51"/>
      <c r="I212" s="51"/>
      <c r="J212" s="51"/>
    </row>
    <row r="213" spans="1:14" ht="16.899999999999999" customHeight="1" x14ac:dyDescent="0.25">
      <c r="B213" s="40"/>
      <c r="C213" s="308"/>
      <c r="D213" s="309"/>
      <c r="E213" s="41"/>
      <c r="F213" s="5"/>
      <c r="G213" s="51"/>
      <c r="H213" s="51"/>
      <c r="I213" s="51"/>
      <c r="J213" s="51"/>
    </row>
    <row r="214" spans="1:14" ht="16.899999999999999" customHeight="1" x14ac:dyDescent="0.25">
      <c r="B214" s="5" t="s">
        <v>197</v>
      </c>
      <c r="C214" s="125" t="s">
        <v>677</v>
      </c>
      <c r="D214" s="96"/>
      <c r="E214" s="96"/>
      <c r="F214" s="96"/>
      <c r="G214" s="96"/>
      <c r="H214" s="96"/>
      <c r="I214" s="96"/>
      <c r="J214" s="6"/>
    </row>
    <row r="215" spans="1:14" ht="16.899999999999999" customHeight="1" x14ac:dyDescent="0.25">
      <c r="B215" s="6"/>
      <c r="C215" s="7"/>
      <c r="D215" s="7"/>
      <c r="E215" s="6"/>
      <c r="F215" s="6"/>
      <c r="G215" s="6"/>
      <c r="H215" s="6"/>
      <c r="I215" s="6"/>
      <c r="J215" s="6"/>
    </row>
    <row r="216" spans="1:14" ht="16.899999999999999" customHeight="1" thickBot="1" x14ac:dyDescent="0.3">
      <c r="B216" s="6"/>
      <c r="C216" s="6" t="s">
        <v>198</v>
      </c>
      <c r="D216" s="6"/>
      <c r="E216" s="6"/>
      <c r="F216" s="6"/>
      <c r="G216" s="6"/>
      <c r="H216" s="6"/>
      <c r="I216" s="6"/>
      <c r="J216" s="6"/>
    </row>
    <row r="217" spans="1:14" ht="16.899999999999999" customHeight="1" thickBot="1" x14ac:dyDescent="0.3">
      <c r="B217" s="8" t="s">
        <v>10</v>
      </c>
      <c r="C217" s="9" t="s">
        <v>11</v>
      </c>
      <c r="D217" s="151" t="s">
        <v>12</v>
      </c>
      <c r="E217" s="10" t="s">
        <v>13</v>
      </c>
      <c r="F217" s="10" t="s">
        <v>14</v>
      </c>
      <c r="G217" s="11" t="s">
        <v>15</v>
      </c>
      <c r="H217" s="11" t="s">
        <v>16</v>
      </c>
      <c r="I217" s="12" t="s">
        <v>17</v>
      </c>
      <c r="J217" s="13" t="s">
        <v>18</v>
      </c>
      <c r="K217" s="14"/>
    </row>
    <row r="218" spans="1:14" ht="16.899999999999999" customHeight="1" x14ac:dyDescent="0.25">
      <c r="B218" s="15">
        <v>4</v>
      </c>
      <c r="C218" s="243"/>
      <c r="D218" s="3"/>
      <c r="E218" s="256">
        <v>0.33048</v>
      </c>
      <c r="F218" s="21">
        <v>1.1080239999999999</v>
      </c>
      <c r="G218" s="17">
        <f>ROUND(D218*E218*F218,2)</f>
        <v>0</v>
      </c>
      <c r="H218" s="18">
        <v>0.2</v>
      </c>
      <c r="I218" s="19">
        <f>ROUND(G218*H218,2)</f>
        <v>0</v>
      </c>
      <c r="J218" s="20">
        <f>G218+I218</f>
        <v>0</v>
      </c>
      <c r="K218" s="362"/>
    </row>
    <row r="219" spans="1:14" ht="16.899999999999999" customHeight="1" thickBot="1" x14ac:dyDescent="0.3">
      <c r="A219" s="34">
        <v>2605</v>
      </c>
      <c r="B219" s="21">
        <v>6</v>
      </c>
      <c r="C219" s="244" t="s">
        <v>199</v>
      </c>
      <c r="D219" s="3"/>
      <c r="E219" s="256">
        <v>0.33048</v>
      </c>
      <c r="F219" s="21">
        <v>1.1080239999999999</v>
      </c>
      <c r="G219" s="17">
        <f t="shared" ref="G219:G230" si="30">ROUND(D219*E219*F219,2)</f>
        <v>0</v>
      </c>
      <c r="H219" s="18">
        <v>0.2</v>
      </c>
      <c r="I219" s="19">
        <f t="shared" ref="I219:I229" si="31">ROUND(G219*H219,2)</f>
        <v>0</v>
      </c>
      <c r="J219" s="20">
        <f t="shared" ref="J219:J230" si="32">G219+I219</f>
        <v>0</v>
      </c>
      <c r="K219" s="23">
        <v>2048930</v>
      </c>
      <c r="L219" s="363" t="s">
        <v>200</v>
      </c>
    </row>
    <row r="220" spans="1:14" ht="16.899999999999999" customHeight="1" thickBot="1" x14ac:dyDescent="0.3">
      <c r="B220" s="21">
        <v>7</v>
      </c>
      <c r="C220" s="244"/>
      <c r="D220" s="3"/>
      <c r="E220" s="256">
        <v>0.33048</v>
      </c>
      <c r="F220" s="21">
        <v>1.1080239999999999</v>
      </c>
      <c r="G220" s="17">
        <f t="shared" si="30"/>
        <v>0</v>
      </c>
      <c r="H220" s="18"/>
      <c r="I220" s="19">
        <f t="shared" si="31"/>
        <v>0</v>
      </c>
      <c r="J220" s="20">
        <f t="shared" si="32"/>
        <v>0</v>
      </c>
      <c r="K220" s="24"/>
    </row>
    <row r="221" spans="1:14" ht="16.899999999999999" customHeight="1" thickBot="1" x14ac:dyDescent="0.3">
      <c r="A221" s="34">
        <v>2605</v>
      </c>
      <c r="B221" s="21">
        <v>12</v>
      </c>
      <c r="C221" s="257" t="s">
        <v>201</v>
      </c>
      <c r="D221" s="161"/>
      <c r="E221" s="256">
        <v>0.33048</v>
      </c>
      <c r="F221" s="21">
        <v>1.1080239999999999</v>
      </c>
      <c r="G221" s="17">
        <f t="shared" si="30"/>
        <v>0</v>
      </c>
      <c r="H221" s="18">
        <v>0.2</v>
      </c>
      <c r="I221" s="19">
        <f t="shared" si="31"/>
        <v>0</v>
      </c>
      <c r="J221" s="20">
        <f t="shared" si="32"/>
        <v>0</v>
      </c>
      <c r="K221" s="26">
        <v>529166</v>
      </c>
      <c r="L221" s="34" t="s">
        <v>202</v>
      </c>
    </row>
    <row r="222" spans="1:14" ht="16.899999999999999" customHeight="1" thickBot="1" x14ac:dyDescent="0.3">
      <c r="A222" s="34">
        <v>902</v>
      </c>
      <c r="B222" s="21">
        <v>14</v>
      </c>
      <c r="C222" s="247" t="s">
        <v>203</v>
      </c>
      <c r="D222" s="154"/>
      <c r="E222" s="256">
        <v>0.33048</v>
      </c>
      <c r="F222" s="21">
        <v>1.1080239999999999</v>
      </c>
      <c r="G222" s="17">
        <f t="shared" si="30"/>
        <v>0</v>
      </c>
      <c r="H222" s="153">
        <v>0.2</v>
      </c>
      <c r="I222" s="19">
        <f t="shared" si="31"/>
        <v>0</v>
      </c>
      <c r="J222" s="20">
        <f t="shared" si="32"/>
        <v>0</v>
      </c>
      <c r="K222" s="23">
        <v>8510</v>
      </c>
      <c r="L222" s="363" t="s">
        <v>204</v>
      </c>
    </row>
    <row r="223" spans="1:14" ht="16.899999999999999" customHeight="1" thickBot="1" x14ac:dyDescent="0.3">
      <c r="A223" s="34">
        <v>2605</v>
      </c>
      <c r="B223" s="28">
        <v>15</v>
      </c>
      <c r="C223" s="245" t="s">
        <v>205</v>
      </c>
      <c r="D223" s="161"/>
      <c r="E223" s="256">
        <v>0.33048</v>
      </c>
      <c r="F223" s="21">
        <v>1.1080239999999999</v>
      </c>
      <c r="G223" s="17">
        <f t="shared" si="30"/>
        <v>0</v>
      </c>
      <c r="H223" s="18">
        <v>0.2</v>
      </c>
      <c r="I223" s="19">
        <f t="shared" si="31"/>
        <v>0</v>
      </c>
      <c r="J223" s="20">
        <f t="shared" si="32"/>
        <v>0</v>
      </c>
      <c r="K223" s="26">
        <v>1000463</v>
      </c>
    </row>
    <row r="224" spans="1:14" ht="16.899999999999999" customHeight="1" x14ac:dyDescent="0.25">
      <c r="B224" s="28"/>
      <c r="C224" s="247" t="s">
        <v>205</v>
      </c>
      <c r="D224" s="154"/>
      <c r="E224" s="256">
        <v>0.33048</v>
      </c>
      <c r="F224" s="21">
        <v>1.1080239999999999</v>
      </c>
      <c r="G224" s="17">
        <f>ROUND(D224*E224*F224,2)</f>
        <v>0</v>
      </c>
      <c r="H224" s="18">
        <v>0.2</v>
      </c>
      <c r="I224" s="19">
        <f>G224*H224</f>
        <v>0</v>
      </c>
      <c r="J224" s="20">
        <f>G224+I224</f>
        <v>0</v>
      </c>
      <c r="K224" s="30"/>
      <c r="N224" s="364" t="s">
        <v>208</v>
      </c>
    </row>
    <row r="225" spans="1:12" ht="16.899999999999999" customHeight="1" thickBot="1" x14ac:dyDescent="0.3">
      <c r="A225" s="34">
        <v>902</v>
      </c>
      <c r="B225" s="28">
        <v>17</v>
      </c>
      <c r="C225" s="258" t="s">
        <v>206</v>
      </c>
      <c r="D225" s="161"/>
      <c r="E225" s="256">
        <v>0.33048</v>
      </c>
      <c r="F225" s="21">
        <v>1.1080239999999999</v>
      </c>
      <c r="G225" s="17">
        <f t="shared" si="30"/>
        <v>0</v>
      </c>
      <c r="H225" s="18">
        <v>0.2</v>
      </c>
      <c r="I225" s="19">
        <f t="shared" si="31"/>
        <v>0</v>
      </c>
      <c r="J225" s="20">
        <f t="shared" si="32"/>
        <v>0</v>
      </c>
      <c r="K225" s="31">
        <v>2047243</v>
      </c>
      <c r="L225" s="363" t="s">
        <v>207</v>
      </c>
    </row>
    <row r="226" spans="1:12" ht="16.899999999999999" customHeight="1" thickBot="1" x14ac:dyDescent="0.3">
      <c r="A226" s="34">
        <v>2605</v>
      </c>
      <c r="B226" s="28">
        <v>20</v>
      </c>
      <c r="C226" s="245" t="s">
        <v>209</v>
      </c>
      <c r="D226" s="161"/>
      <c r="E226" s="256">
        <v>0.33048</v>
      </c>
      <c r="F226" s="21">
        <v>1.1080239999999999</v>
      </c>
      <c r="G226" s="17">
        <f t="shared" si="30"/>
        <v>0</v>
      </c>
      <c r="H226" s="18">
        <v>0.2</v>
      </c>
      <c r="I226" s="19">
        <f t="shared" si="31"/>
        <v>0</v>
      </c>
      <c r="J226" s="20">
        <f t="shared" si="32"/>
        <v>0</v>
      </c>
      <c r="K226" s="32">
        <v>394860</v>
      </c>
      <c r="L226" s="365" t="s">
        <v>210</v>
      </c>
    </row>
    <row r="227" spans="1:12" ht="16.899999999999999" customHeight="1" x14ac:dyDescent="0.25">
      <c r="B227" s="28">
        <v>21</v>
      </c>
      <c r="C227" s="245"/>
      <c r="D227" s="154"/>
      <c r="E227" s="256">
        <v>0.33048</v>
      </c>
      <c r="F227" s="21">
        <v>1.1080239999999999</v>
      </c>
      <c r="G227" s="17">
        <f t="shared" si="30"/>
        <v>0</v>
      </c>
      <c r="H227" s="18">
        <v>0.2</v>
      </c>
      <c r="I227" s="19">
        <f t="shared" si="31"/>
        <v>0</v>
      </c>
      <c r="J227" s="20">
        <f t="shared" si="32"/>
        <v>0</v>
      </c>
      <c r="K227" s="30"/>
    </row>
    <row r="228" spans="1:12" ht="16.899999999999999" customHeight="1" thickBot="1" x14ac:dyDescent="0.3">
      <c r="A228" s="34">
        <v>2605</v>
      </c>
      <c r="B228" s="28">
        <v>22</v>
      </c>
      <c r="C228" s="245" t="s">
        <v>211</v>
      </c>
      <c r="D228" s="161"/>
      <c r="E228" s="256">
        <v>0.33048</v>
      </c>
      <c r="F228" s="21">
        <v>1.1080239999999999</v>
      </c>
      <c r="G228" s="17">
        <f t="shared" si="30"/>
        <v>0</v>
      </c>
      <c r="H228" s="18">
        <v>0.2</v>
      </c>
      <c r="I228" s="19">
        <f t="shared" si="31"/>
        <v>0</v>
      </c>
      <c r="J228" s="20">
        <f t="shared" si="32"/>
        <v>0</v>
      </c>
      <c r="K228" s="23">
        <v>528983</v>
      </c>
      <c r="L228" s="363" t="s">
        <v>212</v>
      </c>
    </row>
    <row r="229" spans="1:12" ht="16.899999999999999" customHeight="1" x14ac:dyDescent="0.25">
      <c r="A229" s="34">
        <v>2605</v>
      </c>
      <c r="B229" s="28">
        <v>20</v>
      </c>
      <c r="C229" s="245" t="s">
        <v>213</v>
      </c>
      <c r="D229" s="161"/>
      <c r="E229" s="256">
        <v>0.33048</v>
      </c>
      <c r="F229" s="21">
        <v>1.1080239999999999</v>
      </c>
      <c r="G229" s="17">
        <f t="shared" si="30"/>
        <v>0</v>
      </c>
      <c r="H229" s="33">
        <v>0.2</v>
      </c>
      <c r="I229" s="19">
        <f t="shared" si="31"/>
        <v>0</v>
      </c>
      <c r="J229" s="20">
        <f t="shared" si="32"/>
        <v>0</v>
      </c>
      <c r="K229" s="30">
        <v>2048874</v>
      </c>
      <c r="L229" s="34" t="s">
        <v>214</v>
      </c>
    </row>
    <row r="230" spans="1:12" ht="16.899999999999999" customHeight="1" thickBot="1" x14ac:dyDescent="0.3">
      <c r="B230" s="28"/>
      <c r="C230" s="247"/>
      <c r="D230" s="3"/>
      <c r="E230" s="256"/>
      <c r="F230" s="21">
        <v>1.1080239999999999</v>
      </c>
      <c r="G230" s="17">
        <f t="shared" si="30"/>
        <v>0</v>
      </c>
      <c r="H230" s="33"/>
      <c r="I230" s="19">
        <f>G230*H230</f>
        <v>0</v>
      </c>
      <c r="J230" s="20">
        <f t="shared" si="32"/>
        <v>0</v>
      </c>
    </row>
    <row r="231" spans="1:12" ht="16.899999999999999" customHeight="1" thickBot="1" x14ac:dyDescent="0.3">
      <c r="B231" s="13"/>
      <c r="C231" s="180" t="s">
        <v>43</v>
      </c>
      <c r="D231" s="175">
        <f>SUM(D218:D230)</f>
        <v>0</v>
      </c>
      <c r="E231" s="259"/>
      <c r="F231" s="37"/>
      <c r="G231" s="38">
        <f>SUM(G218:G230)</f>
        <v>0</v>
      </c>
      <c r="H231" s="38"/>
      <c r="I231" s="38">
        <f>SUM(I218:I230)</f>
        <v>0</v>
      </c>
      <c r="J231" s="38">
        <f>SUM(J218:J230)</f>
        <v>0</v>
      </c>
    </row>
    <row r="232" spans="1:12" ht="16.899999999999999" customHeight="1" x14ac:dyDescent="0.25">
      <c r="B232" s="40"/>
      <c r="C232" s="40"/>
      <c r="D232" s="40"/>
      <c r="E232" s="5"/>
      <c r="F232" s="5"/>
      <c r="G232" s="51"/>
      <c r="H232" s="51"/>
      <c r="I232" s="51"/>
      <c r="J232" s="51"/>
    </row>
    <row r="233" spans="1:12" ht="16.899999999999999" customHeight="1" x14ac:dyDescent="0.25">
      <c r="B233" s="39" t="s">
        <v>195</v>
      </c>
      <c r="C233" s="40"/>
      <c r="D233" s="41" t="s">
        <v>215</v>
      </c>
      <c r="E233" s="5"/>
      <c r="F233" s="5"/>
      <c r="G233" s="51"/>
      <c r="H233" s="51"/>
      <c r="I233" s="51"/>
      <c r="J233" s="51"/>
    </row>
    <row r="234" spans="1:12" ht="16.899999999999999" customHeight="1" x14ac:dyDescent="0.25">
      <c r="B234" s="40"/>
      <c r="C234" s="40"/>
      <c r="D234" s="40"/>
      <c r="E234" s="5"/>
      <c r="F234" s="5"/>
      <c r="G234" s="51"/>
      <c r="H234" s="51"/>
      <c r="I234" s="51"/>
      <c r="J234" s="51"/>
    </row>
    <row r="235" spans="1:12" ht="16.899999999999999" customHeight="1" x14ac:dyDescent="0.25">
      <c r="B235" s="40"/>
      <c r="C235" s="40"/>
      <c r="D235" s="40"/>
      <c r="E235" s="5"/>
      <c r="F235" s="5"/>
      <c r="G235" s="51"/>
      <c r="H235" s="51"/>
      <c r="I235" s="51"/>
      <c r="J235" s="51"/>
    </row>
    <row r="236" spans="1:12" ht="16.899999999999999" customHeight="1" x14ac:dyDescent="0.25">
      <c r="B236" s="6" t="s">
        <v>197</v>
      </c>
      <c r="C236" s="366" t="s">
        <v>677</v>
      </c>
      <c r="D236" s="185"/>
      <c r="E236" s="185"/>
      <c r="F236" s="185"/>
      <c r="G236" s="185"/>
      <c r="H236" s="185"/>
      <c r="I236" s="185"/>
      <c r="J236" s="6"/>
    </row>
    <row r="237" spans="1:12" ht="16.899999999999999" customHeight="1" x14ac:dyDescent="0.25">
      <c r="B237" s="6"/>
      <c r="C237" s="186" t="s">
        <v>216</v>
      </c>
      <c r="D237" s="187"/>
      <c r="E237" s="6"/>
      <c r="F237" s="81" t="s">
        <v>217</v>
      </c>
      <c r="G237" s="6"/>
      <c r="H237" s="6"/>
      <c r="I237" s="6"/>
      <c r="J237" s="6"/>
    </row>
    <row r="238" spans="1:12" ht="16.899999999999999" customHeight="1" x14ac:dyDescent="0.25">
      <c r="B238" s="6"/>
      <c r="C238" s="7"/>
      <c r="D238" s="7"/>
      <c r="E238" s="6"/>
      <c r="F238" s="6"/>
      <c r="G238" s="6"/>
      <c r="H238" s="6"/>
      <c r="I238" s="6"/>
      <c r="J238" s="6"/>
    </row>
    <row r="239" spans="1:12" ht="16.899999999999999" customHeight="1" thickBot="1" x14ac:dyDescent="0.3">
      <c r="B239" s="6"/>
      <c r="C239" s="6" t="s">
        <v>218</v>
      </c>
      <c r="D239" s="6"/>
      <c r="E239" s="6"/>
      <c r="F239" s="6"/>
      <c r="G239" s="6"/>
      <c r="H239" s="6"/>
      <c r="I239" s="6"/>
      <c r="J239" s="6"/>
    </row>
    <row r="240" spans="1:12" ht="16.899999999999999" customHeight="1" thickBot="1" x14ac:dyDescent="0.3">
      <c r="B240" s="8" t="s">
        <v>10</v>
      </c>
      <c r="C240" s="9" t="s">
        <v>11</v>
      </c>
      <c r="D240" s="10" t="s">
        <v>12</v>
      </c>
      <c r="E240" s="10" t="s">
        <v>13</v>
      </c>
      <c r="F240" s="10" t="s">
        <v>14</v>
      </c>
      <c r="G240" s="11" t="s">
        <v>15</v>
      </c>
      <c r="H240" s="11" t="s">
        <v>16</v>
      </c>
      <c r="I240" s="12" t="s">
        <v>17</v>
      </c>
      <c r="J240" s="13" t="s">
        <v>18</v>
      </c>
    </row>
    <row r="241" spans="1:12" ht="16.899999999999999" customHeight="1" thickBot="1" x14ac:dyDescent="0.3">
      <c r="A241" s="34">
        <v>2605</v>
      </c>
      <c r="B241" s="21"/>
      <c r="C241" s="22" t="s">
        <v>219</v>
      </c>
      <c r="E241" s="152">
        <v>0.33048</v>
      </c>
      <c r="F241" s="21">
        <v>1.1080239999999999</v>
      </c>
      <c r="G241" s="17">
        <f>ROUND(D241*E241*F241,2)</f>
        <v>0</v>
      </c>
      <c r="H241" s="18">
        <v>0.2</v>
      </c>
      <c r="I241" s="19">
        <f>ROUND(G241*H241,2)</f>
        <v>0</v>
      </c>
      <c r="J241" s="20">
        <f>G241+I241</f>
        <v>0</v>
      </c>
      <c r="K241" s="26">
        <v>184671</v>
      </c>
      <c r="L241" s="43" t="s">
        <v>220</v>
      </c>
    </row>
    <row r="242" spans="1:12" ht="16.899999999999999" customHeight="1" x14ac:dyDescent="0.25">
      <c r="B242" s="21"/>
      <c r="C242" s="22"/>
      <c r="D242" s="3"/>
      <c r="E242" s="44"/>
      <c r="F242" s="21"/>
      <c r="G242" s="17"/>
      <c r="H242" s="18"/>
      <c r="I242" s="19"/>
      <c r="J242" s="20"/>
    </row>
    <row r="243" spans="1:12" ht="16.899999999999999" customHeight="1" x14ac:dyDescent="0.25">
      <c r="B243" s="21"/>
      <c r="C243" s="22"/>
      <c r="D243" s="3"/>
      <c r="E243" s="15"/>
      <c r="F243" s="21"/>
      <c r="G243" s="17"/>
      <c r="H243" s="18"/>
      <c r="I243" s="19"/>
      <c r="J243" s="20"/>
    </row>
    <row r="244" spans="1:12" ht="16.899999999999999" customHeight="1" thickBot="1" x14ac:dyDescent="0.3">
      <c r="B244" s="28"/>
      <c r="C244" s="29"/>
      <c r="D244" s="27"/>
      <c r="E244" s="45"/>
      <c r="F244" s="28"/>
      <c r="G244" s="46"/>
      <c r="H244" s="47"/>
      <c r="I244" s="48"/>
      <c r="J244" s="49"/>
    </row>
    <row r="245" spans="1:12" ht="16.899999999999999" customHeight="1" thickBot="1" x14ac:dyDescent="0.3">
      <c r="B245" s="13"/>
      <c r="C245" s="13" t="s">
        <v>43</v>
      </c>
      <c r="D245" s="35">
        <f>SUM(D241:D244)</f>
        <v>0</v>
      </c>
      <c r="E245" s="36"/>
      <c r="F245" s="37"/>
      <c r="G245" s="38">
        <f>SUM(G241:G244)</f>
        <v>0</v>
      </c>
      <c r="H245" s="50"/>
      <c r="I245" s="38">
        <f>SUM(I241:I244)</f>
        <v>0</v>
      </c>
      <c r="J245" s="38">
        <f>SUM(J241:J244)</f>
        <v>0</v>
      </c>
    </row>
    <row r="247" spans="1:12" ht="16.899999999999999" customHeight="1" x14ac:dyDescent="0.25">
      <c r="B247" s="125" t="s">
        <v>221</v>
      </c>
      <c r="C247" s="96"/>
      <c r="D247" s="125" t="s">
        <v>215</v>
      </c>
      <c r="E247" s="96"/>
      <c r="F247" s="5"/>
      <c r="G247" s="51"/>
      <c r="H247" s="51"/>
      <c r="I247" s="51"/>
      <c r="J247" s="51"/>
    </row>
  </sheetData>
  <mergeCells count="4">
    <mergeCell ref="B200:B201"/>
    <mergeCell ref="B51:B52"/>
    <mergeCell ref="B66:B67"/>
    <mergeCell ref="B121:B124"/>
  </mergeCells>
  <pageMargins left="0.7" right="0.7" top="0.75" bottom="0.75" header="0.3" footer="0.3"/>
  <pageSetup paperSize="9" scale="3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46"/>
  <sheetViews>
    <sheetView topLeftCell="A31" zoomScale="89" zoomScaleNormal="89" workbookViewId="0">
      <selection activeCell="A46" sqref="A46"/>
    </sheetView>
  </sheetViews>
  <sheetFormatPr defaultColWidth="17.28515625" defaultRowHeight="18.600000000000001" customHeight="1" x14ac:dyDescent="0.25"/>
  <cols>
    <col min="1" max="1" width="10.85546875" style="34" customWidth="1"/>
    <col min="2" max="2" width="19.42578125" style="34" customWidth="1"/>
    <col min="3" max="3" width="25.7109375" style="34" customWidth="1"/>
    <col min="4" max="4" width="12.28515625" style="34" customWidth="1"/>
    <col min="5" max="5" width="11" style="34" customWidth="1"/>
    <col min="6" max="6" width="11.85546875" style="34" customWidth="1"/>
    <col min="7" max="7" width="13" style="34" customWidth="1"/>
    <col min="8" max="8" width="9.85546875" style="34" customWidth="1"/>
    <col min="9" max="9" width="11" style="34" customWidth="1"/>
    <col min="10" max="10" width="11.85546875" style="34" customWidth="1"/>
    <col min="11" max="11" width="17.28515625" style="34"/>
    <col min="12" max="12" width="19.42578125" style="34" customWidth="1"/>
    <col min="13" max="16384" width="17.28515625" style="34"/>
  </cols>
  <sheetData>
    <row r="1" spans="1:12" ht="22.15" customHeight="1" thickBot="1" x14ac:dyDescent="0.3">
      <c r="A1" s="34" t="s">
        <v>0</v>
      </c>
      <c r="B1" s="34" t="s">
        <v>1</v>
      </c>
      <c r="E1" s="34" t="s">
        <v>4</v>
      </c>
      <c r="F1" s="34" t="s">
        <v>5</v>
      </c>
      <c r="G1" s="34" t="s">
        <v>6</v>
      </c>
      <c r="H1" s="34" t="s">
        <v>6</v>
      </c>
      <c r="I1" s="34" t="s">
        <v>7</v>
      </c>
      <c r="J1" s="34" t="s">
        <v>8</v>
      </c>
      <c r="K1" s="311" t="s">
        <v>9</v>
      </c>
    </row>
    <row r="2" spans="1:12" ht="36" customHeight="1" thickBot="1" x14ac:dyDescent="0.3">
      <c r="A2" s="158" t="s">
        <v>679</v>
      </c>
      <c r="B2" s="367" t="s">
        <v>10</v>
      </c>
      <c r="C2" s="159" t="s">
        <v>11</v>
      </c>
      <c r="D2" s="368" t="s">
        <v>12</v>
      </c>
      <c r="E2" s="368" t="s">
        <v>13</v>
      </c>
      <c r="F2" s="368" t="s">
        <v>14</v>
      </c>
      <c r="G2" s="369" t="s">
        <v>15</v>
      </c>
      <c r="H2" s="369" t="s">
        <v>16</v>
      </c>
      <c r="I2" s="369" t="s">
        <v>17</v>
      </c>
      <c r="J2" s="369" t="s">
        <v>18</v>
      </c>
      <c r="K2" s="370"/>
    </row>
    <row r="3" spans="1:12" ht="18.600000000000001" customHeight="1" thickBot="1" x14ac:dyDescent="0.3">
      <c r="A3" s="200">
        <v>2705</v>
      </c>
      <c r="B3" s="371">
        <v>4</v>
      </c>
      <c r="C3" s="246" t="s">
        <v>224</v>
      </c>
      <c r="D3" s="154"/>
      <c r="E3" s="256">
        <v>0.33048</v>
      </c>
      <c r="F3" s="3">
        <v>1.1080239999999999</v>
      </c>
      <c r="G3" s="372">
        <f>ROUND(D3*E3*F3,2)</f>
        <v>0</v>
      </c>
      <c r="H3" s="373">
        <v>0.2</v>
      </c>
      <c r="I3" s="374">
        <f>ROUND(G3*H3,2)</f>
        <v>0</v>
      </c>
      <c r="J3" s="374">
        <f>G3+I3</f>
        <v>0</v>
      </c>
      <c r="K3" s="375">
        <v>94975</v>
      </c>
    </row>
    <row r="4" spans="1:12" ht="18.600000000000001" customHeight="1" thickBot="1" x14ac:dyDescent="0.3">
      <c r="A4" s="200">
        <v>2602</v>
      </c>
      <c r="B4" s="371"/>
      <c r="C4" s="246" t="s">
        <v>225</v>
      </c>
      <c r="D4" s="161"/>
      <c r="E4" s="256">
        <v>0.24295</v>
      </c>
      <c r="F4" s="3">
        <v>1.1080239999999999</v>
      </c>
      <c r="G4" s="372">
        <f t="shared" ref="G4:G7" si="0">ROUND(D4*E4*F4,2)</f>
        <v>0</v>
      </c>
      <c r="H4" s="373">
        <v>0.2</v>
      </c>
      <c r="I4" s="374">
        <f t="shared" ref="I4:I8" si="1">ROUND(G4*H4,2)</f>
        <v>0</v>
      </c>
      <c r="J4" s="374">
        <f t="shared" ref="J4:J8" si="2">G4+I4</f>
        <v>0</v>
      </c>
      <c r="K4" s="23">
        <v>140106</v>
      </c>
    </row>
    <row r="5" spans="1:12" ht="18.600000000000001" customHeight="1" x14ac:dyDescent="0.25">
      <c r="A5" s="162">
        <v>2705</v>
      </c>
      <c r="B5" s="371"/>
      <c r="C5" s="246" t="s">
        <v>226</v>
      </c>
      <c r="D5" s="161"/>
      <c r="E5" s="256">
        <v>0.33048</v>
      </c>
      <c r="F5" s="3">
        <v>1.1080239999999999</v>
      </c>
      <c r="G5" s="372">
        <f>ROUND(D6*E5*F5,2)</f>
        <v>0</v>
      </c>
      <c r="H5" s="373">
        <v>0.2</v>
      </c>
      <c r="I5" s="374">
        <f t="shared" si="1"/>
        <v>0</v>
      </c>
      <c r="J5" s="374">
        <f t="shared" si="2"/>
        <v>0</v>
      </c>
      <c r="K5" s="364"/>
    </row>
    <row r="6" spans="1:12" ht="18.600000000000001" customHeight="1" thickBot="1" x14ac:dyDescent="0.3">
      <c r="A6" s="162">
        <v>2705</v>
      </c>
      <c r="B6" s="371"/>
      <c r="C6" s="246" t="s">
        <v>227</v>
      </c>
      <c r="D6" s="161"/>
      <c r="E6" s="256">
        <v>0.33048</v>
      </c>
      <c r="F6" s="3">
        <v>1.1080239999999999</v>
      </c>
      <c r="G6" s="372" t="e">
        <f>ROUND(#REF!*E6*F6,2)</f>
        <v>#REF!</v>
      </c>
      <c r="H6" s="373">
        <v>0.2</v>
      </c>
      <c r="I6" s="374" t="e">
        <f t="shared" si="1"/>
        <v>#REF!</v>
      </c>
      <c r="J6" s="374" t="e">
        <f t="shared" si="2"/>
        <v>#REF!</v>
      </c>
      <c r="K6" s="375">
        <v>2789495</v>
      </c>
    </row>
    <row r="7" spans="1:12" ht="18.600000000000001" customHeight="1" x14ac:dyDescent="0.25">
      <c r="A7" s="162">
        <v>1002</v>
      </c>
      <c r="B7" s="376"/>
      <c r="C7" s="246" t="s">
        <v>228</v>
      </c>
      <c r="D7" s="161"/>
      <c r="E7" s="256">
        <v>0.24295</v>
      </c>
      <c r="F7" s="3">
        <v>1.1080239999999999</v>
      </c>
      <c r="G7" s="372">
        <f t="shared" si="0"/>
        <v>0</v>
      </c>
      <c r="H7" s="373">
        <v>0.2</v>
      </c>
      <c r="I7" s="374">
        <f t="shared" si="1"/>
        <v>0</v>
      </c>
      <c r="J7" s="374">
        <f t="shared" si="2"/>
        <v>0</v>
      </c>
      <c r="K7" s="364"/>
    </row>
    <row r="8" spans="1:12" ht="18.600000000000001" customHeight="1" thickBot="1" x14ac:dyDescent="0.3">
      <c r="A8" s="162">
        <v>2705</v>
      </c>
      <c r="B8" s="514" t="s">
        <v>578</v>
      </c>
      <c r="C8" s="246" t="s">
        <v>229</v>
      </c>
      <c r="D8" s="161"/>
      <c r="E8" s="256">
        <v>0.33048</v>
      </c>
      <c r="F8" s="3">
        <v>1.1080239999999999</v>
      </c>
      <c r="G8" s="372">
        <f>ROUND(D10*E8*F8,2)</f>
        <v>0</v>
      </c>
      <c r="H8" s="373">
        <v>0.2</v>
      </c>
      <c r="I8" s="374">
        <f t="shared" si="1"/>
        <v>0</v>
      </c>
      <c r="J8" s="374">
        <f t="shared" si="2"/>
        <v>0</v>
      </c>
      <c r="K8" s="375">
        <v>269983</v>
      </c>
      <c r="L8" s="34" t="s">
        <v>81</v>
      </c>
    </row>
    <row r="9" spans="1:12" ht="18.600000000000001" customHeight="1" thickBot="1" x14ac:dyDescent="0.3">
      <c r="B9" s="515"/>
      <c r="C9" s="482" t="s">
        <v>229</v>
      </c>
      <c r="D9" s="255"/>
      <c r="E9" s="312"/>
      <c r="F9" s="161"/>
      <c r="G9" s="161"/>
      <c r="H9" s="161"/>
      <c r="I9" s="161"/>
      <c r="J9" s="161"/>
      <c r="K9" s="375">
        <v>10105</v>
      </c>
    </row>
    <row r="10" spans="1:12" ht="18.600000000000001" customHeight="1" thickBot="1" x14ac:dyDescent="0.3">
      <c r="A10" s="162">
        <v>2705</v>
      </c>
      <c r="B10" s="371"/>
      <c r="C10" s="377" t="s">
        <v>230</v>
      </c>
      <c r="D10" s="161"/>
      <c r="E10" s="256">
        <v>0.33048</v>
      </c>
      <c r="F10" s="172">
        <v>1.1080239999999999</v>
      </c>
      <c r="G10" s="378" t="e">
        <f>ROUND(#REF!*E10*F10,2)</f>
        <v>#REF!</v>
      </c>
      <c r="H10" s="379">
        <v>0.2</v>
      </c>
      <c r="I10" s="380" t="e">
        <f t="shared" ref="I10:I20" si="3">ROUND(G10*H10,2)</f>
        <v>#REF!</v>
      </c>
      <c r="J10" s="380" t="e">
        <f t="shared" ref="J10:J20" si="4">G10+I10</f>
        <v>#REF!</v>
      </c>
      <c r="K10" s="375">
        <v>672727</v>
      </c>
    </row>
    <row r="11" spans="1:12" ht="18.600000000000001" customHeight="1" x14ac:dyDescent="0.25">
      <c r="A11" s="162" t="s">
        <v>231</v>
      </c>
      <c r="B11" s="28" t="s">
        <v>232</v>
      </c>
      <c r="C11" s="381" t="s">
        <v>233</v>
      </c>
      <c r="D11" s="154"/>
      <c r="E11" s="256">
        <v>0.15842000000000001</v>
      </c>
      <c r="F11" s="21">
        <v>1</v>
      </c>
      <c r="G11" s="17">
        <f t="shared" ref="G11:G20" si="5">ROUND(D11*E11*F11,2)</f>
        <v>0</v>
      </c>
      <c r="H11" s="18">
        <v>0.2</v>
      </c>
      <c r="I11" s="19">
        <f t="shared" si="3"/>
        <v>0</v>
      </c>
      <c r="J11" s="382">
        <f t="shared" si="4"/>
        <v>0</v>
      </c>
    </row>
    <row r="12" spans="1:12" ht="18.600000000000001" customHeight="1" x14ac:dyDescent="0.25">
      <c r="A12" s="162" t="s">
        <v>231</v>
      </c>
      <c r="B12" s="28" t="s">
        <v>234</v>
      </c>
      <c r="C12" s="381" t="s">
        <v>233</v>
      </c>
      <c r="D12" s="154"/>
      <c r="E12" s="256">
        <v>0.15842000000000001</v>
      </c>
      <c r="F12" s="21">
        <v>1</v>
      </c>
      <c r="G12" s="17">
        <f t="shared" si="5"/>
        <v>0</v>
      </c>
      <c r="H12" s="18">
        <v>0.2</v>
      </c>
      <c r="I12" s="19">
        <f t="shared" si="3"/>
        <v>0</v>
      </c>
      <c r="J12" s="382">
        <f t="shared" si="4"/>
        <v>0</v>
      </c>
    </row>
    <row r="13" spans="1:12" ht="18.600000000000001" customHeight="1" thickBot="1" x14ac:dyDescent="0.3">
      <c r="A13" s="200">
        <v>2705</v>
      </c>
      <c r="B13" s="383" t="s">
        <v>676</v>
      </c>
      <c r="C13" s="246" t="s">
        <v>235</v>
      </c>
      <c r="D13" s="154"/>
      <c r="E13" s="256">
        <v>0.33048</v>
      </c>
      <c r="F13" s="3">
        <v>1.1080239999999999</v>
      </c>
      <c r="G13" s="372">
        <f t="shared" si="5"/>
        <v>0</v>
      </c>
      <c r="H13" s="373">
        <v>0.2</v>
      </c>
      <c r="I13" s="374">
        <f t="shared" si="3"/>
        <v>0</v>
      </c>
      <c r="J13" s="374">
        <f t="shared" si="4"/>
        <v>0</v>
      </c>
      <c r="K13" s="375"/>
    </row>
    <row r="14" spans="1:12" ht="18.600000000000001" customHeight="1" thickBot="1" x14ac:dyDescent="0.3">
      <c r="A14" s="200" t="s">
        <v>95</v>
      </c>
      <c r="B14" s="383"/>
      <c r="C14" s="246" t="s">
        <v>37</v>
      </c>
      <c r="D14" s="154"/>
      <c r="E14" s="256">
        <v>0.33048</v>
      </c>
      <c r="F14" s="3">
        <v>1.1080239999999999</v>
      </c>
      <c r="G14" s="372">
        <f t="shared" si="5"/>
        <v>0</v>
      </c>
      <c r="H14" s="373">
        <v>0.2</v>
      </c>
      <c r="I14" s="374">
        <f t="shared" si="3"/>
        <v>0</v>
      </c>
      <c r="J14" s="374">
        <f t="shared" si="4"/>
        <v>0</v>
      </c>
      <c r="K14" s="375"/>
    </row>
    <row r="15" spans="1:12" ht="18.600000000000001" customHeight="1" thickBot="1" x14ac:dyDescent="0.3">
      <c r="A15" s="200">
        <v>2705</v>
      </c>
      <c r="B15" s="383"/>
      <c r="C15" s="246" t="s">
        <v>236</v>
      </c>
      <c r="D15" s="154"/>
      <c r="E15" s="256">
        <v>0.33048</v>
      </c>
      <c r="F15" s="3">
        <v>1.1080239999999999</v>
      </c>
      <c r="G15" s="372">
        <f t="shared" si="5"/>
        <v>0</v>
      </c>
      <c r="H15" s="373">
        <v>0.2</v>
      </c>
      <c r="I15" s="374">
        <f t="shared" si="3"/>
        <v>0</v>
      </c>
      <c r="J15" s="374">
        <f t="shared" si="4"/>
        <v>0</v>
      </c>
      <c r="K15" s="375">
        <v>2011469</v>
      </c>
    </row>
    <row r="16" spans="1:12" ht="18.600000000000001" customHeight="1" thickBot="1" x14ac:dyDescent="0.3">
      <c r="A16" s="200" t="s">
        <v>95</v>
      </c>
      <c r="B16" s="383"/>
      <c r="C16" s="246" t="s">
        <v>37</v>
      </c>
      <c r="D16" s="154"/>
      <c r="E16" s="256">
        <v>0.33048</v>
      </c>
      <c r="F16" s="3">
        <v>1.1080239999999999</v>
      </c>
      <c r="G16" s="372">
        <f t="shared" si="5"/>
        <v>0</v>
      </c>
      <c r="H16" s="373">
        <v>0.2</v>
      </c>
      <c r="I16" s="374">
        <f t="shared" si="3"/>
        <v>0</v>
      </c>
      <c r="J16" s="374">
        <f t="shared" si="4"/>
        <v>0</v>
      </c>
      <c r="K16" s="23">
        <v>2011564</v>
      </c>
    </row>
    <row r="17" spans="1:15" ht="18.600000000000001" customHeight="1" thickBot="1" x14ac:dyDescent="0.3">
      <c r="A17" s="200">
        <v>2705</v>
      </c>
      <c r="B17" s="383"/>
      <c r="C17" s="246" t="s">
        <v>237</v>
      </c>
      <c r="D17" s="161"/>
      <c r="E17" s="256">
        <v>0.33048</v>
      </c>
      <c r="F17" s="3">
        <v>1.1080239999999999</v>
      </c>
      <c r="G17" s="372">
        <f t="shared" si="5"/>
        <v>0</v>
      </c>
      <c r="H17" s="373">
        <v>0.2</v>
      </c>
      <c r="I17" s="374">
        <f t="shared" si="3"/>
        <v>0</v>
      </c>
      <c r="J17" s="374">
        <f t="shared" si="4"/>
        <v>0</v>
      </c>
      <c r="K17" s="375">
        <v>98029</v>
      </c>
    </row>
    <row r="18" spans="1:15" ht="18.600000000000001" customHeight="1" thickBot="1" x14ac:dyDescent="0.3">
      <c r="A18" s="200">
        <v>2705</v>
      </c>
      <c r="B18" s="383"/>
      <c r="C18" s="246" t="s">
        <v>238</v>
      </c>
      <c r="D18" s="161"/>
      <c r="E18" s="256">
        <v>0.33048</v>
      </c>
      <c r="F18" s="3">
        <v>1.1080239999999999</v>
      </c>
      <c r="G18" s="372">
        <f t="shared" si="5"/>
        <v>0</v>
      </c>
      <c r="H18" s="373">
        <v>0.2</v>
      </c>
      <c r="I18" s="374">
        <f t="shared" si="3"/>
        <v>0</v>
      </c>
      <c r="J18" s="374">
        <f t="shared" si="4"/>
        <v>0</v>
      </c>
      <c r="K18" s="375">
        <v>766359</v>
      </c>
    </row>
    <row r="19" spans="1:15" ht="18.600000000000001" customHeight="1" thickBot="1" x14ac:dyDescent="0.3">
      <c r="A19" s="200">
        <v>2705</v>
      </c>
      <c r="B19" s="384"/>
      <c r="C19" s="246" t="s">
        <v>239</v>
      </c>
      <c r="D19" s="161"/>
      <c r="E19" s="256">
        <v>0.33048</v>
      </c>
      <c r="F19" s="3">
        <v>1.1080239999999999</v>
      </c>
      <c r="G19" s="372">
        <f t="shared" si="5"/>
        <v>0</v>
      </c>
      <c r="H19" s="373">
        <v>0.2</v>
      </c>
      <c r="I19" s="374">
        <f t="shared" si="3"/>
        <v>0</v>
      </c>
      <c r="J19" s="374">
        <f t="shared" si="4"/>
        <v>0</v>
      </c>
      <c r="K19" s="375">
        <v>457515</v>
      </c>
      <c r="L19" s="200"/>
      <c r="M19" s="200"/>
      <c r="O19" s="200"/>
    </row>
    <row r="20" spans="1:15" ht="18.600000000000001" customHeight="1" thickBot="1" x14ac:dyDescent="0.3">
      <c r="A20" s="200">
        <v>2705</v>
      </c>
      <c r="B20" s="516" t="s">
        <v>578</v>
      </c>
      <c r="C20" s="246" t="s">
        <v>240</v>
      </c>
      <c r="D20" s="330"/>
      <c r="E20" s="256">
        <v>0.33048</v>
      </c>
      <c r="F20" s="3">
        <v>1.1080239999999999</v>
      </c>
      <c r="G20" s="372">
        <f t="shared" si="5"/>
        <v>0</v>
      </c>
      <c r="H20" s="373">
        <v>0.2</v>
      </c>
      <c r="I20" s="374">
        <f t="shared" si="3"/>
        <v>0</v>
      </c>
      <c r="J20" s="374">
        <f t="shared" si="4"/>
        <v>0</v>
      </c>
      <c r="K20" s="375">
        <v>490259</v>
      </c>
      <c r="O20" s="200"/>
    </row>
    <row r="21" spans="1:15" ht="20.45" customHeight="1" thickBot="1" x14ac:dyDescent="0.3">
      <c r="A21" s="163" t="s">
        <v>95</v>
      </c>
      <c r="B21" s="517"/>
      <c r="C21" s="483" t="s">
        <v>27</v>
      </c>
      <c r="D21" s="161"/>
      <c r="E21" s="312"/>
      <c r="F21" s="161"/>
      <c r="G21" s="161"/>
      <c r="H21" s="161"/>
      <c r="I21" s="161"/>
      <c r="J21" s="161"/>
      <c r="K21" s="385">
        <v>2158008</v>
      </c>
      <c r="L21" s="200" t="s">
        <v>241</v>
      </c>
    </row>
    <row r="22" spans="1:15" ht="19.899999999999999" customHeight="1" thickBot="1" x14ac:dyDescent="0.3">
      <c r="A22" s="163" t="s">
        <v>96</v>
      </c>
      <c r="B22" s="518"/>
      <c r="C22" s="483" t="s">
        <v>29</v>
      </c>
      <c r="D22" s="161"/>
      <c r="E22" s="312"/>
      <c r="F22" s="161"/>
      <c r="G22" s="161"/>
      <c r="H22" s="161"/>
      <c r="I22" s="161"/>
      <c r="J22" s="161"/>
      <c r="K22" s="385">
        <v>2158008</v>
      </c>
    </row>
    <row r="23" spans="1:15" ht="31.15" customHeight="1" thickBot="1" x14ac:dyDescent="0.3">
      <c r="A23" s="200">
        <v>2705</v>
      </c>
      <c r="B23" s="386"/>
      <c r="C23" s="387" t="s">
        <v>242</v>
      </c>
      <c r="D23" s="154"/>
      <c r="E23" s="256">
        <v>0.33048</v>
      </c>
      <c r="F23" s="172">
        <v>1.1080239999999999</v>
      </c>
      <c r="G23" s="378">
        <f t="shared" ref="G23:G32" si="6">ROUND(D23*E23*F23,2)</f>
        <v>0</v>
      </c>
      <c r="H23" s="388">
        <v>0.2</v>
      </c>
      <c r="I23" s="380">
        <f t="shared" ref="I23:I32" si="7">ROUND(G23*H23,2)</f>
        <v>0</v>
      </c>
      <c r="J23" s="380">
        <f t="shared" ref="J23:J32" si="8">G23+I23</f>
        <v>0</v>
      </c>
      <c r="K23" s="375">
        <v>320403</v>
      </c>
    </row>
    <row r="24" spans="1:15" ht="18.600000000000001" customHeight="1" x14ac:dyDescent="0.25">
      <c r="A24" s="200">
        <v>1002</v>
      </c>
      <c r="B24" s="339" t="s">
        <v>243</v>
      </c>
      <c r="C24" s="389" t="s">
        <v>244</v>
      </c>
      <c r="D24" s="154"/>
      <c r="E24" s="256">
        <v>0.24295</v>
      </c>
      <c r="F24" s="3">
        <v>1.1080239999999999</v>
      </c>
      <c r="G24" s="372">
        <f t="shared" si="6"/>
        <v>0</v>
      </c>
      <c r="H24" s="390">
        <v>0.2</v>
      </c>
      <c r="I24" s="374">
        <f t="shared" si="7"/>
        <v>0</v>
      </c>
      <c r="J24" s="374">
        <f t="shared" si="8"/>
        <v>0</v>
      </c>
      <c r="K24" s="364"/>
    </row>
    <row r="25" spans="1:15" ht="18.600000000000001" customHeight="1" x14ac:dyDescent="0.25">
      <c r="A25" s="200">
        <v>1002</v>
      </c>
      <c r="B25" s="339" t="s">
        <v>245</v>
      </c>
      <c r="C25" s="389" t="s">
        <v>244</v>
      </c>
      <c r="D25" s="154"/>
      <c r="E25" s="256">
        <v>0.24295</v>
      </c>
      <c r="F25" s="3">
        <v>1.1080239999999999</v>
      </c>
      <c r="G25" s="372">
        <f t="shared" si="6"/>
        <v>0</v>
      </c>
      <c r="H25" s="390">
        <v>0.2</v>
      </c>
      <c r="I25" s="374">
        <f t="shared" si="7"/>
        <v>0</v>
      </c>
      <c r="J25" s="374">
        <f t="shared" si="8"/>
        <v>0</v>
      </c>
      <c r="K25" s="364"/>
    </row>
    <row r="26" spans="1:15" ht="18.600000000000001" customHeight="1" x14ac:dyDescent="0.25">
      <c r="A26" s="200">
        <v>1002</v>
      </c>
      <c r="B26" s="339" t="s">
        <v>246</v>
      </c>
      <c r="C26" s="389" t="s">
        <v>244</v>
      </c>
      <c r="D26" s="154"/>
      <c r="E26" s="256">
        <v>0.24295</v>
      </c>
      <c r="F26" s="3">
        <v>1.1080239999999999</v>
      </c>
      <c r="G26" s="372">
        <f t="shared" si="6"/>
        <v>0</v>
      </c>
      <c r="H26" s="390">
        <v>0.2</v>
      </c>
      <c r="I26" s="374">
        <f t="shared" si="7"/>
        <v>0</v>
      </c>
      <c r="J26" s="374">
        <f t="shared" si="8"/>
        <v>0</v>
      </c>
      <c r="K26" s="364"/>
    </row>
    <row r="27" spans="1:15" ht="18.600000000000001" customHeight="1" x14ac:dyDescent="0.25">
      <c r="A27" s="200">
        <v>1002</v>
      </c>
      <c r="B27" s="339" t="s">
        <v>426</v>
      </c>
      <c r="C27" s="389" t="s">
        <v>244</v>
      </c>
      <c r="D27" s="154"/>
      <c r="E27" s="256">
        <v>0.24295</v>
      </c>
      <c r="F27" s="3">
        <v>1.1080239999999999</v>
      </c>
      <c r="G27" s="372">
        <f t="shared" si="6"/>
        <v>0</v>
      </c>
      <c r="H27" s="390">
        <v>0.2</v>
      </c>
      <c r="I27" s="374">
        <f t="shared" si="7"/>
        <v>0</v>
      </c>
      <c r="J27" s="374">
        <f t="shared" si="8"/>
        <v>0</v>
      </c>
      <c r="K27" s="391"/>
    </row>
    <row r="28" spans="1:15" ht="18.600000000000001" customHeight="1" thickBot="1" x14ac:dyDescent="0.3">
      <c r="A28" s="200">
        <v>2705</v>
      </c>
      <c r="B28" s="384"/>
      <c r="C28" s="246" t="s">
        <v>247</v>
      </c>
      <c r="D28" s="330"/>
      <c r="E28" s="256">
        <v>0.33048</v>
      </c>
      <c r="F28" s="3">
        <v>1.1080239999999999</v>
      </c>
      <c r="G28" s="372">
        <f t="shared" si="6"/>
        <v>0</v>
      </c>
      <c r="H28" s="390">
        <v>0.2</v>
      </c>
      <c r="I28" s="374">
        <f t="shared" si="7"/>
        <v>0</v>
      </c>
      <c r="J28" s="374">
        <f t="shared" si="8"/>
        <v>0</v>
      </c>
      <c r="K28" s="392">
        <v>9097085000368</v>
      </c>
    </row>
    <row r="29" spans="1:15" ht="18.600000000000001" customHeight="1" thickBot="1" x14ac:dyDescent="0.3">
      <c r="A29" s="200">
        <v>2705</v>
      </c>
      <c r="B29" s="384"/>
      <c r="C29" s="246" t="s">
        <v>248</v>
      </c>
      <c r="D29" s="161"/>
      <c r="E29" s="256">
        <v>0.33048</v>
      </c>
      <c r="F29" s="3">
        <v>1.1080239999999999</v>
      </c>
      <c r="G29" s="372">
        <f t="shared" si="6"/>
        <v>0</v>
      </c>
      <c r="H29" s="390">
        <v>0.2</v>
      </c>
      <c r="I29" s="374">
        <f t="shared" si="7"/>
        <v>0</v>
      </c>
      <c r="J29" s="374">
        <f t="shared" si="8"/>
        <v>0</v>
      </c>
      <c r="K29" s="392">
        <v>8842079002217</v>
      </c>
    </row>
    <row r="30" spans="1:15" ht="18.600000000000001" customHeight="1" thickBot="1" x14ac:dyDescent="0.3">
      <c r="A30" s="200">
        <v>2705</v>
      </c>
      <c r="B30" s="384"/>
      <c r="C30" s="247" t="s">
        <v>249</v>
      </c>
      <c r="D30" s="161"/>
      <c r="E30" s="256">
        <v>0.33048</v>
      </c>
      <c r="F30" s="3">
        <v>1.1080239999999999</v>
      </c>
      <c r="G30" s="372">
        <f t="shared" si="6"/>
        <v>0</v>
      </c>
      <c r="H30" s="390">
        <v>0.2</v>
      </c>
      <c r="I30" s="374">
        <f t="shared" si="7"/>
        <v>0</v>
      </c>
      <c r="J30" s="374">
        <f t="shared" si="8"/>
        <v>0</v>
      </c>
      <c r="K30" s="375">
        <v>667366</v>
      </c>
    </row>
    <row r="31" spans="1:15" ht="18.600000000000001" customHeight="1" thickBot="1" x14ac:dyDescent="0.3">
      <c r="A31" s="200">
        <v>2705</v>
      </c>
      <c r="B31" s="516" t="s">
        <v>578</v>
      </c>
      <c r="C31" s="247" t="s">
        <v>250</v>
      </c>
      <c r="D31" s="154"/>
      <c r="E31" s="256">
        <v>0.33048</v>
      </c>
      <c r="F31" s="3">
        <v>1.1080239999999999</v>
      </c>
      <c r="G31" s="372">
        <f t="shared" si="6"/>
        <v>0</v>
      </c>
      <c r="H31" s="390">
        <v>0.2</v>
      </c>
      <c r="I31" s="374">
        <f t="shared" si="7"/>
        <v>0</v>
      </c>
      <c r="J31" s="374">
        <f t="shared" si="8"/>
        <v>0</v>
      </c>
      <c r="K31" s="375">
        <v>98384</v>
      </c>
    </row>
    <row r="32" spans="1:15" ht="18.600000000000001" customHeight="1" thickBot="1" x14ac:dyDescent="0.3">
      <c r="A32" s="200" t="s">
        <v>33</v>
      </c>
      <c r="B32" s="517"/>
      <c r="C32" s="246" t="s">
        <v>27</v>
      </c>
      <c r="D32" s="154"/>
      <c r="E32" s="256">
        <v>0.33048</v>
      </c>
      <c r="F32" s="3">
        <v>1.1080239999999999</v>
      </c>
      <c r="G32" s="372">
        <f t="shared" si="6"/>
        <v>0</v>
      </c>
      <c r="H32" s="373">
        <v>0.2</v>
      </c>
      <c r="I32" s="374">
        <f t="shared" si="7"/>
        <v>0</v>
      </c>
      <c r="J32" s="374">
        <f t="shared" si="8"/>
        <v>0</v>
      </c>
      <c r="K32" s="23" t="s">
        <v>253</v>
      </c>
    </row>
    <row r="33" spans="1:15" ht="18.600000000000001" customHeight="1" thickBot="1" x14ac:dyDescent="0.3">
      <c r="B33" s="517"/>
      <c r="C33" s="332" t="s">
        <v>251</v>
      </c>
      <c r="D33" s="255"/>
      <c r="E33" s="312"/>
      <c r="F33" s="161"/>
      <c r="G33" s="161"/>
      <c r="H33" s="161"/>
      <c r="I33" s="161"/>
      <c r="J33" s="161"/>
      <c r="K33" s="23">
        <v>2201034</v>
      </c>
    </row>
    <row r="34" spans="1:15" ht="18.600000000000001" customHeight="1" thickBot="1" x14ac:dyDescent="0.3">
      <c r="B34" s="518"/>
      <c r="C34" s="332" t="s">
        <v>252</v>
      </c>
      <c r="D34" s="255"/>
      <c r="E34" s="312"/>
      <c r="F34" s="161"/>
      <c r="G34" s="161"/>
      <c r="H34" s="161"/>
      <c r="I34" s="161"/>
      <c r="J34" s="161"/>
      <c r="K34" s="23">
        <v>2010829</v>
      </c>
    </row>
    <row r="35" spans="1:15" ht="18.600000000000001" customHeight="1" thickBot="1" x14ac:dyDescent="0.3">
      <c r="A35" s="393">
        <v>2705</v>
      </c>
      <c r="B35" s="394"/>
      <c r="C35" s="395" t="s">
        <v>254</v>
      </c>
      <c r="D35" s="161"/>
      <c r="E35" s="256">
        <v>0.33048</v>
      </c>
      <c r="F35" s="172">
        <v>1.1080239999999999</v>
      </c>
      <c r="G35" s="378">
        <f>ROUND(D35*E35*F35,2)</f>
        <v>0</v>
      </c>
      <c r="H35" s="388">
        <v>0.2</v>
      </c>
      <c r="I35" s="380">
        <f>ROUND(G35*H35,2)</f>
        <v>0</v>
      </c>
      <c r="J35" s="380">
        <f>G35+I35</f>
        <v>0</v>
      </c>
      <c r="K35" s="375">
        <v>615148</v>
      </c>
    </row>
    <row r="36" spans="1:15" ht="18.600000000000001" customHeight="1" thickBot="1" x14ac:dyDescent="0.3">
      <c r="A36" s="200">
        <v>2705</v>
      </c>
      <c r="B36" s="396"/>
      <c r="C36" s="247" t="s">
        <v>255</v>
      </c>
      <c r="D36" s="161"/>
      <c r="E36" s="256">
        <v>0.33048</v>
      </c>
      <c r="F36" s="3">
        <v>1.1080239999999999</v>
      </c>
      <c r="G36" s="372">
        <f>ROUND(D36*E36*F36,2)</f>
        <v>0</v>
      </c>
      <c r="H36" s="390">
        <v>0.2</v>
      </c>
      <c r="I36" s="374">
        <f>ROUND(G36*H36,2)</f>
        <v>0</v>
      </c>
      <c r="J36" s="374">
        <f>G36+I36</f>
        <v>0</v>
      </c>
      <c r="K36" s="375">
        <v>2075766</v>
      </c>
    </row>
    <row r="37" spans="1:15" ht="18.600000000000001" customHeight="1" thickBot="1" x14ac:dyDescent="0.3">
      <c r="A37" s="200">
        <v>2705</v>
      </c>
      <c r="B37" s="396"/>
      <c r="C37" s="247" t="s">
        <v>256</v>
      </c>
      <c r="D37" s="154"/>
      <c r="E37" s="256">
        <v>0.33048</v>
      </c>
      <c r="F37" s="3">
        <v>1.1080239999999999</v>
      </c>
      <c r="G37" s="372">
        <f>ROUND(D37*E37*F37,2)</f>
        <v>0</v>
      </c>
      <c r="H37" s="390">
        <v>0.2</v>
      </c>
      <c r="I37" s="374">
        <f>ROUND(G37*H37,2)</f>
        <v>0</v>
      </c>
      <c r="J37" s="374">
        <f>G37+I37</f>
        <v>0</v>
      </c>
      <c r="K37" s="375">
        <v>717033</v>
      </c>
    </row>
    <row r="38" spans="1:15" ht="18.600000000000001" customHeight="1" thickBot="1" x14ac:dyDescent="0.3">
      <c r="A38" s="200">
        <v>2705</v>
      </c>
      <c r="B38" s="396"/>
      <c r="C38" s="247" t="s">
        <v>257</v>
      </c>
      <c r="D38" s="161"/>
      <c r="E38" s="256">
        <v>0.33048</v>
      </c>
      <c r="F38" s="3">
        <v>1.1080239999999999</v>
      </c>
      <c r="G38" s="372">
        <f>ROUND(D38*E38*F38,2)</f>
        <v>0</v>
      </c>
      <c r="H38" s="390">
        <v>0.2</v>
      </c>
      <c r="I38" s="374">
        <f>ROUND(G38*H38,2)</f>
        <v>0</v>
      </c>
      <c r="J38" s="374">
        <f>G38+I38</f>
        <v>0</v>
      </c>
      <c r="K38" s="375">
        <v>4232</v>
      </c>
      <c r="L38" s="200"/>
      <c r="M38" s="200"/>
      <c r="N38" s="200"/>
      <c r="O38" s="200"/>
    </row>
    <row r="39" spans="1:15" ht="25.9" customHeight="1" thickBot="1" x14ac:dyDescent="0.3">
      <c r="A39" s="200"/>
      <c r="B39" s="397"/>
      <c r="C39" s="398" t="s">
        <v>122</v>
      </c>
      <c r="D39" s="484">
        <f>SUM(D3:D38)-D9-D34-D33</f>
        <v>0</v>
      </c>
      <c r="E39" s="399"/>
      <c r="F39" s="3"/>
      <c r="G39" s="400" t="e">
        <f>SUM(G3:G38)</f>
        <v>#REF!</v>
      </c>
      <c r="H39" s="401"/>
      <c r="I39" s="400" t="e">
        <f>SUM(I3:I38)</f>
        <v>#REF!</v>
      </c>
      <c r="J39" s="402" t="e">
        <f>SUM(J3:J38)</f>
        <v>#REF!</v>
      </c>
    </row>
    <row r="40" spans="1:15" ht="18.600000000000001" customHeight="1" thickBot="1" x14ac:dyDescent="0.3">
      <c r="A40" s="162">
        <v>2705</v>
      </c>
      <c r="B40" s="376">
        <v>6</v>
      </c>
      <c r="C40" s="377" t="s">
        <v>258</v>
      </c>
      <c r="D40" s="161"/>
      <c r="E40" s="256">
        <v>0.33048</v>
      </c>
      <c r="F40" s="3">
        <v>1.1080239999999999</v>
      </c>
      <c r="G40" s="372">
        <f>ROUND(D40*E40*F40,2)</f>
        <v>0</v>
      </c>
      <c r="H40" s="379">
        <v>0.2</v>
      </c>
      <c r="I40" s="380">
        <f>ROUND(G40*H40,2)</f>
        <v>0</v>
      </c>
      <c r="J40" s="380">
        <f>G40+I40</f>
        <v>0</v>
      </c>
      <c r="K40" s="375">
        <v>11653829</v>
      </c>
    </row>
    <row r="41" spans="1:15" ht="18.600000000000001" customHeight="1" thickBot="1" x14ac:dyDescent="0.3">
      <c r="A41" s="34">
        <v>2705</v>
      </c>
      <c r="B41" s="403"/>
      <c r="C41" s="246" t="s">
        <v>259</v>
      </c>
      <c r="D41" s="161"/>
      <c r="E41" s="256">
        <v>0.33048</v>
      </c>
      <c r="F41" s="3">
        <v>1.1080239999999999</v>
      </c>
      <c r="G41" s="372">
        <f t="shared" ref="G41:G72" si="9">ROUND(D41*E41*F41,2)</f>
        <v>0</v>
      </c>
      <c r="H41" s="373">
        <v>0.2</v>
      </c>
      <c r="I41" s="380">
        <f t="shared" ref="I41:I72" si="10">ROUND(G41*H41,2)</f>
        <v>0</v>
      </c>
      <c r="J41" s="380">
        <f t="shared" ref="J41:J72" si="11">G41+I41</f>
        <v>0</v>
      </c>
      <c r="K41" s="375">
        <v>9007564</v>
      </c>
    </row>
    <row r="42" spans="1:15" ht="16.899999999999999" customHeight="1" x14ac:dyDescent="0.25">
      <c r="B42" s="165" t="s">
        <v>668</v>
      </c>
      <c r="C42" s="246" t="s">
        <v>46</v>
      </c>
      <c r="D42" s="154"/>
      <c r="E42" s="152">
        <v>0.33048</v>
      </c>
      <c r="F42" s="21">
        <v>1.1080239999999999</v>
      </c>
      <c r="G42" s="269">
        <f t="shared" si="9"/>
        <v>0</v>
      </c>
      <c r="H42" s="4">
        <v>0.2</v>
      </c>
      <c r="I42" s="270">
        <f>ROUND(G42*H42,2)</f>
        <v>0</v>
      </c>
      <c r="J42" s="271">
        <f>G42+I42</f>
        <v>0</v>
      </c>
      <c r="K42" s="319">
        <v>103232</v>
      </c>
      <c r="L42" s="320"/>
    </row>
    <row r="43" spans="1:15" ht="18.600000000000001" customHeight="1" thickBot="1" x14ac:dyDescent="0.3">
      <c r="A43" s="34">
        <v>902</v>
      </c>
      <c r="B43" s="404"/>
      <c r="C43" s="246" t="s">
        <v>260</v>
      </c>
      <c r="D43" s="161"/>
      <c r="E43" s="256">
        <v>0.24295</v>
      </c>
      <c r="F43" s="3">
        <v>1.1080239999999999</v>
      </c>
      <c r="G43" s="372">
        <f t="shared" si="9"/>
        <v>0</v>
      </c>
      <c r="H43" s="373">
        <v>0.2</v>
      </c>
      <c r="I43" s="380">
        <f t="shared" si="10"/>
        <v>0</v>
      </c>
      <c r="J43" s="380">
        <f t="shared" si="11"/>
        <v>0</v>
      </c>
      <c r="K43" s="375">
        <v>663437</v>
      </c>
      <c r="L43" s="34" t="s">
        <v>261</v>
      </c>
    </row>
    <row r="44" spans="1:15" ht="18.600000000000001" customHeight="1" thickBot="1" x14ac:dyDescent="0.3">
      <c r="A44" s="34">
        <v>2705</v>
      </c>
      <c r="B44" s="404"/>
      <c r="C44" s="246" t="s">
        <v>262</v>
      </c>
      <c r="D44" s="161"/>
      <c r="E44" s="256">
        <v>0.33048</v>
      </c>
      <c r="F44" s="3">
        <v>1.1080239999999999</v>
      </c>
      <c r="G44" s="372">
        <f t="shared" si="9"/>
        <v>0</v>
      </c>
      <c r="H44" s="373">
        <v>0.2</v>
      </c>
      <c r="I44" s="380">
        <f t="shared" si="10"/>
        <v>0</v>
      </c>
      <c r="J44" s="380">
        <f t="shared" si="11"/>
        <v>0</v>
      </c>
      <c r="K44" s="375">
        <v>48254</v>
      </c>
    </row>
    <row r="45" spans="1:15" ht="28.9" customHeight="1" thickBot="1" x14ac:dyDescent="0.3">
      <c r="A45" s="34">
        <v>1002</v>
      </c>
      <c r="B45" s="246" t="s">
        <v>424</v>
      </c>
      <c r="C45" s="246" t="s">
        <v>263</v>
      </c>
      <c r="D45" s="161"/>
      <c r="E45" s="256">
        <v>0.24295</v>
      </c>
      <c r="F45" s="3">
        <v>1.1080239999999999</v>
      </c>
      <c r="G45" s="372" t="e">
        <f>ROUND(#REF!*E45*F45,2)</f>
        <v>#REF!</v>
      </c>
      <c r="H45" s="373">
        <v>0.2</v>
      </c>
      <c r="I45" s="380" t="e">
        <f t="shared" si="10"/>
        <v>#REF!</v>
      </c>
      <c r="J45" s="380" t="e">
        <f t="shared" si="11"/>
        <v>#REF!</v>
      </c>
      <c r="K45" s="392"/>
      <c r="M45" s="34" t="s">
        <v>575</v>
      </c>
    </row>
    <row r="46" spans="1:15" ht="18.600000000000001" customHeight="1" thickBot="1" x14ac:dyDescent="0.3">
      <c r="A46" s="34">
        <v>2705</v>
      </c>
      <c r="B46" s="404"/>
      <c r="C46" s="246" t="s">
        <v>264</v>
      </c>
      <c r="D46" s="161"/>
      <c r="E46" s="256">
        <v>0.33048</v>
      </c>
      <c r="F46" s="3">
        <v>1.1080239999999999</v>
      </c>
      <c r="G46" s="372" t="e">
        <f>ROUND(#REF!*E46*F46,2)</f>
        <v>#REF!</v>
      </c>
      <c r="H46" s="373">
        <v>0.2</v>
      </c>
      <c r="I46" s="380" t="e">
        <f t="shared" si="10"/>
        <v>#REF!</v>
      </c>
      <c r="J46" s="380" t="e">
        <f t="shared" si="11"/>
        <v>#REF!</v>
      </c>
      <c r="K46" s="375">
        <v>634471</v>
      </c>
    </row>
    <row r="47" spans="1:15" ht="18.600000000000001" customHeight="1" x14ac:dyDescent="0.25">
      <c r="A47" s="393">
        <v>1002</v>
      </c>
      <c r="B47" s="396"/>
      <c r="C47" s="246" t="s">
        <v>265</v>
      </c>
      <c r="D47" s="154"/>
      <c r="E47" s="256">
        <v>0.24295</v>
      </c>
      <c r="F47" s="3">
        <v>1.1080239999999999</v>
      </c>
      <c r="G47" s="372">
        <f t="shared" si="9"/>
        <v>0</v>
      </c>
      <c r="H47" s="373">
        <v>0.2</v>
      </c>
      <c r="I47" s="380">
        <f t="shared" si="10"/>
        <v>0</v>
      </c>
      <c r="J47" s="380">
        <f t="shared" si="11"/>
        <v>0</v>
      </c>
      <c r="K47" s="364"/>
    </row>
    <row r="48" spans="1:15" ht="18.600000000000001" customHeight="1" thickBot="1" x14ac:dyDescent="0.3">
      <c r="A48" s="34">
        <v>2705</v>
      </c>
      <c r="B48" s="404"/>
      <c r="C48" s="246" t="s">
        <v>266</v>
      </c>
      <c r="D48" s="154"/>
      <c r="E48" s="256">
        <v>0.33048</v>
      </c>
      <c r="F48" s="3">
        <v>1.1080239999999999</v>
      </c>
      <c r="G48" s="372">
        <f t="shared" si="9"/>
        <v>0</v>
      </c>
      <c r="H48" s="373">
        <v>0.2</v>
      </c>
      <c r="I48" s="380">
        <f t="shared" si="10"/>
        <v>0</v>
      </c>
      <c r="J48" s="380">
        <f t="shared" si="11"/>
        <v>0</v>
      </c>
      <c r="K48" s="375">
        <v>521731</v>
      </c>
    </row>
    <row r="49" spans="1:11" ht="18.600000000000001" customHeight="1" thickBot="1" x14ac:dyDescent="0.3">
      <c r="A49" s="200">
        <v>2705</v>
      </c>
      <c r="B49" s="396" t="s">
        <v>267</v>
      </c>
      <c r="C49" s="246" t="s">
        <v>268</v>
      </c>
      <c r="D49" s="161"/>
      <c r="E49" s="256">
        <v>0.33048</v>
      </c>
      <c r="F49" s="3">
        <v>1.1080239999999999</v>
      </c>
      <c r="G49" s="372">
        <f t="shared" si="9"/>
        <v>0</v>
      </c>
      <c r="H49" s="373">
        <v>0.2</v>
      </c>
      <c r="I49" s="380">
        <f t="shared" si="10"/>
        <v>0</v>
      </c>
      <c r="J49" s="380">
        <f t="shared" si="11"/>
        <v>0</v>
      </c>
      <c r="K49" s="375">
        <v>50317056748</v>
      </c>
    </row>
    <row r="50" spans="1:11" ht="18.600000000000001" customHeight="1" thickBot="1" x14ac:dyDescent="0.3">
      <c r="A50" s="200">
        <v>2705</v>
      </c>
      <c r="B50" s="396"/>
      <c r="C50" s="246" t="s">
        <v>269</v>
      </c>
      <c r="D50" s="161"/>
      <c r="E50" s="256">
        <v>0.33048</v>
      </c>
      <c r="F50" s="3">
        <v>1.1080239999999999</v>
      </c>
      <c r="G50" s="372">
        <f>ROUND(D50*E50*F50,2)</f>
        <v>0</v>
      </c>
      <c r="H50" s="373">
        <v>0.2</v>
      </c>
      <c r="I50" s="380">
        <f>ROUND(G50*H50,2)</f>
        <v>0</v>
      </c>
      <c r="J50" s="380">
        <f>G50+I50</f>
        <v>0</v>
      </c>
      <c r="K50" s="375">
        <v>538298</v>
      </c>
    </row>
    <row r="51" spans="1:11" ht="18.600000000000001" customHeight="1" thickBot="1" x14ac:dyDescent="0.3">
      <c r="A51" s="200" t="s">
        <v>95</v>
      </c>
      <c r="B51" s="405"/>
      <c r="C51" s="247" t="s">
        <v>27</v>
      </c>
      <c r="D51" s="161"/>
      <c r="E51" s="256">
        <v>0.33048</v>
      </c>
      <c r="F51" s="3">
        <v>1.1080239999999999</v>
      </c>
      <c r="G51" s="372">
        <f>ROUND(D51*E51*F51,2)</f>
        <v>0</v>
      </c>
      <c r="H51" s="390">
        <v>0.2</v>
      </c>
      <c r="I51" s="380">
        <f>ROUND(G51*H51,2)</f>
        <v>0</v>
      </c>
      <c r="J51" s="380">
        <f>G51+I51</f>
        <v>0</v>
      </c>
      <c r="K51" s="375">
        <v>538475</v>
      </c>
    </row>
    <row r="52" spans="1:11" ht="18.600000000000001" customHeight="1" thickBot="1" x14ac:dyDescent="0.3">
      <c r="A52" s="34">
        <v>2705</v>
      </c>
      <c r="B52" s="404"/>
      <c r="C52" s="406" t="s">
        <v>270</v>
      </c>
      <c r="D52" s="161"/>
      <c r="E52" s="256">
        <v>0.33048</v>
      </c>
      <c r="F52" s="3">
        <v>1.1080239999999999</v>
      </c>
      <c r="G52" s="372">
        <f t="shared" si="9"/>
        <v>0</v>
      </c>
      <c r="H52" s="373">
        <v>0.2</v>
      </c>
      <c r="I52" s="380">
        <f t="shared" si="10"/>
        <v>0</v>
      </c>
      <c r="J52" s="380">
        <f t="shared" si="11"/>
        <v>0</v>
      </c>
      <c r="K52" s="375">
        <v>578812</v>
      </c>
    </row>
    <row r="53" spans="1:11" ht="18.600000000000001" customHeight="1" thickBot="1" x14ac:dyDescent="0.3">
      <c r="A53" s="34">
        <v>2705</v>
      </c>
      <c r="B53" s="27"/>
      <c r="C53" s="245" t="s">
        <v>271</v>
      </c>
      <c r="D53" s="161"/>
      <c r="E53" s="256">
        <v>0.33048</v>
      </c>
      <c r="F53" s="3">
        <v>1.1080239999999999</v>
      </c>
      <c r="G53" s="272">
        <f t="shared" si="9"/>
        <v>0</v>
      </c>
      <c r="H53" s="273">
        <v>0.2</v>
      </c>
      <c r="I53" s="274">
        <f t="shared" si="10"/>
        <v>0</v>
      </c>
      <c r="J53" s="407">
        <f t="shared" si="11"/>
        <v>0</v>
      </c>
      <c r="K53" s="375">
        <v>2044581</v>
      </c>
    </row>
    <row r="54" spans="1:11" ht="18.600000000000001" customHeight="1" thickBot="1" x14ac:dyDescent="0.3">
      <c r="A54" s="34">
        <v>2705</v>
      </c>
      <c r="B54" s="404"/>
      <c r="C54" s="246" t="s">
        <v>272</v>
      </c>
      <c r="D54" s="161"/>
      <c r="E54" s="256">
        <v>0.33048</v>
      </c>
      <c r="F54" s="3">
        <v>1.1080239999999999</v>
      </c>
      <c r="G54" s="372">
        <f t="shared" si="9"/>
        <v>0</v>
      </c>
      <c r="H54" s="373">
        <v>0.2</v>
      </c>
      <c r="I54" s="380">
        <f t="shared" si="10"/>
        <v>0</v>
      </c>
      <c r="J54" s="380">
        <f t="shared" si="11"/>
        <v>0</v>
      </c>
      <c r="K54" s="375">
        <v>691891</v>
      </c>
    </row>
    <row r="55" spans="1:11" ht="18.600000000000001" customHeight="1" thickBot="1" x14ac:dyDescent="0.3">
      <c r="A55" s="34">
        <v>2705</v>
      </c>
      <c r="B55" s="404"/>
      <c r="C55" s="246" t="s">
        <v>273</v>
      </c>
      <c r="D55" s="161"/>
      <c r="E55" s="256">
        <v>0.33048</v>
      </c>
      <c r="F55" s="3">
        <v>1.1080239999999999</v>
      </c>
      <c r="G55" s="372">
        <f t="shared" si="9"/>
        <v>0</v>
      </c>
      <c r="H55" s="373">
        <v>0.2</v>
      </c>
      <c r="I55" s="380">
        <f t="shared" si="10"/>
        <v>0</v>
      </c>
      <c r="J55" s="380">
        <f t="shared" si="11"/>
        <v>0</v>
      </c>
      <c r="K55" s="375">
        <v>538600</v>
      </c>
    </row>
    <row r="56" spans="1:11" ht="30.6" customHeight="1" thickBot="1" x14ac:dyDescent="0.3">
      <c r="A56" s="34">
        <v>2705</v>
      </c>
      <c r="B56" s="165" t="s">
        <v>658</v>
      </c>
      <c r="C56" s="246" t="s">
        <v>657</v>
      </c>
      <c r="D56" s="161"/>
      <c r="E56" s="256">
        <v>0.33048</v>
      </c>
      <c r="F56" s="3">
        <v>1.1080239999999999</v>
      </c>
      <c r="G56" s="272">
        <f>ROUND(D58*E56*F56,2)</f>
        <v>0</v>
      </c>
      <c r="H56" s="266">
        <v>0.2</v>
      </c>
      <c r="I56" s="274">
        <f t="shared" si="10"/>
        <v>0</v>
      </c>
      <c r="J56" s="407">
        <f t="shared" si="11"/>
        <v>0</v>
      </c>
      <c r="K56" s="375"/>
    </row>
    <row r="57" spans="1:11" ht="18.600000000000001" customHeight="1" thickBot="1" x14ac:dyDescent="0.3">
      <c r="A57" s="34">
        <v>1002</v>
      </c>
      <c r="B57" s="485" t="s">
        <v>673</v>
      </c>
      <c r="C57" s="408" t="s">
        <v>381</v>
      </c>
      <c r="D57" s="486"/>
      <c r="E57" s="256">
        <v>0.33048</v>
      </c>
      <c r="F57" s="3">
        <v>1.1080239999999999</v>
      </c>
      <c r="G57" s="272">
        <f t="shared" si="9"/>
        <v>0</v>
      </c>
      <c r="H57" s="266">
        <v>0.2</v>
      </c>
      <c r="I57" s="274">
        <f t="shared" si="10"/>
        <v>0</v>
      </c>
      <c r="J57" s="407">
        <f t="shared" si="11"/>
        <v>0</v>
      </c>
      <c r="K57" s="375"/>
    </row>
    <row r="58" spans="1:11" ht="18.600000000000001" customHeight="1" thickBot="1" x14ac:dyDescent="0.3">
      <c r="A58" s="34">
        <v>2705</v>
      </c>
      <c r="B58" s="404"/>
      <c r="C58" s="246" t="s">
        <v>274</v>
      </c>
      <c r="D58" s="161"/>
      <c r="E58" s="256">
        <v>0.33048</v>
      </c>
      <c r="F58" s="3">
        <v>1.1080239999999999</v>
      </c>
      <c r="G58" s="372" t="e">
        <f>ROUND(#REF!*E58*F58,2)</f>
        <v>#REF!</v>
      </c>
      <c r="H58" s="373">
        <v>0.2</v>
      </c>
      <c r="I58" s="380" t="e">
        <f>ROUND(G58*H58,2)</f>
        <v>#REF!</v>
      </c>
      <c r="J58" s="380" t="e">
        <f>G58+I58</f>
        <v>#REF!</v>
      </c>
      <c r="K58" s="375">
        <v>372830</v>
      </c>
    </row>
    <row r="59" spans="1:11" ht="18.600000000000001" customHeight="1" thickBot="1" x14ac:dyDescent="0.3">
      <c r="A59" s="34">
        <v>2705</v>
      </c>
      <c r="B59" s="404"/>
      <c r="C59" s="246" t="s">
        <v>275</v>
      </c>
      <c r="D59" s="161"/>
      <c r="E59" s="256">
        <v>0.33048</v>
      </c>
      <c r="F59" s="3">
        <v>1.1080239999999999</v>
      </c>
      <c r="G59" s="372">
        <f t="shared" si="9"/>
        <v>0</v>
      </c>
      <c r="H59" s="373">
        <v>0.2</v>
      </c>
      <c r="I59" s="380">
        <f t="shared" si="10"/>
        <v>0</v>
      </c>
      <c r="J59" s="380">
        <f t="shared" si="11"/>
        <v>0</v>
      </c>
      <c r="K59" s="375">
        <v>521234</v>
      </c>
    </row>
    <row r="60" spans="1:11" ht="18.600000000000001" customHeight="1" thickBot="1" x14ac:dyDescent="0.3">
      <c r="A60" s="34" t="s">
        <v>276</v>
      </c>
      <c r="B60" s="404"/>
      <c r="C60" s="409" t="s">
        <v>277</v>
      </c>
      <c r="D60" s="161"/>
      <c r="E60" s="256">
        <v>0.17416999999999999</v>
      </c>
      <c r="F60" s="3">
        <v>1</v>
      </c>
      <c r="G60" s="372">
        <f t="shared" si="9"/>
        <v>0</v>
      </c>
      <c r="H60" s="373">
        <v>0.2</v>
      </c>
      <c r="I60" s="380">
        <f t="shared" si="10"/>
        <v>0</v>
      </c>
      <c r="J60" s="380">
        <f t="shared" si="11"/>
        <v>0</v>
      </c>
      <c r="K60" s="375">
        <v>225502</v>
      </c>
    </row>
    <row r="61" spans="1:11" ht="18.600000000000001" customHeight="1" thickBot="1" x14ac:dyDescent="0.3">
      <c r="A61" s="34">
        <v>2705</v>
      </c>
      <c r="B61" s="396"/>
      <c r="C61" s="246" t="s">
        <v>278</v>
      </c>
      <c r="D61" s="161"/>
      <c r="E61" s="256">
        <v>0.33048</v>
      </c>
      <c r="F61" s="3">
        <v>1.1080239999999999</v>
      </c>
      <c r="G61" s="372">
        <f t="shared" si="9"/>
        <v>0</v>
      </c>
      <c r="H61" s="373">
        <v>0.2</v>
      </c>
      <c r="I61" s="380">
        <f t="shared" si="10"/>
        <v>0</v>
      </c>
      <c r="J61" s="380">
        <f t="shared" si="11"/>
        <v>0</v>
      </c>
      <c r="K61" s="375">
        <v>497427</v>
      </c>
    </row>
    <row r="62" spans="1:11" ht="18.600000000000001" customHeight="1" thickBot="1" x14ac:dyDescent="0.3">
      <c r="A62" s="34">
        <v>2705</v>
      </c>
      <c r="B62" s="396"/>
      <c r="C62" s="246" t="s">
        <v>279</v>
      </c>
      <c r="D62" s="161"/>
      <c r="E62" s="256">
        <v>0.33048</v>
      </c>
      <c r="F62" s="3">
        <v>1.1080239999999999</v>
      </c>
      <c r="G62" s="372">
        <f>ROUND(D62*E62*F62,2)</f>
        <v>0</v>
      </c>
      <c r="H62" s="373">
        <v>0.2</v>
      </c>
      <c r="I62" s="380">
        <f>ROUND(G62*H62,2)</f>
        <v>0</v>
      </c>
      <c r="J62" s="380">
        <f>G62+I62</f>
        <v>0</v>
      </c>
      <c r="K62" s="375">
        <v>2095814</v>
      </c>
    </row>
    <row r="63" spans="1:11" ht="18.600000000000001" customHeight="1" thickBot="1" x14ac:dyDescent="0.3">
      <c r="A63" s="34">
        <v>2705</v>
      </c>
      <c r="B63" s="404"/>
      <c r="C63" s="246" t="s">
        <v>280</v>
      </c>
      <c r="D63" s="161"/>
      <c r="E63" s="256">
        <v>0.33048</v>
      </c>
      <c r="F63" s="3">
        <v>1.1080239999999999</v>
      </c>
      <c r="G63" s="372">
        <f t="shared" si="9"/>
        <v>0</v>
      </c>
      <c r="H63" s="373">
        <v>0.2</v>
      </c>
      <c r="I63" s="380">
        <f t="shared" si="10"/>
        <v>0</v>
      </c>
      <c r="J63" s="380">
        <f t="shared" si="11"/>
        <v>0</v>
      </c>
      <c r="K63" s="375">
        <v>555149</v>
      </c>
    </row>
    <row r="64" spans="1:11" ht="18.600000000000001" customHeight="1" thickBot="1" x14ac:dyDescent="0.3">
      <c r="A64" s="200">
        <v>2705</v>
      </c>
      <c r="B64" s="404"/>
      <c r="C64" s="246" t="s">
        <v>281</v>
      </c>
      <c r="D64" s="161"/>
      <c r="E64" s="256">
        <v>0.33048</v>
      </c>
      <c r="F64" s="3">
        <v>1.1080239999999999</v>
      </c>
      <c r="G64" s="372">
        <f t="shared" si="9"/>
        <v>0</v>
      </c>
      <c r="H64" s="373">
        <v>0.2</v>
      </c>
      <c r="I64" s="380">
        <f t="shared" si="10"/>
        <v>0</v>
      </c>
      <c r="J64" s="380">
        <f t="shared" si="11"/>
        <v>0</v>
      </c>
      <c r="K64" s="375">
        <v>683100</v>
      </c>
    </row>
    <row r="65" spans="1:12" ht="21" customHeight="1" x14ac:dyDescent="0.25">
      <c r="A65" s="200">
        <v>2705</v>
      </c>
      <c r="B65" s="28"/>
      <c r="C65" s="245" t="s">
        <v>65</v>
      </c>
      <c r="D65" s="161"/>
      <c r="E65" s="256">
        <v>0.24295</v>
      </c>
      <c r="F65" s="3">
        <v>1.1080239999999999</v>
      </c>
      <c r="G65" s="372" t="e">
        <f>ROUND(#REF!*E65*F65,2)</f>
        <v>#REF!</v>
      </c>
      <c r="H65" s="373">
        <v>0.2</v>
      </c>
      <c r="I65" s="380" t="e">
        <f t="shared" si="10"/>
        <v>#REF!</v>
      </c>
      <c r="J65" s="380" t="e">
        <f t="shared" si="11"/>
        <v>#REF!</v>
      </c>
      <c r="K65" s="319">
        <v>506810</v>
      </c>
    </row>
    <row r="66" spans="1:12" ht="21.6" customHeight="1" thickBot="1" x14ac:dyDescent="0.3">
      <c r="A66" s="200">
        <v>2705</v>
      </c>
      <c r="B66" s="404"/>
      <c r="C66" s="246" t="s">
        <v>282</v>
      </c>
      <c r="D66" s="161"/>
      <c r="E66" s="256">
        <v>0.33048</v>
      </c>
      <c r="F66" s="3">
        <v>1.1080239999999999</v>
      </c>
      <c r="G66" s="372">
        <f t="shared" si="9"/>
        <v>0</v>
      </c>
      <c r="H66" s="373">
        <v>0.2</v>
      </c>
      <c r="I66" s="380">
        <f t="shared" si="10"/>
        <v>0</v>
      </c>
      <c r="J66" s="380">
        <f t="shared" si="11"/>
        <v>0</v>
      </c>
      <c r="K66" s="375">
        <v>2031029</v>
      </c>
    </row>
    <row r="67" spans="1:12" ht="22.15" customHeight="1" thickBot="1" x14ac:dyDescent="0.3">
      <c r="A67" s="200" t="s">
        <v>95</v>
      </c>
      <c r="B67" s="405"/>
      <c r="C67" s="247" t="s">
        <v>27</v>
      </c>
      <c r="D67" s="161"/>
      <c r="E67" s="256">
        <v>0.33048</v>
      </c>
      <c r="F67" s="3">
        <v>1.1080239999999999</v>
      </c>
      <c r="G67" s="372">
        <f t="shared" si="9"/>
        <v>0</v>
      </c>
      <c r="H67" s="390">
        <v>0.2</v>
      </c>
      <c r="I67" s="380">
        <f t="shared" si="10"/>
        <v>0</v>
      </c>
      <c r="J67" s="380">
        <f t="shared" si="11"/>
        <v>0</v>
      </c>
      <c r="K67" s="375">
        <v>636199</v>
      </c>
    </row>
    <row r="68" spans="1:12" ht="18.600000000000001" customHeight="1" thickBot="1" x14ac:dyDescent="0.3">
      <c r="A68" s="200">
        <v>2705</v>
      </c>
      <c r="B68" s="404"/>
      <c r="C68" s="246" t="s">
        <v>283</v>
      </c>
      <c r="D68" s="161"/>
      <c r="E68" s="256">
        <v>0.33048</v>
      </c>
      <c r="F68" s="3">
        <v>1.1080239999999999</v>
      </c>
      <c r="G68" s="372">
        <f t="shared" si="9"/>
        <v>0</v>
      </c>
      <c r="H68" s="373">
        <v>0.2</v>
      </c>
      <c r="I68" s="380">
        <f t="shared" si="10"/>
        <v>0</v>
      </c>
      <c r="J68" s="380">
        <f t="shared" si="11"/>
        <v>0</v>
      </c>
      <c r="K68" s="375">
        <v>2144324</v>
      </c>
    </row>
    <row r="69" spans="1:12" ht="18.600000000000001" customHeight="1" thickBot="1" x14ac:dyDescent="0.3">
      <c r="A69" s="200" t="s">
        <v>95</v>
      </c>
      <c r="B69" s="405"/>
      <c r="C69" s="247" t="s">
        <v>27</v>
      </c>
      <c r="D69" s="154"/>
      <c r="E69" s="256">
        <v>0.33048</v>
      </c>
      <c r="F69" s="3">
        <v>1.1080239999999999</v>
      </c>
      <c r="G69" s="372">
        <f t="shared" si="9"/>
        <v>0</v>
      </c>
      <c r="H69" s="373">
        <v>0.2</v>
      </c>
      <c r="I69" s="380">
        <f t="shared" si="10"/>
        <v>0</v>
      </c>
      <c r="J69" s="380">
        <f t="shared" si="11"/>
        <v>0</v>
      </c>
      <c r="K69" s="375">
        <v>2144237</v>
      </c>
    </row>
    <row r="70" spans="1:12" ht="29.45" customHeight="1" thickBot="1" x14ac:dyDescent="0.3">
      <c r="A70" s="34">
        <v>2705</v>
      </c>
      <c r="B70" s="27" t="s">
        <v>284</v>
      </c>
      <c r="C70" s="245" t="s">
        <v>285</v>
      </c>
      <c r="D70" s="161"/>
      <c r="E70" s="256">
        <v>0.33048</v>
      </c>
      <c r="F70" s="3">
        <v>1.1080239999999999</v>
      </c>
      <c r="G70" s="372">
        <f t="shared" si="9"/>
        <v>0</v>
      </c>
      <c r="H70" s="266">
        <v>0.2</v>
      </c>
      <c r="I70" s="380">
        <f t="shared" si="10"/>
        <v>0</v>
      </c>
      <c r="J70" s="380">
        <f t="shared" si="11"/>
        <v>0</v>
      </c>
      <c r="K70" s="375">
        <v>654666</v>
      </c>
    </row>
    <row r="71" spans="1:12" ht="43.9" customHeight="1" thickBot="1" x14ac:dyDescent="0.3">
      <c r="A71" s="34">
        <v>2705</v>
      </c>
      <c r="B71" s="27" t="s">
        <v>427</v>
      </c>
      <c r="C71" s="245" t="s">
        <v>286</v>
      </c>
      <c r="D71" s="154"/>
      <c r="E71" s="256">
        <v>0.33048</v>
      </c>
      <c r="F71" s="3">
        <v>1.1080239999999999</v>
      </c>
      <c r="G71" s="372">
        <f>ROUND(D71*E71*F71,2)</f>
        <v>0</v>
      </c>
      <c r="H71" s="266">
        <v>0.2</v>
      </c>
      <c r="I71" s="380">
        <f>ROUND(G71*H71,2)</f>
        <v>0</v>
      </c>
      <c r="J71" s="380">
        <f>G71+I71</f>
        <v>0</v>
      </c>
      <c r="K71" s="375"/>
    </row>
    <row r="72" spans="1:12" ht="31.9" customHeight="1" thickBot="1" x14ac:dyDescent="0.3">
      <c r="A72" s="200">
        <v>2605</v>
      </c>
      <c r="B72" s="410" t="s">
        <v>656</v>
      </c>
      <c r="C72" s="247" t="s">
        <v>287</v>
      </c>
      <c r="D72" s="161"/>
      <c r="E72" s="256">
        <v>0.33048</v>
      </c>
      <c r="F72" s="3">
        <v>1.1080239999999999</v>
      </c>
      <c r="G72" s="372">
        <f t="shared" si="9"/>
        <v>0</v>
      </c>
      <c r="H72" s="373">
        <v>0.2</v>
      </c>
      <c r="I72" s="380">
        <f t="shared" si="10"/>
        <v>0</v>
      </c>
      <c r="J72" s="380">
        <f t="shared" si="11"/>
        <v>0</v>
      </c>
      <c r="K72" s="375">
        <v>782880</v>
      </c>
    </row>
    <row r="73" spans="1:12" ht="18.600000000000001" customHeight="1" thickBot="1" x14ac:dyDescent="0.3">
      <c r="B73" s="411"/>
      <c r="C73" s="412"/>
      <c r="D73" s="487">
        <f>SUM(D40:D72)</f>
        <v>0</v>
      </c>
      <c r="E73" s="256"/>
      <c r="F73" s="3"/>
      <c r="G73" s="413" t="e">
        <f>SUM(G40:G72)</f>
        <v>#REF!</v>
      </c>
      <c r="H73" s="401"/>
      <c r="I73" s="413" t="e">
        <f>SUM(I40:I72)</f>
        <v>#REF!</v>
      </c>
      <c r="J73" s="414" t="e">
        <f>SUM(J40:J72)</f>
        <v>#REF!</v>
      </c>
    </row>
    <row r="74" spans="1:12" ht="18.600000000000001" customHeight="1" thickBot="1" x14ac:dyDescent="0.3">
      <c r="A74" s="162">
        <v>2705</v>
      </c>
      <c r="B74" s="376">
        <v>7</v>
      </c>
      <c r="C74" s="377" t="s">
        <v>288</v>
      </c>
      <c r="D74" s="154"/>
      <c r="E74" s="256">
        <v>0.33048</v>
      </c>
      <c r="F74" s="3">
        <v>1.1080239999999999</v>
      </c>
      <c r="G74" s="378">
        <f>ROUND(D74*E74*F74,2)</f>
        <v>0</v>
      </c>
      <c r="H74" s="379">
        <v>0.2</v>
      </c>
      <c r="I74" s="380">
        <f>ROUND(G74*H74,2)</f>
        <v>0</v>
      </c>
      <c r="J74" s="380">
        <f>G74+I74</f>
        <v>0</v>
      </c>
      <c r="K74" s="375">
        <v>403644</v>
      </c>
    </row>
    <row r="75" spans="1:12" ht="18.600000000000001" customHeight="1" thickBot="1" x14ac:dyDescent="0.3">
      <c r="A75" s="162">
        <v>2705</v>
      </c>
      <c r="B75" s="383"/>
      <c r="C75" s="246" t="s">
        <v>289</v>
      </c>
      <c r="D75" s="161"/>
      <c r="E75" s="256">
        <v>0.33048</v>
      </c>
      <c r="F75" s="3">
        <v>1.1080239999999999</v>
      </c>
      <c r="G75" s="378">
        <f t="shared" ref="G75:G76" si="12">ROUND(D75*E75*F75,2)</f>
        <v>0</v>
      </c>
      <c r="H75" s="373">
        <v>0.2</v>
      </c>
      <c r="I75" s="380">
        <f t="shared" ref="I75:I76" si="13">ROUND(G75*H75,2)</f>
        <v>0</v>
      </c>
      <c r="J75" s="380">
        <f t="shared" ref="J75:J76" si="14">G75+I75</f>
        <v>0</v>
      </c>
      <c r="K75" s="375">
        <v>360035</v>
      </c>
      <c r="L75" s="34" t="s">
        <v>290</v>
      </c>
    </row>
    <row r="76" spans="1:12" ht="18.600000000000001" customHeight="1" thickBot="1" x14ac:dyDescent="0.3">
      <c r="A76" s="162">
        <v>2705</v>
      </c>
      <c r="B76" s="383"/>
      <c r="C76" s="246" t="s">
        <v>291</v>
      </c>
      <c r="D76" s="161"/>
      <c r="E76" s="256">
        <v>0.33048</v>
      </c>
      <c r="F76" s="3">
        <v>1.1080239999999999</v>
      </c>
      <c r="G76" s="378">
        <f t="shared" si="12"/>
        <v>0</v>
      </c>
      <c r="H76" s="373">
        <v>0.2</v>
      </c>
      <c r="I76" s="380">
        <f t="shared" si="13"/>
        <v>0</v>
      </c>
      <c r="J76" s="380">
        <f t="shared" si="14"/>
        <v>0</v>
      </c>
      <c r="K76" s="375">
        <v>442493</v>
      </c>
    </row>
    <row r="77" spans="1:12" ht="18.600000000000001" customHeight="1" thickBot="1" x14ac:dyDescent="0.3">
      <c r="B77" s="161"/>
      <c r="C77" s="483" t="s">
        <v>27</v>
      </c>
      <c r="D77" s="161"/>
      <c r="E77" s="312"/>
      <c r="F77" s="161"/>
      <c r="G77" s="161"/>
      <c r="H77" s="161"/>
      <c r="I77" s="161"/>
      <c r="J77" s="161"/>
      <c r="K77" s="392">
        <v>8639048027515</v>
      </c>
      <c r="L77" s="34" t="s">
        <v>292</v>
      </c>
    </row>
    <row r="78" spans="1:12" ht="18.600000000000001" customHeight="1" thickBot="1" x14ac:dyDescent="0.3">
      <c r="A78" s="162">
        <v>2705</v>
      </c>
      <c r="B78" s="415"/>
      <c r="C78" s="377" t="s">
        <v>293</v>
      </c>
      <c r="D78" s="154"/>
      <c r="E78" s="256">
        <v>0.33048</v>
      </c>
      <c r="F78" s="172">
        <v>1.1080239999999999</v>
      </c>
      <c r="G78" s="378">
        <f t="shared" ref="G78:G96" si="15">ROUND(D78*E78*F78,2)</f>
        <v>0</v>
      </c>
      <c r="H78" s="379">
        <v>0.2</v>
      </c>
      <c r="I78" s="380">
        <f t="shared" ref="I78:I97" si="16">ROUND(G78*H78,2)</f>
        <v>0</v>
      </c>
      <c r="J78" s="380">
        <f t="shared" ref="J78:J97" si="17">G78+I78</f>
        <v>0</v>
      </c>
      <c r="K78" s="375">
        <v>82958</v>
      </c>
    </row>
    <row r="79" spans="1:12" ht="18.600000000000001" customHeight="1" thickBot="1" x14ac:dyDescent="0.3">
      <c r="A79" s="162">
        <v>2705</v>
      </c>
      <c r="B79" s="416"/>
      <c r="C79" s="246" t="s">
        <v>294</v>
      </c>
      <c r="D79" s="154"/>
      <c r="E79" s="256">
        <v>0.33048</v>
      </c>
      <c r="F79" s="3">
        <v>1.1080239999999999</v>
      </c>
      <c r="G79" s="378">
        <f t="shared" si="15"/>
        <v>0</v>
      </c>
      <c r="H79" s="373">
        <v>0.2</v>
      </c>
      <c r="I79" s="380">
        <f t="shared" si="16"/>
        <v>0</v>
      </c>
      <c r="J79" s="380">
        <f t="shared" si="17"/>
        <v>0</v>
      </c>
      <c r="K79" s="375">
        <v>719374</v>
      </c>
    </row>
    <row r="80" spans="1:12" ht="18.600000000000001" customHeight="1" thickBot="1" x14ac:dyDescent="0.3">
      <c r="A80" s="200" t="s">
        <v>95</v>
      </c>
      <c r="B80" s="405"/>
      <c r="C80" s="247" t="s">
        <v>27</v>
      </c>
      <c r="D80" s="154"/>
      <c r="E80" s="256">
        <v>0.33048</v>
      </c>
      <c r="F80" s="3">
        <v>1.1080239999999999</v>
      </c>
      <c r="G80" s="372">
        <f t="shared" si="15"/>
        <v>0</v>
      </c>
      <c r="H80" s="390">
        <v>0.2</v>
      </c>
      <c r="I80" s="380">
        <f t="shared" si="16"/>
        <v>0</v>
      </c>
      <c r="J80" s="380">
        <f t="shared" si="17"/>
        <v>0</v>
      </c>
      <c r="K80" s="375">
        <v>488632</v>
      </c>
    </row>
    <row r="81" spans="1:12" ht="18.600000000000001" customHeight="1" thickBot="1" x14ac:dyDescent="0.3">
      <c r="A81" s="200">
        <v>2705</v>
      </c>
      <c r="B81" s="417"/>
      <c r="C81" s="246" t="s">
        <v>295</v>
      </c>
      <c r="D81" s="161"/>
      <c r="E81" s="256">
        <v>0.33048</v>
      </c>
      <c r="F81" s="3">
        <v>1.1080239999999999</v>
      </c>
      <c r="G81" s="378">
        <f t="shared" si="15"/>
        <v>0</v>
      </c>
      <c r="H81" s="373">
        <v>0.2</v>
      </c>
      <c r="I81" s="380">
        <f t="shared" si="16"/>
        <v>0</v>
      </c>
      <c r="J81" s="380">
        <f t="shared" si="17"/>
        <v>0</v>
      </c>
      <c r="K81" s="375">
        <v>2008558</v>
      </c>
    </row>
    <row r="82" spans="1:12" ht="18.600000000000001" customHeight="1" thickBot="1" x14ac:dyDescent="0.3">
      <c r="A82" s="200" t="s">
        <v>95</v>
      </c>
      <c r="B82" s="417"/>
      <c r="C82" s="247" t="s">
        <v>27</v>
      </c>
      <c r="D82" s="154"/>
      <c r="E82" s="256">
        <v>0.33048</v>
      </c>
      <c r="F82" s="3">
        <v>1.1080239999999999</v>
      </c>
      <c r="G82" s="372">
        <f t="shared" si="15"/>
        <v>0</v>
      </c>
      <c r="H82" s="390">
        <v>0.2</v>
      </c>
      <c r="I82" s="380">
        <f t="shared" si="16"/>
        <v>0</v>
      </c>
      <c r="J82" s="380">
        <f t="shared" si="17"/>
        <v>0</v>
      </c>
      <c r="K82" s="375">
        <v>2008813</v>
      </c>
    </row>
    <row r="83" spans="1:12" ht="18.600000000000001" customHeight="1" thickBot="1" x14ac:dyDescent="0.3">
      <c r="A83" s="200">
        <v>2705</v>
      </c>
      <c r="B83" s="383"/>
      <c r="C83" s="246" t="s">
        <v>296</v>
      </c>
      <c r="D83" s="161"/>
      <c r="E83" s="256">
        <v>0.33048</v>
      </c>
      <c r="F83" s="3">
        <v>1.1080239999999999</v>
      </c>
      <c r="G83" s="378">
        <f t="shared" si="15"/>
        <v>0</v>
      </c>
      <c r="H83" s="373">
        <v>0.2</v>
      </c>
      <c r="I83" s="380">
        <f t="shared" si="16"/>
        <v>0</v>
      </c>
      <c r="J83" s="380">
        <f t="shared" si="17"/>
        <v>0</v>
      </c>
      <c r="K83" s="375">
        <v>50317056748</v>
      </c>
    </row>
    <row r="84" spans="1:12" ht="18.600000000000001" customHeight="1" thickBot="1" x14ac:dyDescent="0.3">
      <c r="A84" s="34">
        <v>2705</v>
      </c>
      <c r="B84" s="383"/>
      <c r="C84" s="246" t="s">
        <v>297</v>
      </c>
      <c r="D84" s="154"/>
      <c r="E84" s="256">
        <v>0.33048</v>
      </c>
      <c r="F84" s="3">
        <v>1.1080239999999999</v>
      </c>
      <c r="G84" s="378">
        <f t="shared" si="15"/>
        <v>0</v>
      </c>
      <c r="H84" s="373">
        <v>0.2</v>
      </c>
      <c r="I84" s="380">
        <f t="shared" si="16"/>
        <v>0</v>
      </c>
      <c r="J84" s="380">
        <f t="shared" si="17"/>
        <v>0</v>
      </c>
      <c r="K84" s="375">
        <v>102053</v>
      </c>
    </row>
    <row r="85" spans="1:12" ht="18.600000000000001" customHeight="1" thickBot="1" x14ac:dyDescent="0.3">
      <c r="A85" s="34">
        <v>2605</v>
      </c>
      <c r="B85" s="383"/>
      <c r="C85" s="246" t="s">
        <v>298</v>
      </c>
      <c r="D85" s="161"/>
      <c r="E85" s="256">
        <v>0.33048</v>
      </c>
      <c r="F85" s="3">
        <v>1.1080239999999999</v>
      </c>
      <c r="G85" s="378">
        <f t="shared" si="15"/>
        <v>0</v>
      </c>
      <c r="H85" s="373">
        <v>0.2</v>
      </c>
      <c r="I85" s="380">
        <f t="shared" si="16"/>
        <v>0</v>
      </c>
      <c r="J85" s="380">
        <f t="shared" si="17"/>
        <v>0</v>
      </c>
      <c r="K85" s="375">
        <v>21217</v>
      </c>
    </row>
    <row r="86" spans="1:12" ht="18.600000000000001" customHeight="1" thickBot="1" x14ac:dyDescent="0.3">
      <c r="A86" s="200" t="s">
        <v>33</v>
      </c>
      <c r="B86" s="417"/>
      <c r="C86" s="247" t="s">
        <v>27</v>
      </c>
      <c r="D86" s="154"/>
      <c r="E86" s="256">
        <v>0.33048</v>
      </c>
      <c r="F86" s="3">
        <v>1.1080239999999999</v>
      </c>
      <c r="G86" s="372">
        <f t="shared" si="15"/>
        <v>0</v>
      </c>
      <c r="H86" s="390">
        <v>0.2</v>
      </c>
      <c r="I86" s="380">
        <f t="shared" si="16"/>
        <v>0</v>
      </c>
      <c r="J86" s="380">
        <f t="shared" si="17"/>
        <v>0</v>
      </c>
      <c r="K86" s="375">
        <v>617295</v>
      </c>
    </row>
    <row r="87" spans="1:12" ht="18.600000000000001" customHeight="1" x14ac:dyDescent="0.25">
      <c r="A87" s="34">
        <v>1002</v>
      </c>
      <c r="B87" s="416" t="s">
        <v>659</v>
      </c>
      <c r="C87" s="246" t="s">
        <v>228</v>
      </c>
      <c r="D87" s="488"/>
      <c r="E87" s="256">
        <v>0.24295</v>
      </c>
      <c r="F87" s="3">
        <v>1.1080239999999999</v>
      </c>
      <c r="G87" s="378">
        <f t="shared" si="15"/>
        <v>0</v>
      </c>
      <c r="H87" s="373">
        <v>0.2</v>
      </c>
      <c r="I87" s="380">
        <f t="shared" si="16"/>
        <v>0</v>
      </c>
      <c r="J87" s="380">
        <f t="shared" si="17"/>
        <v>0</v>
      </c>
      <c r="K87" s="364"/>
    </row>
    <row r="88" spans="1:12" ht="18.600000000000001" customHeight="1" thickBot="1" x14ac:dyDescent="0.3">
      <c r="A88" s="34">
        <v>2705</v>
      </c>
      <c r="B88" s="416"/>
      <c r="C88" s="246" t="s">
        <v>299</v>
      </c>
      <c r="D88" s="161"/>
      <c r="E88" s="256">
        <v>0.33048</v>
      </c>
      <c r="F88" s="3">
        <v>1.1080239999999999</v>
      </c>
      <c r="G88" s="378">
        <f t="shared" si="15"/>
        <v>0</v>
      </c>
      <c r="H88" s="373">
        <v>0.2</v>
      </c>
      <c r="I88" s="380">
        <f t="shared" si="16"/>
        <v>0</v>
      </c>
      <c r="J88" s="380">
        <f t="shared" si="17"/>
        <v>0</v>
      </c>
      <c r="K88" s="375">
        <v>624896</v>
      </c>
    </row>
    <row r="89" spans="1:12" ht="18.600000000000001" customHeight="1" thickBot="1" x14ac:dyDescent="0.3">
      <c r="A89" s="34">
        <v>2705</v>
      </c>
      <c r="B89" s="416"/>
      <c r="C89" s="246" t="s">
        <v>300</v>
      </c>
      <c r="D89" s="154"/>
      <c r="E89" s="256">
        <v>0.33048</v>
      </c>
      <c r="F89" s="3">
        <v>1.1080239999999999</v>
      </c>
      <c r="G89" s="378">
        <f t="shared" si="15"/>
        <v>0</v>
      </c>
      <c r="H89" s="373">
        <v>0.2</v>
      </c>
      <c r="I89" s="380">
        <f t="shared" si="16"/>
        <v>0</v>
      </c>
      <c r="J89" s="380">
        <f t="shared" si="17"/>
        <v>0</v>
      </c>
      <c r="K89" s="375">
        <v>504587</v>
      </c>
      <c r="L89" s="34" t="s">
        <v>428</v>
      </c>
    </row>
    <row r="90" spans="1:12" ht="21.6" customHeight="1" thickBot="1" x14ac:dyDescent="0.3">
      <c r="A90" s="163" t="s">
        <v>95</v>
      </c>
      <c r="B90" s="339"/>
      <c r="C90" s="246" t="s">
        <v>27</v>
      </c>
      <c r="D90" s="154"/>
      <c r="E90" s="256">
        <v>0.33048</v>
      </c>
      <c r="F90" s="3">
        <v>1.1080239999999999</v>
      </c>
      <c r="G90" s="378">
        <f t="shared" si="15"/>
        <v>0</v>
      </c>
      <c r="H90" s="373">
        <v>0.2</v>
      </c>
      <c r="I90" s="380">
        <f t="shared" si="16"/>
        <v>0</v>
      </c>
      <c r="J90" s="380">
        <f t="shared" si="17"/>
        <v>0</v>
      </c>
      <c r="K90" s="375">
        <v>499612</v>
      </c>
    </row>
    <row r="91" spans="1:12" ht="28.9" customHeight="1" thickBot="1" x14ac:dyDescent="0.3">
      <c r="A91" s="163" t="s">
        <v>96</v>
      </c>
      <c r="B91" s="418"/>
      <c r="C91" s="247" t="s">
        <v>29</v>
      </c>
      <c r="D91" s="154"/>
      <c r="E91" s="419">
        <v>0.15176999999999999</v>
      </c>
      <c r="F91" s="3">
        <v>1.1080239999999999</v>
      </c>
      <c r="G91" s="378">
        <f t="shared" si="15"/>
        <v>0</v>
      </c>
      <c r="H91" s="390">
        <v>0.2</v>
      </c>
      <c r="I91" s="380">
        <f t="shared" si="16"/>
        <v>0</v>
      </c>
      <c r="J91" s="380">
        <f t="shared" si="17"/>
        <v>0</v>
      </c>
      <c r="K91" s="375">
        <v>499612</v>
      </c>
    </row>
    <row r="92" spans="1:12" ht="18.600000000000001" customHeight="1" x14ac:dyDescent="0.25">
      <c r="A92" s="163">
        <v>1002</v>
      </c>
      <c r="B92" s="418" t="s">
        <v>301</v>
      </c>
      <c r="C92" s="247" t="s">
        <v>491</v>
      </c>
      <c r="D92" s="488"/>
      <c r="E92" s="256">
        <v>0.24295</v>
      </c>
      <c r="F92" s="3">
        <v>1.1080239999999999</v>
      </c>
      <c r="G92" s="378">
        <f t="shared" si="15"/>
        <v>0</v>
      </c>
      <c r="H92" s="373">
        <v>0.2</v>
      </c>
      <c r="I92" s="380">
        <f t="shared" si="16"/>
        <v>0</v>
      </c>
      <c r="J92" s="380">
        <f t="shared" si="17"/>
        <v>0</v>
      </c>
      <c r="K92" s="364"/>
    </row>
    <row r="93" spans="1:12" ht="18.600000000000001" customHeight="1" thickBot="1" x14ac:dyDescent="0.3">
      <c r="A93" s="163">
        <v>2605</v>
      </c>
      <c r="B93" s="420"/>
      <c r="C93" s="246" t="s">
        <v>303</v>
      </c>
      <c r="D93" s="161"/>
      <c r="E93" s="256">
        <v>0.33048</v>
      </c>
      <c r="F93" s="3">
        <v>1.1080239999999999</v>
      </c>
      <c r="G93" s="378">
        <f t="shared" si="15"/>
        <v>0</v>
      </c>
      <c r="H93" s="373">
        <v>0.2</v>
      </c>
      <c r="I93" s="380">
        <f t="shared" si="16"/>
        <v>0</v>
      </c>
      <c r="J93" s="380">
        <f t="shared" si="17"/>
        <v>0</v>
      </c>
      <c r="K93" s="375">
        <v>636904</v>
      </c>
    </row>
    <row r="94" spans="1:12" ht="18.600000000000001" customHeight="1" x14ac:dyDescent="0.25">
      <c r="A94" s="163" t="s">
        <v>304</v>
      </c>
      <c r="B94" s="420"/>
      <c r="C94" s="246" t="s">
        <v>27</v>
      </c>
      <c r="D94" s="154"/>
      <c r="E94" s="256">
        <v>0.33048</v>
      </c>
      <c r="F94" s="3">
        <v>1.1080239999999999</v>
      </c>
      <c r="G94" s="378">
        <f t="shared" si="15"/>
        <v>0</v>
      </c>
      <c r="H94" s="373">
        <v>0.2</v>
      </c>
      <c r="I94" s="380">
        <f t="shared" si="16"/>
        <v>0</v>
      </c>
      <c r="J94" s="380">
        <f t="shared" si="17"/>
        <v>0</v>
      </c>
      <c r="K94" s="364"/>
      <c r="L94" s="34" t="s">
        <v>125</v>
      </c>
    </row>
    <row r="95" spans="1:12" ht="18.600000000000001" customHeight="1" thickBot="1" x14ac:dyDescent="0.3">
      <c r="A95" s="34">
        <v>2705</v>
      </c>
      <c r="B95" s="420"/>
      <c r="C95" s="247" t="s">
        <v>305</v>
      </c>
      <c r="D95" s="154"/>
      <c r="E95" s="256">
        <v>0.33048</v>
      </c>
      <c r="F95" s="3">
        <v>1.1080239999999999</v>
      </c>
      <c r="G95" s="378">
        <f t="shared" si="15"/>
        <v>0</v>
      </c>
      <c r="H95" s="373">
        <v>0.2</v>
      </c>
      <c r="I95" s="380">
        <f t="shared" si="16"/>
        <v>0</v>
      </c>
      <c r="J95" s="380">
        <f t="shared" si="17"/>
        <v>0</v>
      </c>
      <c r="K95" s="392">
        <v>1195245456240</v>
      </c>
    </row>
    <row r="96" spans="1:12" ht="18.600000000000001" customHeight="1" x14ac:dyDescent="0.25">
      <c r="A96" s="163">
        <v>1002</v>
      </c>
      <c r="B96" s="418" t="s">
        <v>490</v>
      </c>
      <c r="C96" s="247" t="s">
        <v>491</v>
      </c>
      <c r="D96" s="488"/>
      <c r="E96" s="256">
        <v>0.24295</v>
      </c>
      <c r="F96" s="3">
        <v>1.1080239999999999</v>
      </c>
      <c r="G96" s="378">
        <f t="shared" si="15"/>
        <v>0</v>
      </c>
      <c r="H96" s="373">
        <v>0.2</v>
      </c>
      <c r="I96" s="380">
        <f t="shared" si="16"/>
        <v>0</v>
      </c>
      <c r="J96" s="380">
        <f t="shared" si="17"/>
        <v>0</v>
      </c>
    </row>
    <row r="97" spans="1:12" ht="45.6" customHeight="1" thickBot="1" x14ac:dyDescent="0.3">
      <c r="A97" s="163">
        <v>2605</v>
      </c>
      <c r="B97" s="27" t="s">
        <v>417</v>
      </c>
      <c r="C97" s="247" t="s">
        <v>287</v>
      </c>
      <c r="D97" s="161"/>
      <c r="E97" s="256">
        <v>0.33048</v>
      </c>
      <c r="F97" s="3">
        <v>1.1080239999999999</v>
      </c>
      <c r="G97" s="378">
        <f>D97*E97*F97</f>
        <v>0</v>
      </c>
      <c r="H97" s="373">
        <v>0.2</v>
      </c>
      <c r="I97" s="380">
        <f t="shared" si="16"/>
        <v>0</v>
      </c>
      <c r="J97" s="380">
        <f t="shared" si="17"/>
        <v>0</v>
      </c>
      <c r="K97" s="375">
        <v>759477</v>
      </c>
    </row>
    <row r="98" spans="1:12" ht="18.600000000000001" customHeight="1" thickBot="1" x14ac:dyDescent="0.3">
      <c r="B98" s="421"/>
      <c r="C98" s="412"/>
      <c r="D98" s="489">
        <f>SUM(D74:D97)</f>
        <v>0</v>
      </c>
      <c r="E98" s="256"/>
      <c r="F98" s="3"/>
      <c r="G98" s="422">
        <f>SUM(G74:G97)</f>
        <v>0</v>
      </c>
      <c r="H98" s="423"/>
      <c r="I98" s="400">
        <f>SUM(I74:I97)</f>
        <v>0</v>
      </c>
      <c r="J98" s="402">
        <f>SUM(J74:J97)</f>
        <v>0</v>
      </c>
    </row>
    <row r="99" spans="1:12" ht="18.600000000000001" customHeight="1" thickBot="1" x14ac:dyDescent="0.3">
      <c r="A99" s="34">
        <v>2705</v>
      </c>
      <c r="B99" s="371">
        <v>12</v>
      </c>
      <c r="C99" s="377" t="s">
        <v>306</v>
      </c>
      <c r="D99" s="161"/>
      <c r="E99" s="256">
        <v>0.33048</v>
      </c>
      <c r="F99" s="3">
        <v>1.1080239999999999</v>
      </c>
      <c r="G99" s="378">
        <f t="shared" ref="G99:G113" si="18">ROUND(D99*E99*F99,2)</f>
        <v>0</v>
      </c>
      <c r="H99" s="379">
        <v>0.2</v>
      </c>
      <c r="I99" s="380">
        <f t="shared" ref="I99:I137" si="19">ROUND(G99*H99,2)</f>
        <v>0</v>
      </c>
      <c r="J99" s="380">
        <f t="shared" ref="J99:J137" si="20">G99+I99</f>
        <v>0</v>
      </c>
      <c r="K99" s="26">
        <v>2143255</v>
      </c>
    </row>
    <row r="100" spans="1:12" ht="18.600000000000001" customHeight="1" thickBot="1" x14ac:dyDescent="0.3">
      <c r="A100" s="34">
        <v>2705</v>
      </c>
      <c r="B100" s="371"/>
      <c r="C100" s="246" t="s">
        <v>307</v>
      </c>
      <c r="D100" s="161"/>
      <c r="E100" s="256">
        <v>0.33048</v>
      </c>
      <c r="F100" s="3">
        <v>1.1080239999999999</v>
      </c>
      <c r="G100" s="378">
        <f t="shared" si="18"/>
        <v>0</v>
      </c>
      <c r="H100" s="373">
        <v>0.2</v>
      </c>
      <c r="I100" s="380">
        <f t="shared" si="19"/>
        <v>0</v>
      </c>
      <c r="J100" s="380">
        <f t="shared" si="20"/>
        <v>0</v>
      </c>
      <c r="K100" s="26">
        <v>63735</v>
      </c>
    </row>
    <row r="101" spans="1:12" ht="18.600000000000001" customHeight="1" thickBot="1" x14ac:dyDescent="0.3">
      <c r="A101" s="34">
        <v>2705</v>
      </c>
      <c r="B101" s="519" t="s">
        <v>577</v>
      </c>
      <c r="C101" s="246" t="s">
        <v>308</v>
      </c>
      <c r="D101" s="161"/>
      <c r="E101" s="256">
        <v>0.33048</v>
      </c>
      <c r="F101" s="3">
        <v>1.1080239999999999</v>
      </c>
      <c r="G101" s="378">
        <f t="shared" si="18"/>
        <v>0</v>
      </c>
      <c r="H101" s="373">
        <v>0.2</v>
      </c>
      <c r="I101" s="380">
        <f t="shared" si="19"/>
        <v>0</v>
      </c>
      <c r="J101" s="380">
        <f t="shared" si="20"/>
        <v>0</v>
      </c>
      <c r="K101" s="26">
        <v>448868</v>
      </c>
    </row>
    <row r="102" spans="1:12" ht="18.600000000000001" customHeight="1" thickBot="1" x14ac:dyDescent="0.3">
      <c r="B102" s="520"/>
      <c r="C102" s="490" t="s">
        <v>666</v>
      </c>
      <c r="D102" s="255"/>
      <c r="E102" s="256"/>
      <c r="F102" s="3"/>
      <c r="G102" s="378"/>
      <c r="H102" s="373"/>
      <c r="I102" s="380"/>
      <c r="J102" s="380"/>
      <c r="K102" s="26">
        <v>80022585</v>
      </c>
    </row>
    <row r="103" spans="1:12" ht="18.600000000000001" customHeight="1" thickBot="1" x14ac:dyDescent="0.3">
      <c r="A103" s="34">
        <v>2705</v>
      </c>
      <c r="B103" s="416" t="s">
        <v>309</v>
      </c>
      <c r="C103" s="246" t="s">
        <v>310</v>
      </c>
      <c r="D103" s="161"/>
      <c r="E103" s="265">
        <v>0.33048</v>
      </c>
      <c r="F103" s="3">
        <v>1.1080239999999999</v>
      </c>
      <c r="G103" s="378">
        <f t="shared" si="18"/>
        <v>0</v>
      </c>
      <c r="H103" s="373">
        <v>0.2</v>
      </c>
      <c r="I103" s="380">
        <f t="shared" si="19"/>
        <v>0</v>
      </c>
      <c r="J103" s="380">
        <f t="shared" si="20"/>
        <v>0</v>
      </c>
      <c r="K103" s="26">
        <v>747848</v>
      </c>
    </row>
    <row r="104" spans="1:12" ht="18.600000000000001" customHeight="1" thickBot="1" x14ac:dyDescent="0.3">
      <c r="A104" s="34">
        <v>2705</v>
      </c>
      <c r="B104" s="383"/>
      <c r="C104" s="246" t="s">
        <v>311</v>
      </c>
      <c r="D104" s="154"/>
      <c r="E104" s="265">
        <v>0.33048</v>
      </c>
      <c r="F104" s="3">
        <v>1.1080239999999999</v>
      </c>
      <c r="G104" s="378">
        <f t="shared" si="18"/>
        <v>0</v>
      </c>
      <c r="H104" s="373">
        <v>0.2</v>
      </c>
      <c r="I104" s="380">
        <f t="shared" si="19"/>
        <v>0</v>
      </c>
      <c r="J104" s="380">
        <f t="shared" si="20"/>
        <v>0</v>
      </c>
      <c r="K104" s="364"/>
      <c r="L104" s="34" t="s">
        <v>85</v>
      </c>
    </row>
    <row r="105" spans="1:12" ht="18.600000000000001" customHeight="1" thickBot="1" x14ac:dyDescent="0.3">
      <c r="A105" s="34">
        <v>902</v>
      </c>
      <c r="B105" s="383"/>
      <c r="C105" s="246" t="s">
        <v>312</v>
      </c>
      <c r="D105" s="161"/>
      <c r="E105" s="265">
        <v>0.24295</v>
      </c>
      <c r="F105" s="3">
        <v>1.1080239999999999</v>
      </c>
      <c r="G105" s="378">
        <f t="shared" si="18"/>
        <v>0</v>
      </c>
      <c r="H105" s="373">
        <v>0.2</v>
      </c>
      <c r="I105" s="380">
        <f t="shared" si="19"/>
        <v>0</v>
      </c>
      <c r="J105" s="380">
        <f t="shared" si="20"/>
        <v>0</v>
      </c>
      <c r="K105" s="26">
        <v>10113005270</v>
      </c>
    </row>
    <row r="106" spans="1:12" ht="18.600000000000001" customHeight="1" thickBot="1" x14ac:dyDescent="0.3">
      <c r="A106" s="34" t="s">
        <v>107</v>
      </c>
      <c r="B106" s="383"/>
      <c r="C106" s="246" t="s">
        <v>83</v>
      </c>
      <c r="D106" s="161"/>
      <c r="E106" s="265">
        <v>0.27273999999999998</v>
      </c>
      <c r="F106" s="3">
        <v>1.1080239999999999</v>
      </c>
      <c r="G106" s="378">
        <f>ROUND(D106*E106*F106,2)</f>
        <v>0</v>
      </c>
      <c r="H106" s="373">
        <v>0.2</v>
      </c>
      <c r="I106" s="380">
        <f>ROUND(G106*H106,2)</f>
        <v>0</v>
      </c>
      <c r="J106" s="380">
        <f>G106+I106</f>
        <v>0</v>
      </c>
      <c r="K106" s="26">
        <v>426547</v>
      </c>
    </row>
    <row r="107" spans="1:12" ht="18.600000000000001" customHeight="1" thickBot="1" x14ac:dyDescent="0.3">
      <c r="A107" s="34">
        <v>902</v>
      </c>
      <c r="B107" s="383"/>
      <c r="C107" s="246" t="s">
        <v>313</v>
      </c>
      <c r="D107" s="161"/>
      <c r="E107" s="265">
        <v>0.24295</v>
      </c>
      <c r="F107" s="3">
        <v>1.1080239999999999</v>
      </c>
      <c r="G107" s="378">
        <f t="shared" si="18"/>
        <v>0</v>
      </c>
      <c r="H107" s="373">
        <v>0.2</v>
      </c>
      <c r="I107" s="380">
        <f t="shared" si="19"/>
        <v>0</v>
      </c>
      <c r="J107" s="380">
        <f t="shared" si="20"/>
        <v>0</v>
      </c>
      <c r="K107" s="26">
        <v>569804</v>
      </c>
    </row>
    <row r="108" spans="1:12" ht="18.600000000000001" customHeight="1" thickBot="1" x14ac:dyDescent="0.3">
      <c r="A108" s="34">
        <v>2705</v>
      </c>
      <c r="B108" s="383"/>
      <c r="C108" s="246" t="s">
        <v>314</v>
      </c>
      <c r="D108" s="161"/>
      <c r="E108" s="265">
        <v>0.33048</v>
      </c>
      <c r="F108" s="3">
        <v>1.1080239999999999</v>
      </c>
      <c r="G108" s="378">
        <f t="shared" si="18"/>
        <v>0</v>
      </c>
      <c r="H108" s="373">
        <v>0.2</v>
      </c>
      <c r="I108" s="380">
        <f t="shared" si="19"/>
        <v>0</v>
      </c>
      <c r="J108" s="380">
        <f t="shared" si="20"/>
        <v>0</v>
      </c>
      <c r="K108" s="26">
        <v>704300</v>
      </c>
    </row>
    <row r="109" spans="1:12" ht="18.600000000000001" customHeight="1" thickBot="1" x14ac:dyDescent="0.3">
      <c r="A109" s="34">
        <v>2705</v>
      </c>
      <c r="B109" s="383"/>
      <c r="C109" s="246" t="s">
        <v>315</v>
      </c>
      <c r="D109" s="161"/>
      <c r="E109" s="265">
        <v>0.33048</v>
      </c>
      <c r="F109" s="3">
        <v>1.1080239999999999</v>
      </c>
      <c r="G109" s="378">
        <f t="shared" si="18"/>
        <v>0</v>
      </c>
      <c r="H109" s="373">
        <v>0.2</v>
      </c>
      <c r="I109" s="380">
        <f t="shared" si="19"/>
        <v>0</v>
      </c>
      <c r="J109" s="380">
        <f t="shared" si="20"/>
        <v>0</v>
      </c>
      <c r="K109" s="26">
        <v>114311</v>
      </c>
    </row>
    <row r="110" spans="1:12" ht="18.600000000000001" customHeight="1" thickBot="1" x14ac:dyDescent="0.3">
      <c r="A110" s="34">
        <v>902</v>
      </c>
      <c r="B110" s="383"/>
      <c r="C110" s="246" t="s">
        <v>316</v>
      </c>
      <c r="D110" s="161"/>
      <c r="E110" s="265">
        <v>0.24295</v>
      </c>
      <c r="F110" s="3">
        <v>1.1080239999999999</v>
      </c>
      <c r="G110" s="378">
        <f t="shared" si="18"/>
        <v>0</v>
      </c>
      <c r="H110" s="373">
        <v>0.2</v>
      </c>
      <c r="I110" s="380">
        <f t="shared" si="19"/>
        <v>0</v>
      </c>
      <c r="J110" s="380">
        <f t="shared" si="20"/>
        <v>0</v>
      </c>
      <c r="K110" s="26">
        <v>69860728</v>
      </c>
    </row>
    <row r="111" spans="1:12" ht="18.600000000000001" customHeight="1" thickBot="1" x14ac:dyDescent="0.3">
      <c r="A111" s="34">
        <v>2705</v>
      </c>
      <c r="B111" s="383"/>
      <c r="C111" s="389" t="s">
        <v>430</v>
      </c>
      <c r="D111" s="161"/>
      <c r="E111" s="256">
        <v>0.24295</v>
      </c>
      <c r="F111" s="3">
        <v>1.1080239999999999</v>
      </c>
      <c r="G111" s="378">
        <f t="shared" si="18"/>
        <v>0</v>
      </c>
      <c r="H111" s="373">
        <v>0.2</v>
      </c>
      <c r="I111" s="380">
        <f t="shared" si="19"/>
        <v>0</v>
      </c>
      <c r="J111" s="380">
        <f t="shared" si="20"/>
        <v>0</v>
      </c>
      <c r="K111" s="26">
        <v>2137975</v>
      </c>
    </row>
    <row r="112" spans="1:12" ht="18.600000000000001" customHeight="1" thickBot="1" x14ac:dyDescent="0.3">
      <c r="A112" s="34">
        <v>902</v>
      </c>
      <c r="B112" s="383"/>
      <c r="C112" s="246" t="s">
        <v>317</v>
      </c>
      <c r="D112" s="161"/>
      <c r="E112" s="256">
        <v>0.24295</v>
      </c>
      <c r="F112" s="3">
        <v>1.1080239999999999</v>
      </c>
      <c r="G112" s="378">
        <f t="shared" si="18"/>
        <v>0</v>
      </c>
      <c r="H112" s="373">
        <v>0.2</v>
      </c>
      <c r="I112" s="380">
        <f t="shared" si="19"/>
        <v>0</v>
      </c>
      <c r="J112" s="380">
        <f t="shared" si="20"/>
        <v>0</v>
      </c>
      <c r="K112" s="26">
        <v>549516</v>
      </c>
    </row>
    <row r="113" spans="1:14" ht="18.600000000000001" customHeight="1" thickBot="1" x14ac:dyDescent="0.3">
      <c r="A113" s="34">
        <v>902</v>
      </c>
      <c r="B113" s="383"/>
      <c r="C113" s="246" t="s">
        <v>318</v>
      </c>
      <c r="D113" s="161"/>
      <c r="E113" s="256">
        <v>0.24295</v>
      </c>
      <c r="F113" s="3">
        <v>1.1080239999999999</v>
      </c>
      <c r="G113" s="378">
        <f t="shared" si="18"/>
        <v>0</v>
      </c>
      <c r="H113" s="373">
        <v>0.2</v>
      </c>
      <c r="I113" s="380">
        <f t="shared" si="19"/>
        <v>0</v>
      </c>
      <c r="J113" s="380">
        <f t="shared" si="20"/>
        <v>0</v>
      </c>
      <c r="K113" s="26">
        <v>569795</v>
      </c>
    </row>
    <row r="114" spans="1:14" ht="18.600000000000001" customHeight="1" thickBot="1" x14ac:dyDescent="0.3">
      <c r="A114" s="34">
        <v>2705</v>
      </c>
      <c r="B114" s="383"/>
      <c r="C114" s="246" t="s">
        <v>319</v>
      </c>
      <c r="D114" s="161"/>
      <c r="E114" s="265">
        <v>0.33048</v>
      </c>
      <c r="F114" s="3">
        <v>1.1080239999999999</v>
      </c>
      <c r="G114" s="378">
        <f>ROUND(D114*E114*F114,2)</f>
        <v>0</v>
      </c>
      <c r="H114" s="373">
        <v>0.2</v>
      </c>
      <c r="I114" s="380">
        <f t="shared" si="19"/>
        <v>0</v>
      </c>
      <c r="J114" s="380">
        <f t="shared" si="20"/>
        <v>0</v>
      </c>
      <c r="K114" s="26">
        <v>795303</v>
      </c>
    </row>
    <row r="115" spans="1:14" ht="18.600000000000001" customHeight="1" thickBot="1" x14ac:dyDescent="0.3">
      <c r="A115" s="34">
        <v>2705</v>
      </c>
      <c r="B115" s="383"/>
      <c r="C115" s="246" t="s">
        <v>320</v>
      </c>
      <c r="D115" s="161"/>
      <c r="E115" s="265">
        <v>0.33048</v>
      </c>
      <c r="F115" s="3">
        <v>1.1080239999999999</v>
      </c>
      <c r="G115" s="378">
        <f>ROUND(D115*E115*F115,2)</f>
        <v>0</v>
      </c>
      <c r="H115" s="373">
        <v>0.2</v>
      </c>
      <c r="I115" s="380">
        <f t="shared" si="19"/>
        <v>0</v>
      </c>
      <c r="J115" s="380">
        <f t="shared" si="20"/>
        <v>0</v>
      </c>
      <c r="K115" s="26">
        <v>2103686</v>
      </c>
    </row>
    <row r="116" spans="1:14" ht="18.600000000000001" customHeight="1" thickBot="1" x14ac:dyDescent="0.3">
      <c r="A116" s="34" t="s">
        <v>95</v>
      </c>
      <c r="B116" s="21"/>
      <c r="C116" s="246" t="s">
        <v>37</v>
      </c>
      <c r="D116" s="161"/>
      <c r="E116" s="256">
        <v>0.33048</v>
      </c>
      <c r="F116" s="3">
        <v>1.1080239999999999</v>
      </c>
      <c r="G116" s="378">
        <f>ROUND(D116*E116*F116,2)</f>
        <v>0</v>
      </c>
      <c r="H116" s="18">
        <v>0.2</v>
      </c>
      <c r="I116" s="380">
        <f t="shared" si="19"/>
        <v>0</v>
      </c>
      <c r="J116" s="380">
        <f t="shared" si="20"/>
        <v>0</v>
      </c>
      <c r="K116" s="26">
        <v>69905</v>
      </c>
    </row>
    <row r="117" spans="1:14" ht="18.600000000000001" customHeight="1" thickBot="1" x14ac:dyDescent="0.3">
      <c r="A117" s="34">
        <v>2705</v>
      </c>
      <c r="B117" s="383"/>
      <c r="C117" s="246" t="s">
        <v>321</v>
      </c>
      <c r="D117" s="161"/>
      <c r="E117" s="265">
        <v>0.33048</v>
      </c>
      <c r="F117" s="3">
        <v>1.1080239999999999</v>
      </c>
      <c r="G117" s="378">
        <f t="shared" ref="G117:G137" si="21">ROUND(D117*E117*F117,2)</f>
        <v>0</v>
      </c>
      <c r="H117" s="373">
        <v>0.2</v>
      </c>
      <c r="I117" s="380">
        <f t="shared" si="19"/>
        <v>0</v>
      </c>
      <c r="J117" s="380">
        <f t="shared" si="20"/>
        <v>0</v>
      </c>
      <c r="K117" s="26">
        <v>2054137</v>
      </c>
    </row>
    <row r="118" spans="1:14" ht="28.9" customHeight="1" thickBot="1" x14ac:dyDescent="0.3">
      <c r="A118" s="34">
        <v>1002</v>
      </c>
      <c r="B118" s="383"/>
      <c r="C118" s="424" t="s">
        <v>321</v>
      </c>
      <c r="D118" s="154"/>
      <c r="E118" s="256">
        <v>0.24295</v>
      </c>
      <c r="F118" s="3">
        <v>1.1080239999999999</v>
      </c>
      <c r="G118" s="378">
        <f>ROUND(D118*E118*F118,2)</f>
        <v>0</v>
      </c>
      <c r="H118" s="373">
        <v>0.2</v>
      </c>
      <c r="I118" s="380">
        <f>ROUND(G118*H118,2)</f>
        <v>0</v>
      </c>
      <c r="J118" s="380">
        <f>G118+I118</f>
        <v>0</v>
      </c>
      <c r="K118" s="491">
        <v>2010056</v>
      </c>
    </row>
    <row r="119" spans="1:14" ht="28.15" customHeight="1" thickBot="1" x14ac:dyDescent="0.3">
      <c r="B119" s="383"/>
      <c r="C119" s="246" t="s">
        <v>322</v>
      </c>
      <c r="D119" s="154"/>
      <c r="E119" s="265">
        <v>0.24295</v>
      </c>
      <c r="F119" s="3">
        <v>1.1080239999999999</v>
      </c>
      <c r="G119" s="378">
        <f t="shared" si="21"/>
        <v>0</v>
      </c>
      <c r="H119" s="373">
        <v>0.2</v>
      </c>
      <c r="I119" s="380">
        <f t="shared" si="19"/>
        <v>0</v>
      </c>
      <c r="J119" s="380">
        <f t="shared" si="20"/>
        <v>0</v>
      </c>
      <c r="K119" s="364"/>
    </row>
    <row r="120" spans="1:14" ht="18.600000000000001" customHeight="1" thickBot="1" x14ac:dyDescent="0.3">
      <c r="A120" s="34">
        <v>902</v>
      </c>
      <c r="B120" s="383"/>
      <c r="C120" s="246" t="s">
        <v>323</v>
      </c>
      <c r="D120" s="161"/>
      <c r="E120" s="265">
        <v>0.24295</v>
      </c>
      <c r="F120" s="3">
        <v>1.1080239999999999</v>
      </c>
      <c r="G120" s="378">
        <f t="shared" si="21"/>
        <v>0</v>
      </c>
      <c r="H120" s="373">
        <v>0.2</v>
      </c>
      <c r="I120" s="380">
        <f t="shared" si="19"/>
        <v>0</v>
      </c>
      <c r="J120" s="380">
        <f t="shared" si="20"/>
        <v>0</v>
      </c>
      <c r="K120" s="26">
        <v>98774</v>
      </c>
    </row>
    <row r="121" spans="1:14" ht="18.600000000000001" customHeight="1" thickBot="1" x14ac:dyDescent="0.3">
      <c r="A121" s="34">
        <v>2705</v>
      </c>
      <c r="B121" s="383"/>
      <c r="C121" s="246" t="s">
        <v>324</v>
      </c>
      <c r="D121" s="161"/>
      <c r="E121" s="419">
        <v>0.33048</v>
      </c>
      <c r="F121" s="3">
        <v>1.1080239999999999</v>
      </c>
      <c r="G121" s="378">
        <f t="shared" si="21"/>
        <v>0</v>
      </c>
      <c r="H121" s="373">
        <v>0.2</v>
      </c>
      <c r="I121" s="380">
        <f t="shared" si="19"/>
        <v>0</v>
      </c>
      <c r="J121" s="380">
        <f t="shared" si="20"/>
        <v>0</v>
      </c>
      <c r="K121" s="26">
        <v>1195118109330</v>
      </c>
    </row>
    <row r="122" spans="1:14" ht="18.600000000000001" customHeight="1" thickBot="1" x14ac:dyDescent="0.3">
      <c r="A122" s="34">
        <v>1002</v>
      </c>
      <c r="B122" s="416" t="s">
        <v>418</v>
      </c>
      <c r="C122" s="246" t="s">
        <v>325</v>
      </c>
      <c r="D122" s="154"/>
      <c r="E122" s="256">
        <v>0.24295</v>
      </c>
      <c r="F122" s="3">
        <v>1.1080239999999999</v>
      </c>
      <c r="G122" s="378">
        <f t="shared" si="21"/>
        <v>0</v>
      </c>
      <c r="H122" s="373">
        <v>0.2</v>
      </c>
      <c r="I122" s="380">
        <f t="shared" si="19"/>
        <v>0</v>
      </c>
      <c r="J122" s="380">
        <f t="shared" si="20"/>
        <v>0</v>
      </c>
      <c r="K122" s="364"/>
    </row>
    <row r="123" spans="1:14" ht="18.600000000000001" customHeight="1" thickBot="1" x14ac:dyDescent="0.3">
      <c r="A123" s="34">
        <v>2705</v>
      </c>
      <c r="B123" s="376"/>
      <c r="C123" s="246" t="s">
        <v>326</v>
      </c>
      <c r="D123" s="161"/>
      <c r="E123" s="256">
        <v>0.33048</v>
      </c>
      <c r="F123" s="3">
        <v>1.1080239999999999</v>
      </c>
      <c r="G123" s="17">
        <f t="shared" si="21"/>
        <v>0</v>
      </c>
      <c r="H123" s="18">
        <v>0.2</v>
      </c>
      <c r="I123" s="19">
        <f t="shared" si="19"/>
        <v>0</v>
      </c>
      <c r="J123" s="20">
        <f t="shared" si="20"/>
        <v>0</v>
      </c>
      <c r="K123" s="26">
        <v>1185118135614</v>
      </c>
    </row>
    <row r="124" spans="1:14" ht="30" customHeight="1" thickBot="1" x14ac:dyDescent="0.3">
      <c r="A124" s="34">
        <v>2605</v>
      </c>
      <c r="B124" s="384"/>
      <c r="C124" s="246" t="s">
        <v>327</v>
      </c>
      <c r="D124" s="154"/>
      <c r="E124" s="256">
        <v>0.33048</v>
      </c>
      <c r="F124" s="3">
        <v>1.1080239999999999</v>
      </c>
      <c r="G124" s="17">
        <f t="shared" si="21"/>
        <v>0</v>
      </c>
      <c r="H124" s="18">
        <v>0.2</v>
      </c>
      <c r="I124" s="19">
        <f t="shared" si="19"/>
        <v>0</v>
      </c>
      <c r="J124" s="20">
        <f t="shared" si="20"/>
        <v>0</v>
      </c>
      <c r="K124" s="364"/>
      <c r="L124" s="425" t="s">
        <v>328</v>
      </c>
      <c r="N124" s="26">
        <v>11186</v>
      </c>
    </row>
    <row r="125" spans="1:14" ht="30" customHeight="1" thickBot="1" x14ac:dyDescent="0.3">
      <c r="A125" s="34">
        <v>2705</v>
      </c>
      <c r="B125" s="384"/>
      <c r="C125" s="246" t="s">
        <v>327</v>
      </c>
      <c r="D125" s="154"/>
      <c r="E125" s="256">
        <v>0.33048</v>
      </c>
      <c r="F125" s="3">
        <v>1.1080239999999999</v>
      </c>
      <c r="G125" s="17">
        <f>ROUND(D125*E125*F125,2)</f>
        <v>0</v>
      </c>
      <c r="H125" s="18">
        <v>0.2</v>
      </c>
      <c r="I125" s="19">
        <f>ROUND(G125*H125,2)</f>
        <v>0</v>
      </c>
      <c r="J125" s="20">
        <f>G125+I125</f>
        <v>0</v>
      </c>
      <c r="K125" s="364"/>
      <c r="L125" s="425" t="s">
        <v>328</v>
      </c>
    </row>
    <row r="126" spans="1:14" ht="18.600000000000001" customHeight="1" thickBot="1" x14ac:dyDescent="0.3">
      <c r="A126" s="34">
        <v>2705</v>
      </c>
      <c r="B126" s="21"/>
      <c r="C126" s="246" t="s">
        <v>329</v>
      </c>
      <c r="D126" s="161"/>
      <c r="E126" s="256">
        <v>0.33048</v>
      </c>
      <c r="F126" s="3">
        <v>1.1080239999999999</v>
      </c>
      <c r="G126" s="17">
        <f t="shared" si="21"/>
        <v>0</v>
      </c>
      <c r="H126" s="18">
        <v>0.2</v>
      </c>
      <c r="I126" s="19">
        <f t="shared" si="19"/>
        <v>0</v>
      </c>
      <c r="J126" s="20">
        <f t="shared" si="20"/>
        <v>0</v>
      </c>
      <c r="K126" s="26">
        <v>936682</v>
      </c>
    </row>
    <row r="127" spans="1:14" ht="18.600000000000001" customHeight="1" thickBot="1" x14ac:dyDescent="0.3">
      <c r="A127" s="34">
        <v>2705</v>
      </c>
      <c r="B127" s="21"/>
      <c r="C127" s="424" t="s">
        <v>330</v>
      </c>
      <c r="D127" s="161"/>
      <c r="E127" s="256">
        <v>0.33048</v>
      </c>
      <c r="F127" s="3">
        <v>1.1080239999999999</v>
      </c>
      <c r="G127" s="17">
        <f>ROUND(D127*E127*F127,2)</f>
        <v>0</v>
      </c>
      <c r="H127" s="18">
        <v>0.2</v>
      </c>
      <c r="I127" s="19">
        <f>ROUND(G127*H127,2)</f>
        <v>0</v>
      </c>
      <c r="J127" s="20">
        <f>G127+I127</f>
        <v>0</v>
      </c>
      <c r="K127" s="26">
        <v>1185116800257</v>
      </c>
    </row>
    <row r="128" spans="1:14" ht="17.45" customHeight="1" thickBot="1" x14ac:dyDescent="0.3">
      <c r="A128" s="34">
        <v>2705</v>
      </c>
      <c r="B128" s="161"/>
      <c r="C128" s="424" t="s">
        <v>331</v>
      </c>
      <c r="D128" s="154"/>
      <c r="E128" s="256">
        <v>0.33048</v>
      </c>
      <c r="F128" s="3">
        <v>1.1080239999999999</v>
      </c>
      <c r="G128" s="17">
        <f>ROUND(D128*E128*F128,2)</f>
        <v>0</v>
      </c>
      <c r="H128" s="18">
        <v>0.2</v>
      </c>
      <c r="I128" s="19">
        <f>ROUND(G128*H128,2)</f>
        <v>0</v>
      </c>
      <c r="J128" s="20">
        <f>G128+I128</f>
        <v>0</v>
      </c>
      <c r="K128" s="26">
        <v>1195112356598</v>
      </c>
      <c r="L128" s="426" t="s">
        <v>429</v>
      </c>
    </row>
    <row r="129" spans="1:12" ht="18.600000000000001" customHeight="1" thickBot="1" x14ac:dyDescent="0.3">
      <c r="A129" s="34">
        <v>2705</v>
      </c>
      <c r="B129" s="21"/>
      <c r="C129" s="246" t="s">
        <v>332</v>
      </c>
      <c r="D129" s="161"/>
      <c r="E129" s="256">
        <v>0.33048</v>
      </c>
      <c r="F129" s="3">
        <v>1.1080239999999999</v>
      </c>
      <c r="G129" s="17">
        <f t="shared" si="21"/>
        <v>0</v>
      </c>
      <c r="H129" s="18">
        <v>0.2</v>
      </c>
      <c r="I129" s="19">
        <f t="shared" si="19"/>
        <v>0</v>
      </c>
      <c r="J129" s="20">
        <f t="shared" si="20"/>
        <v>0</v>
      </c>
      <c r="K129" s="26">
        <v>760929</v>
      </c>
    </row>
    <row r="130" spans="1:12" ht="18.600000000000001" customHeight="1" thickBot="1" x14ac:dyDescent="0.3">
      <c r="A130" s="34">
        <v>2705</v>
      </c>
      <c r="B130" s="21"/>
      <c r="C130" s="246" t="s">
        <v>333</v>
      </c>
      <c r="D130" s="161"/>
      <c r="E130" s="256">
        <v>0.33048</v>
      </c>
      <c r="F130" s="3">
        <v>1.1080239999999999</v>
      </c>
      <c r="G130" s="17">
        <f t="shared" si="21"/>
        <v>0</v>
      </c>
      <c r="H130" s="18">
        <v>0.2</v>
      </c>
      <c r="I130" s="19">
        <f t="shared" si="19"/>
        <v>0</v>
      </c>
      <c r="J130" s="20">
        <f t="shared" si="20"/>
        <v>0</v>
      </c>
      <c r="K130" s="26">
        <v>590938</v>
      </c>
    </row>
    <row r="131" spans="1:12" ht="18.600000000000001" customHeight="1" thickBot="1" x14ac:dyDescent="0.3">
      <c r="A131" s="34" t="s">
        <v>95</v>
      </c>
      <c r="B131" s="21"/>
      <c r="C131" s="246" t="s">
        <v>37</v>
      </c>
      <c r="D131" s="161"/>
      <c r="E131" s="256">
        <v>0.33048</v>
      </c>
      <c r="F131" s="3">
        <v>1.1080239999999999</v>
      </c>
      <c r="G131" s="17">
        <f t="shared" si="21"/>
        <v>0</v>
      </c>
      <c r="H131" s="18">
        <v>0.2</v>
      </c>
      <c r="I131" s="19">
        <f t="shared" si="19"/>
        <v>0</v>
      </c>
      <c r="J131" s="20">
        <f t="shared" si="20"/>
        <v>0</v>
      </c>
      <c r="K131" s="427">
        <v>590378</v>
      </c>
    </row>
    <row r="132" spans="1:12" ht="18.600000000000001" customHeight="1" thickBot="1" x14ac:dyDescent="0.3">
      <c r="A132" s="34" t="s">
        <v>96</v>
      </c>
      <c r="B132" s="21"/>
      <c r="C132" s="246" t="s">
        <v>118</v>
      </c>
      <c r="D132" s="161"/>
      <c r="E132" s="265">
        <v>0.15176999999999999</v>
      </c>
      <c r="F132" s="3">
        <v>1.1080239999999999</v>
      </c>
      <c r="G132" s="17">
        <f t="shared" si="21"/>
        <v>0</v>
      </c>
      <c r="H132" s="18">
        <v>0.2</v>
      </c>
      <c r="I132" s="19">
        <f t="shared" si="19"/>
        <v>0</v>
      </c>
      <c r="J132" s="20">
        <f t="shared" si="20"/>
        <v>0</v>
      </c>
      <c r="K132" s="427">
        <v>590378</v>
      </c>
    </row>
    <row r="133" spans="1:12" ht="18.600000000000001" customHeight="1" thickBot="1" x14ac:dyDescent="0.3">
      <c r="A133" s="34">
        <v>2705</v>
      </c>
      <c r="B133" s="384"/>
      <c r="C133" s="406" t="s">
        <v>334</v>
      </c>
      <c r="D133" s="161"/>
      <c r="E133" s="256">
        <v>0.33048</v>
      </c>
      <c r="F133" s="3">
        <v>1.1080239999999999</v>
      </c>
      <c r="G133" s="17">
        <f t="shared" si="21"/>
        <v>0</v>
      </c>
      <c r="H133" s="18">
        <v>0.2</v>
      </c>
      <c r="I133" s="19">
        <f t="shared" si="19"/>
        <v>0</v>
      </c>
      <c r="J133" s="20">
        <f t="shared" si="20"/>
        <v>0</v>
      </c>
      <c r="K133" s="428">
        <v>2006889</v>
      </c>
    </row>
    <row r="134" spans="1:12" ht="30" customHeight="1" thickBot="1" x14ac:dyDescent="0.3">
      <c r="A134" s="34">
        <v>2705</v>
      </c>
      <c r="B134" s="376"/>
      <c r="C134" s="406" t="s">
        <v>335</v>
      </c>
      <c r="D134" s="161"/>
      <c r="E134" s="256">
        <v>0.33048</v>
      </c>
      <c r="F134" s="3">
        <v>1.1080239999999999</v>
      </c>
      <c r="G134" s="17">
        <f t="shared" si="21"/>
        <v>0</v>
      </c>
      <c r="H134" s="18">
        <v>0.2</v>
      </c>
      <c r="I134" s="19">
        <f t="shared" si="19"/>
        <v>0</v>
      </c>
      <c r="J134" s="20">
        <f t="shared" si="20"/>
        <v>0</v>
      </c>
      <c r="K134" s="26">
        <v>2047497</v>
      </c>
    </row>
    <row r="135" spans="1:12" ht="18.600000000000001" customHeight="1" thickBot="1" x14ac:dyDescent="0.3">
      <c r="A135" s="34" t="s">
        <v>95</v>
      </c>
      <c r="B135" s="21"/>
      <c r="C135" s="246" t="s">
        <v>37</v>
      </c>
      <c r="D135" s="154"/>
      <c r="E135" s="256">
        <v>0.33048</v>
      </c>
      <c r="F135" s="3">
        <v>1.1080239999999999</v>
      </c>
      <c r="G135" s="17">
        <f>ROUND(D135*E135*F135,2)</f>
        <v>0</v>
      </c>
      <c r="H135" s="18">
        <v>0.2</v>
      </c>
      <c r="I135" s="19">
        <f>ROUND(G135*H135,2)</f>
        <v>0</v>
      </c>
      <c r="J135" s="20">
        <f>G135+I135</f>
        <v>0</v>
      </c>
      <c r="K135" s="26">
        <v>624901</v>
      </c>
    </row>
    <row r="136" spans="1:12" ht="18.600000000000001" customHeight="1" thickBot="1" x14ac:dyDescent="0.3">
      <c r="A136" s="34">
        <v>2705</v>
      </c>
      <c r="B136" s="415"/>
      <c r="C136" s="247" t="s">
        <v>336</v>
      </c>
      <c r="D136" s="161"/>
      <c r="E136" s="256">
        <v>0.33048</v>
      </c>
      <c r="F136" s="3">
        <v>1.1080239999999999</v>
      </c>
      <c r="G136" s="378">
        <f t="shared" si="21"/>
        <v>0</v>
      </c>
      <c r="H136" s="390">
        <v>0.2</v>
      </c>
      <c r="I136" s="380">
        <f t="shared" si="19"/>
        <v>0</v>
      </c>
      <c r="J136" s="380">
        <f t="shared" si="20"/>
        <v>0</v>
      </c>
      <c r="K136" s="26">
        <v>2130296</v>
      </c>
    </row>
    <row r="137" spans="1:12" ht="18.600000000000001" customHeight="1" thickBot="1" x14ac:dyDescent="0.3">
      <c r="A137" s="34">
        <v>2705</v>
      </c>
      <c r="B137" s="519" t="s">
        <v>578</v>
      </c>
      <c r="C137" s="246" t="s">
        <v>337</v>
      </c>
      <c r="D137" s="161"/>
      <c r="E137" s="256">
        <v>0.33048</v>
      </c>
      <c r="F137" s="3">
        <v>1.1080239999999999</v>
      </c>
      <c r="G137" s="378">
        <f t="shared" si="21"/>
        <v>0</v>
      </c>
      <c r="H137" s="373">
        <v>0.2</v>
      </c>
      <c r="I137" s="380">
        <f t="shared" si="19"/>
        <v>0</v>
      </c>
      <c r="J137" s="380">
        <f t="shared" si="20"/>
        <v>0</v>
      </c>
      <c r="K137" s="26">
        <v>188629</v>
      </c>
      <c r="L137" s="34" t="s">
        <v>81</v>
      </c>
    </row>
    <row r="138" spans="1:12" ht="18.600000000000001" customHeight="1" thickBot="1" x14ac:dyDescent="0.3">
      <c r="B138" s="520"/>
      <c r="C138" s="482" t="s">
        <v>337</v>
      </c>
      <c r="D138" s="255">
        <v>595</v>
      </c>
      <c r="E138" s="312"/>
      <c r="F138" s="161"/>
      <c r="G138" s="161"/>
      <c r="H138" s="161"/>
      <c r="I138" s="161"/>
      <c r="J138" s="161"/>
      <c r="K138" s="26">
        <v>65860136</v>
      </c>
    </row>
    <row r="139" spans="1:12" ht="18.600000000000001" customHeight="1" thickBot="1" x14ac:dyDescent="0.3">
      <c r="A139" s="34">
        <v>2705</v>
      </c>
      <c r="B139" s="371"/>
      <c r="C139" s="3" t="s">
        <v>338</v>
      </c>
      <c r="D139" s="161"/>
      <c r="E139" s="256">
        <v>0.24295</v>
      </c>
      <c r="F139" s="172">
        <v>1.1080239999999999</v>
      </c>
      <c r="G139" s="378">
        <f t="shared" ref="G139:G146" si="22">ROUND(D139*E139*F139,2)</f>
        <v>0</v>
      </c>
      <c r="H139" s="379">
        <v>0.2</v>
      </c>
      <c r="I139" s="380">
        <f t="shared" ref="I139:I146" si="23">ROUND(G139*H139,2)</f>
        <v>0</v>
      </c>
      <c r="J139" s="380">
        <f t="shared" ref="J139:J146" si="24">G139+I139</f>
        <v>0</v>
      </c>
      <c r="K139" s="26">
        <v>675928</v>
      </c>
    </row>
    <row r="140" spans="1:12" ht="18.600000000000001" customHeight="1" thickBot="1" x14ac:dyDescent="0.3">
      <c r="A140" s="34">
        <v>2705</v>
      </c>
      <c r="B140" s="371"/>
      <c r="C140" s="429" t="s">
        <v>665</v>
      </c>
      <c r="D140" s="161"/>
      <c r="E140" s="256"/>
      <c r="F140" s="172"/>
      <c r="G140" s="378"/>
      <c r="H140" s="379"/>
      <c r="I140" s="380"/>
      <c r="J140" s="380"/>
      <c r="K140" s="26">
        <v>2089357</v>
      </c>
    </row>
    <row r="141" spans="1:12" ht="18.600000000000001" customHeight="1" thickBot="1" x14ac:dyDescent="0.3">
      <c r="A141" s="34">
        <v>902</v>
      </c>
      <c r="B141" s="371"/>
      <c r="C141" s="247" t="s">
        <v>339</v>
      </c>
      <c r="D141" s="161"/>
      <c r="E141" s="265">
        <v>0.24295</v>
      </c>
      <c r="F141" s="3">
        <v>1.1080239999999999</v>
      </c>
      <c r="G141" s="378">
        <f t="shared" si="22"/>
        <v>0</v>
      </c>
      <c r="H141" s="373">
        <v>0.2</v>
      </c>
      <c r="I141" s="380">
        <f t="shared" si="23"/>
        <v>0</v>
      </c>
      <c r="J141" s="380">
        <f t="shared" si="24"/>
        <v>0</v>
      </c>
      <c r="K141" s="26">
        <v>1195121757175</v>
      </c>
    </row>
    <row r="142" spans="1:12" ht="18.600000000000001" customHeight="1" x14ac:dyDescent="0.25">
      <c r="A142" s="34">
        <v>1002</v>
      </c>
      <c r="B142" s="430" t="s">
        <v>340</v>
      </c>
      <c r="C142" s="247" t="s">
        <v>244</v>
      </c>
      <c r="D142" s="161"/>
      <c r="E142" s="256">
        <v>0.24295</v>
      </c>
      <c r="F142" s="3">
        <v>1.1080239999999999</v>
      </c>
      <c r="G142" s="378">
        <f>ROUND(D144*E142*F142,2)</f>
        <v>0</v>
      </c>
      <c r="H142" s="373">
        <v>0.2</v>
      </c>
      <c r="I142" s="380">
        <f t="shared" si="23"/>
        <v>0</v>
      </c>
      <c r="J142" s="380">
        <f t="shared" si="24"/>
        <v>0</v>
      </c>
      <c r="K142" s="364"/>
    </row>
    <row r="143" spans="1:12" ht="18.600000000000001" customHeight="1" thickBot="1" x14ac:dyDescent="0.3">
      <c r="A143" s="34">
        <v>1002</v>
      </c>
      <c r="B143" s="371"/>
      <c r="C143" s="247" t="s">
        <v>341</v>
      </c>
      <c r="D143" s="492"/>
      <c r="E143" s="256">
        <v>0.24295</v>
      </c>
      <c r="F143" s="3">
        <v>1.1080239999999999</v>
      </c>
      <c r="G143" s="378">
        <f t="shared" si="22"/>
        <v>0</v>
      </c>
      <c r="H143" s="373">
        <v>0.2</v>
      </c>
      <c r="I143" s="380">
        <f t="shared" si="23"/>
        <v>0</v>
      </c>
      <c r="J143" s="380">
        <f t="shared" si="24"/>
        <v>0</v>
      </c>
      <c r="K143" s="364"/>
    </row>
    <row r="144" spans="1:12" ht="18.600000000000001" customHeight="1" thickBot="1" x14ac:dyDescent="0.3">
      <c r="A144" s="34">
        <v>2705</v>
      </c>
      <c r="B144" s="371"/>
      <c r="C144" s="247" t="s">
        <v>342</v>
      </c>
      <c r="D144" s="161"/>
      <c r="E144" s="265">
        <v>0.33048</v>
      </c>
      <c r="F144" s="3">
        <v>1.1080239999999999</v>
      </c>
      <c r="G144" s="378" t="e">
        <f>ROUND(#REF!*E144*F144,2)</f>
        <v>#REF!</v>
      </c>
      <c r="H144" s="390">
        <v>0.2</v>
      </c>
      <c r="I144" s="380" t="e">
        <f t="shared" si="23"/>
        <v>#REF!</v>
      </c>
      <c r="J144" s="380" t="e">
        <f t="shared" si="24"/>
        <v>#REF!</v>
      </c>
      <c r="K144" s="26">
        <v>2045339</v>
      </c>
    </row>
    <row r="145" spans="1:11" ht="18.600000000000001" customHeight="1" thickBot="1" x14ac:dyDescent="0.3">
      <c r="A145" s="34">
        <v>2705</v>
      </c>
      <c r="B145" s="415"/>
      <c r="C145" s="247" t="s">
        <v>343</v>
      </c>
      <c r="D145" s="3"/>
      <c r="E145" s="265">
        <v>0.33048</v>
      </c>
      <c r="F145" s="3">
        <v>1.1080239999999999</v>
      </c>
      <c r="G145" s="378">
        <f t="shared" si="22"/>
        <v>0</v>
      </c>
      <c r="H145" s="390">
        <v>0.2</v>
      </c>
      <c r="I145" s="380">
        <f t="shared" si="23"/>
        <v>0</v>
      </c>
      <c r="J145" s="380">
        <f t="shared" si="24"/>
        <v>0</v>
      </c>
      <c r="K145" s="26">
        <v>637295</v>
      </c>
    </row>
    <row r="146" spans="1:11" ht="18.600000000000001" customHeight="1" thickBot="1" x14ac:dyDescent="0.3">
      <c r="A146" s="34" t="s">
        <v>95</v>
      </c>
      <c r="B146" s="405"/>
      <c r="C146" s="246" t="s">
        <v>27</v>
      </c>
      <c r="D146" s="492"/>
      <c r="E146" s="265">
        <v>0.33048</v>
      </c>
      <c r="F146" s="3">
        <v>1.1080239999999999</v>
      </c>
      <c r="G146" s="378">
        <f t="shared" si="22"/>
        <v>0</v>
      </c>
      <c r="H146" s="373">
        <v>0.2</v>
      </c>
      <c r="I146" s="380">
        <f t="shared" si="23"/>
        <v>0</v>
      </c>
      <c r="J146" s="380">
        <f t="shared" si="24"/>
        <v>0</v>
      </c>
      <c r="K146" s="26">
        <v>637718</v>
      </c>
    </row>
    <row r="147" spans="1:11" ht="18.600000000000001" customHeight="1" thickBot="1" x14ac:dyDescent="0.3">
      <c r="B147" s="421"/>
      <c r="C147" s="412"/>
      <c r="D147" s="489">
        <f>SUM(D99:D146)-D138-D102</f>
        <v>0</v>
      </c>
      <c r="E147" s="265"/>
      <c r="F147" s="3"/>
      <c r="G147" s="422" t="e">
        <f>SUM(G99:G146)</f>
        <v>#REF!</v>
      </c>
      <c r="H147" s="423"/>
      <c r="I147" s="400" t="e">
        <f>SUM(I99:I146)</f>
        <v>#REF!</v>
      </c>
      <c r="J147" s="402" t="e">
        <f>SUM(J99:J146)</f>
        <v>#REF!</v>
      </c>
    </row>
    <row r="148" spans="1:11" ht="18.600000000000001" customHeight="1" thickBot="1" x14ac:dyDescent="0.3">
      <c r="A148" s="34">
        <v>2605</v>
      </c>
      <c r="B148" s="376">
        <v>14</v>
      </c>
      <c r="C148" s="377" t="s">
        <v>344</v>
      </c>
      <c r="D148" s="161"/>
      <c r="E148" s="265">
        <v>0.33048</v>
      </c>
      <c r="F148" s="3">
        <v>1.1080239999999999</v>
      </c>
      <c r="G148" s="378">
        <f>ROUND(D148*E148*F148,2)</f>
        <v>0</v>
      </c>
      <c r="H148" s="379">
        <v>0.2</v>
      </c>
      <c r="I148" s="380">
        <f>ROUND(G148*H148,2)</f>
        <v>0</v>
      </c>
      <c r="J148" s="380">
        <f>G148+I148</f>
        <v>0</v>
      </c>
      <c r="K148" s="375">
        <v>1280087</v>
      </c>
    </row>
    <row r="149" spans="1:11" ht="18.600000000000001" customHeight="1" thickBot="1" x14ac:dyDescent="0.3">
      <c r="A149" s="34" t="s">
        <v>33</v>
      </c>
      <c r="B149" s="376"/>
      <c r="C149" s="246" t="s">
        <v>345</v>
      </c>
      <c r="D149" s="154"/>
      <c r="E149" s="265">
        <v>0.33048</v>
      </c>
      <c r="F149" s="3">
        <v>1.1080239999999999</v>
      </c>
      <c r="G149" s="378">
        <f t="shared" ref="G149:G162" si="25">ROUND(D149*E149*F149,2)</f>
        <v>0</v>
      </c>
      <c r="H149" s="373">
        <v>0.2</v>
      </c>
      <c r="I149" s="380">
        <f t="shared" ref="I149:I162" si="26">ROUND(G149*H149,2)</f>
        <v>0</v>
      </c>
      <c r="J149" s="380">
        <f t="shared" ref="J149:J162" si="27">G149+I149</f>
        <v>0</v>
      </c>
      <c r="K149" s="375">
        <v>622242</v>
      </c>
    </row>
    <row r="150" spans="1:11" ht="18.600000000000001" customHeight="1" thickBot="1" x14ac:dyDescent="0.3">
      <c r="A150" s="34">
        <v>2705</v>
      </c>
      <c r="B150" s="371"/>
      <c r="C150" s="246" t="s">
        <v>346</v>
      </c>
      <c r="D150" s="161"/>
      <c r="E150" s="265">
        <v>0.33048</v>
      </c>
      <c r="F150" s="3">
        <v>1.1080239999999999</v>
      </c>
      <c r="G150" s="378">
        <f t="shared" si="25"/>
        <v>0</v>
      </c>
      <c r="H150" s="373">
        <v>0.2</v>
      </c>
      <c r="I150" s="380">
        <f t="shared" si="26"/>
        <v>0</v>
      </c>
      <c r="J150" s="380">
        <f t="shared" si="27"/>
        <v>0</v>
      </c>
      <c r="K150" s="392">
        <v>1195112332986</v>
      </c>
    </row>
    <row r="151" spans="1:11" ht="18.600000000000001" customHeight="1" thickBot="1" x14ac:dyDescent="0.3">
      <c r="A151" s="200" t="s">
        <v>347</v>
      </c>
      <c r="B151" s="431">
        <v>0.1188</v>
      </c>
      <c r="C151" s="246" t="s">
        <v>348</v>
      </c>
      <c r="D151" s="154"/>
      <c r="E151" s="432">
        <v>0.15842000000000001</v>
      </c>
      <c r="F151" s="3">
        <v>1</v>
      </c>
      <c r="G151" s="378">
        <f t="shared" si="25"/>
        <v>0</v>
      </c>
      <c r="H151" s="373">
        <v>0.2</v>
      </c>
      <c r="I151" s="380">
        <f t="shared" si="26"/>
        <v>0</v>
      </c>
      <c r="J151" s="380">
        <f t="shared" si="27"/>
        <v>0</v>
      </c>
      <c r="K151" s="375">
        <v>275745</v>
      </c>
    </row>
    <row r="152" spans="1:11" ht="18.600000000000001" customHeight="1" thickBot="1" x14ac:dyDescent="0.3">
      <c r="A152" s="34">
        <v>2702</v>
      </c>
      <c r="B152" s="383">
        <v>14</v>
      </c>
      <c r="C152" s="246" t="s">
        <v>349</v>
      </c>
      <c r="D152" s="161"/>
      <c r="E152" s="256">
        <v>0.24295</v>
      </c>
      <c r="F152" s="3">
        <v>1.1080239999999999</v>
      </c>
      <c r="G152" s="378">
        <f t="shared" si="25"/>
        <v>0</v>
      </c>
      <c r="H152" s="373">
        <v>0.2</v>
      </c>
      <c r="I152" s="380">
        <f t="shared" si="26"/>
        <v>0</v>
      </c>
      <c r="J152" s="380">
        <f t="shared" si="27"/>
        <v>0</v>
      </c>
      <c r="K152" s="375">
        <v>511236</v>
      </c>
    </row>
    <row r="153" spans="1:11" ht="18.600000000000001" customHeight="1" x14ac:dyDescent="0.25">
      <c r="A153" s="34">
        <v>1002</v>
      </c>
      <c r="B153" s="416" t="s">
        <v>678</v>
      </c>
      <c r="C153" s="246" t="s">
        <v>350</v>
      </c>
      <c r="D153" s="154"/>
      <c r="E153" s="256">
        <v>0.24295</v>
      </c>
      <c r="F153" s="3">
        <v>1.1080239999999999</v>
      </c>
      <c r="G153" s="378">
        <f t="shared" si="25"/>
        <v>0</v>
      </c>
      <c r="H153" s="373">
        <v>0.2</v>
      </c>
      <c r="I153" s="380">
        <f t="shared" si="26"/>
        <v>0</v>
      </c>
      <c r="J153" s="380">
        <f t="shared" si="27"/>
        <v>0</v>
      </c>
      <c r="K153" s="364"/>
    </row>
    <row r="154" spans="1:11" ht="15.6" customHeight="1" x14ac:dyDescent="0.25">
      <c r="A154" s="34">
        <v>1002</v>
      </c>
      <c r="B154" s="416" t="s">
        <v>351</v>
      </c>
      <c r="C154" s="246" t="s">
        <v>352</v>
      </c>
      <c r="D154" s="488"/>
      <c r="E154" s="256">
        <v>0.24295</v>
      </c>
      <c r="F154" s="3">
        <v>1.1080239999999999</v>
      </c>
      <c r="G154" s="378">
        <f t="shared" si="25"/>
        <v>0</v>
      </c>
      <c r="H154" s="373">
        <v>0.2</v>
      </c>
      <c r="I154" s="380">
        <f t="shared" si="26"/>
        <v>0</v>
      </c>
      <c r="J154" s="380">
        <f t="shared" si="27"/>
        <v>0</v>
      </c>
      <c r="K154" s="364"/>
    </row>
    <row r="155" spans="1:11" ht="31.9" customHeight="1" x14ac:dyDescent="0.25">
      <c r="A155" s="34">
        <v>1002</v>
      </c>
      <c r="B155" s="416" t="s">
        <v>353</v>
      </c>
      <c r="C155" s="246" t="s">
        <v>228</v>
      </c>
      <c r="D155" s="488"/>
      <c r="E155" s="256">
        <v>0.24295</v>
      </c>
      <c r="F155" s="3">
        <v>1.1080239999999999</v>
      </c>
      <c r="G155" s="378">
        <f t="shared" si="25"/>
        <v>0</v>
      </c>
      <c r="H155" s="373">
        <v>0.2</v>
      </c>
      <c r="I155" s="380">
        <f t="shared" si="26"/>
        <v>0</v>
      </c>
      <c r="J155" s="380">
        <f t="shared" si="27"/>
        <v>0</v>
      </c>
      <c r="K155" s="364"/>
    </row>
    <row r="156" spans="1:11" ht="18.600000000000001" customHeight="1" x14ac:dyDescent="0.25">
      <c r="A156" s="34">
        <v>1002</v>
      </c>
      <c r="B156" s="416" t="s">
        <v>672</v>
      </c>
      <c r="C156" s="246" t="s">
        <v>341</v>
      </c>
      <c r="D156" s="492"/>
      <c r="E156" s="256">
        <v>0.24295</v>
      </c>
      <c r="F156" s="3">
        <v>1.1080239999999999</v>
      </c>
      <c r="G156" s="378">
        <f t="shared" si="25"/>
        <v>0</v>
      </c>
      <c r="H156" s="373">
        <v>0.2</v>
      </c>
      <c r="I156" s="380">
        <f t="shared" si="26"/>
        <v>0</v>
      </c>
      <c r="J156" s="380">
        <f t="shared" si="27"/>
        <v>0</v>
      </c>
      <c r="K156" s="364"/>
    </row>
    <row r="157" spans="1:11" ht="18.600000000000001" customHeight="1" x14ac:dyDescent="0.25">
      <c r="A157" s="34">
        <v>1002</v>
      </c>
      <c r="B157" s="416" t="s">
        <v>355</v>
      </c>
      <c r="C157" s="246" t="s">
        <v>356</v>
      </c>
      <c r="D157" s="488"/>
      <c r="E157" s="256">
        <v>0.24295</v>
      </c>
      <c r="F157" s="3">
        <v>1.1080239999999999</v>
      </c>
      <c r="G157" s="378">
        <f>ROUND(D157*E157*F157,2)</f>
        <v>0</v>
      </c>
      <c r="H157" s="373">
        <v>0.2</v>
      </c>
      <c r="I157" s="380">
        <f>ROUND(G157*H157,2)</f>
        <v>0</v>
      </c>
      <c r="J157" s="380">
        <f>G157+I157</f>
        <v>0</v>
      </c>
      <c r="K157" s="364"/>
    </row>
    <row r="158" spans="1:11" ht="18.600000000000001" customHeight="1" x14ac:dyDescent="0.25">
      <c r="A158" s="34">
        <v>1002</v>
      </c>
      <c r="B158" s="416" t="s">
        <v>661</v>
      </c>
      <c r="C158" s="246" t="s">
        <v>357</v>
      </c>
      <c r="D158" s="488"/>
      <c r="E158" s="256">
        <v>0.24295</v>
      </c>
      <c r="F158" s="3">
        <v>1.1080239999999999</v>
      </c>
      <c r="G158" s="378">
        <f t="shared" si="25"/>
        <v>0</v>
      </c>
      <c r="H158" s="373">
        <v>0.2</v>
      </c>
      <c r="I158" s="380">
        <f t="shared" si="26"/>
        <v>0</v>
      </c>
      <c r="J158" s="380">
        <f t="shared" si="27"/>
        <v>0</v>
      </c>
      <c r="K158" s="364"/>
    </row>
    <row r="159" spans="1:11" ht="18.600000000000001" customHeight="1" x14ac:dyDescent="0.25">
      <c r="A159" s="34">
        <v>1002</v>
      </c>
      <c r="B159" s="3" t="s">
        <v>358</v>
      </c>
      <c r="C159" s="246" t="s">
        <v>359</v>
      </c>
      <c r="D159" s="492"/>
      <c r="E159" s="256">
        <v>0.24295</v>
      </c>
      <c r="F159" s="3">
        <v>1.1080239999999999</v>
      </c>
      <c r="G159" s="378">
        <f t="shared" si="25"/>
        <v>0</v>
      </c>
      <c r="H159" s="373">
        <v>0.2</v>
      </c>
      <c r="I159" s="380">
        <f t="shared" si="26"/>
        <v>0</v>
      </c>
      <c r="J159" s="380">
        <f t="shared" si="27"/>
        <v>0</v>
      </c>
      <c r="K159" s="364"/>
    </row>
    <row r="160" spans="1:11" ht="18.600000000000001" customHeight="1" thickBot="1" x14ac:dyDescent="0.3">
      <c r="A160" s="433">
        <v>2705</v>
      </c>
      <c r="B160" s="383"/>
      <c r="C160" s="246" t="s">
        <v>360</v>
      </c>
      <c r="D160" s="492"/>
      <c r="E160" s="265">
        <v>0.33048</v>
      </c>
      <c r="F160" s="3">
        <v>1.1080239999999999</v>
      </c>
      <c r="G160" s="378">
        <f t="shared" si="25"/>
        <v>0</v>
      </c>
      <c r="H160" s="373">
        <v>0.2</v>
      </c>
      <c r="I160" s="380">
        <f t="shared" si="26"/>
        <v>0</v>
      </c>
      <c r="J160" s="380">
        <f t="shared" si="27"/>
        <v>0</v>
      </c>
      <c r="K160" s="375">
        <v>606456</v>
      </c>
    </row>
    <row r="161" spans="1:11" ht="18.600000000000001" customHeight="1" thickBot="1" x14ac:dyDescent="0.3">
      <c r="A161" s="34" t="s">
        <v>95</v>
      </c>
      <c r="B161" s="383"/>
      <c r="C161" s="246" t="s">
        <v>27</v>
      </c>
      <c r="D161" s="492"/>
      <c r="E161" s="265">
        <v>0.33048</v>
      </c>
      <c r="F161" s="3">
        <v>1.1080239999999999</v>
      </c>
      <c r="G161" s="378">
        <f t="shared" si="25"/>
        <v>0</v>
      </c>
      <c r="H161" s="373">
        <v>0.2</v>
      </c>
      <c r="I161" s="380">
        <f t="shared" si="26"/>
        <v>0</v>
      </c>
      <c r="J161" s="380">
        <f t="shared" si="27"/>
        <v>0</v>
      </c>
      <c r="K161" s="375">
        <v>275910</v>
      </c>
    </row>
    <row r="162" spans="1:11" ht="31.9" customHeight="1" thickBot="1" x14ac:dyDescent="0.3">
      <c r="A162" s="34">
        <v>1002</v>
      </c>
      <c r="B162" s="416" t="s">
        <v>660</v>
      </c>
      <c r="C162" s="246" t="s">
        <v>361</v>
      </c>
      <c r="D162" s="488"/>
      <c r="E162" s="256">
        <v>0.24295</v>
      </c>
      <c r="F162" s="3">
        <v>1.1080239999999999</v>
      </c>
      <c r="G162" s="378">
        <f t="shared" si="25"/>
        <v>0</v>
      </c>
      <c r="H162" s="373">
        <v>0.2</v>
      </c>
      <c r="I162" s="380">
        <f t="shared" si="26"/>
        <v>0</v>
      </c>
      <c r="J162" s="380">
        <f t="shared" si="27"/>
        <v>0</v>
      </c>
      <c r="K162" s="364"/>
    </row>
    <row r="163" spans="1:11" ht="18.600000000000001" customHeight="1" thickBot="1" x14ac:dyDescent="0.3">
      <c r="B163" s="397"/>
      <c r="C163" s="412"/>
      <c r="D163" s="489">
        <f>SUM(D148:D162)</f>
        <v>0</v>
      </c>
      <c r="E163" s="434"/>
      <c r="F163" s="3"/>
      <c r="G163" s="435">
        <f>SUM(G148:G162)</f>
        <v>0</v>
      </c>
      <c r="H163" s="436"/>
      <c r="I163" s="437">
        <f>SUM(I148:I162)</f>
        <v>0</v>
      </c>
      <c r="J163" s="438">
        <f>SUM(J148:J162)</f>
        <v>0</v>
      </c>
    </row>
    <row r="164" spans="1:11" ht="18.600000000000001" customHeight="1" thickBot="1" x14ac:dyDescent="0.3">
      <c r="A164" s="34">
        <v>2605</v>
      </c>
      <c r="B164" s="376">
        <v>15</v>
      </c>
      <c r="C164" s="439" t="s">
        <v>362</v>
      </c>
      <c r="D164" s="154"/>
      <c r="E164" s="265">
        <v>0.33048</v>
      </c>
      <c r="F164" s="3">
        <v>1.1080239999999999</v>
      </c>
      <c r="G164" s="378">
        <f t="shared" ref="G164:G171" si="28">ROUND(D164*E164*F164,2)</f>
        <v>0</v>
      </c>
      <c r="H164" s="373">
        <v>0.2</v>
      </c>
      <c r="I164" s="380">
        <f t="shared" ref="I164:I171" si="29">ROUND(G164*H164,2)</f>
        <v>0</v>
      </c>
      <c r="J164" s="380">
        <f t="shared" ref="J164:J171" si="30">G164+I164</f>
        <v>0</v>
      </c>
    </row>
    <row r="165" spans="1:11" ht="18.600000000000001" customHeight="1" thickBot="1" x14ac:dyDescent="0.3">
      <c r="A165" s="34">
        <v>2705</v>
      </c>
      <c r="B165" s="384"/>
      <c r="C165" s="246" t="s">
        <v>363</v>
      </c>
      <c r="D165" s="161"/>
      <c r="E165" s="265">
        <v>0.33048</v>
      </c>
      <c r="F165" s="3">
        <v>1.1080239999999999</v>
      </c>
      <c r="G165" s="372">
        <f t="shared" si="28"/>
        <v>0</v>
      </c>
      <c r="H165" s="373">
        <v>0.2</v>
      </c>
      <c r="I165" s="374">
        <f t="shared" si="29"/>
        <v>0</v>
      </c>
      <c r="J165" s="374">
        <f t="shared" si="30"/>
        <v>0</v>
      </c>
      <c r="K165" s="26">
        <v>502938</v>
      </c>
    </row>
    <row r="166" spans="1:11" ht="18.600000000000001" customHeight="1" thickBot="1" x14ac:dyDescent="0.3">
      <c r="A166" s="34" t="s">
        <v>95</v>
      </c>
      <c r="B166" s="384"/>
      <c r="C166" s="246" t="s">
        <v>27</v>
      </c>
      <c r="D166" s="161"/>
      <c r="E166" s="265">
        <v>0.33048</v>
      </c>
      <c r="F166" s="3">
        <v>1.1080239999999999</v>
      </c>
      <c r="G166" s="378">
        <f t="shared" si="28"/>
        <v>0</v>
      </c>
      <c r="H166" s="373">
        <v>0.2</v>
      </c>
      <c r="I166" s="380">
        <f t="shared" si="29"/>
        <v>0</v>
      </c>
      <c r="J166" s="380">
        <f t="shared" si="30"/>
        <v>0</v>
      </c>
      <c r="K166" s="427">
        <v>2045337</v>
      </c>
    </row>
    <row r="167" spans="1:11" ht="18.600000000000001" customHeight="1" thickBot="1" x14ac:dyDescent="0.3">
      <c r="A167" s="34" t="s">
        <v>96</v>
      </c>
      <c r="B167" s="384"/>
      <c r="C167" s="246" t="s">
        <v>29</v>
      </c>
      <c r="D167" s="161"/>
      <c r="E167" s="419">
        <v>0.15176999999999999</v>
      </c>
      <c r="F167" s="3">
        <v>1.1080239999999999</v>
      </c>
      <c r="G167" s="378">
        <f t="shared" si="28"/>
        <v>0</v>
      </c>
      <c r="H167" s="373">
        <v>0.2</v>
      </c>
      <c r="I167" s="380">
        <f t="shared" si="29"/>
        <v>0</v>
      </c>
      <c r="J167" s="380">
        <f t="shared" si="30"/>
        <v>0</v>
      </c>
      <c r="K167" s="427">
        <v>2045337</v>
      </c>
    </row>
    <row r="168" spans="1:11" ht="18.600000000000001" customHeight="1" thickBot="1" x14ac:dyDescent="0.3">
      <c r="A168" s="34">
        <v>1002</v>
      </c>
      <c r="B168" s="339" t="s">
        <v>364</v>
      </c>
      <c r="C168" s="246" t="s">
        <v>228</v>
      </c>
      <c r="D168" s="493"/>
      <c r="E168" s="256">
        <v>0.24295</v>
      </c>
      <c r="F168" s="3">
        <v>1.1080239999999999</v>
      </c>
      <c r="G168" s="378">
        <f>ROUND(D169*E168*F168,2)</f>
        <v>0</v>
      </c>
      <c r="H168" s="373">
        <v>0.2</v>
      </c>
      <c r="I168" s="380">
        <f t="shared" si="29"/>
        <v>0</v>
      </c>
      <c r="J168" s="380">
        <f t="shared" si="30"/>
        <v>0</v>
      </c>
      <c r="K168" s="364"/>
    </row>
    <row r="169" spans="1:11" ht="18.600000000000001" customHeight="1" thickBot="1" x14ac:dyDescent="0.3">
      <c r="A169" s="34">
        <v>2705</v>
      </c>
      <c r="B169" s="339"/>
      <c r="C169" s="246" t="s">
        <v>365</v>
      </c>
      <c r="D169" s="161"/>
      <c r="E169" s="265">
        <v>0.33048</v>
      </c>
      <c r="F169" s="3">
        <v>1.1080239999999999</v>
      </c>
      <c r="G169" s="372" t="e">
        <f>ROUND(#REF!*E169*F169,2)</f>
        <v>#REF!</v>
      </c>
      <c r="H169" s="373">
        <v>0.2</v>
      </c>
      <c r="I169" s="374" t="e">
        <f t="shared" si="29"/>
        <v>#REF!</v>
      </c>
      <c r="J169" s="374" t="e">
        <f t="shared" si="30"/>
        <v>#REF!</v>
      </c>
      <c r="K169" s="26">
        <v>632525</v>
      </c>
    </row>
    <row r="170" spans="1:11" ht="18.600000000000001" customHeight="1" thickBot="1" x14ac:dyDescent="0.3">
      <c r="A170" s="34" t="s">
        <v>95</v>
      </c>
      <c r="B170" s="339"/>
      <c r="C170" s="246" t="s">
        <v>27</v>
      </c>
      <c r="D170" s="154"/>
      <c r="E170" s="265">
        <v>0.33048</v>
      </c>
      <c r="F170" s="3">
        <v>1.1080239999999999</v>
      </c>
      <c r="G170" s="378">
        <f t="shared" si="28"/>
        <v>0</v>
      </c>
      <c r="H170" s="373">
        <v>0.2</v>
      </c>
      <c r="I170" s="380">
        <f t="shared" si="29"/>
        <v>0</v>
      </c>
      <c r="J170" s="380">
        <f t="shared" si="30"/>
        <v>0</v>
      </c>
      <c r="K170" s="26">
        <v>686077</v>
      </c>
    </row>
    <row r="171" spans="1:11" ht="18.600000000000001" customHeight="1" thickBot="1" x14ac:dyDescent="0.3">
      <c r="A171" s="34" t="s">
        <v>96</v>
      </c>
      <c r="B171" s="339"/>
      <c r="C171" s="246" t="s">
        <v>29</v>
      </c>
      <c r="D171" s="154"/>
      <c r="E171" s="419">
        <v>0.15176999999999999</v>
      </c>
      <c r="F171" s="3">
        <v>1.1080239999999999</v>
      </c>
      <c r="G171" s="378">
        <f t="shared" si="28"/>
        <v>0</v>
      </c>
      <c r="H171" s="373">
        <v>0.2</v>
      </c>
      <c r="I171" s="380">
        <f t="shared" si="29"/>
        <v>0</v>
      </c>
      <c r="J171" s="380">
        <f t="shared" si="30"/>
        <v>0</v>
      </c>
      <c r="K171" s="26">
        <v>686077</v>
      </c>
    </row>
    <row r="172" spans="1:11" ht="18.600000000000001" customHeight="1" thickBot="1" x14ac:dyDescent="0.3">
      <c r="B172" s="397"/>
      <c r="C172" s="412"/>
      <c r="D172" s="489">
        <f>SUM(D164:D171)</f>
        <v>0</v>
      </c>
      <c r="E172" s="434"/>
      <c r="F172" s="3"/>
      <c r="G172" s="435" t="e">
        <f>SUM(G164:G171)</f>
        <v>#REF!</v>
      </c>
      <c r="H172" s="436"/>
      <c r="I172" s="437" t="e">
        <f>SUM(I164:I171)</f>
        <v>#REF!</v>
      </c>
      <c r="J172" s="438" t="e">
        <f>SUM(J164:J171)</f>
        <v>#REF!</v>
      </c>
    </row>
    <row r="173" spans="1:11" ht="18.600000000000001" customHeight="1" x14ac:dyDescent="0.25">
      <c r="A173" s="34">
        <v>2705</v>
      </c>
      <c r="B173" s="371">
        <v>17</v>
      </c>
      <c r="C173" s="377"/>
      <c r="D173" s="161"/>
      <c r="E173" s="265">
        <v>0.33048</v>
      </c>
      <c r="F173" s="3">
        <v>1.1080239999999999</v>
      </c>
      <c r="G173" s="378">
        <f>ROUND(D174*E173*F173,2)</f>
        <v>0</v>
      </c>
      <c r="H173" s="379">
        <v>0.2</v>
      </c>
      <c r="I173" s="380">
        <f t="shared" ref="I173:I183" si="31">ROUND(G173*H173,2)</f>
        <v>0</v>
      </c>
      <c r="J173" s="380">
        <f t="shared" ref="J173:J183" si="32">G173+I173</f>
        <v>0</v>
      </c>
    </row>
    <row r="174" spans="1:11" ht="18.600000000000001" customHeight="1" thickBot="1" x14ac:dyDescent="0.3">
      <c r="A174" s="34">
        <v>2705</v>
      </c>
      <c r="B174" s="371"/>
      <c r="C174" s="377" t="s">
        <v>366</v>
      </c>
      <c r="D174" s="161"/>
      <c r="E174" s="265">
        <v>0.33048</v>
      </c>
      <c r="F174" s="3">
        <v>1.1080239999999999</v>
      </c>
      <c r="G174" s="378">
        <f>ROUND(D175*E174*F174,2)</f>
        <v>0</v>
      </c>
      <c r="H174" s="379">
        <v>0.2</v>
      </c>
      <c r="I174" s="380">
        <f t="shared" si="31"/>
        <v>0</v>
      </c>
      <c r="J174" s="380">
        <f t="shared" si="32"/>
        <v>0</v>
      </c>
      <c r="K174" s="375">
        <v>2090656</v>
      </c>
    </row>
    <row r="175" spans="1:11" ht="18.600000000000001" customHeight="1" thickBot="1" x14ac:dyDescent="0.3">
      <c r="A175" s="34" t="s">
        <v>96</v>
      </c>
      <c r="B175" s="384"/>
      <c r="C175" s="246" t="s">
        <v>29</v>
      </c>
      <c r="D175" s="154"/>
      <c r="E175" s="419">
        <v>0.15176999999999999</v>
      </c>
      <c r="F175" s="3">
        <v>1.1080239999999999</v>
      </c>
      <c r="G175" s="378">
        <f>ROUND(D176*E175*F175,2)</f>
        <v>0</v>
      </c>
      <c r="H175" s="373">
        <v>0.2</v>
      </c>
      <c r="I175" s="380">
        <f t="shared" si="31"/>
        <v>0</v>
      </c>
      <c r="J175" s="380">
        <f t="shared" si="32"/>
        <v>0</v>
      </c>
      <c r="K175" s="375">
        <v>2077926</v>
      </c>
    </row>
    <row r="176" spans="1:11" ht="18.600000000000001" customHeight="1" thickBot="1" x14ac:dyDescent="0.3">
      <c r="A176" s="200">
        <v>2705</v>
      </c>
      <c r="B176" s="339"/>
      <c r="C176" s="246" t="s">
        <v>367</v>
      </c>
      <c r="D176" s="161"/>
      <c r="E176" s="265">
        <v>0.33048</v>
      </c>
      <c r="F176" s="3">
        <v>1.1080239999999999</v>
      </c>
      <c r="G176" s="372" t="e">
        <f>ROUND(#REF!*E176*F176,2)</f>
        <v>#REF!</v>
      </c>
      <c r="H176" s="373">
        <v>0.2</v>
      </c>
      <c r="I176" s="374" t="e">
        <f t="shared" si="31"/>
        <v>#REF!</v>
      </c>
      <c r="J176" s="374" t="e">
        <f t="shared" si="32"/>
        <v>#REF!</v>
      </c>
      <c r="K176" s="392">
        <v>1185223733977</v>
      </c>
    </row>
    <row r="177" spans="1:13" ht="18.600000000000001" customHeight="1" thickBot="1" x14ac:dyDescent="0.3">
      <c r="A177" s="34" t="s">
        <v>95</v>
      </c>
      <c r="B177" s="339"/>
      <c r="C177" s="246" t="s">
        <v>27</v>
      </c>
      <c r="D177" s="154"/>
      <c r="E177" s="265">
        <v>0.33048</v>
      </c>
      <c r="F177" s="3">
        <v>1.1080239999999999</v>
      </c>
      <c r="G177" s="378">
        <f t="shared" ref="G177:G182" si="33">ROUND(D177*E177*F177,2)</f>
        <v>0</v>
      </c>
      <c r="H177" s="373">
        <v>0.2</v>
      </c>
      <c r="I177" s="380">
        <f t="shared" si="31"/>
        <v>0</v>
      </c>
      <c r="J177" s="380">
        <f t="shared" si="32"/>
        <v>0</v>
      </c>
      <c r="K177" s="440"/>
    </row>
    <row r="178" spans="1:13" ht="18.600000000000001" customHeight="1" thickBot="1" x14ac:dyDescent="0.3">
      <c r="A178" s="34" t="s">
        <v>96</v>
      </c>
      <c r="B178" s="339"/>
      <c r="C178" s="246" t="s">
        <v>29</v>
      </c>
      <c r="D178" s="154"/>
      <c r="E178" s="419">
        <v>0.15176999999999999</v>
      </c>
      <c r="F178" s="3">
        <v>1.1080239999999999</v>
      </c>
      <c r="G178" s="378">
        <f t="shared" si="33"/>
        <v>0</v>
      </c>
      <c r="H178" s="373">
        <v>0.2</v>
      </c>
      <c r="I178" s="380">
        <f t="shared" si="31"/>
        <v>0</v>
      </c>
      <c r="J178" s="380">
        <f t="shared" si="32"/>
        <v>0</v>
      </c>
      <c r="K178" s="440">
        <v>1185116800077</v>
      </c>
    </row>
    <row r="179" spans="1:13" ht="18.600000000000001" customHeight="1" x14ac:dyDescent="0.25">
      <c r="A179" s="34">
        <v>1002</v>
      </c>
      <c r="B179" s="415" t="s">
        <v>368</v>
      </c>
      <c r="C179" s="246" t="s">
        <v>228</v>
      </c>
      <c r="D179" s="154"/>
      <c r="E179" s="256">
        <v>0.24295</v>
      </c>
      <c r="F179" s="3">
        <v>1.1080239999999999</v>
      </c>
      <c r="G179" s="378">
        <f t="shared" si="33"/>
        <v>0</v>
      </c>
      <c r="H179" s="373">
        <v>0.2</v>
      </c>
      <c r="I179" s="380">
        <f t="shared" si="31"/>
        <v>0</v>
      </c>
      <c r="J179" s="380">
        <f t="shared" si="32"/>
        <v>0</v>
      </c>
      <c r="K179" s="364"/>
    </row>
    <row r="180" spans="1:13" ht="18.600000000000001" customHeight="1" x14ac:dyDescent="0.25">
      <c r="A180" s="34">
        <v>1002</v>
      </c>
      <c r="B180" s="430"/>
      <c r="C180" s="246" t="s">
        <v>354</v>
      </c>
      <c r="D180" s="154"/>
      <c r="E180" s="256">
        <v>0.24295</v>
      </c>
      <c r="F180" s="3">
        <v>1.1080239999999999</v>
      </c>
      <c r="G180" s="378">
        <f t="shared" si="33"/>
        <v>0</v>
      </c>
      <c r="H180" s="373">
        <v>0.2</v>
      </c>
      <c r="I180" s="380">
        <f>ROUND(G180*H180,2)</f>
        <v>0</v>
      </c>
      <c r="J180" s="380">
        <f>G180+I180</f>
        <v>0</v>
      </c>
      <c r="K180" s="364"/>
    </row>
    <row r="181" spans="1:13" ht="18.600000000000001" customHeight="1" x14ac:dyDescent="0.25">
      <c r="A181" s="34">
        <v>1002</v>
      </c>
      <c r="B181" s="430" t="s">
        <v>369</v>
      </c>
      <c r="C181" s="424" t="s">
        <v>370</v>
      </c>
      <c r="D181" s="492"/>
      <c r="E181" s="256">
        <v>0.24295</v>
      </c>
      <c r="F181" s="3">
        <v>1.1080239999999999</v>
      </c>
      <c r="G181" s="378">
        <f t="shared" si="33"/>
        <v>0</v>
      </c>
      <c r="H181" s="373">
        <v>0.2</v>
      </c>
      <c r="I181" s="380">
        <f>ROUND(G181*H181,2)</f>
        <v>0</v>
      </c>
      <c r="J181" s="380">
        <f>G181+I181</f>
        <v>0</v>
      </c>
      <c r="K181" s="364"/>
    </row>
    <row r="182" spans="1:13" ht="18" customHeight="1" x14ac:dyDescent="0.25">
      <c r="A182" s="34">
        <v>1002</v>
      </c>
      <c r="B182" s="172" t="s">
        <v>674</v>
      </c>
      <c r="C182" s="377" t="s">
        <v>371</v>
      </c>
      <c r="D182" s="488"/>
      <c r="E182" s="256">
        <v>0.24295</v>
      </c>
      <c r="F182" s="3">
        <v>1.1080239999999999</v>
      </c>
      <c r="G182" s="378">
        <f t="shared" si="33"/>
        <v>0</v>
      </c>
      <c r="H182" s="373">
        <v>0.2</v>
      </c>
      <c r="I182" s="380">
        <f t="shared" si="31"/>
        <v>0</v>
      </c>
      <c r="J182" s="380">
        <f t="shared" si="32"/>
        <v>0</v>
      </c>
      <c r="K182" s="364"/>
    </row>
    <row r="183" spans="1:13" ht="18.600000000000001" customHeight="1" thickBot="1" x14ac:dyDescent="0.3">
      <c r="A183" s="200" t="s">
        <v>347</v>
      </c>
      <c r="B183" s="441"/>
      <c r="C183" s="246" t="s">
        <v>372</v>
      </c>
      <c r="D183" s="161"/>
      <c r="E183" s="432">
        <v>0.15842000000000001</v>
      </c>
      <c r="F183" s="3">
        <v>1</v>
      </c>
      <c r="G183" s="378">
        <f t="shared" ref="G183" si="34">ROUND(D183*E183*F183,2)</f>
        <v>0</v>
      </c>
      <c r="H183" s="373">
        <v>0.2</v>
      </c>
      <c r="I183" s="380">
        <f t="shared" si="31"/>
        <v>0</v>
      </c>
      <c r="J183" s="380">
        <f t="shared" si="32"/>
        <v>0</v>
      </c>
      <c r="K183" s="23">
        <v>463051</v>
      </c>
    </row>
    <row r="184" spans="1:13" ht="18.600000000000001" customHeight="1" thickBot="1" x14ac:dyDescent="0.3">
      <c r="B184" s="442"/>
      <c r="C184" s="412"/>
      <c r="D184" s="489">
        <f>SUM(D174:D183)</f>
        <v>0</v>
      </c>
      <c r="E184" s="434"/>
      <c r="F184" s="3"/>
      <c r="G184" s="435" t="e">
        <f>SUM(G173:G183)</f>
        <v>#REF!</v>
      </c>
      <c r="H184" s="443"/>
      <c r="I184" s="435" t="e">
        <f>SUM(I173:I183)</f>
        <v>#REF!</v>
      </c>
      <c r="J184" s="444" t="e">
        <f>SUM(J173:J183)</f>
        <v>#REF!</v>
      </c>
    </row>
    <row r="185" spans="1:13" ht="18.600000000000001" customHeight="1" thickBot="1" x14ac:dyDescent="0.3">
      <c r="A185" s="200" t="s">
        <v>347</v>
      </c>
      <c r="B185" s="376">
        <v>20</v>
      </c>
      <c r="C185" s="377" t="s">
        <v>373</v>
      </c>
      <c r="D185" s="492"/>
      <c r="E185" s="432">
        <v>0.15842000000000001</v>
      </c>
      <c r="F185" s="3">
        <v>1</v>
      </c>
      <c r="G185" s="378">
        <f t="shared" ref="G185:G199" si="35">ROUND(D185*E185*F185,2)</f>
        <v>0</v>
      </c>
      <c r="H185" s="373">
        <v>0.2</v>
      </c>
      <c r="I185" s="380">
        <f t="shared" ref="I185:I198" si="36">ROUND(G185*H185,2)</f>
        <v>0</v>
      </c>
      <c r="J185" s="380">
        <f t="shared" ref="J185:J199" si="37">G185+I185</f>
        <v>0</v>
      </c>
      <c r="K185" s="364"/>
      <c r="L185" s="34" t="s">
        <v>374</v>
      </c>
      <c r="M185" s="445" t="s">
        <v>375</v>
      </c>
    </row>
    <row r="186" spans="1:13" ht="18.600000000000001" customHeight="1" thickBot="1" x14ac:dyDescent="0.3">
      <c r="A186" s="34">
        <v>2702</v>
      </c>
      <c r="B186" s="446">
        <v>20</v>
      </c>
      <c r="C186" s="246" t="s">
        <v>376</v>
      </c>
      <c r="D186" s="161"/>
      <c r="E186" s="265">
        <v>0.24295</v>
      </c>
      <c r="F186" s="3">
        <v>1.1080239999999999</v>
      </c>
      <c r="G186" s="378">
        <f t="shared" si="35"/>
        <v>0</v>
      </c>
      <c r="H186" s="373">
        <v>0.2</v>
      </c>
      <c r="I186" s="380">
        <f t="shared" si="36"/>
        <v>0</v>
      </c>
      <c r="J186" s="380">
        <f t="shared" si="37"/>
        <v>0</v>
      </c>
      <c r="K186" s="26">
        <v>441146</v>
      </c>
    </row>
    <row r="187" spans="1:13" ht="18.600000000000001" customHeight="1" thickBot="1" x14ac:dyDescent="0.3">
      <c r="A187" s="34">
        <v>2702</v>
      </c>
      <c r="B187" s="446"/>
      <c r="C187" s="246" t="s">
        <v>377</v>
      </c>
      <c r="D187" s="161"/>
      <c r="E187" s="265">
        <v>0.24295</v>
      </c>
      <c r="F187" s="3">
        <v>1.1080239999999999</v>
      </c>
      <c r="G187" s="378">
        <f t="shared" si="35"/>
        <v>0</v>
      </c>
      <c r="H187" s="373">
        <v>0.2</v>
      </c>
      <c r="I187" s="380">
        <f t="shared" si="36"/>
        <v>0</v>
      </c>
      <c r="J187" s="380">
        <f t="shared" si="37"/>
        <v>0</v>
      </c>
      <c r="K187" s="26">
        <v>736934</v>
      </c>
    </row>
    <row r="188" spans="1:13" ht="18.600000000000001" customHeight="1" thickBot="1" x14ac:dyDescent="0.3">
      <c r="A188" s="34">
        <v>2705</v>
      </c>
      <c r="B188" s="447" t="s">
        <v>209</v>
      </c>
      <c r="C188" s="246" t="s">
        <v>378</v>
      </c>
      <c r="D188" s="161"/>
      <c r="E188" s="265">
        <v>0.33048</v>
      </c>
      <c r="F188" s="3">
        <v>1.1080239999999999</v>
      </c>
      <c r="G188" s="378">
        <f t="shared" si="35"/>
        <v>0</v>
      </c>
      <c r="H188" s="373">
        <v>0.2</v>
      </c>
      <c r="I188" s="380">
        <f t="shared" si="36"/>
        <v>0</v>
      </c>
      <c r="J188" s="380">
        <f t="shared" si="37"/>
        <v>0</v>
      </c>
      <c r="K188" s="26">
        <v>578128</v>
      </c>
    </row>
    <row r="189" spans="1:13" ht="18.600000000000001" customHeight="1" thickBot="1" x14ac:dyDescent="0.3">
      <c r="A189" s="200">
        <v>2705</v>
      </c>
      <c r="B189" s="446"/>
      <c r="C189" s="406" t="s">
        <v>379</v>
      </c>
      <c r="D189" s="161"/>
      <c r="E189" s="265">
        <v>0.33048</v>
      </c>
      <c r="F189" s="3">
        <v>1.1080239999999999</v>
      </c>
      <c r="G189" s="378">
        <f t="shared" si="35"/>
        <v>0</v>
      </c>
      <c r="H189" s="373">
        <v>0.2</v>
      </c>
      <c r="I189" s="380">
        <f t="shared" si="36"/>
        <v>0</v>
      </c>
      <c r="J189" s="380">
        <f t="shared" si="37"/>
        <v>0</v>
      </c>
      <c r="K189" s="26">
        <v>1195245458163</v>
      </c>
    </row>
    <row r="190" spans="1:13" ht="18.600000000000001" customHeight="1" thickBot="1" x14ac:dyDescent="0.3">
      <c r="A190" s="34" t="s">
        <v>95</v>
      </c>
      <c r="B190" s="446"/>
      <c r="C190" s="246" t="s">
        <v>27</v>
      </c>
      <c r="D190" s="492"/>
      <c r="E190" s="265">
        <v>0.33048</v>
      </c>
      <c r="F190" s="3">
        <v>1.1080239999999999</v>
      </c>
      <c r="G190" s="378">
        <f t="shared" si="35"/>
        <v>0</v>
      </c>
      <c r="H190" s="373">
        <v>0.2</v>
      </c>
      <c r="I190" s="380">
        <f t="shared" si="36"/>
        <v>0</v>
      </c>
      <c r="J190" s="380">
        <f t="shared" si="37"/>
        <v>0</v>
      </c>
      <c r="K190" s="26">
        <v>510753</v>
      </c>
    </row>
    <row r="191" spans="1:13" ht="18.600000000000001" customHeight="1" thickBot="1" x14ac:dyDescent="0.3">
      <c r="A191" s="34" t="s">
        <v>96</v>
      </c>
      <c r="B191" s="446"/>
      <c r="C191" s="246" t="s">
        <v>29</v>
      </c>
      <c r="D191" s="492"/>
      <c r="E191" s="419">
        <v>0.15176999999999999</v>
      </c>
      <c r="F191" s="3">
        <v>1.1080239999999999</v>
      </c>
      <c r="G191" s="378">
        <f t="shared" si="35"/>
        <v>0</v>
      </c>
      <c r="H191" s="373">
        <v>0.2</v>
      </c>
      <c r="I191" s="380">
        <f t="shared" si="36"/>
        <v>0</v>
      </c>
      <c r="J191" s="380">
        <f t="shared" si="37"/>
        <v>0</v>
      </c>
      <c r="K191" s="26">
        <v>510753</v>
      </c>
    </row>
    <row r="192" spans="1:13" ht="18.600000000000001" customHeight="1" thickBot="1" x14ac:dyDescent="0.3">
      <c r="A192" s="34">
        <v>2705</v>
      </c>
      <c r="B192" s="446"/>
      <c r="C192" s="246" t="s">
        <v>380</v>
      </c>
      <c r="D192" s="492"/>
      <c r="E192" s="265">
        <v>0.33048</v>
      </c>
      <c r="F192" s="3">
        <v>1.1080239999999999</v>
      </c>
      <c r="G192" s="378">
        <f t="shared" si="35"/>
        <v>0</v>
      </c>
      <c r="H192" s="373">
        <v>0.2</v>
      </c>
      <c r="I192" s="380">
        <f t="shared" si="36"/>
        <v>0</v>
      </c>
      <c r="J192" s="380">
        <f t="shared" si="37"/>
        <v>0</v>
      </c>
      <c r="K192" s="26">
        <v>2088603</v>
      </c>
    </row>
    <row r="193" spans="1:12" ht="18.600000000000001" customHeight="1" x14ac:dyDescent="0.25">
      <c r="A193" s="34">
        <v>1002</v>
      </c>
      <c r="B193" s="447" t="s">
        <v>419</v>
      </c>
      <c r="C193" s="246" t="s">
        <v>354</v>
      </c>
      <c r="D193" s="492"/>
      <c r="E193" s="256">
        <v>0.24295</v>
      </c>
      <c r="F193" s="3">
        <v>1.1080239999999999</v>
      </c>
      <c r="G193" s="378">
        <f t="shared" si="35"/>
        <v>0</v>
      </c>
      <c r="H193" s="373">
        <v>0.2</v>
      </c>
      <c r="I193" s="380">
        <f t="shared" si="36"/>
        <v>0</v>
      </c>
      <c r="J193" s="380">
        <f t="shared" si="37"/>
        <v>0</v>
      </c>
      <c r="K193" s="364"/>
    </row>
    <row r="194" spans="1:12" ht="18.600000000000001" customHeight="1" x14ac:dyDescent="0.25">
      <c r="A194" s="34">
        <v>1002</v>
      </c>
      <c r="B194" s="416" t="s">
        <v>664</v>
      </c>
      <c r="C194" s="246" t="s">
        <v>381</v>
      </c>
      <c r="D194" s="488"/>
      <c r="E194" s="256">
        <v>0.24295</v>
      </c>
      <c r="F194" s="3">
        <v>1.1080239999999999</v>
      </c>
      <c r="G194" s="378">
        <f t="shared" si="35"/>
        <v>0</v>
      </c>
      <c r="H194" s="373">
        <v>0.2</v>
      </c>
      <c r="I194" s="380">
        <f t="shared" si="36"/>
        <v>0</v>
      </c>
      <c r="J194" s="380">
        <f t="shared" si="37"/>
        <v>0</v>
      </c>
      <c r="K194" s="364"/>
    </row>
    <row r="195" spans="1:12" ht="18.600000000000001" customHeight="1" x14ac:dyDescent="0.25">
      <c r="A195" s="34">
        <v>1002</v>
      </c>
      <c r="B195" s="416"/>
      <c r="C195" s="246"/>
      <c r="D195" s="492"/>
      <c r="E195" s="256">
        <v>0.24295</v>
      </c>
      <c r="F195" s="3">
        <v>1.1080239999999999</v>
      </c>
      <c r="G195" s="378">
        <f t="shared" si="35"/>
        <v>0</v>
      </c>
      <c r="H195" s="373">
        <v>0.2</v>
      </c>
      <c r="I195" s="380">
        <f t="shared" si="36"/>
        <v>0</v>
      </c>
      <c r="J195" s="380">
        <f t="shared" si="37"/>
        <v>0</v>
      </c>
      <c r="K195" s="364"/>
    </row>
    <row r="196" spans="1:12" ht="18.600000000000001" customHeight="1" thickBot="1" x14ac:dyDescent="0.3">
      <c r="A196" s="34">
        <v>1002</v>
      </c>
      <c r="B196" s="447" t="s">
        <v>382</v>
      </c>
      <c r="C196" s="389" t="s">
        <v>383</v>
      </c>
      <c r="D196" s="154"/>
      <c r="E196" s="256">
        <v>0.24295</v>
      </c>
      <c r="F196" s="3">
        <v>1.1080239999999999</v>
      </c>
      <c r="G196" s="378">
        <f t="shared" si="35"/>
        <v>0</v>
      </c>
      <c r="H196" s="373">
        <v>0.2</v>
      </c>
      <c r="I196" s="380">
        <f t="shared" si="36"/>
        <v>0</v>
      </c>
      <c r="J196" s="380">
        <f t="shared" si="37"/>
        <v>0</v>
      </c>
      <c r="K196" s="364"/>
    </row>
    <row r="197" spans="1:12" ht="18.600000000000001" customHeight="1" thickBot="1" x14ac:dyDescent="0.3">
      <c r="A197" s="34">
        <v>2705</v>
      </c>
      <c r="B197" s="447"/>
      <c r="C197" s="389" t="s">
        <v>384</v>
      </c>
      <c r="D197" s="161"/>
      <c r="E197" s="265">
        <v>0.33048</v>
      </c>
      <c r="F197" s="3">
        <v>1.1080239999999999</v>
      </c>
      <c r="G197" s="378">
        <f t="shared" si="35"/>
        <v>0</v>
      </c>
      <c r="H197" s="373">
        <v>0.2</v>
      </c>
      <c r="I197" s="380">
        <f t="shared" si="36"/>
        <v>0</v>
      </c>
      <c r="J197" s="380">
        <f t="shared" si="37"/>
        <v>0</v>
      </c>
      <c r="K197" s="26">
        <v>25887</v>
      </c>
    </row>
    <row r="198" spans="1:12" ht="18.600000000000001" customHeight="1" thickBot="1" x14ac:dyDescent="0.3">
      <c r="A198" s="34">
        <v>1002</v>
      </c>
      <c r="B198" s="416" t="s">
        <v>385</v>
      </c>
      <c r="C198" s="246" t="s">
        <v>359</v>
      </c>
      <c r="D198" s="154"/>
      <c r="E198" s="256">
        <v>0.24295</v>
      </c>
      <c r="F198" s="3">
        <v>1.1080239999999999</v>
      </c>
      <c r="G198" s="378">
        <f t="shared" si="35"/>
        <v>0</v>
      </c>
      <c r="H198" s="373">
        <v>0.2</v>
      </c>
      <c r="I198" s="380">
        <f t="shared" si="36"/>
        <v>0</v>
      </c>
      <c r="J198" s="380">
        <f t="shared" si="37"/>
        <v>0</v>
      </c>
      <c r="K198" s="427"/>
    </row>
    <row r="199" spans="1:12" ht="18.600000000000001" customHeight="1" thickBot="1" x14ac:dyDescent="0.3">
      <c r="A199" s="200" t="s">
        <v>554</v>
      </c>
      <c r="B199" s="512" t="s">
        <v>420</v>
      </c>
      <c r="C199" s="247" t="s">
        <v>386</v>
      </c>
      <c r="D199" s="154"/>
      <c r="E199" s="448">
        <v>0.33048</v>
      </c>
      <c r="F199" s="27">
        <v>1.1080239999999999</v>
      </c>
      <c r="G199" s="449">
        <f t="shared" si="35"/>
        <v>0</v>
      </c>
      <c r="H199" s="390">
        <v>0.2</v>
      </c>
      <c r="I199" s="450">
        <f>G199*H199</f>
        <v>0</v>
      </c>
      <c r="J199" s="450">
        <f t="shared" si="37"/>
        <v>0</v>
      </c>
      <c r="K199" s="427">
        <v>2173366</v>
      </c>
      <c r="L199" s="34" t="s">
        <v>81</v>
      </c>
    </row>
    <row r="200" spans="1:12" ht="18.600000000000001" customHeight="1" thickBot="1" x14ac:dyDescent="0.3">
      <c r="B200" s="513"/>
      <c r="C200" s="482" t="s">
        <v>386</v>
      </c>
      <c r="D200" s="255"/>
      <c r="E200" s="312"/>
      <c r="F200" s="161"/>
      <c r="G200" s="161"/>
      <c r="H200" s="161"/>
      <c r="I200" s="161"/>
      <c r="J200" s="161"/>
      <c r="K200" s="427">
        <v>673564</v>
      </c>
    </row>
    <row r="201" spans="1:12" ht="18.600000000000001" customHeight="1" thickBot="1" x14ac:dyDescent="0.3">
      <c r="B201" s="451"/>
      <c r="C201" s="246"/>
      <c r="D201" s="489">
        <f>SUM(D185:D199)</f>
        <v>0</v>
      </c>
      <c r="E201" s="452"/>
      <c r="F201" s="172"/>
      <c r="G201" s="453">
        <f>SUM(G185:G199)</f>
        <v>0</v>
      </c>
      <c r="H201" s="454"/>
      <c r="I201" s="455">
        <f>SUM(I185:I199)</f>
        <v>0</v>
      </c>
      <c r="J201" s="455">
        <f>SUM(J185:J199)</f>
        <v>0</v>
      </c>
    </row>
    <row r="202" spans="1:12" ht="18.600000000000001" customHeight="1" thickBot="1" x14ac:dyDescent="0.3">
      <c r="A202" s="34">
        <v>2605</v>
      </c>
      <c r="B202" s="394">
        <v>21</v>
      </c>
      <c r="C202" s="377" t="s">
        <v>387</v>
      </c>
      <c r="D202" s="161"/>
      <c r="E202" s="265">
        <v>0.33048</v>
      </c>
      <c r="F202" s="3">
        <v>1.1080239999999999</v>
      </c>
      <c r="G202" s="378">
        <f t="shared" ref="G202:G212" si="38">ROUND(D202*E202*F202,2)</f>
        <v>0</v>
      </c>
      <c r="H202" s="379">
        <v>0.2</v>
      </c>
      <c r="I202" s="380">
        <f t="shared" ref="I202:I212" si="39">ROUND(G202*H202,2)</f>
        <v>0</v>
      </c>
      <c r="J202" s="380">
        <f t="shared" ref="J202:J212" si="40">G202+I202</f>
        <v>0</v>
      </c>
      <c r="K202" s="23">
        <v>41216020860</v>
      </c>
    </row>
    <row r="203" spans="1:12" ht="18.600000000000001" customHeight="1" thickBot="1" x14ac:dyDescent="0.3">
      <c r="A203" s="34">
        <v>2705</v>
      </c>
      <c r="B203" s="384"/>
      <c r="C203" s="377" t="s">
        <v>425</v>
      </c>
      <c r="D203" s="161"/>
      <c r="E203" s="265">
        <v>0.33048</v>
      </c>
      <c r="F203" s="3">
        <v>1.1080239999999999</v>
      </c>
      <c r="G203" s="378">
        <f t="shared" si="38"/>
        <v>0</v>
      </c>
      <c r="H203" s="379">
        <v>0.2</v>
      </c>
      <c r="I203" s="380">
        <f t="shared" si="39"/>
        <v>0</v>
      </c>
      <c r="J203" s="380">
        <f t="shared" si="40"/>
        <v>0</v>
      </c>
      <c r="K203" s="23">
        <v>473302</v>
      </c>
    </row>
    <row r="204" spans="1:12" ht="18.600000000000001" customHeight="1" x14ac:dyDescent="0.25">
      <c r="A204" s="34">
        <v>1002</v>
      </c>
      <c r="B204" s="27" t="s">
        <v>388</v>
      </c>
      <c r="C204" s="377" t="s">
        <v>228</v>
      </c>
      <c r="D204" s="488"/>
      <c r="E204" s="256">
        <v>0.24295</v>
      </c>
      <c r="F204" s="3">
        <v>1.1080239999999999</v>
      </c>
      <c r="G204" s="378">
        <f t="shared" si="38"/>
        <v>0</v>
      </c>
      <c r="H204" s="373">
        <v>0.2</v>
      </c>
      <c r="I204" s="380">
        <f t="shared" si="39"/>
        <v>0</v>
      </c>
      <c r="J204" s="380">
        <f t="shared" si="40"/>
        <v>0</v>
      </c>
      <c r="K204" s="364"/>
    </row>
    <row r="205" spans="1:12" ht="18.600000000000001" customHeight="1" x14ac:dyDescent="0.25">
      <c r="A205" s="34">
        <v>1002</v>
      </c>
      <c r="B205" s="418"/>
      <c r="C205" s="246" t="s">
        <v>302</v>
      </c>
      <c r="D205" s="492"/>
      <c r="E205" s="256">
        <v>0.24295</v>
      </c>
      <c r="F205" s="3">
        <v>1.1080239999999999</v>
      </c>
      <c r="G205" s="378">
        <f t="shared" si="38"/>
        <v>0</v>
      </c>
      <c r="H205" s="379">
        <v>0.2</v>
      </c>
      <c r="I205" s="380">
        <f t="shared" si="39"/>
        <v>0</v>
      </c>
      <c r="J205" s="380">
        <f t="shared" si="40"/>
        <v>0</v>
      </c>
      <c r="K205" s="364"/>
    </row>
    <row r="206" spans="1:12" ht="18.600000000000001" customHeight="1" thickBot="1" x14ac:dyDescent="0.3">
      <c r="A206" s="34">
        <v>2705</v>
      </c>
      <c r="B206" s="418"/>
      <c r="C206" s="246" t="s">
        <v>389</v>
      </c>
      <c r="D206" s="161"/>
      <c r="E206" s="265">
        <v>0.33048</v>
      </c>
      <c r="F206" s="3">
        <v>1.1080239999999999</v>
      </c>
      <c r="G206" s="378">
        <f t="shared" si="38"/>
        <v>0</v>
      </c>
      <c r="H206" s="379">
        <v>0.2</v>
      </c>
      <c r="I206" s="380">
        <f t="shared" si="39"/>
        <v>0</v>
      </c>
      <c r="J206" s="380">
        <f t="shared" si="40"/>
        <v>0</v>
      </c>
      <c r="K206" s="23">
        <v>2022125</v>
      </c>
    </row>
    <row r="207" spans="1:12" ht="18.600000000000001" customHeight="1" thickBot="1" x14ac:dyDescent="0.3">
      <c r="A207" s="34">
        <v>2705</v>
      </c>
      <c r="B207" s="418"/>
      <c r="C207" s="377" t="s">
        <v>390</v>
      </c>
      <c r="D207" s="161"/>
      <c r="E207" s="265">
        <v>0.33048</v>
      </c>
      <c r="F207" s="3">
        <v>1.1080239999999999</v>
      </c>
      <c r="G207" s="378">
        <f t="shared" si="38"/>
        <v>0</v>
      </c>
      <c r="H207" s="379">
        <v>0.2</v>
      </c>
      <c r="I207" s="380">
        <f t="shared" si="39"/>
        <v>0</v>
      </c>
      <c r="J207" s="380">
        <f t="shared" si="40"/>
        <v>0</v>
      </c>
      <c r="K207" s="456">
        <v>8639056006450</v>
      </c>
    </row>
    <row r="208" spans="1:12" ht="18.600000000000001" customHeight="1" x14ac:dyDescent="0.25">
      <c r="A208" s="34" t="s">
        <v>347</v>
      </c>
      <c r="B208" s="418"/>
      <c r="C208" s="377"/>
      <c r="D208" s="494"/>
      <c r="E208" s="256">
        <v>0.15842000000000001</v>
      </c>
      <c r="F208" s="3">
        <v>1</v>
      </c>
      <c r="G208" s="378">
        <f t="shared" si="38"/>
        <v>0</v>
      </c>
      <c r="H208" s="373">
        <v>0.2</v>
      </c>
      <c r="I208" s="380">
        <f t="shared" si="39"/>
        <v>0</v>
      </c>
      <c r="J208" s="380">
        <f t="shared" si="40"/>
        <v>0</v>
      </c>
      <c r="L208" s="34" t="s">
        <v>392</v>
      </c>
    </row>
    <row r="209" spans="1:13" ht="18.600000000000001" customHeight="1" x14ac:dyDescent="0.25">
      <c r="A209" s="34">
        <v>1002</v>
      </c>
      <c r="B209" s="418" t="s">
        <v>393</v>
      </c>
      <c r="C209" s="377" t="s">
        <v>394</v>
      </c>
      <c r="D209" s="492"/>
      <c r="E209" s="256">
        <v>0.24295</v>
      </c>
      <c r="F209" s="3">
        <v>1.1080239999999999</v>
      </c>
      <c r="G209" s="378">
        <f t="shared" si="38"/>
        <v>0</v>
      </c>
      <c r="H209" s="373">
        <v>0.2</v>
      </c>
      <c r="I209" s="380">
        <f t="shared" si="39"/>
        <v>0</v>
      </c>
      <c r="J209" s="380">
        <f t="shared" si="40"/>
        <v>0</v>
      </c>
      <c r="K209" s="364"/>
    </row>
    <row r="210" spans="1:13" ht="18.600000000000001" customHeight="1" thickBot="1" x14ac:dyDescent="0.3">
      <c r="A210" s="34">
        <v>2705</v>
      </c>
      <c r="B210" s="3" t="s">
        <v>395</v>
      </c>
      <c r="C210" s="246" t="s">
        <v>396</v>
      </c>
      <c r="D210" s="161"/>
      <c r="E210" s="265">
        <v>0.33048</v>
      </c>
      <c r="F210" s="3">
        <v>1.1080239999999999</v>
      </c>
      <c r="G210" s="272">
        <f t="shared" si="38"/>
        <v>0</v>
      </c>
      <c r="H210" s="273">
        <v>0.2</v>
      </c>
      <c r="I210" s="274">
        <f t="shared" si="39"/>
        <v>0</v>
      </c>
      <c r="J210" s="407">
        <f t="shared" si="40"/>
        <v>0</v>
      </c>
      <c r="K210" s="23">
        <v>2030795</v>
      </c>
    </row>
    <row r="211" spans="1:13" ht="18.600000000000001" customHeight="1" thickBot="1" x14ac:dyDescent="0.3">
      <c r="A211" s="34" t="s">
        <v>95</v>
      </c>
      <c r="B211" s="3" t="s">
        <v>395</v>
      </c>
      <c r="C211" s="246" t="s">
        <v>27</v>
      </c>
      <c r="D211" s="154"/>
      <c r="E211" s="265">
        <v>0.33048</v>
      </c>
      <c r="F211" s="3">
        <v>1.1080239999999999</v>
      </c>
      <c r="G211" s="378">
        <f t="shared" si="38"/>
        <v>0</v>
      </c>
      <c r="H211" s="373">
        <v>0.2</v>
      </c>
      <c r="I211" s="380">
        <f t="shared" si="39"/>
        <v>0</v>
      </c>
      <c r="J211" s="380">
        <f t="shared" si="40"/>
        <v>0</v>
      </c>
      <c r="K211" s="23">
        <v>2041170</v>
      </c>
    </row>
    <row r="212" spans="1:13" ht="18.600000000000001" customHeight="1" thickBot="1" x14ac:dyDescent="0.3">
      <c r="A212" s="34">
        <v>1002</v>
      </c>
      <c r="B212" s="418" t="s">
        <v>397</v>
      </c>
      <c r="C212" s="251" t="s">
        <v>398</v>
      </c>
      <c r="D212" s="154"/>
      <c r="E212" s="256">
        <v>0.24295</v>
      </c>
      <c r="F212" s="3">
        <v>1.1080239999999999</v>
      </c>
      <c r="G212" s="378">
        <f t="shared" si="38"/>
        <v>0</v>
      </c>
      <c r="H212" s="379">
        <v>0.2</v>
      </c>
      <c r="I212" s="380">
        <f t="shared" si="39"/>
        <v>0</v>
      </c>
      <c r="J212" s="380">
        <f t="shared" si="40"/>
        <v>0</v>
      </c>
      <c r="K212" s="364"/>
    </row>
    <row r="213" spans="1:13" ht="18.600000000000001" customHeight="1" thickBot="1" x14ac:dyDescent="0.3">
      <c r="B213" s="397"/>
      <c r="C213" s="412"/>
      <c r="D213" s="489">
        <f>SUM(D202:D212)</f>
        <v>0</v>
      </c>
      <c r="E213" s="434"/>
      <c r="F213" s="3"/>
      <c r="G213" s="435">
        <f>SUM(G202:G212)</f>
        <v>0</v>
      </c>
      <c r="H213" s="436"/>
      <c r="I213" s="437">
        <f>SUM(I202:I212)</f>
        <v>0</v>
      </c>
      <c r="J213" s="437">
        <f>SUM(J202:J212)</f>
        <v>0</v>
      </c>
    </row>
    <row r="214" spans="1:13" ht="18.600000000000001" customHeight="1" thickBot="1" x14ac:dyDescent="0.3">
      <c r="A214" s="34">
        <v>2705</v>
      </c>
      <c r="B214" s="510">
        <v>22</v>
      </c>
      <c r="C214" s="377" t="s">
        <v>399</v>
      </c>
      <c r="D214" s="161"/>
      <c r="E214" s="265">
        <v>0.33048</v>
      </c>
      <c r="F214" s="3">
        <v>1.1080239999999999</v>
      </c>
      <c r="G214" s="378">
        <f>ROUND(D214*E214*F214,2)</f>
        <v>0</v>
      </c>
      <c r="H214" s="379">
        <v>0.2</v>
      </c>
      <c r="I214" s="380">
        <f>ROUND(G214*H214,2)</f>
        <v>0</v>
      </c>
      <c r="J214" s="380">
        <f>G214+I214</f>
        <v>0</v>
      </c>
      <c r="K214" s="23">
        <v>2050944</v>
      </c>
      <c r="M214" s="34" t="s">
        <v>81</v>
      </c>
    </row>
    <row r="215" spans="1:13" ht="18.600000000000001" customHeight="1" thickBot="1" x14ac:dyDescent="0.3">
      <c r="B215" s="511"/>
      <c r="C215" s="495" t="s">
        <v>399</v>
      </c>
      <c r="D215" s="255"/>
      <c r="E215" s="312"/>
      <c r="F215" s="161"/>
      <c r="G215" s="161"/>
      <c r="H215" s="161"/>
      <c r="I215" s="161"/>
      <c r="J215" s="161"/>
      <c r="K215" s="23">
        <v>2102389</v>
      </c>
    </row>
    <row r="216" spans="1:13" ht="18.600000000000001" customHeight="1" thickBot="1" x14ac:dyDescent="0.3">
      <c r="A216" s="34">
        <v>2705</v>
      </c>
      <c r="B216" s="376"/>
      <c r="C216" s="377" t="s">
        <v>400</v>
      </c>
      <c r="D216" s="161"/>
      <c r="E216" s="256">
        <v>0.33048</v>
      </c>
      <c r="F216" s="172">
        <v>1.1080239999999999</v>
      </c>
      <c r="G216" s="378">
        <f t="shared" ref="G216:G221" si="41">ROUND(D216*E216*F216,2)</f>
        <v>0</v>
      </c>
      <c r="H216" s="379">
        <v>0.2</v>
      </c>
      <c r="I216" s="380">
        <f t="shared" ref="I216:I221" si="42">ROUND(G216*H216,2)</f>
        <v>0</v>
      </c>
      <c r="J216" s="380">
        <f t="shared" ref="J216:J221" si="43">G216+I216</f>
        <v>0</v>
      </c>
      <c r="K216" s="456">
        <v>7011018000543</v>
      </c>
    </row>
    <row r="217" spans="1:13" ht="18.600000000000001" customHeight="1" thickBot="1" x14ac:dyDescent="0.3">
      <c r="A217" s="34">
        <v>2705</v>
      </c>
      <c r="B217" s="376"/>
      <c r="C217" s="246" t="s">
        <v>401</v>
      </c>
      <c r="D217" s="161"/>
      <c r="E217" s="265">
        <v>0.33048</v>
      </c>
      <c r="F217" s="3">
        <v>1.1080239999999999</v>
      </c>
      <c r="G217" s="378">
        <f t="shared" si="41"/>
        <v>0</v>
      </c>
      <c r="H217" s="373">
        <v>0.2</v>
      </c>
      <c r="I217" s="380">
        <f t="shared" si="42"/>
        <v>0</v>
      </c>
      <c r="J217" s="380">
        <f t="shared" si="43"/>
        <v>0</v>
      </c>
      <c r="K217" s="23">
        <v>754286</v>
      </c>
    </row>
    <row r="218" spans="1:13" ht="18.600000000000001" customHeight="1" thickBot="1" x14ac:dyDescent="0.3">
      <c r="A218" s="34" t="s">
        <v>95</v>
      </c>
      <c r="B218" s="376"/>
      <c r="C218" s="246" t="s">
        <v>27</v>
      </c>
      <c r="D218" s="154"/>
      <c r="E218" s="265">
        <v>0.33048</v>
      </c>
      <c r="F218" s="3">
        <v>1.1080239999999999</v>
      </c>
      <c r="G218" s="378">
        <f t="shared" si="41"/>
        <v>0</v>
      </c>
      <c r="H218" s="373">
        <v>0.2</v>
      </c>
      <c r="I218" s="380">
        <f t="shared" si="42"/>
        <v>0</v>
      </c>
      <c r="J218" s="380">
        <f t="shared" si="43"/>
        <v>0</v>
      </c>
      <c r="K218" s="385">
        <v>679581</v>
      </c>
    </row>
    <row r="219" spans="1:13" ht="18.600000000000001" customHeight="1" thickBot="1" x14ac:dyDescent="0.3">
      <c r="A219" s="34" t="s">
        <v>96</v>
      </c>
      <c r="B219" s="376"/>
      <c r="C219" s="246" t="s">
        <v>29</v>
      </c>
      <c r="D219" s="154"/>
      <c r="E219" s="419">
        <v>0.15176999999999999</v>
      </c>
      <c r="F219" s="3">
        <v>1.1080239999999999</v>
      </c>
      <c r="G219" s="378">
        <f t="shared" si="41"/>
        <v>0</v>
      </c>
      <c r="H219" s="373">
        <v>0.2</v>
      </c>
      <c r="I219" s="380">
        <f t="shared" si="42"/>
        <v>0</v>
      </c>
      <c r="J219" s="380">
        <f t="shared" si="43"/>
        <v>0</v>
      </c>
      <c r="K219" s="385">
        <v>679581</v>
      </c>
    </row>
    <row r="220" spans="1:13" ht="18.600000000000001" customHeight="1" thickBot="1" x14ac:dyDescent="0.3">
      <c r="A220" s="34">
        <v>2705</v>
      </c>
      <c r="B220" s="376"/>
      <c r="C220" s="246" t="s">
        <v>378</v>
      </c>
      <c r="D220" s="161"/>
      <c r="E220" s="265">
        <v>0.33048</v>
      </c>
      <c r="F220" s="3">
        <v>1.1080239999999999</v>
      </c>
      <c r="G220" s="378">
        <f t="shared" si="41"/>
        <v>0</v>
      </c>
      <c r="H220" s="373">
        <v>0.2</v>
      </c>
      <c r="I220" s="380">
        <f t="shared" si="42"/>
        <v>0</v>
      </c>
      <c r="J220" s="380">
        <f t="shared" si="43"/>
        <v>0</v>
      </c>
      <c r="K220" s="23">
        <v>798651</v>
      </c>
    </row>
    <row r="221" spans="1:13" ht="18.600000000000001" customHeight="1" thickBot="1" x14ac:dyDescent="0.3">
      <c r="A221" s="162">
        <v>2705</v>
      </c>
      <c r="B221" s="512" t="s">
        <v>578</v>
      </c>
      <c r="C221" s="243" t="s">
        <v>402</v>
      </c>
      <c r="D221" s="161"/>
      <c r="E221" s="265">
        <v>0.33048</v>
      </c>
      <c r="F221" s="3">
        <v>1.1080239999999999</v>
      </c>
      <c r="G221" s="17">
        <f t="shared" si="41"/>
        <v>0</v>
      </c>
      <c r="H221" s="18">
        <v>0.2</v>
      </c>
      <c r="I221" s="19">
        <f t="shared" si="42"/>
        <v>0</v>
      </c>
      <c r="J221" s="20">
        <f t="shared" si="43"/>
        <v>0</v>
      </c>
      <c r="K221" s="23">
        <v>2148357</v>
      </c>
    </row>
    <row r="222" spans="1:13" ht="18.600000000000001" customHeight="1" thickBot="1" x14ac:dyDescent="0.3">
      <c r="B222" s="513"/>
      <c r="C222" s="483" t="s">
        <v>27</v>
      </c>
      <c r="D222" s="161"/>
      <c r="E222" s="312"/>
      <c r="F222" s="161"/>
      <c r="G222" s="161"/>
      <c r="H222" s="161"/>
      <c r="I222" s="161"/>
      <c r="J222" s="161"/>
      <c r="K222" s="456">
        <v>9097079000436</v>
      </c>
      <c r="L222" s="34" t="s">
        <v>403</v>
      </c>
    </row>
    <row r="223" spans="1:13" ht="18.600000000000001" customHeight="1" thickBot="1" x14ac:dyDescent="0.3">
      <c r="A223" s="34">
        <v>2705</v>
      </c>
      <c r="B223" s="376"/>
      <c r="C223" s="439" t="s">
        <v>404</v>
      </c>
      <c r="D223" s="161"/>
      <c r="E223" s="256">
        <v>0.33048</v>
      </c>
      <c r="F223" s="172">
        <v>1.1080239999999999</v>
      </c>
      <c r="G223" s="378">
        <f t="shared" ref="G223:G232" si="44">ROUND(D223*E223*F223,2)</f>
        <v>0</v>
      </c>
      <c r="H223" s="379">
        <v>0.2</v>
      </c>
      <c r="I223" s="380">
        <f t="shared" ref="I223:I232" si="45">ROUND(G223*H223,2)</f>
        <v>0</v>
      </c>
      <c r="J223" s="380">
        <f t="shared" ref="J223:J232" si="46">G223+I223</f>
        <v>0</v>
      </c>
      <c r="K223" s="456">
        <v>1195118158470</v>
      </c>
    </row>
    <row r="224" spans="1:13" ht="18.600000000000001" customHeight="1" x14ac:dyDescent="0.25">
      <c r="A224" s="34">
        <v>1002</v>
      </c>
      <c r="B224" s="457" t="s">
        <v>662</v>
      </c>
      <c r="C224" s="439" t="s">
        <v>663</v>
      </c>
      <c r="D224" s="493"/>
      <c r="E224" s="256"/>
      <c r="F224" s="172"/>
      <c r="G224" s="378"/>
      <c r="H224" s="379"/>
      <c r="I224" s="380"/>
      <c r="J224" s="380"/>
      <c r="K224" s="458"/>
    </row>
    <row r="225" spans="1:12" ht="18.600000000000001" customHeight="1" x14ac:dyDescent="0.25">
      <c r="A225" s="34">
        <v>1002</v>
      </c>
      <c r="B225" s="418" t="s">
        <v>421</v>
      </c>
      <c r="C225" s="246" t="s">
        <v>394</v>
      </c>
      <c r="D225" s="154"/>
      <c r="E225" s="256">
        <v>0.24295</v>
      </c>
      <c r="F225" s="3">
        <v>1.1080239999999999</v>
      </c>
      <c r="G225" s="378">
        <f t="shared" si="44"/>
        <v>0</v>
      </c>
      <c r="H225" s="379">
        <v>0.2</v>
      </c>
      <c r="I225" s="380">
        <f t="shared" si="45"/>
        <v>0</v>
      </c>
      <c r="J225" s="380">
        <f t="shared" si="46"/>
        <v>0</v>
      </c>
      <c r="K225" s="364"/>
    </row>
    <row r="226" spans="1:12" ht="18.600000000000001" customHeight="1" x14ac:dyDescent="0.25">
      <c r="A226" s="34">
        <v>1002</v>
      </c>
      <c r="B226" s="418" t="s">
        <v>422</v>
      </c>
      <c r="C226" s="246" t="s">
        <v>228</v>
      </c>
      <c r="D226" s="488"/>
      <c r="E226" s="256">
        <v>0.24295</v>
      </c>
      <c r="F226" s="3">
        <v>1.1080239999999999</v>
      </c>
      <c r="G226" s="378">
        <f t="shared" si="44"/>
        <v>0</v>
      </c>
      <c r="H226" s="379">
        <v>0.2</v>
      </c>
      <c r="I226" s="380">
        <f t="shared" si="45"/>
        <v>0</v>
      </c>
      <c r="J226" s="380">
        <f t="shared" si="46"/>
        <v>0</v>
      </c>
      <c r="K226" s="364"/>
    </row>
    <row r="227" spans="1:12" ht="78.599999999999994" customHeight="1" thickBot="1" x14ac:dyDescent="0.3">
      <c r="A227" s="34">
        <v>2705</v>
      </c>
      <c r="B227" s="383"/>
      <c r="C227" s="246" t="s">
        <v>405</v>
      </c>
      <c r="D227" s="492"/>
      <c r="E227" s="265">
        <v>0.33048</v>
      </c>
      <c r="F227" s="3">
        <v>1.1080239999999999</v>
      </c>
      <c r="G227" s="378">
        <f t="shared" si="44"/>
        <v>0</v>
      </c>
      <c r="H227" s="373">
        <v>0.2</v>
      </c>
      <c r="I227" s="380">
        <f t="shared" si="45"/>
        <v>0</v>
      </c>
      <c r="J227" s="380">
        <f t="shared" si="46"/>
        <v>0</v>
      </c>
      <c r="K227" s="456">
        <v>1195245433314</v>
      </c>
    </row>
    <row r="228" spans="1:12" ht="18.600000000000001" customHeight="1" thickBot="1" x14ac:dyDescent="0.3">
      <c r="A228" s="34" t="s">
        <v>95</v>
      </c>
      <c r="B228" s="459"/>
      <c r="C228" s="246" t="s">
        <v>27</v>
      </c>
      <c r="D228" s="492"/>
      <c r="E228" s="265">
        <v>0.33048</v>
      </c>
      <c r="F228" s="3">
        <v>1.1080239999999999</v>
      </c>
      <c r="G228" s="378">
        <f t="shared" si="44"/>
        <v>0</v>
      </c>
      <c r="H228" s="373">
        <v>0.2</v>
      </c>
      <c r="I228" s="380">
        <f t="shared" si="45"/>
        <v>0</v>
      </c>
      <c r="J228" s="380">
        <f t="shared" si="46"/>
        <v>0</v>
      </c>
      <c r="K228" s="23">
        <v>670812</v>
      </c>
    </row>
    <row r="229" spans="1:12" ht="18.600000000000001" customHeight="1" x14ac:dyDescent="0.25">
      <c r="A229" s="34" t="s">
        <v>347</v>
      </c>
      <c r="B229" s="441">
        <v>0.14330000000000001</v>
      </c>
      <c r="C229" s="246" t="s">
        <v>406</v>
      </c>
      <c r="D229" s="492"/>
      <c r="E229" s="432">
        <v>0.15842000000000001</v>
      </c>
      <c r="F229" s="3">
        <v>1</v>
      </c>
      <c r="G229" s="378">
        <f t="shared" si="44"/>
        <v>0</v>
      </c>
      <c r="H229" s="373">
        <v>0.2</v>
      </c>
      <c r="I229" s="380">
        <f t="shared" si="45"/>
        <v>0</v>
      </c>
      <c r="J229" s="380">
        <f t="shared" si="46"/>
        <v>0</v>
      </c>
    </row>
    <row r="230" spans="1:12" ht="18.600000000000001" customHeight="1" x14ac:dyDescent="0.25">
      <c r="A230" s="34" t="s">
        <v>347</v>
      </c>
      <c r="B230" s="446"/>
      <c r="C230" s="246" t="s">
        <v>407</v>
      </c>
      <c r="D230" s="329"/>
      <c r="E230" s="432">
        <v>0.15842000000000001</v>
      </c>
      <c r="F230" s="3">
        <v>1</v>
      </c>
      <c r="G230" s="378">
        <f t="shared" si="44"/>
        <v>0</v>
      </c>
      <c r="H230" s="373">
        <v>0.2</v>
      </c>
      <c r="I230" s="380">
        <f t="shared" si="45"/>
        <v>0</v>
      </c>
      <c r="J230" s="380">
        <f t="shared" si="46"/>
        <v>0</v>
      </c>
      <c r="K230" s="364"/>
      <c r="L230" s="364" t="s">
        <v>408</v>
      </c>
    </row>
    <row r="231" spans="1:12" ht="18.600000000000001" customHeight="1" x14ac:dyDescent="0.25">
      <c r="A231" s="34" t="s">
        <v>347</v>
      </c>
      <c r="B231" s="383"/>
      <c r="C231" s="246" t="s">
        <v>409</v>
      </c>
      <c r="D231" s="329"/>
      <c r="E231" s="432">
        <v>0.15842000000000001</v>
      </c>
      <c r="F231" s="3">
        <v>1</v>
      </c>
      <c r="G231" s="378">
        <f t="shared" si="44"/>
        <v>0</v>
      </c>
      <c r="H231" s="373">
        <v>0.2</v>
      </c>
      <c r="I231" s="380">
        <f t="shared" si="45"/>
        <v>0</v>
      </c>
      <c r="J231" s="380">
        <f t="shared" si="46"/>
        <v>0</v>
      </c>
      <c r="K231" s="364"/>
      <c r="L231" s="364" t="s">
        <v>410</v>
      </c>
    </row>
    <row r="232" spans="1:12" ht="18.600000000000001" customHeight="1" thickBot="1" x14ac:dyDescent="0.3">
      <c r="A232" s="200">
        <v>2702</v>
      </c>
      <c r="B232" s="416" t="s">
        <v>423</v>
      </c>
      <c r="C232" s="246" t="s">
        <v>409</v>
      </c>
      <c r="D232" s="161"/>
      <c r="E232" s="432">
        <v>0.24295</v>
      </c>
      <c r="F232" s="3">
        <v>1.1080239999999999</v>
      </c>
      <c r="G232" s="378">
        <f t="shared" si="44"/>
        <v>0</v>
      </c>
      <c r="H232" s="373">
        <v>0.2</v>
      </c>
      <c r="I232" s="380">
        <f t="shared" si="45"/>
        <v>0</v>
      </c>
      <c r="J232" s="380">
        <f t="shared" si="46"/>
        <v>0</v>
      </c>
      <c r="K232" s="23">
        <v>667420</v>
      </c>
    </row>
    <row r="233" spans="1:12" ht="18.600000000000001" customHeight="1" thickBot="1" x14ac:dyDescent="0.3">
      <c r="B233" s="397"/>
      <c r="C233" s="412"/>
      <c r="D233" s="487">
        <f>SUM(D214:D232)-D215</f>
        <v>0</v>
      </c>
      <c r="E233" s="434"/>
      <c r="F233" s="3"/>
      <c r="G233" s="435">
        <f>SUM(G214:G232)</f>
        <v>0</v>
      </c>
      <c r="H233" s="436"/>
      <c r="I233" s="437">
        <f>SUM(I214:I232)</f>
        <v>0</v>
      </c>
      <c r="J233" s="438">
        <f>SUM(J214:J232)</f>
        <v>0</v>
      </c>
    </row>
    <row r="234" spans="1:12" ht="18.600000000000001" customHeight="1" thickBot="1" x14ac:dyDescent="0.3">
      <c r="A234" s="34">
        <v>2705</v>
      </c>
      <c r="B234" s="376">
        <v>23</v>
      </c>
      <c r="C234" s="246" t="s">
        <v>411</v>
      </c>
      <c r="D234" s="492">
        <v>0</v>
      </c>
      <c r="E234" s="265">
        <v>0.33048</v>
      </c>
      <c r="F234" s="3">
        <v>1.1080239999999999</v>
      </c>
      <c r="G234" s="372">
        <f t="shared" ref="G234:G240" si="47">ROUND(D234*E234*F234,2)</f>
        <v>0</v>
      </c>
      <c r="H234" s="373">
        <v>0.2</v>
      </c>
      <c r="I234" s="374">
        <f t="shared" ref="I234:I240" si="48">ROUND(G234*H234,2)</f>
        <v>0</v>
      </c>
      <c r="J234" s="374">
        <f t="shared" ref="J234:J240" si="49">G234+I234</f>
        <v>0</v>
      </c>
      <c r="K234" s="26">
        <v>748310</v>
      </c>
    </row>
    <row r="235" spans="1:12" ht="18.600000000000001" customHeight="1" thickBot="1" x14ac:dyDescent="0.3">
      <c r="B235" s="160"/>
      <c r="C235" s="246"/>
      <c r="D235" s="492"/>
      <c r="E235" s="265">
        <v>0.33048</v>
      </c>
      <c r="F235" s="3">
        <v>1.1080239999999999</v>
      </c>
      <c r="G235" s="372">
        <f t="shared" si="47"/>
        <v>0</v>
      </c>
      <c r="H235" s="373"/>
      <c r="I235" s="374">
        <f t="shared" si="48"/>
        <v>0</v>
      </c>
      <c r="J235" s="374">
        <f t="shared" si="49"/>
        <v>0</v>
      </c>
      <c r="K235" s="26">
        <v>2009003</v>
      </c>
    </row>
    <row r="236" spans="1:12" ht="18.600000000000001" customHeight="1" thickBot="1" x14ac:dyDescent="0.3">
      <c r="A236" s="34" t="s">
        <v>95</v>
      </c>
      <c r="B236" s="459"/>
      <c r="C236" s="246" t="s">
        <v>27</v>
      </c>
      <c r="D236" s="492">
        <v>0</v>
      </c>
      <c r="E236" s="265">
        <v>0.33048</v>
      </c>
      <c r="F236" s="3">
        <v>1.1080239999999999</v>
      </c>
      <c r="G236" s="378">
        <f t="shared" si="47"/>
        <v>0</v>
      </c>
      <c r="H236" s="373">
        <v>0.2</v>
      </c>
      <c r="I236" s="380">
        <f t="shared" si="48"/>
        <v>0</v>
      </c>
      <c r="J236" s="380">
        <f t="shared" si="49"/>
        <v>0</v>
      </c>
      <c r="K236" s="26">
        <v>2009003</v>
      </c>
    </row>
    <row r="237" spans="1:12" ht="175.15" customHeight="1" x14ac:dyDescent="0.25">
      <c r="A237" s="34" t="s">
        <v>347</v>
      </c>
      <c r="B237" s="247" t="s">
        <v>655</v>
      </c>
      <c r="C237" s="246" t="s">
        <v>391</v>
      </c>
      <c r="D237" s="494"/>
      <c r="E237" s="432">
        <v>0.15842000000000001</v>
      </c>
      <c r="F237" s="3">
        <v>1</v>
      </c>
      <c r="G237" s="378">
        <f t="shared" si="47"/>
        <v>0</v>
      </c>
      <c r="H237" s="373">
        <v>0.2</v>
      </c>
      <c r="I237" s="380">
        <f t="shared" si="48"/>
        <v>0</v>
      </c>
      <c r="J237" s="380">
        <f t="shared" si="49"/>
        <v>0</v>
      </c>
      <c r="K237" s="364"/>
      <c r="L237" s="364" t="s">
        <v>392</v>
      </c>
    </row>
    <row r="238" spans="1:12" ht="18.600000000000001" customHeight="1" thickBot="1" x14ac:dyDescent="0.3">
      <c r="A238" s="34">
        <v>1002</v>
      </c>
      <c r="B238" s="447" t="s">
        <v>412</v>
      </c>
      <c r="C238" s="389" t="s">
        <v>383</v>
      </c>
      <c r="D238" s="492"/>
      <c r="E238" s="256">
        <v>0.24295</v>
      </c>
      <c r="F238" s="3">
        <v>1.1080239999999999</v>
      </c>
      <c r="G238" s="378">
        <f t="shared" si="47"/>
        <v>0</v>
      </c>
      <c r="H238" s="373">
        <v>0.2</v>
      </c>
      <c r="I238" s="380">
        <f t="shared" si="48"/>
        <v>0</v>
      </c>
      <c r="J238" s="380">
        <f t="shared" si="49"/>
        <v>0</v>
      </c>
      <c r="K238" s="364"/>
    </row>
    <row r="239" spans="1:12" ht="18.600000000000001" customHeight="1" thickBot="1" x14ac:dyDescent="0.3">
      <c r="A239" s="34">
        <v>2705</v>
      </c>
      <c r="B239" s="420"/>
      <c r="C239" s="247" t="s">
        <v>413</v>
      </c>
      <c r="D239" s="161"/>
      <c r="E239" s="265">
        <v>0.33048</v>
      </c>
      <c r="F239" s="3">
        <v>1.1080239999999999</v>
      </c>
      <c r="G239" s="372">
        <f t="shared" si="47"/>
        <v>0</v>
      </c>
      <c r="H239" s="390">
        <v>0.2</v>
      </c>
      <c r="I239" s="374">
        <f t="shared" si="48"/>
        <v>0</v>
      </c>
      <c r="J239" s="374">
        <f t="shared" si="49"/>
        <v>0</v>
      </c>
      <c r="K239" s="26">
        <v>9097082000590</v>
      </c>
    </row>
    <row r="240" spans="1:12" ht="18.600000000000001" customHeight="1" thickBot="1" x14ac:dyDescent="0.3">
      <c r="A240" s="34" t="s">
        <v>95</v>
      </c>
      <c r="B240" s="420"/>
      <c r="C240" s="246" t="s">
        <v>27</v>
      </c>
      <c r="D240" s="161"/>
      <c r="E240" s="265">
        <v>0.33048</v>
      </c>
      <c r="F240" s="3">
        <v>1.1080239999999999</v>
      </c>
      <c r="G240" s="372">
        <f t="shared" si="47"/>
        <v>0</v>
      </c>
      <c r="H240" s="390">
        <v>0.2</v>
      </c>
      <c r="I240" s="374">
        <f t="shared" si="48"/>
        <v>0</v>
      </c>
      <c r="J240" s="374">
        <f t="shared" si="49"/>
        <v>0</v>
      </c>
      <c r="K240" s="26">
        <v>644660</v>
      </c>
    </row>
    <row r="241" spans="2:11" ht="18.600000000000001" customHeight="1" thickBot="1" x14ac:dyDescent="0.3">
      <c r="B241" s="460"/>
      <c r="C241" s="461"/>
      <c r="D241" s="489"/>
      <c r="E241" s="462"/>
      <c r="F241" s="463"/>
      <c r="G241" s="464">
        <f>SUM(G234:G240)</f>
        <v>0</v>
      </c>
      <c r="H241" s="465"/>
      <c r="I241" s="466">
        <f>SUM(I234:I240)</f>
        <v>0</v>
      </c>
      <c r="J241" s="466">
        <f>SUM(J234:J240)</f>
        <v>0</v>
      </c>
      <c r="K241" s="467"/>
    </row>
    <row r="242" spans="2:11" ht="18.600000000000001" customHeight="1" thickBot="1" x14ac:dyDescent="0.3">
      <c r="B242" s="468"/>
      <c r="C242" s="469" t="s">
        <v>414</v>
      </c>
      <c r="D242" s="501"/>
      <c r="E242" s="470">
        <f>E39+E73+E98+E147+E163+E172+E184+E201+E213+E233+E241</f>
        <v>0</v>
      </c>
      <c r="F242" s="471"/>
      <c r="G242" s="472" t="e">
        <f>G39+G73+G98+G147+G163+G172+G184+G201+G213+G233+G241</f>
        <v>#REF!</v>
      </c>
      <c r="H242" s="471"/>
      <c r="I242" s="473" t="e">
        <f>I39+I73+I98+I147+I163+I172+I184+I201+I213+I233+I241</f>
        <v>#REF!</v>
      </c>
      <c r="J242" s="472" t="e">
        <f>J39+J73+J98+J147+J163+J172+J184+J201+J213+J233+J241</f>
        <v>#REF!</v>
      </c>
      <c r="K242" s="467"/>
    </row>
    <row r="243" spans="2:11" ht="18.600000000000001" customHeight="1" x14ac:dyDescent="0.25">
      <c r="B243" s="474"/>
      <c r="C243" s="475" t="s">
        <v>415</v>
      </c>
      <c r="D243" s="476">
        <f>D242-D244</f>
        <v>0</v>
      </c>
      <c r="E243" s="477"/>
      <c r="F243" s="477"/>
      <c r="G243" s="478" t="e">
        <f>G242-G244</f>
        <v>#REF!</v>
      </c>
      <c r="H243" s="477"/>
      <c r="I243" s="478" t="e">
        <f>I242-I244</f>
        <v>#REF!</v>
      </c>
      <c r="J243" s="478" t="e">
        <f>G243+I243</f>
        <v>#REF!</v>
      </c>
      <c r="K243" s="467"/>
    </row>
    <row r="244" spans="2:11" ht="18.600000000000001" customHeight="1" x14ac:dyDescent="0.25">
      <c r="B244" s="474"/>
      <c r="C244" s="475" t="s">
        <v>416</v>
      </c>
      <c r="D244" s="476">
        <f>X243</f>
        <v>0</v>
      </c>
      <c r="E244" s="477"/>
      <c r="F244" s="477"/>
      <c r="G244" s="478">
        <f>AA243</f>
        <v>0</v>
      </c>
      <c r="H244" s="477"/>
      <c r="I244" s="478">
        <f>AC243</f>
        <v>0</v>
      </c>
      <c r="J244" s="478">
        <f>G244+I244</f>
        <v>0</v>
      </c>
      <c r="K244" s="309"/>
    </row>
    <row r="245" spans="2:11" ht="18.600000000000001" customHeight="1" x14ac:dyDescent="0.25">
      <c r="B245" s="479"/>
      <c r="C245" s="474"/>
      <c r="D245" s="477"/>
      <c r="E245" s="480"/>
      <c r="F245" s="480"/>
      <c r="G245" s="481"/>
      <c r="H245" s="480"/>
      <c r="I245" s="480"/>
      <c r="J245" s="480"/>
      <c r="K245" s="309"/>
    </row>
    <row r="246" spans="2:11" ht="18.600000000000001" customHeight="1" x14ac:dyDescent="0.25">
      <c r="B246" s="309" t="s">
        <v>195</v>
      </c>
      <c r="D246" s="467" t="s">
        <v>215</v>
      </c>
      <c r="E246" s="467"/>
      <c r="F246" s="163"/>
      <c r="G246" s="467"/>
      <c r="H246" s="467"/>
      <c r="I246" s="467"/>
      <c r="J246" s="467"/>
      <c r="K246" s="309"/>
    </row>
  </sheetData>
  <mergeCells count="8">
    <mergeCell ref="B214:B215"/>
    <mergeCell ref="B221:B222"/>
    <mergeCell ref="B8:B9"/>
    <mergeCell ref="B20:B22"/>
    <mergeCell ref="B31:B34"/>
    <mergeCell ref="B137:B138"/>
    <mergeCell ref="B199:B200"/>
    <mergeCell ref="B101:B102"/>
  </mergeCells>
  <pageMargins left="0.7" right="0.7" top="0.75" bottom="0.75" header="0.3" footer="0.3"/>
  <pageSetup paperSize="9" scale="4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5"/>
  <sheetViews>
    <sheetView tabSelected="1" topLeftCell="A67" workbookViewId="0">
      <selection activeCell="B81" sqref="B81"/>
    </sheetView>
  </sheetViews>
  <sheetFormatPr defaultColWidth="8.85546875" defaultRowHeight="15" x14ac:dyDescent="0.25"/>
  <cols>
    <col min="1" max="1" width="18.7109375" style="42" customWidth="1"/>
    <col min="2" max="2" width="10.7109375" style="42" customWidth="1"/>
    <col min="3" max="3" width="11.42578125" style="42" customWidth="1"/>
    <col min="4" max="4" width="17.85546875" style="498" customWidth="1"/>
    <col min="5" max="5" width="25.7109375" style="42" customWidth="1"/>
    <col min="6" max="6" width="11.42578125" style="42" customWidth="1"/>
    <col min="7" max="16384" width="8.85546875" style="42"/>
  </cols>
  <sheetData>
    <row r="1" spans="1:5" x14ac:dyDescent="0.25">
      <c r="A1" s="84"/>
      <c r="B1" s="84" t="s">
        <v>3</v>
      </c>
      <c r="C1" s="496"/>
      <c r="D1" s="497" t="s">
        <v>9</v>
      </c>
    </row>
    <row r="2" spans="1:5" x14ac:dyDescent="0.25">
      <c r="A2" s="521" t="s">
        <v>435</v>
      </c>
      <c r="B2" s="521"/>
      <c r="C2" s="521"/>
      <c r="D2" s="521"/>
    </row>
    <row r="3" spans="1:5" x14ac:dyDescent="0.25">
      <c r="A3" s="53"/>
      <c r="B3" s="54" t="s">
        <v>441</v>
      </c>
      <c r="C3" s="55" t="s">
        <v>442</v>
      </c>
      <c r="D3" s="56" t="s">
        <v>436</v>
      </c>
      <c r="E3" s="57"/>
    </row>
    <row r="4" spans="1:5" x14ac:dyDescent="0.25">
      <c r="A4" s="58" t="s">
        <v>431</v>
      </c>
      <c r="B4" s="52"/>
      <c r="C4" s="59"/>
      <c r="D4" s="60">
        <v>25755</v>
      </c>
    </row>
    <row r="5" spans="1:5" x14ac:dyDescent="0.25">
      <c r="A5" s="522" t="s">
        <v>432</v>
      </c>
      <c r="B5" s="52"/>
      <c r="C5" s="525">
        <f>B5+B6</f>
        <v>0</v>
      </c>
      <c r="D5" s="59">
        <v>338401</v>
      </c>
    </row>
    <row r="6" spans="1:5" x14ac:dyDescent="0.25">
      <c r="A6" s="524"/>
      <c r="B6" s="52"/>
      <c r="C6" s="527"/>
      <c r="D6" s="59">
        <v>309071</v>
      </c>
    </row>
    <row r="7" spans="1:5" x14ac:dyDescent="0.25">
      <c r="A7" s="522" t="s">
        <v>433</v>
      </c>
      <c r="B7" s="52"/>
      <c r="C7" s="525">
        <f>SUM(B7:B10)</f>
        <v>0</v>
      </c>
      <c r="D7" s="59">
        <v>463822</v>
      </c>
    </row>
    <row r="8" spans="1:5" x14ac:dyDescent="0.25">
      <c r="A8" s="523"/>
      <c r="B8" s="52"/>
      <c r="C8" s="526"/>
      <c r="D8" s="55">
        <v>338524</v>
      </c>
    </row>
    <row r="9" spans="1:5" x14ac:dyDescent="0.25">
      <c r="A9" s="523"/>
      <c r="B9" s="52"/>
      <c r="C9" s="526"/>
      <c r="D9" s="55">
        <v>323151</v>
      </c>
    </row>
    <row r="10" spans="1:5" x14ac:dyDescent="0.25">
      <c r="A10" s="524"/>
      <c r="B10" s="52"/>
      <c r="C10" s="527"/>
      <c r="D10" s="55">
        <v>989469</v>
      </c>
    </row>
    <row r="11" spans="1:5" ht="29.25" x14ac:dyDescent="0.25">
      <c r="A11" s="62" t="s">
        <v>434</v>
      </c>
      <c r="B11" s="63"/>
      <c r="C11" s="64"/>
      <c r="D11" s="65"/>
    </row>
    <row r="12" spans="1:5" x14ac:dyDescent="0.25">
      <c r="A12" s="55" t="s">
        <v>437</v>
      </c>
      <c r="B12" s="61"/>
      <c r="C12" s="525">
        <f>SUM(B12:B21)</f>
        <v>0</v>
      </c>
      <c r="D12" s="55"/>
    </row>
    <row r="13" spans="1:5" ht="15.75" thickBot="1" x14ac:dyDescent="0.3">
      <c r="A13" s="55" t="s">
        <v>438</v>
      </c>
      <c r="B13" s="1"/>
      <c r="C13" s="526"/>
      <c r="D13" s="55">
        <v>18724644</v>
      </c>
    </row>
    <row r="14" spans="1:5" ht="15.75" thickBot="1" x14ac:dyDescent="0.3">
      <c r="A14" s="536" t="s">
        <v>439</v>
      </c>
      <c r="B14" s="499"/>
      <c r="C14" s="526"/>
      <c r="D14" s="55"/>
    </row>
    <row r="15" spans="1:5" ht="15.75" thickBot="1" x14ac:dyDescent="0.3">
      <c r="A15" s="536"/>
      <c r="B15" s="499"/>
      <c r="C15" s="526"/>
      <c r="D15" s="55"/>
    </row>
    <row r="16" spans="1:5" ht="15.75" thickBot="1" x14ac:dyDescent="0.3">
      <c r="A16" s="536"/>
      <c r="B16" s="499"/>
      <c r="C16" s="526"/>
      <c r="D16" s="55"/>
    </row>
    <row r="17" spans="1:5" ht="15.75" thickBot="1" x14ac:dyDescent="0.3">
      <c r="A17" s="536"/>
      <c r="B17" s="499"/>
      <c r="C17" s="526"/>
      <c r="D17" s="55"/>
    </row>
    <row r="18" spans="1:5" ht="15.75" thickBot="1" x14ac:dyDescent="0.3">
      <c r="A18" s="536" t="s">
        <v>440</v>
      </c>
      <c r="B18" s="499"/>
      <c r="C18" s="526"/>
      <c r="D18" s="55"/>
    </row>
    <row r="19" spans="1:5" ht="15.75" thickBot="1" x14ac:dyDescent="0.3">
      <c r="A19" s="536"/>
      <c r="B19" s="499"/>
      <c r="C19" s="526"/>
      <c r="D19" s="55"/>
    </row>
    <row r="20" spans="1:5" ht="15.75" thickBot="1" x14ac:dyDescent="0.3">
      <c r="A20" s="536"/>
      <c r="B20" s="499"/>
      <c r="C20" s="526"/>
      <c r="D20" s="55"/>
    </row>
    <row r="21" spans="1:5" ht="15.75" thickBot="1" x14ac:dyDescent="0.3">
      <c r="A21" s="536"/>
      <c r="B21" s="499"/>
      <c r="C21" s="527"/>
      <c r="D21" s="55"/>
    </row>
    <row r="22" spans="1:5" x14ac:dyDescent="0.25">
      <c r="A22" s="521" t="s">
        <v>443</v>
      </c>
      <c r="B22" s="521"/>
      <c r="C22" s="521"/>
      <c r="D22" s="521"/>
    </row>
    <row r="23" spans="1:5" x14ac:dyDescent="0.25">
      <c r="A23" s="522" t="s">
        <v>431</v>
      </c>
      <c r="B23" s="1"/>
      <c r="C23" s="66">
        <f>B23*97.3%</f>
        <v>0</v>
      </c>
      <c r="D23" s="67">
        <v>830304</v>
      </c>
    </row>
    <row r="24" spans="1:5" x14ac:dyDescent="0.25">
      <c r="A24" s="524"/>
      <c r="B24" s="55"/>
      <c r="C24" s="155">
        <f>ROUND(C23*66%,0)</f>
        <v>0</v>
      </c>
      <c r="D24" s="59"/>
    </row>
    <row r="25" spans="1:5" x14ac:dyDescent="0.25">
      <c r="A25" s="522" t="s">
        <v>432</v>
      </c>
      <c r="B25" s="1"/>
      <c r="C25" s="535">
        <f>B25+B26</f>
        <v>0</v>
      </c>
      <c r="D25" s="67">
        <v>91004</v>
      </c>
    </row>
    <row r="26" spans="1:5" x14ac:dyDescent="0.25">
      <c r="A26" s="524"/>
      <c r="B26" s="69">
        <f>C23-C24</f>
        <v>0</v>
      </c>
      <c r="C26" s="527"/>
      <c r="D26" s="55"/>
    </row>
    <row r="27" spans="1:5" x14ac:dyDescent="0.25">
      <c r="A27" s="531" t="s">
        <v>444</v>
      </c>
      <c r="B27" s="531"/>
      <c r="C27" s="531"/>
      <c r="D27" s="531"/>
    </row>
    <row r="28" spans="1:5" x14ac:dyDescent="0.25">
      <c r="A28" s="70" t="s">
        <v>431</v>
      </c>
      <c r="B28" s="52"/>
      <c r="C28" s="55"/>
      <c r="D28" s="71">
        <v>8096</v>
      </c>
    </row>
    <row r="29" spans="1:5" x14ac:dyDescent="0.25">
      <c r="A29" s="522" t="s">
        <v>432</v>
      </c>
      <c r="B29" s="52"/>
      <c r="C29" s="525">
        <f>B29+B30</f>
        <v>0</v>
      </c>
      <c r="D29" s="72">
        <v>766661</v>
      </c>
    </row>
    <row r="30" spans="1:5" x14ac:dyDescent="0.25">
      <c r="A30" s="524"/>
      <c r="B30" s="55"/>
      <c r="C30" s="527"/>
      <c r="D30" s="55"/>
      <c r="E30" s="42" t="s">
        <v>445</v>
      </c>
    </row>
    <row r="31" spans="1:5" x14ac:dyDescent="0.25">
      <c r="A31" s="521" t="s">
        <v>446</v>
      </c>
      <c r="B31" s="521"/>
      <c r="C31" s="521"/>
      <c r="D31" s="521"/>
    </row>
    <row r="32" spans="1:5" x14ac:dyDescent="0.25">
      <c r="A32" s="522" t="s">
        <v>433</v>
      </c>
      <c r="B32" s="73"/>
      <c r="C32" s="535">
        <f>B32+B33</f>
        <v>0</v>
      </c>
      <c r="D32" s="55">
        <v>125506</v>
      </c>
    </row>
    <row r="33" spans="1:5" x14ac:dyDescent="0.25">
      <c r="A33" s="524"/>
      <c r="B33" s="69"/>
      <c r="C33" s="527"/>
      <c r="D33" s="55"/>
    </row>
    <row r="34" spans="1:5" x14ac:dyDescent="0.25">
      <c r="A34" s="522" t="s">
        <v>432</v>
      </c>
      <c r="B34" s="55"/>
      <c r="C34" s="72">
        <f>ROUND(73*90%,0)</f>
        <v>66</v>
      </c>
      <c r="D34" s="55">
        <v>11186</v>
      </c>
    </row>
    <row r="35" spans="1:5" x14ac:dyDescent="0.25">
      <c r="A35" s="524"/>
      <c r="B35" s="55"/>
      <c r="C35" s="68">
        <f>C34-B33</f>
        <v>66</v>
      </c>
      <c r="D35" s="55"/>
    </row>
    <row r="36" spans="1:5" x14ac:dyDescent="0.25">
      <c r="A36" s="522" t="s">
        <v>431</v>
      </c>
      <c r="B36" s="55"/>
      <c r="C36" s="525">
        <f>B36+B37</f>
        <v>0</v>
      </c>
      <c r="D36" s="55">
        <v>723741</v>
      </c>
    </row>
    <row r="37" spans="1:5" x14ac:dyDescent="0.25">
      <c r="A37" s="524"/>
      <c r="B37" s="55"/>
      <c r="C37" s="527"/>
      <c r="D37" s="55">
        <v>557194</v>
      </c>
    </row>
    <row r="38" spans="1:5" x14ac:dyDescent="0.25">
      <c r="A38" s="521" t="s">
        <v>456</v>
      </c>
      <c r="B38" s="521"/>
      <c r="C38" s="521"/>
      <c r="D38" s="531"/>
    </row>
    <row r="39" spans="1:5" x14ac:dyDescent="0.25">
      <c r="A39" s="532" t="s">
        <v>431</v>
      </c>
      <c r="B39" s="52"/>
      <c r="C39" s="533">
        <f>B39+B40</f>
        <v>0</v>
      </c>
      <c r="D39" s="60">
        <v>18774</v>
      </c>
    </row>
    <row r="40" spans="1:5" ht="13.15" customHeight="1" x14ac:dyDescent="0.25">
      <c r="A40" s="532"/>
      <c r="B40" s="52"/>
      <c r="C40" s="534"/>
      <c r="D40" s="60">
        <v>18430</v>
      </c>
    </row>
    <row r="41" spans="1:5" x14ac:dyDescent="0.25">
      <c r="A41" s="70" t="s">
        <v>432</v>
      </c>
      <c r="B41" s="82"/>
      <c r="C41" s="55"/>
      <c r="D41" s="78"/>
      <c r="E41" s="79" t="s">
        <v>208</v>
      </c>
    </row>
    <row r="42" spans="1:5" x14ac:dyDescent="0.25">
      <c r="A42" s="532" t="s">
        <v>433</v>
      </c>
      <c r="B42" s="52"/>
      <c r="C42" s="525">
        <f>B42+B43+B44</f>
        <v>0</v>
      </c>
      <c r="D42" s="55">
        <v>394868</v>
      </c>
    </row>
    <row r="43" spans="1:5" x14ac:dyDescent="0.25">
      <c r="A43" s="532"/>
      <c r="B43" s="52"/>
      <c r="C43" s="526"/>
      <c r="D43" s="55">
        <v>7618</v>
      </c>
    </row>
    <row r="44" spans="1:5" ht="15" customHeight="1" thickBot="1" x14ac:dyDescent="0.3">
      <c r="A44" s="522"/>
      <c r="B44" s="52"/>
      <c r="C44" s="527"/>
      <c r="D44" s="80">
        <v>338570</v>
      </c>
    </row>
    <row r="45" spans="1:5" ht="15.75" thickBot="1" x14ac:dyDescent="0.3">
      <c r="A45" s="528" t="s">
        <v>448</v>
      </c>
      <c r="B45" s="500"/>
      <c r="C45" s="525">
        <f>SUM(B45:B50)</f>
        <v>0</v>
      </c>
      <c r="D45" s="55"/>
    </row>
    <row r="46" spans="1:5" ht="15.75" thickBot="1" x14ac:dyDescent="0.3">
      <c r="A46" s="529"/>
      <c r="B46" s="500"/>
      <c r="C46" s="526"/>
      <c r="D46" s="55"/>
    </row>
    <row r="47" spans="1:5" ht="15.75" thickBot="1" x14ac:dyDescent="0.3">
      <c r="A47" s="529"/>
      <c r="B47" s="500"/>
      <c r="C47" s="526"/>
      <c r="D47" s="55"/>
    </row>
    <row r="48" spans="1:5" ht="15.75" thickBot="1" x14ac:dyDescent="0.3">
      <c r="A48" s="529"/>
      <c r="B48" s="500"/>
      <c r="C48" s="526"/>
      <c r="D48" s="55"/>
    </row>
    <row r="49" spans="1:4" ht="15.75" thickBot="1" x14ac:dyDescent="0.3">
      <c r="A49" s="529"/>
      <c r="B49" s="500"/>
      <c r="C49" s="526"/>
      <c r="D49" s="55"/>
    </row>
    <row r="50" spans="1:4" ht="15.75" thickBot="1" x14ac:dyDescent="0.3">
      <c r="A50" s="530"/>
      <c r="B50" s="500"/>
      <c r="C50" s="527"/>
      <c r="D50" s="55"/>
    </row>
    <row r="51" spans="1:4" x14ac:dyDescent="0.25">
      <c r="A51" s="521" t="s">
        <v>447</v>
      </c>
      <c r="B51" s="521"/>
      <c r="C51" s="521"/>
      <c r="D51" s="521"/>
    </row>
    <row r="52" spans="1:4" x14ac:dyDescent="0.25">
      <c r="A52" s="70" t="s">
        <v>431</v>
      </c>
      <c r="B52" s="73"/>
      <c r="C52" s="55"/>
      <c r="D52" s="55">
        <v>191291</v>
      </c>
    </row>
    <row r="53" spans="1:4" ht="15" customHeight="1" thickBot="1" x14ac:dyDescent="0.3">
      <c r="A53" s="70" t="s">
        <v>433</v>
      </c>
      <c r="B53" s="73"/>
      <c r="C53" s="55"/>
      <c r="D53" s="55">
        <v>179994</v>
      </c>
    </row>
    <row r="54" spans="1:4" ht="15.75" thickBot="1" x14ac:dyDescent="0.3">
      <c r="A54" s="528" t="s">
        <v>448</v>
      </c>
      <c r="B54" s="499"/>
      <c r="C54" s="525">
        <f>SUM(B54:B60)</f>
        <v>0</v>
      </c>
      <c r="D54" s="55"/>
    </row>
    <row r="55" spans="1:4" ht="15.75" thickBot="1" x14ac:dyDescent="0.3">
      <c r="A55" s="529"/>
      <c r="B55" s="499"/>
      <c r="C55" s="526"/>
      <c r="D55" s="55"/>
    </row>
    <row r="56" spans="1:4" ht="15.75" thickBot="1" x14ac:dyDescent="0.3">
      <c r="A56" s="529"/>
      <c r="B56" s="499"/>
      <c r="C56" s="526"/>
      <c r="D56" s="55"/>
    </row>
    <row r="57" spans="1:4" ht="15.75" thickBot="1" x14ac:dyDescent="0.3">
      <c r="A57" s="529"/>
      <c r="B57" s="499"/>
      <c r="C57" s="526"/>
      <c r="D57" s="55"/>
    </row>
    <row r="58" spans="1:4" ht="15.75" thickBot="1" x14ac:dyDescent="0.3">
      <c r="A58" s="529"/>
      <c r="B58" s="499"/>
      <c r="C58" s="526"/>
      <c r="D58" s="55"/>
    </row>
    <row r="59" spans="1:4" ht="15.75" thickBot="1" x14ac:dyDescent="0.3">
      <c r="A59" s="529"/>
      <c r="B59" s="499"/>
      <c r="C59" s="526"/>
      <c r="D59" s="55"/>
    </row>
    <row r="60" spans="1:4" ht="15.75" thickBot="1" x14ac:dyDescent="0.3">
      <c r="A60" s="530"/>
      <c r="B60" s="499"/>
      <c r="C60" s="527"/>
      <c r="D60" s="55"/>
    </row>
    <row r="61" spans="1:4" x14ac:dyDescent="0.25">
      <c r="A61" s="521" t="s">
        <v>449</v>
      </c>
      <c r="B61" s="521"/>
      <c r="C61" s="521"/>
      <c r="D61" s="521"/>
    </row>
    <row r="62" spans="1:4" x14ac:dyDescent="0.25">
      <c r="A62" s="70" t="s">
        <v>431</v>
      </c>
      <c r="B62" s="1"/>
      <c r="C62" s="74">
        <f>B62*33%</f>
        <v>0</v>
      </c>
      <c r="D62" s="55">
        <v>82292</v>
      </c>
    </row>
    <row r="63" spans="1:4" x14ac:dyDescent="0.25">
      <c r="A63" s="75" t="s">
        <v>432</v>
      </c>
      <c r="B63" s="55"/>
      <c r="C63" s="74">
        <f>B62-C64-C62</f>
        <v>0</v>
      </c>
      <c r="D63" s="55"/>
    </row>
    <row r="64" spans="1:4" x14ac:dyDescent="0.25">
      <c r="A64" s="75" t="s">
        <v>433</v>
      </c>
      <c r="B64" s="55"/>
      <c r="C64" s="74">
        <f>B62*42%</f>
        <v>0</v>
      </c>
      <c r="D64" s="55"/>
    </row>
    <row r="65" spans="1:4" x14ac:dyDescent="0.25">
      <c r="A65" s="521" t="s">
        <v>450</v>
      </c>
      <c r="B65" s="521"/>
      <c r="C65" s="521"/>
      <c r="D65" s="521"/>
    </row>
    <row r="66" spans="1:4" x14ac:dyDescent="0.25">
      <c r="A66" s="75" t="s">
        <v>431</v>
      </c>
      <c r="B66" s="55"/>
      <c r="C66" s="76">
        <f>B66*32%</f>
        <v>0</v>
      </c>
      <c r="D66" s="55">
        <v>636422</v>
      </c>
    </row>
    <row r="67" spans="1:4" x14ac:dyDescent="0.25">
      <c r="A67" s="75" t="s">
        <v>432</v>
      </c>
      <c r="B67" s="55"/>
      <c r="C67" s="76">
        <f>B66*48%</f>
        <v>0</v>
      </c>
      <c r="D67" s="55"/>
    </row>
    <row r="68" spans="1:4" ht="17.45" customHeight="1" x14ac:dyDescent="0.25">
      <c r="A68" s="75" t="s">
        <v>433</v>
      </c>
      <c r="B68" s="55"/>
      <c r="C68" s="76">
        <f>B66-C67-C66</f>
        <v>0</v>
      </c>
      <c r="D68" s="55"/>
    </row>
    <row r="69" spans="1:4" x14ac:dyDescent="0.25">
      <c r="A69" s="521" t="s">
        <v>451</v>
      </c>
      <c r="B69" s="521"/>
      <c r="C69" s="521"/>
      <c r="D69" s="521"/>
    </row>
    <row r="70" spans="1:4" x14ac:dyDescent="0.25">
      <c r="A70" s="77" t="s">
        <v>431</v>
      </c>
      <c r="B70" s="52"/>
      <c r="C70" s="59"/>
      <c r="D70" s="59">
        <v>9033</v>
      </c>
    </row>
    <row r="71" spans="1:4" x14ac:dyDescent="0.25">
      <c r="A71" s="77" t="s">
        <v>432</v>
      </c>
      <c r="B71" s="52"/>
      <c r="C71" s="59"/>
      <c r="D71" s="60">
        <v>690284</v>
      </c>
    </row>
    <row r="72" spans="1:4" x14ac:dyDescent="0.25">
      <c r="A72" s="521" t="s">
        <v>452</v>
      </c>
      <c r="B72" s="521"/>
      <c r="C72" s="521"/>
      <c r="D72" s="521"/>
    </row>
    <row r="73" spans="1:4" x14ac:dyDescent="0.25">
      <c r="A73" s="70" t="s">
        <v>431</v>
      </c>
      <c r="B73" s="52"/>
      <c r="C73" s="55"/>
      <c r="D73" s="55">
        <v>458294</v>
      </c>
    </row>
    <row r="74" spans="1:4" x14ac:dyDescent="0.25">
      <c r="A74" s="70" t="s">
        <v>432</v>
      </c>
      <c r="B74" s="52"/>
      <c r="C74" s="55"/>
      <c r="D74" s="55">
        <v>1399</v>
      </c>
    </row>
    <row r="75" spans="1:4" x14ac:dyDescent="0.25">
      <c r="A75" s="522" t="s">
        <v>433</v>
      </c>
      <c r="B75" s="52"/>
      <c r="C75" s="525">
        <f>B75+B76</f>
        <v>0</v>
      </c>
      <c r="D75" s="55">
        <v>45098</v>
      </c>
    </row>
    <row r="76" spans="1:4" x14ac:dyDescent="0.25">
      <c r="A76" s="524"/>
      <c r="B76" s="52"/>
      <c r="C76" s="527"/>
      <c r="D76" s="55">
        <v>5547</v>
      </c>
    </row>
    <row r="77" spans="1:4" ht="15" customHeight="1" x14ac:dyDescent="0.25">
      <c r="A77" s="521" t="s">
        <v>453</v>
      </c>
      <c r="B77" s="521"/>
      <c r="C77" s="521"/>
      <c r="D77" s="521"/>
    </row>
    <row r="78" spans="1:4" x14ac:dyDescent="0.25">
      <c r="A78" s="522" t="s">
        <v>431</v>
      </c>
      <c r="B78" s="55"/>
      <c r="C78" s="525">
        <f>SUM(B78:B80)</f>
        <v>0</v>
      </c>
      <c r="D78" s="55">
        <v>2369185</v>
      </c>
    </row>
    <row r="79" spans="1:4" x14ac:dyDescent="0.25">
      <c r="A79" s="523"/>
      <c r="B79" s="55"/>
      <c r="C79" s="526"/>
      <c r="D79" s="55">
        <v>653960</v>
      </c>
    </row>
    <row r="80" spans="1:4" x14ac:dyDescent="0.25">
      <c r="A80" s="524"/>
      <c r="B80" s="55"/>
      <c r="C80" s="527"/>
      <c r="D80" s="55">
        <v>9097082001552</v>
      </c>
    </row>
    <row r="81" spans="1:5" ht="15.75" thickBot="1" x14ac:dyDescent="0.3">
      <c r="A81" s="522" t="s">
        <v>433</v>
      </c>
      <c r="B81" s="55"/>
      <c r="C81" s="525">
        <f>SUM(B81:B83)</f>
        <v>0</v>
      </c>
      <c r="D81" s="55">
        <v>119210</v>
      </c>
    </row>
    <row r="82" spans="1:5" ht="15.75" thickBot="1" x14ac:dyDescent="0.3">
      <c r="A82" s="523"/>
      <c r="B82" s="55"/>
      <c r="C82" s="526"/>
      <c r="D82" s="55"/>
      <c r="E82" s="83" t="s">
        <v>454</v>
      </c>
    </row>
    <row r="83" spans="1:5" x14ac:dyDescent="0.25">
      <c r="A83" s="524"/>
      <c r="B83" s="55"/>
      <c r="C83" s="527"/>
      <c r="D83" s="55"/>
      <c r="E83" s="42" t="s">
        <v>455</v>
      </c>
    </row>
    <row r="84" spans="1:5" x14ac:dyDescent="0.25">
      <c r="D84" s="42"/>
    </row>
    <row r="85" spans="1:5" x14ac:dyDescent="0.25">
      <c r="D85" s="42"/>
    </row>
  </sheetData>
  <mergeCells count="42">
    <mergeCell ref="A2:D2"/>
    <mergeCell ref="A5:A6"/>
    <mergeCell ref="C5:C6"/>
    <mergeCell ref="A7:A10"/>
    <mergeCell ref="C7:C10"/>
    <mergeCell ref="A18:A21"/>
    <mergeCell ref="A22:D22"/>
    <mergeCell ref="A23:A24"/>
    <mergeCell ref="A25:A26"/>
    <mergeCell ref="C25:C26"/>
    <mergeCell ref="C12:C21"/>
    <mergeCell ref="A14:A17"/>
    <mergeCell ref="A27:D27"/>
    <mergeCell ref="A29:A30"/>
    <mergeCell ref="C29:C30"/>
    <mergeCell ref="A31:D31"/>
    <mergeCell ref="A32:A33"/>
    <mergeCell ref="C32:C33"/>
    <mergeCell ref="A34:A35"/>
    <mergeCell ref="A36:A37"/>
    <mergeCell ref="C36:C37"/>
    <mergeCell ref="C54:C60"/>
    <mergeCell ref="A61:D61"/>
    <mergeCell ref="A45:A50"/>
    <mergeCell ref="C45:C50"/>
    <mergeCell ref="A51:D51"/>
    <mergeCell ref="A54:A60"/>
    <mergeCell ref="A38:D38"/>
    <mergeCell ref="A39:A40"/>
    <mergeCell ref="C39:C40"/>
    <mergeCell ref="A42:A44"/>
    <mergeCell ref="C42:C44"/>
    <mergeCell ref="A65:D65"/>
    <mergeCell ref="A69:D69"/>
    <mergeCell ref="A72:D72"/>
    <mergeCell ref="A81:A83"/>
    <mergeCell ref="C81:C83"/>
    <mergeCell ref="A75:A76"/>
    <mergeCell ref="C75:C76"/>
    <mergeCell ref="A77:D77"/>
    <mergeCell ref="A78:A80"/>
    <mergeCell ref="C78:C80"/>
  </mergeCells>
  <pageMargins left="0.7" right="0.7" top="0.75" bottom="0.75" header="0.3" footer="0.3"/>
  <pageSetup paperSize="9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9"/>
  <sheetViews>
    <sheetView workbookViewId="0">
      <selection activeCell="P2" sqref="P2"/>
    </sheetView>
  </sheetViews>
  <sheetFormatPr defaultRowHeight="15" x14ac:dyDescent="0.25"/>
  <sheetData>
    <row r="1" spans="1:17" ht="15.75" thickBot="1" x14ac:dyDescent="0.3"/>
    <row r="2" spans="1:17" ht="39" thickBot="1" x14ac:dyDescent="0.3">
      <c r="A2" s="195">
        <v>23070</v>
      </c>
      <c r="B2" s="196">
        <v>8</v>
      </c>
      <c r="C2" s="197" t="s">
        <v>568</v>
      </c>
      <c r="D2" s="196">
        <v>17604858</v>
      </c>
      <c r="E2" s="197" t="s">
        <v>645</v>
      </c>
      <c r="F2" s="197">
        <v>2602</v>
      </c>
      <c r="G2" s="198">
        <v>382450</v>
      </c>
      <c r="H2" s="198">
        <v>383746</v>
      </c>
      <c r="I2" s="198">
        <v>1</v>
      </c>
      <c r="J2" s="198">
        <v>3</v>
      </c>
      <c r="K2" s="198"/>
      <c r="L2" s="198">
        <v>4</v>
      </c>
      <c r="M2" s="198"/>
      <c r="N2" s="198">
        <v>4</v>
      </c>
      <c r="O2" s="197" t="s">
        <v>646</v>
      </c>
      <c r="P2" s="199">
        <f>SUM(N2:N9)</f>
        <v>29778</v>
      </c>
      <c r="Q2" s="199"/>
    </row>
    <row r="3" spans="1:17" ht="15.75" thickBot="1" x14ac:dyDescent="0.3">
      <c r="A3" s="195"/>
      <c r="B3" s="196"/>
      <c r="C3" s="197"/>
      <c r="D3" s="196"/>
      <c r="E3" s="197"/>
      <c r="F3" s="197"/>
      <c r="G3" s="198"/>
      <c r="H3" s="198"/>
      <c r="I3" s="198"/>
      <c r="J3" s="198"/>
      <c r="K3" s="198"/>
      <c r="L3" s="198"/>
      <c r="M3" s="198"/>
      <c r="N3" s="198"/>
      <c r="O3" s="197"/>
      <c r="P3" s="199"/>
      <c r="Q3" s="199"/>
    </row>
    <row r="4" spans="1:17" ht="15.75" thickBot="1" x14ac:dyDescent="0.3">
      <c r="A4" s="195"/>
      <c r="B4" s="196"/>
      <c r="C4" s="197"/>
      <c r="D4" s="196"/>
      <c r="E4" s="197"/>
      <c r="F4" s="197"/>
      <c r="G4" s="198"/>
      <c r="H4" s="198"/>
      <c r="I4" s="198"/>
      <c r="J4" s="198"/>
      <c r="K4" s="198"/>
      <c r="L4" s="198"/>
      <c r="M4" s="198"/>
      <c r="N4" s="198"/>
      <c r="O4" s="197"/>
      <c r="P4" s="199"/>
      <c r="Q4" s="199"/>
    </row>
    <row r="5" spans="1:17" ht="15.75" thickBot="1" x14ac:dyDescent="0.3">
      <c r="A5" s="195"/>
      <c r="B5" s="196"/>
      <c r="C5" s="197"/>
      <c r="D5" s="196"/>
      <c r="E5" s="197"/>
      <c r="F5" s="197"/>
      <c r="G5" s="198"/>
      <c r="H5" s="198"/>
      <c r="I5" s="198"/>
      <c r="J5" s="198"/>
      <c r="K5" s="198"/>
      <c r="L5" s="198"/>
      <c r="M5" s="198"/>
      <c r="N5" s="198"/>
      <c r="O5" s="197"/>
      <c r="P5" s="199"/>
      <c r="Q5" s="199"/>
    </row>
    <row r="6" spans="1:17" ht="15.75" thickBot="1" x14ac:dyDescent="0.3">
      <c r="A6" s="195"/>
      <c r="B6" s="196"/>
      <c r="C6" s="197"/>
      <c r="D6" s="196"/>
      <c r="E6" s="197"/>
      <c r="F6" s="197"/>
      <c r="G6" s="198"/>
      <c r="H6" s="198"/>
      <c r="I6" s="198"/>
      <c r="J6" s="198"/>
      <c r="K6" s="198"/>
      <c r="L6" s="198"/>
      <c r="M6" s="198"/>
      <c r="N6" s="198"/>
      <c r="O6" s="197"/>
      <c r="P6" s="199"/>
      <c r="Q6" s="199"/>
    </row>
    <row r="7" spans="1:17" ht="39" thickBot="1" x14ac:dyDescent="0.3">
      <c r="A7" s="195">
        <v>23070</v>
      </c>
      <c r="B7" s="196">
        <v>8</v>
      </c>
      <c r="C7" s="197" t="s">
        <v>568</v>
      </c>
      <c r="D7" s="196">
        <v>17604796</v>
      </c>
      <c r="E7" s="197" t="s">
        <v>645</v>
      </c>
      <c r="F7" s="197">
        <v>2602</v>
      </c>
      <c r="G7" s="198">
        <v>929128</v>
      </c>
      <c r="H7" s="198">
        <v>956850</v>
      </c>
      <c r="I7" s="198">
        <v>1</v>
      </c>
      <c r="J7" s="198">
        <v>3</v>
      </c>
      <c r="K7" s="198"/>
      <c r="L7" s="198">
        <v>4</v>
      </c>
      <c r="M7" s="198"/>
      <c r="N7" s="198">
        <v>4</v>
      </c>
      <c r="O7" s="197" t="s">
        <v>646</v>
      </c>
      <c r="P7" s="199"/>
      <c r="Q7" s="199"/>
    </row>
    <row r="8" spans="1:17" ht="141" thickBot="1" x14ac:dyDescent="0.3">
      <c r="A8" s="195"/>
      <c r="B8" s="196"/>
      <c r="C8" s="197" t="s">
        <v>569</v>
      </c>
      <c r="D8" s="196">
        <v>798155</v>
      </c>
      <c r="E8" s="197" t="s">
        <v>645</v>
      </c>
      <c r="F8" s="197">
        <v>2602</v>
      </c>
      <c r="G8" s="198">
        <v>88708</v>
      </c>
      <c r="H8" s="198">
        <v>113508</v>
      </c>
      <c r="I8" s="198">
        <v>1</v>
      </c>
      <c r="J8" s="198">
        <v>3</v>
      </c>
      <c r="K8" s="198" t="s">
        <v>647</v>
      </c>
      <c r="L8" s="198"/>
      <c r="M8" s="198"/>
      <c r="N8" s="198">
        <v>24800</v>
      </c>
      <c r="O8" s="197"/>
      <c r="P8" s="199"/>
      <c r="Q8" s="199"/>
    </row>
    <row r="9" spans="1:17" ht="39" thickBot="1" x14ac:dyDescent="0.3">
      <c r="A9" s="195">
        <v>23071</v>
      </c>
      <c r="B9" s="196"/>
      <c r="C9" s="197" t="s">
        <v>570</v>
      </c>
      <c r="D9" s="196">
        <v>666349</v>
      </c>
      <c r="E9" s="197" t="s">
        <v>645</v>
      </c>
      <c r="F9" s="197">
        <v>2602</v>
      </c>
      <c r="G9" s="198">
        <v>74719</v>
      </c>
      <c r="H9" s="198">
        <v>79687</v>
      </c>
      <c r="I9" s="198">
        <v>1</v>
      </c>
      <c r="J9" s="198">
        <v>3</v>
      </c>
      <c r="K9" s="198" t="s">
        <v>648</v>
      </c>
      <c r="L9" s="198"/>
      <c r="M9" s="198">
        <v>2</v>
      </c>
      <c r="N9" s="198">
        <v>4970</v>
      </c>
      <c r="O9" s="197" t="s">
        <v>646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E50"/>
  <sheetViews>
    <sheetView zoomScale="75" zoomScaleNormal="75" workbookViewId="0">
      <selection activeCell="P23" sqref="P23"/>
    </sheetView>
  </sheetViews>
  <sheetFormatPr defaultColWidth="15.85546875" defaultRowHeight="17.45" customHeight="1" x14ac:dyDescent="0.3"/>
  <cols>
    <col min="1" max="1" width="10" style="114" customWidth="1"/>
    <col min="2" max="2" width="17.28515625" style="114" customWidth="1"/>
    <col min="3" max="3" width="5.85546875" style="114" customWidth="1"/>
    <col min="4" max="4" width="9.5703125" style="114" customWidth="1"/>
    <col min="5" max="5" width="8.7109375" style="114" customWidth="1"/>
    <col min="6" max="6" width="11.28515625" style="114" customWidth="1"/>
    <col min="7" max="7" width="10.7109375" style="114" customWidth="1"/>
    <col min="8" max="8" width="9.42578125" style="114" customWidth="1"/>
    <col min="9" max="10" width="8.85546875" style="114" customWidth="1"/>
    <col min="11" max="11" width="9" style="114" customWidth="1"/>
    <col min="12" max="12" width="8.7109375" style="114" customWidth="1"/>
    <col min="13" max="13" width="8.42578125" style="114" customWidth="1"/>
    <col min="14" max="15" width="9.28515625" style="114" customWidth="1"/>
    <col min="16" max="16" width="9.42578125" style="114" customWidth="1"/>
    <col min="17" max="17" width="11" style="114" customWidth="1"/>
    <col min="18" max="18" width="17.42578125" style="114" customWidth="1"/>
    <col min="19" max="19" width="18.42578125" style="114" customWidth="1"/>
    <col min="20" max="20" width="15.85546875" style="114"/>
    <col min="21" max="21" width="17.42578125" style="114" customWidth="1"/>
    <col min="22" max="256" width="15.85546875" style="114"/>
    <col min="257" max="257" width="10.28515625" style="114" customWidth="1"/>
    <col min="258" max="258" width="21.7109375" style="114" customWidth="1"/>
    <col min="259" max="259" width="5.85546875" style="114" customWidth="1"/>
    <col min="260" max="270" width="15.85546875" style="114" customWidth="1"/>
    <col min="271" max="271" width="16.85546875" style="114" customWidth="1"/>
    <col min="272" max="272" width="14.28515625" style="114" customWidth="1"/>
    <col min="273" max="273" width="15.85546875" style="114" customWidth="1"/>
    <col min="274" max="512" width="15.85546875" style="114"/>
    <col min="513" max="513" width="10.28515625" style="114" customWidth="1"/>
    <col min="514" max="514" width="21.7109375" style="114" customWidth="1"/>
    <col min="515" max="515" width="5.85546875" style="114" customWidth="1"/>
    <col min="516" max="526" width="15.85546875" style="114" customWidth="1"/>
    <col min="527" max="527" width="16.85546875" style="114" customWidth="1"/>
    <col min="528" max="528" width="14.28515625" style="114" customWidth="1"/>
    <col min="529" max="529" width="15.85546875" style="114" customWidth="1"/>
    <col min="530" max="768" width="15.85546875" style="114"/>
    <col min="769" max="769" width="10.28515625" style="114" customWidth="1"/>
    <col min="770" max="770" width="21.7109375" style="114" customWidth="1"/>
    <col min="771" max="771" width="5.85546875" style="114" customWidth="1"/>
    <col min="772" max="782" width="15.85546875" style="114" customWidth="1"/>
    <col min="783" max="783" width="16.85546875" style="114" customWidth="1"/>
    <col min="784" max="784" width="14.28515625" style="114" customWidth="1"/>
    <col min="785" max="785" width="15.85546875" style="114" customWidth="1"/>
    <col min="786" max="1024" width="15.85546875" style="114"/>
    <col min="1025" max="1025" width="10.28515625" style="114" customWidth="1"/>
    <col min="1026" max="1026" width="21.7109375" style="114" customWidth="1"/>
    <col min="1027" max="1027" width="5.85546875" style="114" customWidth="1"/>
    <col min="1028" max="1038" width="15.85546875" style="114" customWidth="1"/>
    <col min="1039" max="1039" width="16.85546875" style="114" customWidth="1"/>
    <col min="1040" max="1040" width="14.28515625" style="114" customWidth="1"/>
    <col min="1041" max="1041" width="15.85546875" style="114" customWidth="1"/>
    <col min="1042" max="1280" width="15.85546875" style="114"/>
    <col min="1281" max="1281" width="10.28515625" style="114" customWidth="1"/>
    <col min="1282" max="1282" width="21.7109375" style="114" customWidth="1"/>
    <col min="1283" max="1283" width="5.85546875" style="114" customWidth="1"/>
    <col min="1284" max="1294" width="15.85546875" style="114" customWidth="1"/>
    <col min="1295" max="1295" width="16.85546875" style="114" customWidth="1"/>
    <col min="1296" max="1296" width="14.28515625" style="114" customWidth="1"/>
    <col min="1297" max="1297" width="15.85546875" style="114" customWidth="1"/>
    <col min="1298" max="1536" width="15.85546875" style="114"/>
    <col min="1537" max="1537" width="10.28515625" style="114" customWidth="1"/>
    <col min="1538" max="1538" width="21.7109375" style="114" customWidth="1"/>
    <col min="1539" max="1539" width="5.85546875" style="114" customWidth="1"/>
    <col min="1540" max="1550" width="15.85546875" style="114" customWidth="1"/>
    <col min="1551" max="1551" width="16.85546875" style="114" customWidth="1"/>
    <col min="1552" max="1552" width="14.28515625" style="114" customWidth="1"/>
    <col min="1553" max="1553" width="15.85546875" style="114" customWidth="1"/>
    <col min="1554" max="1792" width="15.85546875" style="114"/>
    <col min="1793" max="1793" width="10.28515625" style="114" customWidth="1"/>
    <col min="1794" max="1794" width="21.7109375" style="114" customWidth="1"/>
    <col min="1795" max="1795" width="5.85546875" style="114" customWidth="1"/>
    <col min="1796" max="1806" width="15.85546875" style="114" customWidth="1"/>
    <col min="1807" max="1807" width="16.85546875" style="114" customWidth="1"/>
    <col min="1808" max="1808" width="14.28515625" style="114" customWidth="1"/>
    <col min="1809" max="1809" width="15.85546875" style="114" customWidth="1"/>
    <col min="1810" max="2048" width="15.85546875" style="114"/>
    <col min="2049" max="2049" width="10.28515625" style="114" customWidth="1"/>
    <col min="2050" max="2050" width="21.7109375" style="114" customWidth="1"/>
    <col min="2051" max="2051" width="5.85546875" style="114" customWidth="1"/>
    <col min="2052" max="2062" width="15.85546875" style="114" customWidth="1"/>
    <col min="2063" max="2063" width="16.85546875" style="114" customWidth="1"/>
    <col min="2064" max="2064" width="14.28515625" style="114" customWidth="1"/>
    <col min="2065" max="2065" width="15.85546875" style="114" customWidth="1"/>
    <col min="2066" max="2304" width="15.85546875" style="114"/>
    <col min="2305" max="2305" width="10.28515625" style="114" customWidth="1"/>
    <col min="2306" max="2306" width="21.7109375" style="114" customWidth="1"/>
    <col min="2307" max="2307" width="5.85546875" style="114" customWidth="1"/>
    <col min="2308" max="2318" width="15.85546875" style="114" customWidth="1"/>
    <col min="2319" max="2319" width="16.85546875" style="114" customWidth="1"/>
    <col min="2320" max="2320" width="14.28515625" style="114" customWidth="1"/>
    <col min="2321" max="2321" width="15.85546875" style="114" customWidth="1"/>
    <col min="2322" max="2560" width="15.85546875" style="114"/>
    <col min="2561" max="2561" width="10.28515625" style="114" customWidth="1"/>
    <col min="2562" max="2562" width="21.7109375" style="114" customWidth="1"/>
    <col min="2563" max="2563" width="5.85546875" style="114" customWidth="1"/>
    <col min="2564" max="2574" width="15.85546875" style="114" customWidth="1"/>
    <col min="2575" max="2575" width="16.85546875" style="114" customWidth="1"/>
    <col min="2576" max="2576" width="14.28515625" style="114" customWidth="1"/>
    <col min="2577" max="2577" width="15.85546875" style="114" customWidth="1"/>
    <col min="2578" max="2816" width="15.85546875" style="114"/>
    <col min="2817" max="2817" width="10.28515625" style="114" customWidth="1"/>
    <col min="2818" max="2818" width="21.7109375" style="114" customWidth="1"/>
    <col min="2819" max="2819" width="5.85546875" style="114" customWidth="1"/>
    <col min="2820" max="2830" width="15.85546875" style="114" customWidth="1"/>
    <col min="2831" max="2831" width="16.85546875" style="114" customWidth="1"/>
    <col min="2832" max="2832" width="14.28515625" style="114" customWidth="1"/>
    <col min="2833" max="2833" width="15.85546875" style="114" customWidth="1"/>
    <col min="2834" max="3072" width="15.85546875" style="114"/>
    <col min="3073" max="3073" width="10.28515625" style="114" customWidth="1"/>
    <col min="3074" max="3074" width="21.7109375" style="114" customWidth="1"/>
    <col min="3075" max="3075" width="5.85546875" style="114" customWidth="1"/>
    <col min="3076" max="3086" width="15.85546875" style="114" customWidth="1"/>
    <col min="3087" max="3087" width="16.85546875" style="114" customWidth="1"/>
    <col min="3088" max="3088" width="14.28515625" style="114" customWidth="1"/>
    <col min="3089" max="3089" width="15.85546875" style="114" customWidth="1"/>
    <col min="3090" max="3328" width="15.85546875" style="114"/>
    <col min="3329" max="3329" width="10.28515625" style="114" customWidth="1"/>
    <col min="3330" max="3330" width="21.7109375" style="114" customWidth="1"/>
    <col min="3331" max="3331" width="5.85546875" style="114" customWidth="1"/>
    <col min="3332" max="3342" width="15.85546875" style="114" customWidth="1"/>
    <col min="3343" max="3343" width="16.85546875" style="114" customWidth="1"/>
    <col min="3344" max="3344" width="14.28515625" style="114" customWidth="1"/>
    <col min="3345" max="3345" width="15.85546875" style="114" customWidth="1"/>
    <col min="3346" max="3584" width="15.85546875" style="114"/>
    <col min="3585" max="3585" width="10.28515625" style="114" customWidth="1"/>
    <col min="3586" max="3586" width="21.7109375" style="114" customWidth="1"/>
    <col min="3587" max="3587" width="5.85546875" style="114" customWidth="1"/>
    <col min="3588" max="3598" width="15.85546875" style="114" customWidth="1"/>
    <col min="3599" max="3599" width="16.85546875" style="114" customWidth="1"/>
    <col min="3600" max="3600" width="14.28515625" style="114" customWidth="1"/>
    <col min="3601" max="3601" width="15.85546875" style="114" customWidth="1"/>
    <col min="3602" max="3840" width="15.85546875" style="114"/>
    <col min="3841" max="3841" width="10.28515625" style="114" customWidth="1"/>
    <col min="3842" max="3842" width="21.7109375" style="114" customWidth="1"/>
    <col min="3843" max="3843" width="5.85546875" style="114" customWidth="1"/>
    <col min="3844" max="3854" width="15.85546875" style="114" customWidth="1"/>
    <col min="3855" max="3855" width="16.85546875" style="114" customWidth="1"/>
    <col min="3856" max="3856" width="14.28515625" style="114" customWidth="1"/>
    <col min="3857" max="3857" width="15.85546875" style="114" customWidth="1"/>
    <col min="3858" max="4096" width="15.85546875" style="114"/>
    <col min="4097" max="4097" width="10.28515625" style="114" customWidth="1"/>
    <col min="4098" max="4098" width="21.7109375" style="114" customWidth="1"/>
    <col min="4099" max="4099" width="5.85546875" style="114" customWidth="1"/>
    <col min="4100" max="4110" width="15.85546875" style="114" customWidth="1"/>
    <col min="4111" max="4111" width="16.85546875" style="114" customWidth="1"/>
    <col min="4112" max="4112" width="14.28515625" style="114" customWidth="1"/>
    <col min="4113" max="4113" width="15.85546875" style="114" customWidth="1"/>
    <col min="4114" max="4352" width="15.85546875" style="114"/>
    <col min="4353" max="4353" width="10.28515625" style="114" customWidth="1"/>
    <col min="4354" max="4354" width="21.7109375" style="114" customWidth="1"/>
    <col min="4355" max="4355" width="5.85546875" style="114" customWidth="1"/>
    <col min="4356" max="4366" width="15.85546875" style="114" customWidth="1"/>
    <col min="4367" max="4367" width="16.85546875" style="114" customWidth="1"/>
    <col min="4368" max="4368" width="14.28515625" style="114" customWidth="1"/>
    <col min="4369" max="4369" width="15.85546875" style="114" customWidth="1"/>
    <col min="4370" max="4608" width="15.85546875" style="114"/>
    <col min="4609" max="4609" width="10.28515625" style="114" customWidth="1"/>
    <col min="4610" max="4610" width="21.7109375" style="114" customWidth="1"/>
    <col min="4611" max="4611" width="5.85546875" style="114" customWidth="1"/>
    <col min="4612" max="4622" width="15.85546875" style="114" customWidth="1"/>
    <col min="4623" max="4623" width="16.85546875" style="114" customWidth="1"/>
    <col min="4624" max="4624" width="14.28515625" style="114" customWidth="1"/>
    <col min="4625" max="4625" width="15.85546875" style="114" customWidth="1"/>
    <col min="4626" max="4864" width="15.85546875" style="114"/>
    <col min="4865" max="4865" width="10.28515625" style="114" customWidth="1"/>
    <col min="4866" max="4866" width="21.7109375" style="114" customWidth="1"/>
    <col min="4867" max="4867" width="5.85546875" style="114" customWidth="1"/>
    <col min="4868" max="4878" width="15.85546875" style="114" customWidth="1"/>
    <col min="4879" max="4879" width="16.85546875" style="114" customWidth="1"/>
    <col min="4880" max="4880" width="14.28515625" style="114" customWidth="1"/>
    <col min="4881" max="4881" width="15.85546875" style="114" customWidth="1"/>
    <col min="4882" max="5120" width="15.85546875" style="114"/>
    <col min="5121" max="5121" width="10.28515625" style="114" customWidth="1"/>
    <col min="5122" max="5122" width="21.7109375" style="114" customWidth="1"/>
    <col min="5123" max="5123" width="5.85546875" style="114" customWidth="1"/>
    <col min="5124" max="5134" width="15.85546875" style="114" customWidth="1"/>
    <col min="5135" max="5135" width="16.85546875" style="114" customWidth="1"/>
    <col min="5136" max="5136" width="14.28515625" style="114" customWidth="1"/>
    <col min="5137" max="5137" width="15.85546875" style="114" customWidth="1"/>
    <col min="5138" max="5376" width="15.85546875" style="114"/>
    <col min="5377" max="5377" width="10.28515625" style="114" customWidth="1"/>
    <col min="5378" max="5378" width="21.7109375" style="114" customWidth="1"/>
    <col min="5379" max="5379" width="5.85546875" style="114" customWidth="1"/>
    <col min="5380" max="5390" width="15.85546875" style="114" customWidth="1"/>
    <col min="5391" max="5391" width="16.85546875" style="114" customWidth="1"/>
    <col min="5392" max="5392" width="14.28515625" style="114" customWidth="1"/>
    <col min="5393" max="5393" width="15.85546875" style="114" customWidth="1"/>
    <col min="5394" max="5632" width="15.85546875" style="114"/>
    <col min="5633" max="5633" width="10.28515625" style="114" customWidth="1"/>
    <col min="5634" max="5634" width="21.7109375" style="114" customWidth="1"/>
    <col min="5635" max="5635" width="5.85546875" style="114" customWidth="1"/>
    <col min="5636" max="5646" width="15.85546875" style="114" customWidth="1"/>
    <col min="5647" max="5647" width="16.85546875" style="114" customWidth="1"/>
    <col min="5648" max="5648" width="14.28515625" style="114" customWidth="1"/>
    <col min="5649" max="5649" width="15.85546875" style="114" customWidth="1"/>
    <col min="5650" max="5888" width="15.85546875" style="114"/>
    <col min="5889" max="5889" width="10.28515625" style="114" customWidth="1"/>
    <col min="5890" max="5890" width="21.7109375" style="114" customWidth="1"/>
    <col min="5891" max="5891" width="5.85546875" style="114" customWidth="1"/>
    <col min="5892" max="5902" width="15.85546875" style="114" customWidth="1"/>
    <col min="5903" max="5903" width="16.85546875" style="114" customWidth="1"/>
    <col min="5904" max="5904" width="14.28515625" style="114" customWidth="1"/>
    <col min="5905" max="5905" width="15.85546875" style="114" customWidth="1"/>
    <col min="5906" max="6144" width="15.85546875" style="114"/>
    <col min="6145" max="6145" width="10.28515625" style="114" customWidth="1"/>
    <col min="6146" max="6146" width="21.7109375" style="114" customWidth="1"/>
    <col min="6147" max="6147" width="5.85546875" style="114" customWidth="1"/>
    <col min="6148" max="6158" width="15.85546875" style="114" customWidth="1"/>
    <col min="6159" max="6159" width="16.85546875" style="114" customWidth="1"/>
    <col min="6160" max="6160" width="14.28515625" style="114" customWidth="1"/>
    <col min="6161" max="6161" width="15.85546875" style="114" customWidth="1"/>
    <col min="6162" max="6400" width="15.85546875" style="114"/>
    <col min="6401" max="6401" width="10.28515625" style="114" customWidth="1"/>
    <col min="6402" max="6402" width="21.7109375" style="114" customWidth="1"/>
    <col min="6403" max="6403" width="5.85546875" style="114" customWidth="1"/>
    <col min="6404" max="6414" width="15.85546875" style="114" customWidth="1"/>
    <col min="6415" max="6415" width="16.85546875" style="114" customWidth="1"/>
    <col min="6416" max="6416" width="14.28515625" style="114" customWidth="1"/>
    <col min="6417" max="6417" width="15.85546875" style="114" customWidth="1"/>
    <col min="6418" max="6656" width="15.85546875" style="114"/>
    <col min="6657" max="6657" width="10.28515625" style="114" customWidth="1"/>
    <col min="6658" max="6658" width="21.7109375" style="114" customWidth="1"/>
    <col min="6659" max="6659" width="5.85546875" style="114" customWidth="1"/>
    <col min="6660" max="6670" width="15.85546875" style="114" customWidth="1"/>
    <col min="6671" max="6671" width="16.85546875" style="114" customWidth="1"/>
    <col min="6672" max="6672" width="14.28515625" style="114" customWidth="1"/>
    <col min="6673" max="6673" width="15.85546875" style="114" customWidth="1"/>
    <col min="6674" max="6912" width="15.85546875" style="114"/>
    <col min="6913" max="6913" width="10.28515625" style="114" customWidth="1"/>
    <col min="6914" max="6914" width="21.7109375" style="114" customWidth="1"/>
    <col min="6915" max="6915" width="5.85546875" style="114" customWidth="1"/>
    <col min="6916" max="6926" width="15.85546875" style="114" customWidth="1"/>
    <col min="6927" max="6927" width="16.85546875" style="114" customWidth="1"/>
    <col min="6928" max="6928" width="14.28515625" style="114" customWidth="1"/>
    <col min="6929" max="6929" width="15.85546875" style="114" customWidth="1"/>
    <col min="6930" max="7168" width="15.85546875" style="114"/>
    <col min="7169" max="7169" width="10.28515625" style="114" customWidth="1"/>
    <col min="7170" max="7170" width="21.7109375" style="114" customWidth="1"/>
    <col min="7171" max="7171" width="5.85546875" style="114" customWidth="1"/>
    <col min="7172" max="7182" width="15.85546875" style="114" customWidth="1"/>
    <col min="7183" max="7183" width="16.85546875" style="114" customWidth="1"/>
    <col min="7184" max="7184" width="14.28515625" style="114" customWidth="1"/>
    <col min="7185" max="7185" width="15.85546875" style="114" customWidth="1"/>
    <col min="7186" max="7424" width="15.85546875" style="114"/>
    <col min="7425" max="7425" width="10.28515625" style="114" customWidth="1"/>
    <col min="7426" max="7426" width="21.7109375" style="114" customWidth="1"/>
    <col min="7427" max="7427" width="5.85546875" style="114" customWidth="1"/>
    <col min="7428" max="7438" width="15.85546875" style="114" customWidth="1"/>
    <col min="7439" max="7439" width="16.85546875" style="114" customWidth="1"/>
    <col min="7440" max="7440" width="14.28515625" style="114" customWidth="1"/>
    <col min="7441" max="7441" width="15.85546875" style="114" customWidth="1"/>
    <col min="7442" max="7680" width="15.85546875" style="114"/>
    <col min="7681" max="7681" width="10.28515625" style="114" customWidth="1"/>
    <col min="7682" max="7682" width="21.7109375" style="114" customWidth="1"/>
    <col min="7683" max="7683" width="5.85546875" style="114" customWidth="1"/>
    <col min="7684" max="7694" width="15.85546875" style="114" customWidth="1"/>
    <col min="7695" max="7695" width="16.85546875" style="114" customWidth="1"/>
    <col min="7696" max="7696" width="14.28515625" style="114" customWidth="1"/>
    <col min="7697" max="7697" width="15.85546875" style="114" customWidth="1"/>
    <col min="7698" max="7936" width="15.85546875" style="114"/>
    <col min="7937" max="7937" width="10.28515625" style="114" customWidth="1"/>
    <col min="7938" max="7938" width="21.7109375" style="114" customWidth="1"/>
    <col min="7939" max="7939" width="5.85546875" style="114" customWidth="1"/>
    <col min="7940" max="7950" width="15.85546875" style="114" customWidth="1"/>
    <col min="7951" max="7951" width="16.85546875" style="114" customWidth="1"/>
    <col min="7952" max="7952" width="14.28515625" style="114" customWidth="1"/>
    <col min="7953" max="7953" width="15.85546875" style="114" customWidth="1"/>
    <col min="7954" max="8192" width="15.85546875" style="114"/>
    <col min="8193" max="8193" width="10.28515625" style="114" customWidth="1"/>
    <col min="8194" max="8194" width="21.7109375" style="114" customWidth="1"/>
    <col min="8195" max="8195" width="5.85546875" style="114" customWidth="1"/>
    <col min="8196" max="8206" width="15.85546875" style="114" customWidth="1"/>
    <col min="8207" max="8207" width="16.85546875" style="114" customWidth="1"/>
    <col min="8208" max="8208" width="14.28515625" style="114" customWidth="1"/>
    <col min="8209" max="8209" width="15.85546875" style="114" customWidth="1"/>
    <col min="8210" max="8448" width="15.85546875" style="114"/>
    <col min="8449" max="8449" width="10.28515625" style="114" customWidth="1"/>
    <col min="8450" max="8450" width="21.7109375" style="114" customWidth="1"/>
    <col min="8451" max="8451" width="5.85546875" style="114" customWidth="1"/>
    <col min="8452" max="8462" width="15.85546875" style="114" customWidth="1"/>
    <col min="8463" max="8463" width="16.85546875" style="114" customWidth="1"/>
    <col min="8464" max="8464" width="14.28515625" style="114" customWidth="1"/>
    <col min="8465" max="8465" width="15.85546875" style="114" customWidth="1"/>
    <col min="8466" max="8704" width="15.85546875" style="114"/>
    <col min="8705" max="8705" width="10.28515625" style="114" customWidth="1"/>
    <col min="8706" max="8706" width="21.7109375" style="114" customWidth="1"/>
    <col min="8707" max="8707" width="5.85546875" style="114" customWidth="1"/>
    <col min="8708" max="8718" width="15.85546875" style="114" customWidth="1"/>
    <col min="8719" max="8719" width="16.85546875" style="114" customWidth="1"/>
    <col min="8720" max="8720" width="14.28515625" style="114" customWidth="1"/>
    <col min="8721" max="8721" width="15.85546875" style="114" customWidth="1"/>
    <col min="8722" max="8960" width="15.85546875" style="114"/>
    <col min="8961" max="8961" width="10.28515625" style="114" customWidth="1"/>
    <col min="8962" max="8962" width="21.7109375" style="114" customWidth="1"/>
    <col min="8963" max="8963" width="5.85546875" style="114" customWidth="1"/>
    <col min="8964" max="8974" width="15.85546875" style="114" customWidth="1"/>
    <col min="8975" max="8975" width="16.85546875" style="114" customWidth="1"/>
    <col min="8976" max="8976" width="14.28515625" style="114" customWidth="1"/>
    <col min="8977" max="8977" width="15.85546875" style="114" customWidth="1"/>
    <col min="8978" max="9216" width="15.85546875" style="114"/>
    <col min="9217" max="9217" width="10.28515625" style="114" customWidth="1"/>
    <col min="9218" max="9218" width="21.7109375" style="114" customWidth="1"/>
    <col min="9219" max="9219" width="5.85546875" style="114" customWidth="1"/>
    <col min="9220" max="9230" width="15.85546875" style="114" customWidth="1"/>
    <col min="9231" max="9231" width="16.85546875" style="114" customWidth="1"/>
    <col min="9232" max="9232" width="14.28515625" style="114" customWidth="1"/>
    <col min="9233" max="9233" width="15.85546875" style="114" customWidth="1"/>
    <col min="9234" max="9472" width="15.85546875" style="114"/>
    <col min="9473" max="9473" width="10.28515625" style="114" customWidth="1"/>
    <col min="9474" max="9474" width="21.7109375" style="114" customWidth="1"/>
    <col min="9475" max="9475" width="5.85546875" style="114" customWidth="1"/>
    <col min="9476" max="9486" width="15.85546875" style="114" customWidth="1"/>
    <col min="9487" max="9487" width="16.85546875" style="114" customWidth="1"/>
    <col min="9488" max="9488" width="14.28515625" style="114" customWidth="1"/>
    <col min="9489" max="9489" width="15.85546875" style="114" customWidth="1"/>
    <col min="9490" max="9728" width="15.85546875" style="114"/>
    <col min="9729" max="9729" width="10.28515625" style="114" customWidth="1"/>
    <col min="9730" max="9730" width="21.7109375" style="114" customWidth="1"/>
    <col min="9731" max="9731" width="5.85546875" style="114" customWidth="1"/>
    <col min="9732" max="9742" width="15.85546875" style="114" customWidth="1"/>
    <col min="9743" max="9743" width="16.85546875" style="114" customWidth="1"/>
    <col min="9744" max="9744" width="14.28515625" style="114" customWidth="1"/>
    <col min="9745" max="9745" width="15.85546875" style="114" customWidth="1"/>
    <col min="9746" max="9984" width="15.85546875" style="114"/>
    <col min="9985" max="9985" width="10.28515625" style="114" customWidth="1"/>
    <col min="9986" max="9986" width="21.7109375" style="114" customWidth="1"/>
    <col min="9987" max="9987" width="5.85546875" style="114" customWidth="1"/>
    <col min="9988" max="9998" width="15.85546875" style="114" customWidth="1"/>
    <col min="9999" max="9999" width="16.85546875" style="114" customWidth="1"/>
    <col min="10000" max="10000" width="14.28515625" style="114" customWidth="1"/>
    <col min="10001" max="10001" width="15.85546875" style="114" customWidth="1"/>
    <col min="10002" max="10240" width="15.85546875" style="114"/>
    <col min="10241" max="10241" width="10.28515625" style="114" customWidth="1"/>
    <col min="10242" max="10242" width="21.7109375" style="114" customWidth="1"/>
    <col min="10243" max="10243" width="5.85546875" style="114" customWidth="1"/>
    <col min="10244" max="10254" width="15.85546875" style="114" customWidth="1"/>
    <col min="10255" max="10255" width="16.85546875" style="114" customWidth="1"/>
    <col min="10256" max="10256" width="14.28515625" style="114" customWidth="1"/>
    <col min="10257" max="10257" width="15.85546875" style="114" customWidth="1"/>
    <col min="10258" max="10496" width="15.85546875" style="114"/>
    <col min="10497" max="10497" width="10.28515625" style="114" customWidth="1"/>
    <col min="10498" max="10498" width="21.7109375" style="114" customWidth="1"/>
    <col min="10499" max="10499" width="5.85546875" style="114" customWidth="1"/>
    <col min="10500" max="10510" width="15.85546875" style="114" customWidth="1"/>
    <col min="10511" max="10511" width="16.85546875" style="114" customWidth="1"/>
    <col min="10512" max="10512" width="14.28515625" style="114" customWidth="1"/>
    <col min="10513" max="10513" width="15.85546875" style="114" customWidth="1"/>
    <col min="10514" max="10752" width="15.85546875" style="114"/>
    <col min="10753" max="10753" width="10.28515625" style="114" customWidth="1"/>
    <col min="10754" max="10754" width="21.7109375" style="114" customWidth="1"/>
    <col min="10755" max="10755" width="5.85546875" style="114" customWidth="1"/>
    <col min="10756" max="10766" width="15.85546875" style="114" customWidth="1"/>
    <col min="10767" max="10767" width="16.85546875" style="114" customWidth="1"/>
    <col min="10768" max="10768" width="14.28515625" style="114" customWidth="1"/>
    <col min="10769" max="10769" width="15.85546875" style="114" customWidth="1"/>
    <col min="10770" max="11008" width="15.85546875" style="114"/>
    <col min="11009" max="11009" width="10.28515625" style="114" customWidth="1"/>
    <col min="11010" max="11010" width="21.7109375" style="114" customWidth="1"/>
    <col min="11011" max="11011" width="5.85546875" style="114" customWidth="1"/>
    <col min="11012" max="11022" width="15.85546875" style="114" customWidth="1"/>
    <col min="11023" max="11023" width="16.85546875" style="114" customWidth="1"/>
    <col min="11024" max="11024" width="14.28515625" style="114" customWidth="1"/>
    <col min="11025" max="11025" width="15.85546875" style="114" customWidth="1"/>
    <col min="11026" max="11264" width="15.85546875" style="114"/>
    <col min="11265" max="11265" width="10.28515625" style="114" customWidth="1"/>
    <col min="11266" max="11266" width="21.7109375" style="114" customWidth="1"/>
    <col min="11267" max="11267" width="5.85546875" style="114" customWidth="1"/>
    <col min="11268" max="11278" width="15.85546875" style="114" customWidth="1"/>
    <col min="11279" max="11279" width="16.85546875" style="114" customWidth="1"/>
    <col min="11280" max="11280" width="14.28515625" style="114" customWidth="1"/>
    <col min="11281" max="11281" width="15.85546875" style="114" customWidth="1"/>
    <col min="11282" max="11520" width="15.85546875" style="114"/>
    <col min="11521" max="11521" width="10.28515625" style="114" customWidth="1"/>
    <col min="11522" max="11522" width="21.7109375" style="114" customWidth="1"/>
    <col min="11523" max="11523" width="5.85546875" style="114" customWidth="1"/>
    <col min="11524" max="11534" width="15.85546875" style="114" customWidth="1"/>
    <col min="11535" max="11535" width="16.85546875" style="114" customWidth="1"/>
    <col min="11536" max="11536" width="14.28515625" style="114" customWidth="1"/>
    <col min="11537" max="11537" width="15.85546875" style="114" customWidth="1"/>
    <col min="11538" max="11776" width="15.85546875" style="114"/>
    <col min="11777" max="11777" width="10.28515625" style="114" customWidth="1"/>
    <col min="11778" max="11778" width="21.7109375" style="114" customWidth="1"/>
    <col min="11779" max="11779" width="5.85546875" style="114" customWidth="1"/>
    <col min="11780" max="11790" width="15.85546875" style="114" customWidth="1"/>
    <col min="11791" max="11791" width="16.85546875" style="114" customWidth="1"/>
    <col min="11792" max="11792" width="14.28515625" style="114" customWidth="1"/>
    <col min="11793" max="11793" width="15.85546875" style="114" customWidth="1"/>
    <col min="11794" max="12032" width="15.85546875" style="114"/>
    <col min="12033" max="12033" width="10.28515625" style="114" customWidth="1"/>
    <col min="12034" max="12034" width="21.7109375" style="114" customWidth="1"/>
    <col min="12035" max="12035" width="5.85546875" style="114" customWidth="1"/>
    <col min="12036" max="12046" width="15.85546875" style="114" customWidth="1"/>
    <col min="12047" max="12047" width="16.85546875" style="114" customWidth="1"/>
    <col min="12048" max="12048" width="14.28515625" style="114" customWidth="1"/>
    <col min="12049" max="12049" width="15.85546875" style="114" customWidth="1"/>
    <col min="12050" max="12288" width="15.85546875" style="114"/>
    <col min="12289" max="12289" width="10.28515625" style="114" customWidth="1"/>
    <col min="12290" max="12290" width="21.7109375" style="114" customWidth="1"/>
    <col min="12291" max="12291" width="5.85546875" style="114" customWidth="1"/>
    <col min="12292" max="12302" width="15.85546875" style="114" customWidth="1"/>
    <col min="12303" max="12303" width="16.85546875" style="114" customWidth="1"/>
    <col min="12304" max="12304" width="14.28515625" style="114" customWidth="1"/>
    <col min="12305" max="12305" width="15.85546875" style="114" customWidth="1"/>
    <col min="12306" max="12544" width="15.85546875" style="114"/>
    <col min="12545" max="12545" width="10.28515625" style="114" customWidth="1"/>
    <col min="12546" max="12546" width="21.7109375" style="114" customWidth="1"/>
    <col min="12547" max="12547" width="5.85546875" style="114" customWidth="1"/>
    <col min="12548" max="12558" width="15.85546875" style="114" customWidth="1"/>
    <col min="12559" max="12559" width="16.85546875" style="114" customWidth="1"/>
    <col min="12560" max="12560" width="14.28515625" style="114" customWidth="1"/>
    <col min="12561" max="12561" width="15.85546875" style="114" customWidth="1"/>
    <col min="12562" max="12800" width="15.85546875" style="114"/>
    <col min="12801" max="12801" width="10.28515625" style="114" customWidth="1"/>
    <col min="12802" max="12802" width="21.7109375" style="114" customWidth="1"/>
    <col min="12803" max="12803" width="5.85546875" style="114" customWidth="1"/>
    <col min="12804" max="12814" width="15.85546875" style="114" customWidth="1"/>
    <col min="12815" max="12815" width="16.85546875" style="114" customWidth="1"/>
    <col min="12816" max="12816" width="14.28515625" style="114" customWidth="1"/>
    <col min="12817" max="12817" width="15.85546875" style="114" customWidth="1"/>
    <col min="12818" max="13056" width="15.85546875" style="114"/>
    <col min="13057" max="13057" width="10.28515625" style="114" customWidth="1"/>
    <col min="13058" max="13058" width="21.7109375" style="114" customWidth="1"/>
    <col min="13059" max="13059" width="5.85546875" style="114" customWidth="1"/>
    <col min="13060" max="13070" width="15.85546875" style="114" customWidth="1"/>
    <col min="13071" max="13071" width="16.85546875" style="114" customWidth="1"/>
    <col min="13072" max="13072" width="14.28515625" style="114" customWidth="1"/>
    <col min="13073" max="13073" width="15.85546875" style="114" customWidth="1"/>
    <col min="13074" max="13312" width="15.85546875" style="114"/>
    <col min="13313" max="13313" width="10.28515625" style="114" customWidth="1"/>
    <col min="13314" max="13314" width="21.7109375" style="114" customWidth="1"/>
    <col min="13315" max="13315" width="5.85546875" style="114" customWidth="1"/>
    <col min="13316" max="13326" width="15.85546875" style="114" customWidth="1"/>
    <col min="13327" max="13327" width="16.85546875" style="114" customWidth="1"/>
    <col min="13328" max="13328" width="14.28515625" style="114" customWidth="1"/>
    <col min="13329" max="13329" width="15.85546875" style="114" customWidth="1"/>
    <col min="13330" max="13568" width="15.85546875" style="114"/>
    <col min="13569" max="13569" width="10.28515625" style="114" customWidth="1"/>
    <col min="13570" max="13570" width="21.7109375" style="114" customWidth="1"/>
    <col min="13571" max="13571" width="5.85546875" style="114" customWidth="1"/>
    <col min="13572" max="13582" width="15.85546875" style="114" customWidth="1"/>
    <col min="13583" max="13583" width="16.85546875" style="114" customWidth="1"/>
    <col min="13584" max="13584" width="14.28515625" style="114" customWidth="1"/>
    <col min="13585" max="13585" width="15.85546875" style="114" customWidth="1"/>
    <col min="13586" max="13824" width="15.85546875" style="114"/>
    <col min="13825" max="13825" width="10.28515625" style="114" customWidth="1"/>
    <col min="13826" max="13826" width="21.7109375" style="114" customWidth="1"/>
    <col min="13827" max="13827" width="5.85546875" style="114" customWidth="1"/>
    <col min="13828" max="13838" width="15.85546875" style="114" customWidth="1"/>
    <col min="13839" max="13839" width="16.85546875" style="114" customWidth="1"/>
    <col min="13840" max="13840" width="14.28515625" style="114" customWidth="1"/>
    <col min="13841" max="13841" width="15.85546875" style="114" customWidth="1"/>
    <col min="13842" max="14080" width="15.85546875" style="114"/>
    <col min="14081" max="14081" width="10.28515625" style="114" customWidth="1"/>
    <col min="14082" max="14082" width="21.7109375" style="114" customWidth="1"/>
    <col min="14083" max="14083" width="5.85546875" style="114" customWidth="1"/>
    <col min="14084" max="14094" width="15.85546875" style="114" customWidth="1"/>
    <col min="14095" max="14095" width="16.85546875" style="114" customWidth="1"/>
    <col min="14096" max="14096" width="14.28515625" style="114" customWidth="1"/>
    <col min="14097" max="14097" width="15.85546875" style="114" customWidth="1"/>
    <col min="14098" max="14336" width="15.85546875" style="114"/>
    <col min="14337" max="14337" width="10.28515625" style="114" customWidth="1"/>
    <col min="14338" max="14338" width="21.7109375" style="114" customWidth="1"/>
    <col min="14339" max="14339" width="5.85546875" style="114" customWidth="1"/>
    <col min="14340" max="14350" width="15.85546875" style="114" customWidth="1"/>
    <col min="14351" max="14351" width="16.85546875" style="114" customWidth="1"/>
    <col min="14352" max="14352" width="14.28515625" style="114" customWidth="1"/>
    <col min="14353" max="14353" width="15.85546875" style="114" customWidth="1"/>
    <col min="14354" max="14592" width="15.85546875" style="114"/>
    <col min="14593" max="14593" width="10.28515625" style="114" customWidth="1"/>
    <col min="14594" max="14594" width="21.7109375" style="114" customWidth="1"/>
    <col min="14595" max="14595" width="5.85546875" style="114" customWidth="1"/>
    <col min="14596" max="14606" width="15.85546875" style="114" customWidth="1"/>
    <col min="14607" max="14607" width="16.85546875" style="114" customWidth="1"/>
    <col min="14608" max="14608" width="14.28515625" style="114" customWidth="1"/>
    <col min="14609" max="14609" width="15.85546875" style="114" customWidth="1"/>
    <col min="14610" max="14848" width="15.85546875" style="114"/>
    <col min="14849" max="14849" width="10.28515625" style="114" customWidth="1"/>
    <col min="14850" max="14850" width="21.7109375" style="114" customWidth="1"/>
    <col min="14851" max="14851" width="5.85546875" style="114" customWidth="1"/>
    <col min="14852" max="14862" width="15.85546875" style="114" customWidth="1"/>
    <col min="14863" max="14863" width="16.85546875" style="114" customWidth="1"/>
    <col min="14864" max="14864" width="14.28515625" style="114" customWidth="1"/>
    <col min="14865" max="14865" width="15.85546875" style="114" customWidth="1"/>
    <col min="14866" max="15104" width="15.85546875" style="114"/>
    <col min="15105" max="15105" width="10.28515625" style="114" customWidth="1"/>
    <col min="15106" max="15106" width="21.7109375" style="114" customWidth="1"/>
    <col min="15107" max="15107" width="5.85546875" style="114" customWidth="1"/>
    <col min="15108" max="15118" width="15.85546875" style="114" customWidth="1"/>
    <col min="15119" max="15119" width="16.85546875" style="114" customWidth="1"/>
    <col min="15120" max="15120" width="14.28515625" style="114" customWidth="1"/>
    <col min="15121" max="15121" width="15.85546875" style="114" customWidth="1"/>
    <col min="15122" max="15360" width="15.85546875" style="114"/>
    <col min="15361" max="15361" width="10.28515625" style="114" customWidth="1"/>
    <col min="15362" max="15362" width="21.7109375" style="114" customWidth="1"/>
    <col min="15363" max="15363" width="5.85546875" style="114" customWidth="1"/>
    <col min="15364" max="15374" width="15.85546875" style="114" customWidth="1"/>
    <col min="15375" max="15375" width="16.85546875" style="114" customWidth="1"/>
    <col min="15376" max="15376" width="14.28515625" style="114" customWidth="1"/>
    <col min="15377" max="15377" width="15.85546875" style="114" customWidth="1"/>
    <col min="15378" max="15616" width="15.85546875" style="114"/>
    <col min="15617" max="15617" width="10.28515625" style="114" customWidth="1"/>
    <col min="15618" max="15618" width="21.7109375" style="114" customWidth="1"/>
    <col min="15619" max="15619" width="5.85546875" style="114" customWidth="1"/>
    <col min="15620" max="15630" width="15.85546875" style="114" customWidth="1"/>
    <col min="15631" max="15631" width="16.85546875" style="114" customWidth="1"/>
    <col min="15632" max="15632" width="14.28515625" style="114" customWidth="1"/>
    <col min="15633" max="15633" width="15.85546875" style="114" customWidth="1"/>
    <col min="15634" max="15872" width="15.85546875" style="114"/>
    <col min="15873" max="15873" width="10.28515625" style="114" customWidth="1"/>
    <col min="15874" max="15874" width="21.7109375" style="114" customWidth="1"/>
    <col min="15875" max="15875" width="5.85546875" style="114" customWidth="1"/>
    <col min="15876" max="15886" width="15.85546875" style="114" customWidth="1"/>
    <col min="15887" max="15887" width="16.85546875" style="114" customWidth="1"/>
    <col min="15888" max="15888" width="14.28515625" style="114" customWidth="1"/>
    <col min="15889" max="15889" width="15.85546875" style="114" customWidth="1"/>
    <col min="15890" max="16128" width="15.85546875" style="114"/>
    <col min="16129" max="16129" width="10.28515625" style="114" customWidth="1"/>
    <col min="16130" max="16130" width="21.7109375" style="114" customWidth="1"/>
    <col min="16131" max="16131" width="5.85546875" style="114" customWidth="1"/>
    <col min="16132" max="16142" width="15.85546875" style="114" customWidth="1"/>
    <col min="16143" max="16143" width="16.85546875" style="114" customWidth="1"/>
    <col min="16144" max="16144" width="14.28515625" style="114" customWidth="1"/>
    <col min="16145" max="16145" width="15.85546875" style="114" customWidth="1"/>
    <col min="16146" max="16384" width="15.85546875" style="114"/>
  </cols>
  <sheetData>
    <row r="1" spans="1:31" ht="17.45" customHeight="1" x14ac:dyDescent="0.3">
      <c r="B1" s="115" t="s">
        <v>650</v>
      </c>
      <c r="C1" s="115"/>
      <c r="D1" s="115"/>
      <c r="E1" s="115"/>
      <c r="F1" s="115"/>
      <c r="G1" s="115"/>
      <c r="H1" s="115"/>
      <c r="I1" s="116"/>
      <c r="S1" s="117"/>
      <c r="T1" s="117"/>
      <c r="U1" s="114" t="s">
        <v>649</v>
      </c>
      <c r="V1" s="114">
        <v>651919</v>
      </c>
    </row>
    <row r="2" spans="1:31" ht="17.45" customHeight="1" x14ac:dyDescent="0.3">
      <c r="A2" s="118"/>
      <c r="B2" s="118"/>
      <c r="C2" s="118"/>
      <c r="D2" s="118">
        <v>4</v>
      </c>
      <c r="E2" s="118">
        <v>6</v>
      </c>
      <c r="F2" s="118">
        <v>7</v>
      </c>
      <c r="G2" s="118">
        <v>12</v>
      </c>
      <c r="H2" s="118">
        <v>14</v>
      </c>
      <c r="I2" s="118">
        <v>15</v>
      </c>
      <c r="J2" s="118">
        <v>17</v>
      </c>
      <c r="K2" s="118">
        <v>20</v>
      </c>
      <c r="L2" s="118">
        <v>21</v>
      </c>
      <c r="M2" s="118">
        <v>22</v>
      </c>
      <c r="N2" s="118">
        <v>23</v>
      </c>
      <c r="O2" s="118" t="s">
        <v>457</v>
      </c>
      <c r="P2" s="118" t="s">
        <v>458</v>
      </c>
      <c r="Q2" s="118" t="s">
        <v>122</v>
      </c>
      <c r="S2" s="117"/>
      <c r="T2" s="117"/>
    </row>
    <row r="3" spans="1:31" ht="15.6" customHeight="1" x14ac:dyDescent="0.3">
      <c r="A3" s="110" t="s">
        <v>459</v>
      </c>
      <c r="B3" s="111" t="s">
        <v>460</v>
      </c>
      <c r="C3" s="118" t="s">
        <v>461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4">
        <f>7043</f>
        <v>7043</v>
      </c>
      <c r="S3" s="117">
        <f>651919+177894-328+134</f>
        <v>829619</v>
      </c>
      <c r="T3" s="117"/>
      <c r="U3" s="114">
        <v>51640</v>
      </c>
      <c r="V3" s="114">
        <f>U3+U4</f>
        <v>59057</v>
      </c>
    </row>
    <row r="4" spans="1:31" ht="15.6" customHeight="1" x14ac:dyDescent="0.3">
      <c r="A4" s="110" t="s">
        <v>347</v>
      </c>
      <c r="B4" s="111" t="s">
        <v>462</v>
      </c>
      <c r="C4" s="119" t="s">
        <v>461</v>
      </c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S4" s="117"/>
      <c r="T4" s="117"/>
      <c r="U4" s="114">
        <v>7417</v>
      </c>
    </row>
    <row r="5" spans="1:31" ht="15" customHeight="1" x14ac:dyDescent="0.3">
      <c r="A5" s="110"/>
      <c r="B5" s="111" t="s">
        <v>464</v>
      </c>
      <c r="C5" s="119"/>
      <c r="D5" s="222">
        <v>14539</v>
      </c>
      <c r="E5" s="223">
        <v>9507</v>
      </c>
      <c r="F5" s="222">
        <f>8725</f>
        <v>8725</v>
      </c>
      <c r="G5" s="222">
        <v>11941</v>
      </c>
      <c r="H5" s="222">
        <f>11509</f>
        <v>11509</v>
      </c>
      <c r="I5" s="222">
        <v>5222</v>
      </c>
      <c r="J5" s="223">
        <v>11276</v>
      </c>
      <c r="K5" s="223">
        <v>11901</v>
      </c>
      <c r="L5" s="223">
        <v>9928</v>
      </c>
      <c r="M5" s="222">
        <v>5149</v>
      </c>
      <c r="N5" s="223">
        <v>33783</v>
      </c>
      <c r="O5" s="119"/>
      <c r="P5" s="119"/>
      <c r="Q5" s="119">
        <f>SUM(D5:N5)</f>
        <v>133480</v>
      </c>
      <c r="S5" s="117"/>
      <c r="T5" s="117"/>
    </row>
    <row r="6" spans="1:31" ht="15.6" customHeight="1" x14ac:dyDescent="0.3">
      <c r="A6" s="110"/>
      <c r="B6" s="111" t="s">
        <v>465</v>
      </c>
      <c r="C6" s="119"/>
      <c r="D6" s="222">
        <f>799+3888+1111</f>
        <v>5798</v>
      </c>
      <c r="E6" s="222">
        <f>90</f>
        <v>90</v>
      </c>
      <c r="F6" s="222">
        <v>1944</v>
      </c>
      <c r="G6" s="222"/>
      <c r="H6" s="222">
        <v>2430</v>
      </c>
      <c r="I6" s="222">
        <v>962</v>
      </c>
      <c r="J6" s="222"/>
      <c r="K6" s="222"/>
      <c r="L6" s="222">
        <f>7+647</f>
        <v>654</v>
      </c>
      <c r="M6" s="222"/>
      <c r="N6" s="222"/>
      <c r="O6" s="222"/>
      <c r="P6" s="222"/>
      <c r="Q6" s="222">
        <f>SUM(D6:N6)</f>
        <v>11878</v>
      </c>
      <c r="S6" s="117">
        <f>830113-829813</f>
        <v>300</v>
      </c>
      <c r="T6" s="117"/>
    </row>
    <row r="7" spans="1:31" ht="14.45" customHeight="1" x14ac:dyDescent="0.3">
      <c r="A7" s="110"/>
      <c r="B7" s="111" t="s">
        <v>466</v>
      </c>
      <c r="C7" s="119"/>
      <c r="D7" s="222">
        <v>3906</v>
      </c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>
        <f>D7</f>
        <v>3906</v>
      </c>
      <c r="S7" s="117"/>
      <c r="T7" s="117"/>
    </row>
    <row r="8" spans="1:31" ht="15" customHeight="1" x14ac:dyDescent="0.3">
      <c r="A8" s="110" t="s">
        <v>467</v>
      </c>
      <c r="B8" s="111" t="s">
        <v>468</v>
      </c>
      <c r="C8" s="119" t="s">
        <v>463</v>
      </c>
      <c r="D8" s="222">
        <v>9381</v>
      </c>
      <c r="E8" s="223">
        <v>6543</v>
      </c>
      <c r="F8" s="222">
        <v>3411</v>
      </c>
      <c r="G8" s="222">
        <v>16983</v>
      </c>
      <c r="H8" s="222">
        <v>15365</v>
      </c>
      <c r="I8" s="222">
        <v>9927</v>
      </c>
      <c r="J8" s="223">
        <v>16651</v>
      </c>
      <c r="K8" s="223">
        <v>12751</v>
      </c>
      <c r="L8" s="223">
        <v>7644</v>
      </c>
      <c r="M8" s="222">
        <v>5791</v>
      </c>
      <c r="N8" s="223">
        <v>25160</v>
      </c>
      <c r="O8" s="119"/>
      <c r="P8" s="119"/>
      <c r="Q8" s="119">
        <f>SUM(D8:N8)</f>
        <v>129607</v>
      </c>
      <c r="S8" s="117"/>
      <c r="T8" s="117"/>
    </row>
    <row r="9" spans="1:31" ht="14.45" customHeight="1" x14ac:dyDescent="0.3">
      <c r="A9" s="110">
        <v>2605</v>
      </c>
      <c r="B9" s="111" t="s">
        <v>469</v>
      </c>
      <c r="C9" s="119" t="s">
        <v>463</v>
      </c>
      <c r="D9" s="222">
        <v>263</v>
      </c>
      <c r="E9" s="222">
        <v>261</v>
      </c>
      <c r="F9" s="222">
        <v>270</v>
      </c>
      <c r="G9" s="222">
        <v>835</v>
      </c>
      <c r="H9" s="222">
        <v>57</v>
      </c>
      <c r="I9" s="222">
        <v>488</v>
      </c>
      <c r="J9" s="222">
        <v>168</v>
      </c>
      <c r="K9" s="222">
        <v>114</v>
      </c>
      <c r="L9" s="222">
        <v>358</v>
      </c>
      <c r="M9" s="222">
        <v>193</v>
      </c>
      <c r="N9" s="222">
        <v>532</v>
      </c>
      <c r="O9" s="222"/>
      <c r="P9" s="222">
        <f>R3*14%</f>
        <v>986.0200000000001</v>
      </c>
      <c r="Q9" s="222">
        <f>SUM(D9:P9)</f>
        <v>4525.0200000000004</v>
      </c>
      <c r="S9" s="117" t="s">
        <v>436</v>
      </c>
      <c r="T9" s="117"/>
    </row>
    <row r="10" spans="1:31" ht="15" customHeight="1" x14ac:dyDescent="0.3">
      <c r="A10" s="110">
        <v>2605</v>
      </c>
      <c r="B10" s="111" t="s">
        <v>432</v>
      </c>
      <c r="C10" s="119" t="s">
        <v>463</v>
      </c>
      <c r="D10" s="222">
        <v>67</v>
      </c>
      <c r="E10" s="222">
        <v>139</v>
      </c>
      <c r="F10" s="222">
        <v>319</v>
      </c>
      <c r="G10" s="222">
        <v>60</v>
      </c>
      <c r="H10" s="120">
        <v>128</v>
      </c>
      <c r="I10" s="222"/>
      <c r="J10" s="222">
        <v>95</v>
      </c>
      <c r="K10" s="222">
        <v>171</v>
      </c>
      <c r="L10" s="222">
        <v>166</v>
      </c>
      <c r="M10" s="222">
        <v>248</v>
      </c>
      <c r="N10" s="222"/>
      <c r="O10" s="222"/>
      <c r="P10" s="222"/>
      <c r="Q10" s="222">
        <f>SUM(D10:N10)</f>
        <v>1393</v>
      </c>
      <c r="R10" s="114" t="s">
        <v>493</v>
      </c>
      <c r="S10" s="117">
        <v>61011</v>
      </c>
      <c r="T10" s="117" t="s">
        <v>494</v>
      </c>
      <c r="W10" s="114">
        <v>195</v>
      </c>
      <c r="X10" s="114" t="s">
        <v>495</v>
      </c>
    </row>
    <row r="11" spans="1:31" ht="14.45" customHeight="1" x14ac:dyDescent="0.3">
      <c r="A11" s="110">
        <v>2605</v>
      </c>
      <c r="B11" s="111" t="s">
        <v>470</v>
      </c>
      <c r="C11" s="119" t="s">
        <v>463</v>
      </c>
      <c r="D11" s="222">
        <v>42</v>
      </c>
      <c r="E11" s="222"/>
      <c r="F11" s="222"/>
      <c r="G11" s="222">
        <v>39</v>
      </c>
      <c r="H11" s="222">
        <v>118</v>
      </c>
      <c r="I11" s="222">
        <v>45</v>
      </c>
      <c r="J11" s="222">
        <v>190</v>
      </c>
      <c r="K11" s="222">
        <v>71</v>
      </c>
      <c r="L11" s="222"/>
      <c r="M11" s="222">
        <v>36</v>
      </c>
      <c r="N11" s="222">
        <v>53</v>
      </c>
      <c r="O11" s="222"/>
      <c r="P11" s="222">
        <f>R3-P9-P23-P24</f>
        <v>105.64499999999953</v>
      </c>
      <c r="Q11" s="222">
        <f>SUM(D11:P11)</f>
        <v>699.64499999999953</v>
      </c>
      <c r="S11" s="117"/>
      <c r="T11" s="117"/>
    </row>
    <row r="12" spans="1:31" ht="15.6" customHeight="1" x14ac:dyDescent="0.3">
      <c r="A12" s="110"/>
      <c r="B12" s="111" t="s">
        <v>471</v>
      </c>
      <c r="C12" s="119" t="s">
        <v>463</v>
      </c>
      <c r="D12" s="222"/>
      <c r="E12" s="222"/>
      <c r="F12" s="222"/>
      <c r="G12" s="222"/>
      <c r="H12" s="222"/>
      <c r="I12" s="222"/>
      <c r="J12" s="119"/>
      <c r="K12" s="119"/>
      <c r="L12" s="119"/>
      <c r="M12" s="119"/>
      <c r="N12" s="119"/>
      <c r="O12" s="119"/>
      <c r="P12" s="119"/>
      <c r="Q12" s="119"/>
      <c r="S12" s="117"/>
      <c r="T12" s="117"/>
    </row>
    <row r="13" spans="1:31" ht="17.45" customHeight="1" x14ac:dyDescent="0.3">
      <c r="A13" s="110">
        <v>2605</v>
      </c>
      <c r="B13" s="111"/>
      <c r="C13" s="119" t="s">
        <v>463</v>
      </c>
      <c r="D13" s="222"/>
      <c r="E13" s="222"/>
      <c r="F13" s="222"/>
      <c r="G13" s="222"/>
      <c r="H13" s="222"/>
      <c r="I13" s="222"/>
      <c r="J13" s="119"/>
      <c r="K13" s="119"/>
      <c r="L13" s="119"/>
      <c r="M13" s="119"/>
      <c r="N13" s="119"/>
      <c r="O13" s="119"/>
      <c r="P13" s="119"/>
      <c r="Q13" s="119"/>
      <c r="S13" s="117"/>
      <c r="T13" s="117"/>
    </row>
    <row r="14" spans="1:31" ht="15.6" customHeight="1" x14ac:dyDescent="0.3">
      <c r="A14" s="110">
        <v>2602</v>
      </c>
      <c r="B14" s="111" t="s">
        <v>457</v>
      </c>
      <c r="C14" s="119" t="s">
        <v>463</v>
      </c>
      <c r="D14" s="222"/>
      <c r="E14" s="222"/>
      <c r="F14" s="222"/>
      <c r="G14" s="222"/>
      <c r="H14" s="222"/>
      <c r="I14" s="222"/>
      <c r="J14" s="222"/>
      <c r="K14" s="222"/>
      <c r="L14" s="222"/>
      <c r="M14" s="222"/>
      <c r="N14" s="222"/>
      <c r="O14" s="222"/>
      <c r="P14" s="222"/>
      <c r="Q14" s="222">
        <v>168339</v>
      </c>
      <c r="S14" s="126">
        <v>83</v>
      </c>
      <c r="T14" s="117"/>
    </row>
    <row r="15" spans="1:31" ht="29.45" customHeight="1" x14ac:dyDescent="0.3">
      <c r="A15" s="110">
        <v>2602</v>
      </c>
      <c r="B15" s="112" t="s">
        <v>472</v>
      </c>
      <c r="C15" s="119"/>
      <c r="D15" s="222"/>
      <c r="E15" s="222"/>
      <c r="F15" s="222"/>
      <c r="G15" s="222"/>
      <c r="H15" s="222"/>
      <c r="I15" s="222"/>
      <c r="J15" s="222"/>
      <c r="K15" s="222"/>
      <c r="L15" s="222"/>
      <c r="M15" s="222"/>
      <c r="N15" s="222"/>
      <c r="O15" s="222"/>
      <c r="P15" s="222"/>
      <c r="Q15" s="222">
        <v>218</v>
      </c>
      <c r="S15" s="117"/>
      <c r="T15" s="117"/>
    </row>
    <row r="16" spans="1:31" ht="28.9" customHeight="1" x14ac:dyDescent="0.3">
      <c r="A16" s="110">
        <v>2602</v>
      </c>
      <c r="B16" s="112" t="s">
        <v>473</v>
      </c>
      <c r="C16" s="119"/>
      <c r="D16" s="222"/>
      <c r="E16" s="222"/>
      <c r="F16" s="222"/>
      <c r="G16" s="222"/>
      <c r="H16" s="222"/>
      <c r="I16" s="222"/>
      <c r="J16" s="119"/>
      <c r="K16" s="119"/>
      <c r="L16" s="119"/>
      <c r="M16" s="119"/>
      <c r="N16" s="119"/>
      <c r="O16" s="119"/>
      <c r="P16" s="119"/>
      <c r="Q16" s="119"/>
      <c r="S16" s="2"/>
      <c r="T16" s="2">
        <v>4</v>
      </c>
      <c r="U16" s="2">
        <v>6</v>
      </c>
      <c r="V16" s="2">
        <v>7</v>
      </c>
      <c r="W16" s="2">
        <v>12</v>
      </c>
      <c r="X16" s="2">
        <v>14</v>
      </c>
      <c r="Y16" s="2">
        <v>15</v>
      </c>
      <c r="Z16" s="2">
        <v>17</v>
      </c>
      <c r="AA16" s="2">
        <v>20</v>
      </c>
      <c r="AB16" s="2">
        <v>21</v>
      </c>
      <c r="AC16" s="2">
        <v>22</v>
      </c>
      <c r="AD16" s="2">
        <v>23</v>
      </c>
      <c r="AE16" s="2" t="s">
        <v>611</v>
      </c>
    </row>
    <row r="17" spans="1:31" ht="15.6" customHeight="1" x14ac:dyDescent="0.3">
      <c r="A17" s="110">
        <v>2602</v>
      </c>
      <c r="B17" s="113" t="s">
        <v>474</v>
      </c>
      <c r="C17" s="119" t="s">
        <v>463</v>
      </c>
      <c r="D17" s="222"/>
      <c r="E17" s="222"/>
      <c r="F17" s="222"/>
      <c r="G17" s="222"/>
      <c r="H17" s="222"/>
      <c r="I17" s="222"/>
      <c r="J17" s="222"/>
      <c r="K17" s="222"/>
      <c r="L17" s="222"/>
      <c r="M17" s="222"/>
      <c r="N17" s="222"/>
      <c r="O17" s="222"/>
      <c r="P17" s="222"/>
      <c r="Q17" s="222">
        <v>29778</v>
      </c>
      <c r="S17" s="2" t="s">
        <v>612</v>
      </c>
      <c r="T17" s="2">
        <v>1148.1647</v>
      </c>
      <c r="U17" s="2">
        <v>713.59199999999998</v>
      </c>
      <c r="V17" s="2">
        <v>485.3073</v>
      </c>
      <c r="W17" s="2">
        <v>1359.4531999999999</v>
      </c>
      <c r="X17" s="2">
        <v>865.68430000000001</v>
      </c>
      <c r="Y17" s="2">
        <v>728.08939999999996</v>
      </c>
      <c r="Z17" s="2">
        <v>587.57529999999997</v>
      </c>
      <c r="AA17" s="2">
        <v>812.69830000000002</v>
      </c>
      <c r="AB17" s="2">
        <v>1019.8828999999999</v>
      </c>
      <c r="AC17" s="2">
        <v>678.52279999999996</v>
      </c>
      <c r="AD17" s="2">
        <v>1313.2276999999999</v>
      </c>
      <c r="AE17" s="2">
        <v>10993.697899999999</v>
      </c>
    </row>
    <row r="18" spans="1:31" ht="27.6" customHeight="1" x14ac:dyDescent="0.3">
      <c r="A18" s="110" t="s">
        <v>475</v>
      </c>
      <c r="B18" s="111" t="s">
        <v>476</v>
      </c>
      <c r="C18" s="119" t="s">
        <v>463</v>
      </c>
      <c r="D18" s="222"/>
      <c r="E18" s="222"/>
      <c r="F18" s="222"/>
      <c r="G18" s="222"/>
      <c r="H18" s="222"/>
      <c r="I18" s="222"/>
      <c r="J18" s="222"/>
      <c r="K18" s="222"/>
      <c r="L18" s="222"/>
      <c r="M18" s="222"/>
      <c r="N18" s="222"/>
      <c r="O18" s="222"/>
      <c r="P18" s="222"/>
      <c r="Q18" s="222">
        <v>4218</v>
      </c>
      <c r="S18" s="2" t="s">
        <v>613</v>
      </c>
      <c r="T18" s="2">
        <v>89.64</v>
      </c>
      <c r="U18" s="2">
        <v>15</v>
      </c>
      <c r="V18" s="2">
        <v>7.0441000000000003</v>
      </c>
      <c r="W18" s="2"/>
      <c r="X18" s="2">
        <v>22</v>
      </c>
      <c r="Y18" s="2">
        <v>18.399999999999999</v>
      </c>
      <c r="Z18" s="2"/>
      <c r="AA18" s="2"/>
      <c r="AB18" s="2"/>
      <c r="AC18" s="2"/>
      <c r="AD18" s="2"/>
      <c r="AE18" s="2">
        <v>162.7499</v>
      </c>
    </row>
    <row r="19" spans="1:31" ht="15.6" customHeight="1" x14ac:dyDescent="0.3">
      <c r="A19" s="110">
        <v>2502</v>
      </c>
      <c r="B19" s="111" t="s">
        <v>477</v>
      </c>
      <c r="C19" s="119" t="s">
        <v>463</v>
      </c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>
        <v>105824</v>
      </c>
      <c r="S19" s="2" t="s">
        <v>614</v>
      </c>
      <c r="T19" s="2">
        <v>39.892400000000002</v>
      </c>
      <c r="U19" s="2">
        <v>31.366399999999999</v>
      </c>
      <c r="V19" s="2">
        <v>2.9129999999999998</v>
      </c>
      <c r="W19" s="2">
        <v>12.2654</v>
      </c>
      <c r="X19" s="2">
        <v>9.8558000000000003</v>
      </c>
      <c r="Y19" s="2">
        <v>5.3682999999999996</v>
      </c>
      <c r="Z19" s="2">
        <v>14.9526</v>
      </c>
      <c r="AA19" s="2">
        <v>49.525599999999997</v>
      </c>
      <c r="AB19" s="2">
        <v>13.736499999999999</v>
      </c>
      <c r="AC19" s="2">
        <v>88.991100000000003</v>
      </c>
      <c r="AD19" s="2">
        <v>25.654599999999999</v>
      </c>
      <c r="AE19" s="2">
        <v>1466.8367000000001</v>
      </c>
    </row>
    <row r="20" spans="1:31" ht="15.6" customHeight="1" x14ac:dyDescent="0.3">
      <c r="A20" s="110"/>
      <c r="B20" s="111" t="s">
        <v>478</v>
      </c>
      <c r="C20" s="119" t="s">
        <v>463</v>
      </c>
      <c r="D20" s="222"/>
      <c r="E20" s="222"/>
      <c r="F20" s="222"/>
      <c r="G20" s="222"/>
      <c r="H20" s="222"/>
      <c r="I20" s="222"/>
      <c r="J20" s="119"/>
      <c r="K20" s="119"/>
      <c r="L20" s="119"/>
      <c r="M20" s="119"/>
      <c r="N20" s="119"/>
      <c r="O20" s="119"/>
      <c r="P20" s="119"/>
      <c r="Q20" s="119"/>
      <c r="S20" s="2" t="s">
        <v>615</v>
      </c>
      <c r="T20" s="2"/>
      <c r="U20" s="2">
        <v>1.6094999999999999</v>
      </c>
      <c r="V20" s="2"/>
      <c r="W20" s="2"/>
      <c r="X20" s="2"/>
      <c r="Y20" s="2">
        <v>0.37869999999999998</v>
      </c>
      <c r="Z20" s="2">
        <v>0.80079999999999996</v>
      </c>
      <c r="AA20" s="2">
        <v>0.1615</v>
      </c>
      <c r="AB20" s="2"/>
      <c r="AC20" s="2"/>
      <c r="AD20" s="2"/>
      <c r="AE20" s="2">
        <v>20.472799999999999</v>
      </c>
    </row>
    <row r="21" spans="1:31" ht="15.6" customHeight="1" x14ac:dyDescent="0.3">
      <c r="A21" s="110"/>
      <c r="B21" s="111" t="s">
        <v>479</v>
      </c>
      <c r="C21" s="119" t="s">
        <v>463</v>
      </c>
      <c r="D21" s="222">
        <v>28529</v>
      </c>
      <c r="E21" s="222">
        <v>13281</v>
      </c>
      <c r="F21" s="222">
        <v>5234</v>
      </c>
      <c r="G21" s="222">
        <f>104+2966</f>
        <v>3070</v>
      </c>
      <c r="H21" s="222">
        <v>1519</v>
      </c>
      <c r="I21" s="222">
        <f>176</f>
        <v>176</v>
      </c>
      <c r="J21" s="120">
        <f>130+6878</f>
        <v>7008</v>
      </c>
      <c r="K21" s="222">
        <f>175+148+5071</f>
        <v>5394</v>
      </c>
      <c r="L21" s="222">
        <v>1489</v>
      </c>
      <c r="M21" s="222">
        <f>10+432</f>
        <v>442</v>
      </c>
      <c r="N21" s="222">
        <f>222+8031</f>
        <v>8253</v>
      </c>
      <c r="O21" s="222"/>
      <c r="P21" s="222"/>
      <c r="Q21" s="222">
        <f>SUM(D21:N21)</f>
        <v>74395</v>
      </c>
      <c r="S21" s="2" t="s">
        <v>616</v>
      </c>
      <c r="T21" s="2">
        <v>0.49830000000000002</v>
      </c>
      <c r="U21" s="2"/>
      <c r="V21" s="2"/>
      <c r="W21" s="2">
        <v>0.47339999999999999</v>
      </c>
      <c r="X21" s="2">
        <v>1.3871</v>
      </c>
      <c r="Y21" s="2"/>
      <c r="Z21" s="2">
        <v>1.91</v>
      </c>
      <c r="AA21" s="2"/>
      <c r="AB21" s="2">
        <v>2.1776</v>
      </c>
      <c r="AC21" s="2"/>
      <c r="AD21" s="2"/>
      <c r="AE21" s="2">
        <v>14.4435</v>
      </c>
    </row>
    <row r="22" spans="1:31" ht="15" customHeight="1" x14ac:dyDescent="0.3">
      <c r="A22" s="110"/>
      <c r="B22" s="111" t="s">
        <v>480</v>
      </c>
      <c r="C22" s="119" t="s">
        <v>463</v>
      </c>
      <c r="D22" s="222">
        <v>11363</v>
      </c>
      <c r="E22" s="222">
        <v>7802</v>
      </c>
      <c r="F22" s="222">
        <v>4437</v>
      </c>
      <c r="G22" s="222">
        <v>11005</v>
      </c>
      <c r="H22" s="222">
        <v>3749</v>
      </c>
      <c r="I22" s="222">
        <v>473</v>
      </c>
      <c r="J22" s="222">
        <v>800</v>
      </c>
      <c r="K22" s="222">
        <v>6207</v>
      </c>
      <c r="L22" s="222">
        <v>7293</v>
      </c>
      <c r="M22" s="222">
        <v>24389</v>
      </c>
      <c r="N22" s="222">
        <v>516</v>
      </c>
      <c r="O22" s="222"/>
      <c r="P22" s="222"/>
      <c r="Q22" s="222">
        <f>SUM(D22:N22)</f>
        <v>78034</v>
      </c>
      <c r="S22" s="2" t="s">
        <v>617</v>
      </c>
      <c r="T22" s="2">
        <v>0.95079999999999998</v>
      </c>
      <c r="U22" s="2"/>
      <c r="V22" s="2">
        <v>0.25230000000000002</v>
      </c>
      <c r="W22" s="2">
        <v>1.3694</v>
      </c>
      <c r="X22" s="2">
        <v>0.16400000000000001</v>
      </c>
      <c r="Y22" s="2">
        <v>0.18940000000000001</v>
      </c>
      <c r="Z22" s="2">
        <v>0.47339999999999999</v>
      </c>
      <c r="AA22" s="2"/>
      <c r="AB22" s="2"/>
      <c r="AC22" s="2"/>
      <c r="AD22" s="2"/>
      <c r="AE22" s="2">
        <v>22.6326</v>
      </c>
    </row>
    <row r="23" spans="1:31" ht="17.45" customHeight="1" x14ac:dyDescent="0.3">
      <c r="A23" s="110">
        <v>2605</v>
      </c>
      <c r="B23" s="111" t="s">
        <v>481</v>
      </c>
      <c r="C23" s="119" t="s">
        <v>463</v>
      </c>
      <c r="D23" s="222"/>
      <c r="E23" s="222"/>
      <c r="F23" s="222"/>
      <c r="G23" s="222"/>
      <c r="H23" s="222"/>
      <c r="I23" s="222"/>
      <c r="J23" s="222"/>
      <c r="K23" s="222"/>
      <c r="L23" s="222"/>
      <c r="M23" s="222"/>
      <c r="N23" s="222"/>
      <c r="O23" s="222"/>
      <c r="P23" s="222">
        <f>R3*18.5%</f>
        <v>1302.9549999999999</v>
      </c>
      <c r="Q23" s="222">
        <f>P23</f>
        <v>1302.9549999999999</v>
      </c>
      <c r="S23" s="141" t="s">
        <v>618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>
        <v>6.68</v>
      </c>
    </row>
    <row r="24" spans="1:31" ht="26.45" customHeight="1" x14ac:dyDescent="0.3">
      <c r="A24" s="110" t="s">
        <v>482</v>
      </c>
      <c r="B24" s="111" t="s">
        <v>483</v>
      </c>
      <c r="C24" s="119" t="s">
        <v>463</v>
      </c>
      <c r="D24" s="222"/>
      <c r="E24" s="222"/>
      <c r="F24" s="222"/>
      <c r="G24" s="222"/>
      <c r="H24" s="222"/>
      <c r="I24" s="222"/>
      <c r="J24" s="222"/>
      <c r="K24" s="222"/>
      <c r="L24" s="222"/>
      <c r="M24" s="222"/>
      <c r="N24" s="222"/>
      <c r="O24" s="222"/>
      <c r="P24" s="222">
        <f>R3*66%</f>
        <v>4648.38</v>
      </c>
      <c r="Q24" s="222">
        <f>P24</f>
        <v>4648.38</v>
      </c>
      <c r="S24" s="2" t="s">
        <v>619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>
        <v>13901.9799</v>
      </c>
    </row>
    <row r="25" spans="1:31" ht="15.6" customHeight="1" x14ac:dyDescent="0.3">
      <c r="A25" s="110"/>
      <c r="B25" s="111" t="s">
        <v>484</v>
      </c>
      <c r="C25" s="119" t="s">
        <v>463</v>
      </c>
      <c r="D25" s="222">
        <v>782</v>
      </c>
      <c r="E25" s="222"/>
      <c r="F25" s="222"/>
      <c r="G25" s="222"/>
      <c r="H25" s="222">
        <v>685</v>
      </c>
      <c r="I25" s="222">
        <v>1469</v>
      </c>
      <c r="J25" s="222"/>
      <c r="K25" s="222"/>
      <c r="L25" s="222"/>
      <c r="M25" s="222"/>
      <c r="N25" s="222"/>
      <c r="O25" s="222"/>
      <c r="P25" s="222"/>
      <c r="Q25" s="222">
        <f>SUM(D25:N25)</f>
        <v>2936</v>
      </c>
      <c r="S25" s="2" t="s">
        <v>620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>
        <v>183.46430000000001</v>
      </c>
    </row>
    <row r="26" spans="1:31" ht="15" customHeight="1" x14ac:dyDescent="0.3">
      <c r="A26" s="110"/>
      <c r="B26" s="111" t="s">
        <v>485</v>
      </c>
      <c r="C26" s="119" t="s">
        <v>463</v>
      </c>
      <c r="D26" s="224">
        <f>7866+15370+1887+13177</f>
        <v>38300</v>
      </c>
      <c r="E26" s="225">
        <f>8525</f>
        <v>8525</v>
      </c>
      <c r="F26" s="222">
        <v>4046</v>
      </c>
      <c r="G26" s="222">
        <v>65</v>
      </c>
      <c r="H26" s="222">
        <v>8882</v>
      </c>
      <c r="I26" s="222">
        <v>10157</v>
      </c>
      <c r="J26" s="222"/>
      <c r="K26" s="222"/>
      <c r="L26" s="222">
        <f>3496</f>
        <v>3496</v>
      </c>
      <c r="M26" s="222"/>
      <c r="N26" s="222"/>
      <c r="O26" s="222"/>
      <c r="P26" s="222"/>
      <c r="Q26" s="222">
        <f>SUM(D26:N26)</f>
        <v>73471</v>
      </c>
      <c r="S26" s="142" t="s">
        <v>621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>
        <v>0.14449999999999999</v>
      </c>
    </row>
    <row r="27" spans="1:31" ht="15" customHeight="1" x14ac:dyDescent="0.3">
      <c r="A27" s="110"/>
      <c r="B27" s="122" t="s">
        <v>486</v>
      </c>
      <c r="C27" s="119" t="s">
        <v>463</v>
      </c>
      <c r="D27" s="222"/>
      <c r="E27" s="222"/>
      <c r="F27" s="222"/>
      <c r="G27" s="222"/>
      <c r="H27" s="222"/>
      <c r="I27" s="222"/>
      <c r="J27" s="222"/>
      <c r="K27" s="222"/>
      <c r="L27" s="222"/>
      <c r="M27" s="222"/>
      <c r="N27" s="222"/>
      <c r="O27" s="222"/>
      <c r="P27" s="222"/>
      <c r="Q27" s="222"/>
      <c r="S27" s="2" t="s">
        <v>622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>
        <v>43.824100000000001</v>
      </c>
    </row>
    <row r="28" spans="1:31" ht="15.6" customHeight="1" x14ac:dyDescent="0.3">
      <c r="A28" s="110"/>
      <c r="B28" s="111" t="s">
        <v>487</v>
      </c>
      <c r="C28" s="119" t="s">
        <v>463</v>
      </c>
      <c r="D28" s="222"/>
      <c r="E28" s="222"/>
      <c r="F28" s="222"/>
      <c r="G28" s="222"/>
      <c r="H28" s="222"/>
      <c r="I28" s="222"/>
      <c r="J28" s="222"/>
      <c r="K28" s="222"/>
      <c r="L28" s="222"/>
      <c r="M28" s="222"/>
      <c r="N28" s="222"/>
      <c r="O28" s="222"/>
      <c r="P28" s="222"/>
      <c r="Q28" s="222">
        <v>1281</v>
      </c>
      <c r="S28" s="2" t="s">
        <v>623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>
        <v>127.0878</v>
      </c>
    </row>
    <row r="29" spans="1:31" ht="17.45" customHeight="1" x14ac:dyDescent="0.3">
      <c r="A29" s="118"/>
      <c r="B29" s="554" t="s">
        <v>488</v>
      </c>
      <c r="C29" s="555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21">
        <f>SUM(Q5:Q28)</f>
        <v>829934</v>
      </c>
      <c r="S29" s="142" t="s">
        <v>624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>
        <v>288.33620000000002</v>
      </c>
    </row>
    <row r="30" spans="1:31" ht="17.45" customHeight="1" x14ac:dyDescent="0.3">
      <c r="B30" s="114" t="s">
        <v>489</v>
      </c>
      <c r="G30" s="556" t="s">
        <v>653</v>
      </c>
      <c r="H30" s="556"/>
      <c r="I30" s="556"/>
      <c r="J30" s="556"/>
      <c r="K30" s="556"/>
      <c r="L30" s="556"/>
      <c r="M30" s="556"/>
      <c r="N30" s="556"/>
      <c r="O30" s="556"/>
      <c r="P30" s="556"/>
      <c r="Q30" s="128"/>
      <c r="S30" s="2" t="s">
        <v>625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>
        <v>8.1767000000000003</v>
      </c>
    </row>
    <row r="31" spans="1:31" ht="17.45" customHeight="1" x14ac:dyDescent="0.3">
      <c r="B31" s="123" t="s">
        <v>579</v>
      </c>
      <c r="H31" s="123" t="s">
        <v>215</v>
      </c>
      <c r="Q31" s="127"/>
      <c r="S31" s="142" t="s">
        <v>626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>
        <v>2.15</v>
      </c>
    </row>
    <row r="32" spans="1:31" ht="17.45" customHeight="1" thickBot="1" x14ac:dyDescent="0.35">
      <c r="C32" s="117"/>
      <c r="D32" s="117"/>
      <c r="E32" s="117"/>
      <c r="F32" s="117"/>
      <c r="G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2" t="s">
        <v>627</v>
      </c>
      <c r="T32" s="2">
        <v>0.82799999999999996</v>
      </c>
      <c r="U32" s="2">
        <v>0.58299999999999996</v>
      </c>
      <c r="V32" s="2">
        <v>0.45600000000000002</v>
      </c>
      <c r="W32" s="2">
        <v>0.96</v>
      </c>
      <c r="X32" s="2">
        <v>0.98</v>
      </c>
      <c r="Y32" s="2">
        <v>0.47199999999999998</v>
      </c>
      <c r="Z32" s="2">
        <v>0.86799999999999999</v>
      </c>
      <c r="AA32" s="2">
        <v>0.96099999999999997</v>
      </c>
      <c r="AB32" s="2">
        <v>0.71099999999999997</v>
      </c>
      <c r="AC32" s="2">
        <v>0.34799999999999998</v>
      </c>
      <c r="AD32" s="2">
        <v>1.038</v>
      </c>
      <c r="AE32" s="2">
        <v>8.2050000000000001</v>
      </c>
    </row>
    <row r="33" spans="1:31" ht="17.45" customHeight="1" thickBot="1" x14ac:dyDescent="0.35">
      <c r="A33" s="238" t="s">
        <v>580</v>
      </c>
      <c r="B33" s="235" t="s">
        <v>581</v>
      </c>
      <c r="C33" s="557" t="s">
        <v>582</v>
      </c>
      <c r="D33" s="558"/>
      <c r="E33" s="558"/>
      <c r="F33" s="558"/>
      <c r="G33" s="559"/>
      <c r="H33" s="557" t="s">
        <v>583</v>
      </c>
      <c r="I33" s="558"/>
      <c r="J33" s="558"/>
      <c r="K33" s="558"/>
      <c r="L33" s="559"/>
      <c r="M33" s="117"/>
      <c r="N33" s="117"/>
      <c r="O33" s="117"/>
      <c r="P33" s="117"/>
      <c r="Q33" s="117"/>
      <c r="S33" s="2" t="s">
        <v>628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>
        <v>12.0405</v>
      </c>
    </row>
    <row r="34" spans="1:31" ht="17.45" customHeight="1" x14ac:dyDescent="0.3">
      <c r="A34" s="129" t="s">
        <v>584</v>
      </c>
      <c r="B34" s="236" t="s">
        <v>585</v>
      </c>
      <c r="C34" s="560" t="s">
        <v>586</v>
      </c>
      <c r="D34" s="561"/>
      <c r="E34" s="562"/>
      <c r="F34" s="236" t="s">
        <v>587</v>
      </c>
      <c r="G34" s="236" t="s">
        <v>588</v>
      </c>
      <c r="H34" s="560" t="s">
        <v>586</v>
      </c>
      <c r="I34" s="561"/>
      <c r="J34" s="562"/>
      <c r="K34" s="236" t="s">
        <v>587</v>
      </c>
      <c r="L34" s="236" t="s">
        <v>588</v>
      </c>
      <c r="M34" s="117"/>
      <c r="N34" s="117"/>
      <c r="O34" s="117"/>
      <c r="P34" s="117"/>
      <c r="Q34" s="117"/>
      <c r="R34" s="117"/>
      <c r="S34" s="2">
        <v>76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>
        <v>60.945900000000002</v>
      </c>
      <c r="AE34" s="2">
        <v>2.2018</v>
      </c>
    </row>
    <row r="35" spans="1:31" ht="17.45" customHeight="1" x14ac:dyDescent="0.3">
      <c r="A35" s="130"/>
      <c r="B35" s="131"/>
      <c r="C35" s="563"/>
      <c r="D35" s="564"/>
      <c r="E35" s="565"/>
      <c r="F35" s="236" t="s">
        <v>589</v>
      </c>
      <c r="G35" s="236" t="s">
        <v>590</v>
      </c>
      <c r="H35" s="563"/>
      <c r="I35" s="564"/>
      <c r="J35" s="565"/>
      <c r="K35" s="236" t="s">
        <v>589</v>
      </c>
      <c r="L35" s="236" t="s">
        <v>590</v>
      </c>
      <c r="M35" s="117"/>
      <c r="N35" s="117"/>
      <c r="O35" s="117"/>
      <c r="P35" s="117"/>
      <c r="Q35" s="117"/>
      <c r="R35" s="117"/>
      <c r="S35" s="2" t="s">
        <v>629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>
        <v>0</v>
      </c>
    </row>
    <row r="36" spans="1:31" ht="17.45" customHeight="1" thickBot="1" x14ac:dyDescent="0.35">
      <c r="A36" s="130"/>
      <c r="B36" s="131"/>
      <c r="C36" s="566"/>
      <c r="D36" s="567"/>
      <c r="E36" s="568"/>
      <c r="F36" s="131"/>
      <c r="G36" s="236" t="s">
        <v>591</v>
      </c>
      <c r="H36" s="566"/>
      <c r="I36" s="567"/>
      <c r="J36" s="568"/>
      <c r="K36" s="131"/>
      <c r="L36" s="236" t="s">
        <v>591</v>
      </c>
      <c r="M36" s="117"/>
      <c r="N36" s="117"/>
      <c r="O36" s="117"/>
      <c r="P36" s="117"/>
      <c r="Q36" s="117"/>
      <c r="R36" s="117"/>
      <c r="S36" s="2" t="s">
        <v>414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143">
        <f>SUM(AE17:AE35)</f>
        <v>27265.124200000006</v>
      </c>
    </row>
    <row r="37" spans="1:31" ht="17.45" customHeight="1" thickBot="1" x14ac:dyDescent="0.35">
      <c r="A37" s="132"/>
      <c r="B37" s="133"/>
      <c r="C37" s="237" t="s">
        <v>592</v>
      </c>
      <c r="D37" s="237" t="s">
        <v>593</v>
      </c>
      <c r="E37" s="237" t="s">
        <v>594</v>
      </c>
      <c r="F37" s="133"/>
      <c r="G37" s="237" t="s">
        <v>595</v>
      </c>
      <c r="H37" s="237" t="s">
        <v>592</v>
      </c>
      <c r="I37" s="237" t="s">
        <v>593</v>
      </c>
      <c r="J37" s="237" t="s">
        <v>594</v>
      </c>
      <c r="K37" s="133"/>
      <c r="L37" s="237" t="s">
        <v>595</v>
      </c>
      <c r="M37" s="117"/>
      <c r="N37" s="117"/>
      <c r="O37" s="117"/>
      <c r="P37" s="117"/>
      <c r="Q37" s="117"/>
      <c r="R37" s="117"/>
      <c r="S37" s="117"/>
      <c r="T37" s="117"/>
    </row>
    <row r="38" spans="1:31" ht="17.45" customHeight="1" thickBot="1" x14ac:dyDescent="0.35">
      <c r="A38" s="239" t="s">
        <v>596</v>
      </c>
      <c r="B38" s="237" t="s">
        <v>597</v>
      </c>
      <c r="C38" s="134">
        <v>1</v>
      </c>
      <c r="D38" s="134">
        <v>2</v>
      </c>
      <c r="E38" s="134">
        <v>3</v>
      </c>
      <c r="F38" s="134">
        <v>4</v>
      </c>
      <c r="G38" s="134">
        <v>5</v>
      </c>
      <c r="H38" s="134">
        <v>6</v>
      </c>
      <c r="I38" s="134">
        <v>7</v>
      </c>
      <c r="J38" s="134">
        <v>8</v>
      </c>
      <c r="K38" s="134">
        <v>9</v>
      </c>
      <c r="L38" s="134">
        <v>10</v>
      </c>
      <c r="M38" s="117"/>
      <c r="N38" s="117"/>
      <c r="O38" s="117"/>
      <c r="P38" s="117"/>
      <c r="Q38" s="117"/>
      <c r="R38" s="117"/>
      <c r="S38" s="117"/>
      <c r="T38" s="117"/>
    </row>
    <row r="39" spans="1:31" ht="25.15" customHeight="1" thickBot="1" x14ac:dyDescent="0.35">
      <c r="A39" s="135" t="s">
        <v>598</v>
      </c>
      <c r="B39" s="136">
        <v>110</v>
      </c>
      <c r="C39" s="230">
        <f>C40</f>
        <v>92.937899999999999</v>
      </c>
      <c r="D39" s="148">
        <f>C40</f>
        <v>92.937899999999999</v>
      </c>
      <c r="E39" s="148">
        <f>C40</f>
        <v>92.937899999999999</v>
      </c>
      <c r="F39" s="148">
        <f>F40</f>
        <v>14380.577299999999</v>
      </c>
      <c r="G39" s="148">
        <f>4701+((Q5+Q8+Q9+Q10+Q11+Q14+Q17+Q23+Q24+Q25+Q28+Q15)/1000)</f>
        <v>5179.2080000000005</v>
      </c>
      <c r="H39" s="230">
        <v>112</v>
      </c>
      <c r="I39" s="230">
        <v>112</v>
      </c>
      <c r="J39" s="230">
        <v>112</v>
      </c>
      <c r="K39" s="230">
        <v>14503</v>
      </c>
      <c r="L39" s="231">
        <v>5615</v>
      </c>
      <c r="M39" s="117"/>
      <c r="N39" s="117"/>
      <c r="O39" s="117"/>
      <c r="P39" s="117"/>
      <c r="Q39" s="117"/>
      <c r="R39" s="117"/>
      <c r="S39" s="117"/>
      <c r="T39" s="117"/>
    </row>
    <row r="40" spans="1:31" ht="34.9" customHeight="1" thickBot="1" x14ac:dyDescent="0.35">
      <c r="A40" s="138" t="s">
        <v>599</v>
      </c>
      <c r="B40" s="136">
        <v>111</v>
      </c>
      <c r="C40" s="230">
        <f>82+1.8379+W44</f>
        <v>92.937899999999999</v>
      </c>
      <c r="D40" s="148">
        <f>C40</f>
        <v>92.937899999999999</v>
      </c>
      <c r="E40" s="148">
        <f>C40</f>
        <v>92.937899999999999</v>
      </c>
      <c r="F40" s="148">
        <f>12827+AE19+AE20+AE21+AE22+AE23+AE26+AE30+AE31+AE33</f>
        <v>14380.577299999999</v>
      </c>
      <c r="G40" s="148">
        <f>1962+(Q9+Q10+Q11+Q14+Q17+Q23+Q24+Q25+Q28+Q15)/1000</f>
        <v>2177.1210000000001</v>
      </c>
      <c r="H40" s="230">
        <v>112</v>
      </c>
      <c r="I40" s="230">
        <v>112</v>
      </c>
      <c r="J40" s="230">
        <v>112</v>
      </c>
      <c r="K40" s="230">
        <v>14503</v>
      </c>
      <c r="L40" s="231">
        <v>2143</v>
      </c>
      <c r="M40" s="117"/>
      <c r="N40" s="117"/>
      <c r="O40" s="117"/>
      <c r="P40" s="117"/>
      <c r="Q40" s="117"/>
      <c r="R40" s="117"/>
      <c r="S40" s="117"/>
      <c r="T40" s="117"/>
    </row>
    <row r="41" spans="1:31" ht="27.6" customHeight="1" x14ac:dyDescent="0.3">
      <c r="A41" s="138" t="s">
        <v>600</v>
      </c>
      <c r="B41" s="543">
        <v>112</v>
      </c>
      <c r="C41" s="550">
        <f>35+1.8379</f>
        <v>36.837899999999998</v>
      </c>
      <c r="D41" s="552">
        <f>C41</f>
        <v>36.837899999999998</v>
      </c>
      <c r="E41" s="552">
        <f>C41</f>
        <v>36.837899999999998</v>
      </c>
      <c r="F41" s="546" t="s">
        <v>601</v>
      </c>
      <c r="G41" s="539"/>
      <c r="H41" s="546">
        <v>37</v>
      </c>
      <c r="I41" s="546">
        <v>37</v>
      </c>
      <c r="J41" s="546">
        <v>37</v>
      </c>
      <c r="K41" s="539" t="s">
        <v>601</v>
      </c>
      <c r="L41" s="541"/>
      <c r="M41" s="117"/>
      <c r="N41" s="117"/>
      <c r="O41" s="117"/>
      <c r="P41" s="117"/>
      <c r="Q41" s="117"/>
      <c r="R41" s="117"/>
      <c r="S41" s="117"/>
      <c r="T41" s="117"/>
    </row>
    <row r="42" spans="1:31" ht="85.9" customHeight="1" thickBot="1" x14ac:dyDescent="0.35">
      <c r="A42" s="138" t="s">
        <v>602</v>
      </c>
      <c r="B42" s="543"/>
      <c r="C42" s="551"/>
      <c r="D42" s="553"/>
      <c r="E42" s="553"/>
      <c r="F42" s="547"/>
      <c r="G42" s="540"/>
      <c r="H42" s="547"/>
      <c r="I42" s="547"/>
      <c r="J42" s="547"/>
      <c r="K42" s="540"/>
      <c r="L42" s="542"/>
      <c r="M42" s="117"/>
      <c r="N42" s="117"/>
      <c r="O42" s="117"/>
      <c r="P42" s="117"/>
      <c r="Q42" s="117"/>
      <c r="R42" s="117"/>
      <c r="S42" s="117"/>
      <c r="T42" s="117"/>
    </row>
    <row r="43" spans="1:31" ht="57.6" customHeight="1" thickBot="1" x14ac:dyDescent="0.35">
      <c r="A43" s="138" t="s">
        <v>603</v>
      </c>
      <c r="B43" s="136">
        <v>113</v>
      </c>
      <c r="C43" s="146" t="s">
        <v>601</v>
      </c>
      <c r="D43" s="146" t="s">
        <v>601</v>
      </c>
      <c r="E43" s="146" t="s">
        <v>601</v>
      </c>
      <c r="F43" s="148">
        <f>11861+AE19+1.89+AE35</f>
        <v>13329.726699999999</v>
      </c>
      <c r="G43" s="146"/>
      <c r="H43" s="146" t="s">
        <v>654</v>
      </c>
      <c r="I43" s="146" t="s">
        <v>601</v>
      </c>
      <c r="J43" s="146" t="s">
        <v>601</v>
      </c>
      <c r="K43" s="230">
        <v>13427</v>
      </c>
      <c r="L43" s="147"/>
      <c r="M43" s="117"/>
      <c r="N43" s="144"/>
      <c r="O43" s="144"/>
      <c r="P43" s="144"/>
      <c r="Q43" s="144"/>
      <c r="R43" s="117"/>
      <c r="S43" s="233" t="s">
        <v>635</v>
      </c>
      <c r="T43" s="233" t="s">
        <v>636</v>
      </c>
      <c r="U43" s="233" t="s">
        <v>637</v>
      </c>
      <c r="V43" s="233" t="s">
        <v>638</v>
      </c>
      <c r="W43" s="233" t="s">
        <v>442</v>
      </c>
    </row>
    <row r="44" spans="1:31" ht="48" customHeight="1" thickBot="1" x14ac:dyDescent="0.35">
      <c r="A44" s="135" t="s">
        <v>604</v>
      </c>
      <c r="B44" s="136">
        <v>120</v>
      </c>
      <c r="C44" s="146" t="s">
        <v>601</v>
      </c>
      <c r="D44" s="146" t="s">
        <v>601</v>
      </c>
      <c r="E44" s="146" t="s">
        <v>601</v>
      </c>
      <c r="F44" s="148">
        <f>5861+AE27+AE28+AE29+AE34</f>
        <v>6322.4498999999996</v>
      </c>
      <c r="G44" s="149">
        <f>2377+(Q18+Q19+Q21+Q22)/1000+1</f>
        <v>2640.471</v>
      </c>
      <c r="H44" s="146" t="s">
        <v>601</v>
      </c>
      <c r="I44" s="146" t="s">
        <v>601</v>
      </c>
      <c r="J44" s="146" t="s">
        <v>601</v>
      </c>
      <c r="K44" s="230">
        <v>5639</v>
      </c>
      <c r="L44" s="231">
        <v>2671</v>
      </c>
      <c r="M44" s="117">
        <v>9393</v>
      </c>
      <c r="N44" s="144"/>
      <c r="O44" s="144"/>
      <c r="P44" s="144"/>
      <c r="Q44" s="144"/>
      <c r="R44" s="117"/>
      <c r="S44" s="232" t="s">
        <v>639</v>
      </c>
      <c r="T44" s="232">
        <v>35</v>
      </c>
      <c r="U44" s="118">
        <v>0.26</v>
      </c>
      <c r="V44" s="118">
        <f>T44*U44</f>
        <v>9.1</v>
      </c>
      <c r="W44" s="548">
        <f>SUM(V44:V46)</f>
        <v>9.1</v>
      </c>
    </row>
    <row r="45" spans="1:31" ht="46.15" customHeight="1" thickBot="1" x14ac:dyDescent="0.35">
      <c r="A45" s="135" t="s">
        <v>605</v>
      </c>
      <c r="B45" s="136">
        <v>130</v>
      </c>
      <c r="C45" s="146"/>
      <c r="D45" s="146"/>
      <c r="E45" s="146"/>
      <c r="F45" s="230">
        <f>ROUND(218221+AE17+AE18+AE24+AE25+AE32,0)</f>
        <v>243471</v>
      </c>
      <c r="G45" s="148">
        <f>961+(Q26+Q6+Q7)/1000</f>
        <v>1050.2550000000001</v>
      </c>
      <c r="H45" s="146"/>
      <c r="I45" s="146"/>
      <c r="J45" s="146"/>
      <c r="K45" s="230">
        <v>253486</v>
      </c>
      <c r="L45" s="231">
        <v>848</v>
      </c>
      <c r="M45" s="117"/>
      <c r="N45" s="145"/>
      <c r="O45" s="145"/>
      <c r="P45" s="145"/>
      <c r="Q45" s="145"/>
      <c r="R45" s="117"/>
      <c r="S45" s="232" t="s">
        <v>640</v>
      </c>
      <c r="T45" s="232">
        <v>0</v>
      </c>
      <c r="U45" s="118">
        <v>0.1</v>
      </c>
      <c r="V45" s="118">
        <f>T45*U45</f>
        <v>0</v>
      </c>
      <c r="W45" s="548"/>
    </row>
    <row r="46" spans="1:31" ht="77.45" customHeight="1" thickBot="1" x14ac:dyDescent="0.35">
      <c r="A46" s="135" t="s">
        <v>606</v>
      </c>
      <c r="B46" s="136">
        <v>140</v>
      </c>
      <c r="C46" s="146" t="s">
        <v>601</v>
      </c>
      <c r="D46" s="146" t="s">
        <v>601</v>
      </c>
      <c r="E46" s="146" t="s">
        <v>601</v>
      </c>
      <c r="F46" s="230">
        <f>ROUND(189+10.67,0)</f>
        <v>200</v>
      </c>
      <c r="G46" s="146"/>
      <c r="H46" s="146" t="s">
        <v>601</v>
      </c>
      <c r="I46" s="146" t="s">
        <v>601</v>
      </c>
      <c r="J46" s="146" t="s">
        <v>601</v>
      </c>
      <c r="K46" s="230">
        <v>202</v>
      </c>
      <c r="L46" s="147"/>
      <c r="M46" s="117"/>
      <c r="N46" s="549" t="s">
        <v>630</v>
      </c>
      <c r="O46" s="549"/>
      <c r="P46" s="549"/>
      <c r="Q46" s="549"/>
      <c r="R46" s="117"/>
      <c r="S46" s="232" t="s">
        <v>641</v>
      </c>
      <c r="T46" s="232">
        <v>0</v>
      </c>
      <c r="U46" s="118"/>
      <c r="V46" s="118">
        <f>T46*U46</f>
        <v>0</v>
      </c>
      <c r="W46" s="548"/>
    </row>
    <row r="47" spans="1:31" ht="53.45" customHeight="1" x14ac:dyDescent="0.3">
      <c r="A47" s="138" t="s">
        <v>607</v>
      </c>
      <c r="B47" s="543">
        <v>141</v>
      </c>
      <c r="C47" s="544" t="s">
        <v>601</v>
      </c>
      <c r="D47" s="539" t="s">
        <v>601</v>
      </c>
      <c r="E47" s="539" t="s">
        <v>601</v>
      </c>
      <c r="F47" s="546"/>
      <c r="G47" s="539"/>
      <c r="H47" s="539" t="s">
        <v>601</v>
      </c>
      <c r="I47" s="539" t="s">
        <v>601</v>
      </c>
      <c r="J47" s="539" t="s">
        <v>601</v>
      </c>
      <c r="K47" s="539"/>
      <c r="L47" s="541"/>
      <c r="M47" s="117"/>
      <c r="N47" s="537" t="s">
        <v>631</v>
      </c>
      <c r="O47" s="236" t="s">
        <v>581</v>
      </c>
      <c r="P47" s="537" t="s">
        <v>633</v>
      </c>
      <c r="Q47" s="537" t="s">
        <v>583</v>
      </c>
      <c r="R47" s="117"/>
      <c r="S47" s="117"/>
      <c r="T47" s="117"/>
    </row>
    <row r="48" spans="1:31" ht="15" customHeight="1" thickBot="1" x14ac:dyDescent="0.35">
      <c r="A48" s="138" t="s">
        <v>608</v>
      </c>
      <c r="B48" s="543"/>
      <c r="C48" s="545"/>
      <c r="D48" s="540"/>
      <c r="E48" s="540"/>
      <c r="F48" s="547"/>
      <c r="G48" s="540"/>
      <c r="H48" s="540"/>
      <c r="I48" s="540"/>
      <c r="J48" s="540"/>
      <c r="K48" s="540"/>
      <c r="L48" s="542"/>
      <c r="M48" s="117"/>
      <c r="N48" s="538"/>
      <c r="O48" s="237" t="s">
        <v>632</v>
      </c>
      <c r="P48" s="538"/>
      <c r="Q48" s="538"/>
      <c r="R48" s="117"/>
      <c r="S48" s="117"/>
      <c r="T48" s="117"/>
    </row>
    <row r="49" spans="1:20" ht="31.15" customHeight="1" thickBot="1" x14ac:dyDescent="0.35">
      <c r="A49" s="138" t="s">
        <v>609</v>
      </c>
      <c r="B49" s="136">
        <v>142</v>
      </c>
      <c r="C49" s="146" t="s">
        <v>601</v>
      </c>
      <c r="D49" s="146" t="s">
        <v>601</v>
      </c>
      <c r="E49" s="146" t="s">
        <v>601</v>
      </c>
      <c r="F49" s="230"/>
      <c r="G49" s="146"/>
      <c r="H49" s="146" t="s">
        <v>601</v>
      </c>
      <c r="I49" s="146" t="s">
        <v>601</v>
      </c>
      <c r="J49" s="146" t="s">
        <v>601</v>
      </c>
      <c r="K49" s="146"/>
      <c r="L49" s="147"/>
      <c r="M49" s="117"/>
      <c r="N49" s="239" t="s">
        <v>596</v>
      </c>
      <c r="O49" s="237" t="s">
        <v>597</v>
      </c>
      <c r="P49" s="134">
        <v>1</v>
      </c>
      <c r="Q49" s="134">
        <v>2</v>
      </c>
      <c r="R49" s="117"/>
      <c r="S49" s="117"/>
      <c r="T49" s="117"/>
    </row>
    <row r="50" spans="1:20" ht="37.15" customHeight="1" thickBot="1" x14ac:dyDescent="0.35">
      <c r="A50" s="139" t="s">
        <v>610</v>
      </c>
      <c r="B50" s="140">
        <v>150</v>
      </c>
      <c r="C50" s="150" t="s">
        <v>601</v>
      </c>
      <c r="D50" s="150" t="s">
        <v>601</v>
      </c>
      <c r="E50" s="150" t="s">
        <v>601</v>
      </c>
      <c r="F50" s="226">
        <f>F40+F44+F45-F46</f>
        <v>263974.02720000001</v>
      </c>
      <c r="G50" s="226">
        <f>G45+G44+G39</f>
        <v>8869.9340000000011</v>
      </c>
      <c r="H50" s="150" t="s">
        <v>601</v>
      </c>
      <c r="I50" s="150" t="s">
        <v>601</v>
      </c>
      <c r="J50" s="150" t="s">
        <v>601</v>
      </c>
      <c r="K50" s="228">
        <v>273426</v>
      </c>
      <c r="L50" s="229">
        <v>9134</v>
      </c>
      <c r="N50" s="139" t="s">
        <v>634</v>
      </c>
      <c r="O50" s="137">
        <v>260</v>
      </c>
      <c r="P50" s="234">
        <f>ROUND(E39+F39*0.143+G39*0.123-F46*0.143,0)</f>
        <v>2758</v>
      </c>
      <c r="Q50" s="227">
        <v>2848</v>
      </c>
    </row>
  </sheetData>
  <mergeCells count="33">
    <mergeCell ref="B29:C29"/>
    <mergeCell ref="G30:P30"/>
    <mergeCell ref="C33:G33"/>
    <mergeCell ref="H33:L33"/>
    <mergeCell ref="C34:E36"/>
    <mergeCell ref="H34:J36"/>
    <mergeCell ref="L41:L42"/>
    <mergeCell ref="W44:W46"/>
    <mergeCell ref="N46:Q46"/>
    <mergeCell ref="B41:B42"/>
    <mergeCell ref="C41:C42"/>
    <mergeCell ref="D41:D42"/>
    <mergeCell ref="E41:E42"/>
    <mergeCell ref="F41:F42"/>
    <mergeCell ref="G41:G42"/>
    <mergeCell ref="G47:G48"/>
    <mergeCell ref="H41:H42"/>
    <mergeCell ref="I41:I42"/>
    <mergeCell ref="J41:J42"/>
    <mergeCell ref="K41:K42"/>
    <mergeCell ref="B47:B48"/>
    <mergeCell ref="C47:C48"/>
    <mergeCell ref="D47:D48"/>
    <mergeCell ref="E47:E48"/>
    <mergeCell ref="F47:F48"/>
    <mergeCell ref="P47:P48"/>
    <mergeCell ref="Q47:Q48"/>
    <mergeCell ref="H47:H48"/>
    <mergeCell ref="I47:I48"/>
    <mergeCell ref="J47:J48"/>
    <mergeCell ref="K47:K48"/>
    <mergeCell ref="L47:L48"/>
    <mergeCell ref="N47:N48"/>
  </mergeCells>
  <pageMargins left="0.7" right="0.7" top="0.75" bottom="0.75" header="0.3" footer="0.3"/>
  <pageSetup paperSize="9" scale="40" fitToWidth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2"/>
  <sheetViews>
    <sheetView topLeftCell="A88" workbookViewId="0">
      <selection activeCell="C117" sqref="C117"/>
    </sheetView>
  </sheetViews>
  <sheetFormatPr defaultColWidth="23.7109375" defaultRowHeight="14.45" customHeight="1" x14ac:dyDescent="0.2"/>
  <cols>
    <col min="1" max="1" width="23.7109375" style="84"/>
    <col min="2" max="2" width="14" style="84" customWidth="1"/>
    <col min="3" max="16384" width="23.7109375" style="84"/>
  </cols>
  <sheetData>
    <row r="1" spans="1:4" ht="14.45" customHeight="1" thickBot="1" x14ac:dyDescent="0.25">
      <c r="A1" s="84" t="s">
        <v>2</v>
      </c>
      <c r="B1" s="84" t="s">
        <v>9</v>
      </c>
      <c r="C1" s="84" t="s">
        <v>3</v>
      </c>
    </row>
    <row r="2" spans="1:4" ht="14.45" customHeight="1" thickBot="1" x14ac:dyDescent="0.3">
      <c r="A2" s="209" t="s">
        <v>496</v>
      </c>
      <c r="B2" s="210">
        <v>70271</v>
      </c>
      <c r="C2" s="1"/>
      <c r="D2" s="124" t="s">
        <v>457</v>
      </c>
    </row>
    <row r="3" spans="1:4" ht="14.45" customHeight="1" thickBot="1" x14ac:dyDescent="0.3">
      <c r="A3" s="211" t="s">
        <v>497</v>
      </c>
      <c r="B3" s="212">
        <v>2155549</v>
      </c>
      <c r="C3" s="1"/>
    </row>
    <row r="4" spans="1:4" ht="14.45" customHeight="1" thickBot="1" x14ac:dyDescent="0.3">
      <c r="A4" s="209" t="s">
        <v>498</v>
      </c>
      <c r="B4" s="213">
        <v>2154982</v>
      </c>
      <c r="C4" s="1"/>
    </row>
    <row r="5" spans="1:4" ht="14.45" customHeight="1" thickBot="1" x14ac:dyDescent="0.3">
      <c r="A5" s="209" t="s">
        <v>499</v>
      </c>
      <c r="B5" s="213">
        <v>2155557</v>
      </c>
      <c r="C5" s="1"/>
    </row>
    <row r="6" spans="1:4" ht="14.45" customHeight="1" thickBot="1" x14ac:dyDescent="0.3">
      <c r="A6" s="211" t="s">
        <v>499</v>
      </c>
      <c r="B6" s="214">
        <v>2155540</v>
      </c>
      <c r="C6" s="1"/>
      <c r="D6" s="84" t="s">
        <v>575</v>
      </c>
    </row>
    <row r="7" spans="1:4" ht="14.45" customHeight="1" thickBot="1" x14ac:dyDescent="0.3">
      <c r="A7" s="209" t="s">
        <v>500</v>
      </c>
      <c r="B7" s="212">
        <v>2143369</v>
      </c>
      <c r="C7" s="1"/>
    </row>
    <row r="8" spans="1:4" ht="14.45" customHeight="1" thickBot="1" x14ac:dyDescent="0.3">
      <c r="A8" s="211" t="s">
        <v>501</v>
      </c>
      <c r="B8" s="213">
        <v>2155375</v>
      </c>
      <c r="C8" s="1"/>
    </row>
    <row r="9" spans="1:4" ht="14.45" customHeight="1" thickBot="1" x14ac:dyDescent="0.3">
      <c r="A9" s="211" t="s">
        <v>501</v>
      </c>
      <c r="B9" s="214">
        <v>2143635</v>
      </c>
      <c r="C9" s="1"/>
    </row>
    <row r="10" spans="1:4" ht="14.45" customHeight="1" thickBot="1" x14ac:dyDescent="0.3">
      <c r="A10" s="215" t="s">
        <v>502</v>
      </c>
      <c r="B10" s="216">
        <v>173711</v>
      </c>
      <c r="C10" s="1"/>
    </row>
    <row r="11" spans="1:4" ht="14.45" customHeight="1" thickBot="1" x14ac:dyDescent="0.3">
      <c r="A11" s="211" t="s">
        <v>502</v>
      </c>
      <c r="B11" s="212">
        <v>54934</v>
      </c>
      <c r="C11" s="1"/>
    </row>
    <row r="12" spans="1:4" ht="14.45" customHeight="1" thickBot="1" x14ac:dyDescent="0.3">
      <c r="A12" s="215" t="s">
        <v>503</v>
      </c>
      <c r="B12" s="216">
        <v>328983</v>
      </c>
      <c r="C12" s="1"/>
    </row>
    <row r="13" spans="1:4" ht="14.45" customHeight="1" thickBot="1" x14ac:dyDescent="0.3">
      <c r="A13" s="209"/>
      <c r="B13" s="213"/>
      <c r="C13" s="1"/>
    </row>
    <row r="14" spans="1:4" ht="14.45" customHeight="1" thickBot="1" x14ac:dyDescent="0.3">
      <c r="A14" s="260" t="s">
        <v>504</v>
      </c>
      <c r="B14" s="213">
        <v>2069539</v>
      </c>
      <c r="C14" s="1"/>
    </row>
    <row r="15" spans="1:4" ht="14.45" customHeight="1" thickBot="1" x14ac:dyDescent="0.3">
      <c r="A15" s="209"/>
      <c r="B15" s="213"/>
      <c r="C15" s="1"/>
    </row>
    <row r="16" spans="1:4" ht="14.45" customHeight="1" thickBot="1" x14ac:dyDescent="0.3">
      <c r="A16" s="260" t="s">
        <v>505</v>
      </c>
      <c r="B16" s="213">
        <v>2125670</v>
      </c>
      <c r="C16" s="1"/>
    </row>
    <row r="17" spans="1:3" ht="14.45" customHeight="1" thickBot="1" x14ac:dyDescent="0.3">
      <c r="A17" s="209"/>
      <c r="B17" s="220"/>
      <c r="C17" s="1"/>
    </row>
    <row r="18" spans="1:3" ht="14.45" customHeight="1" thickBot="1" x14ac:dyDescent="0.3">
      <c r="A18" s="260" t="s">
        <v>505</v>
      </c>
      <c r="B18" s="221">
        <v>2125767</v>
      </c>
      <c r="C18" s="1"/>
    </row>
    <row r="19" spans="1:3" ht="14.45" customHeight="1" thickBot="1" x14ac:dyDescent="0.3">
      <c r="A19" s="209" t="s">
        <v>506</v>
      </c>
      <c r="B19" s="213">
        <v>2143217</v>
      </c>
      <c r="C19" s="1"/>
    </row>
    <row r="20" spans="1:3" ht="14.45" customHeight="1" thickBot="1" x14ac:dyDescent="0.3">
      <c r="A20" s="209" t="s">
        <v>507</v>
      </c>
      <c r="B20" s="213">
        <v>2143193</v>
      </c>
      <c r="C20" s="1"/>
    </row>
    <row r="21" spans="1:3" ht="14.45" customHeight="1" thickBot="1" x14ac:dyDescent="0.3">
      <c r="A21" s="209" t="s">
        <v>508</v>
      </c>
      <c r="B21" s="216">
        <v>811780</v>
      </c>
      <c r="C21" s="1"/>
    </row>
    <row r="22" spans="1:3" ht="14.45" customHeight="1" thickBot="1" x14ac:dyDescent="0.3">
      <c r="A22" s="219" t="s">
        <v>509</v>
      </c>
      <c r="B22" s="213">
        <v>719158</v>
      </c>
      <c r="C22" s="1"/>
    </row>
    <row r="23" spans="1:3" ht="14.45" customHeight="1" thickBot="1" x14ac:dyDescent="0.3">
      <c r="A23" s="209" t="s">
        <v>510</v>
      </c>
      <c r="B23" s="213">
        <v>2143087</v>
      </c>
      <c r="C23" s="1"/>
    </row>
    <row r="24" spans="1:3" ht="14.45" customHeight="1" thickBot="1" x14ac:dyDescent="0.3">
      <c r="A24" s="209" t="s">
        <v>510</v>
      </c>
      <c r="B24" s="220">
        <v>2142822</v>
      </c>
      <c r="C24" s="1"/>
    </row>
    <row r="25" spans="1:3" ht="14.45" customHeight="1" thickBot="1" x14ac:dyDescent="0.3">
      <c r="A25" s="209" t="s">
        <v>511</v>
      </c>
      <c r="B25" s="216">
        <v>2155512</v>
      </c>
      <c r="C25" s="1"/>
    </row>
    <row r="26" spans="1:3" ht="14.45" customHeight="1" thickBot="1" x14ac:dyDescent="0.3">
      <c r="A26" s="209" t="s">
        <v>511</v>
      </c>
      <c r="B26" s="213">
        <v>2147846</v>
      </c>
      <c r="C26" s="1"/>
    </row>
    <row r="27" spans="1:3" ht="14.45" customHeight="1" thickBot="1" x14ac:dyDescent="0.3">
      <c r="A27" s="209" t="s">
        <v>512</v>
      </c>
      <c r="B27" s="213">
        <v>2143014</v>
      </c>
      <c r="C27" s="1"/>
    </row>
    <row r="28" spans="1:3" ht="14.45" customHeight="1" thickBot="1" x14ac:dyDescent="0.3">
      <c r="A28" s="209" t="s">
        <v>512</v>
      </c>
      <c r="B28" s="220">
        <v>2142974</v>
      </c>
      <c r="C28" s="1"/>
    </row>
    <row r="29" spans="1:3" ht="14.45" customHeight="1" thickBot="1" x14ac:dyDescent="0.3">
      <c r="A29" s="209" t="s">
        <v>513</v>
      </c>
      <c r="B29" s="213">
        <v>2125844</v>
      </c>
      <c r="C29" s="1"/>
    </row>
    <row r="30" spans="1:3" ht="14.45" customHeight="1" thickBot="1" x14ac:dyDescent="0.3">
      <c r="A30" s="209" t="s">
        <v>513</v>
      </c>
      <c r="B30" s="213">
        <v>2142986</v>
      </c>
      <c r="C30" s="1"/>
    </row>
    <row r="31" spans="1:3" ht="14.45" customHeight="1" thickBot="1" x14ac:dyDescent="0.3">
      <c r="A31" s="209" t="s">
        <v>514</v>
      </c>
      <c r="B31" s="221">
        <v>2142950</v>
      </c>
      <c r="C31" s="1"/>
    </row>
    <row r="32" spans="1:3" ht="14.45" customHeight="1" thickBot="1" x14ac:dyDescent="0.3">
      <c r="A32" s="209" t="s">
        <v>514</v>
      </c>
      <c r="B32" s="213">
        <v>2155420</v>
      </c>
      <c r="C32" s="1"/>
    </row>
    <row r="33" spans="1:3" ht="14.45" customHeight="1" thickBot="1" x14ac:dyDescent="0.3">
      <c r="A33" s="218" t="s">
        <v>515</v>
      </c>
      <c r="B33" s="213">
        <v>2143425</v>
      </c>
      <c r="C33" s="1"/>
    </row>
    <row r="34" spans="1:3" ht="14.45" customHeight="1" thickBot="1" x14ac:dyDescent="0.3">
      <c r="A34" s="209" t="s">
        <v>515</v>
      </c>
      <c r="B34" s="221">
        <v>2142981</v>
      </c>
      <c r="C34" s="1"/>
    </row>
    <row r="35" spans="1:3" ht="14.45" customHeight="1" thickBot="1" x14ac:dyDescent="0.3">
      <c r="A35" s="209" t="s">
        <v>516</v>
      </c>
      <c r="B35" s="213">
        <v>86553</v>
      </c>
      <c r="C35" s="1"/>
    </row>
    <row r="36" spans="1:3" ht="14.45" customHeight="1" thickBot="1" x14ac:dyDescent="0.3">
      <c r="A36" s="209" t="s">
        <v>517</v>
      </c>
      <c r="B36" s="213">
        <v>2155503</v>
      </c>
      <c r="C36" s="1"/>
    </row>
    <row r="37" spans="1:3" ht="14.45" customHeight="1" thickBot="1" x14ac:dyDescent="0.3">
      <c r="A37" s="218" t="s">
        <v>518</v>
      </c>
      <c r="B37" s="213">
        <v>2125608</v>
      </c>
      <c r="C37" s="1"/>
    </row>
    <row r="38" spans="1:3" ht="14.45" customHeight="1" thickBot="1" x14ac:dyDescent="0.3">
      <c r="A38" s="209" t="s">
        <v>519</v>
      </c>
      <c r="B38" s="213">
        <v>2142990</v>
      </c>
      <c r="C38" s="1"/>
    </row>
    <row r="39" spans="1:3" ht="14.45" customHeight="1" thickBot="1" x14ac:dyDescent="0.3">
      <c r="A39" s="209" t="s">
        <v>520</v>
      </c>
      <c r="B39" s="221">
        <v>2155147</v>
      </c>
      <c r="C39" s="1"/>
    </row>
    <row r="40" spans="1:3" ht="14.45" customHeight="1" thickBot="1" x14ac:dyDescent="0.3">
      <c r="A40" s="209" t="s">
        <v>521</v>
      </c>
      <c r="B40" s="213">
        <v>766399</v>
      </c>
      <c r="C40" s="1"/>
    </row>
    <row r="41" spans="1:3" ht="14.45" customHeight="1" thickBot="1" x14ac:dyDescent="0.3">
      <c r="A41" s="209" t="s">
        <v>522</v>
      </c>
      <c r="B41" s="221">
        <v>80264</v>
      </c>
      <c r="C41" s="1"/>
    </row>
    <row r="42" spans="1:3" ht="14.45" customHeight="1" thickBot="1" x14ac:dyDescent="0.3">
      <c r="A42" s="209" t="s">
        <v>523</v>
      </c>
      <c r="B42" s="213">
        <v>34782</v>
      </c>
      <c r="C42" s="1"/>
    </row>
    <row r="43" spans="1:3" ht="14.45" customHeight="1" thickBot="1" x14ac:dyDescent="0.3">
      <c r="A43" s="209" t="s">
        <v>524</v>
      </c>
      <c r="B43" s="213">
        <v>2143020</v>
      </c>
      <c r="C43" s="1"/>
    </row>
    <row r="44" spans="1:3" ht="14.45" customHeight="1" thickBot="1" x14ac:dyDescent="0.3">
      <c r="A44" s="209" t="s">
        <v>524</v>
      </c>
      <c r="B44" s="221">
        <v>2155558</v>
      </c>
      <c r="C44" s="1"/>
    </row>
    <row r="45" spans="1:3" ht="14.45" customHeight="1" thickBot="1" x14ac:dyDescent="0.3">
      <c r="A45" s="218" t="s">
        <v>525</v>
      </c>
      <c r="B45" s="213">
        <v>2155118</v>
      </c>
      <c r="C45" s="1"/>
    </row>
    <row r="46" spans="1:3" ht="14.45" customHeight="1" thickBot="1" x14ac:dyDescent="0.3">
      <c r="A46" s="209" t="s">
        <v>526</v>
      </c>
      <c r="B46" s="213">
        <v>2155448</v>
      </c>
      <c r="C46" s="1"/>
    </row>
    <row r="47" spans="1:3" ht="14.45" customHeight="1" thickBot="1" x14ac:dyDescent="0.3">
      <c r="A47" s="209" t="s">
        <v>527</v>
      </c>
      <c r="B47" s="221">
        <v>257342</v>
      </c>
      <c r="C47" s="1"/>
    </row>
    <row r="48" spans="1:3" ht="14.45" customHeight="1" thickBot="1" x14ac:dyDescent="0.3">
      <c r="A48" s="209" t="s">
        <v>528</v>
      </c>
      <c r="B48" s="213">
        <v>788476</v>
      </c>
      <c r="C48" s="1"/>
    </row>
    <row r="49" spans="1:3" ht="14.45" customHeight="1" thickBot="1" x14ac:dyDescent="0.3">
      <c r="A49" s="209" t="s">
        <v>529</v>
      </c>
      <c r="B49" s="213">
        <v>2143519</v>
      </c>
      <c r="C49" s="1"/>
    </row>
    <row r="50" spans="1:3" ht="14.45" customHeight="1" thickBot="1" x14ac:dyDescent="0.3">
      <c r="A50" s="209" t="s">
        <v>529</v>
      </c>
      <c r="B50" s="220">
        <v>2155007</v>
      </c>
      <c r="C50" s="1"/>
    </row>
    <row r="51" spans="1:3" ht="14.45" customHeight="1" thickBot="1" x14ac:dyDescent="0.3">
      <c r="A51" s="218" t="s">
        <v>530</v>
      </c>
      <c r="B51" s="220">
        <v>215900</v>
      </c>
      <c r="C51" s="1"/>
    </row>
    <row r="52" spans="1:3" ht="14.45" customHeight="1" thickBot="1" x14ac:dyDescent="0.3">
      <c r="A52" s="209" t="s">
        <v>530</v>
      </c>
      <c r="B52" s="221">
        <v>67510</v>
      </c>
      <c r="C52" s="1"/>
    </row>
    <row r="53" spans="1:3" ht="14.45" customHeight="1" thickBot="1" x14ac:dyDescent="0.3">
      <c r="A53" s="219" t="s">
        <v>531</v>
      </c>
      <c r="B53" s="213">
        <v>2143364</v>
      </c>
      <c r="C53" s="1"/>
    </row>
    <row r="54" spans="1:3" ht="14.45" customHeight="1" thickBot="1" x14ac:dyDescent="0.3">
      <c r="A54" s="209" t="s">
        <v>532</v>
      </c>
      <c r="B54" s="213">
        <v>82298</v>
      </c>
      <c r="C54" s="1"/>
    </row>
    <row r="55" spans="1:3" ht="14.45" customHeight="1" thickBot="1" x14ac:dyDescent="0.3">
      <c r="A55" s="209" t="s">
        <v>532</v>
      </c>
      <c r="B55" s="213">
        <v>81971</v>
      </c>
      <c r="C55" s="1"/>
    </row>
    <row r="56" spans="1:3" ht="14.45" customHeight="1" thickBot="1" x14ac:dyDescent="0.3">
      <c r="A56" s="209" t="s">
        <v>533</v>
      </c>
      <c r="B56" s="213">
        <v>2014818</v>
      </c>
      <c r="C56" s="1"/>
    </row>
    <row r="57" spans="1:3" ht="14.45" customHeight="1" thickBot="1" x14ac:dyDescent="0.3">
      <c r="A57" s="209" t="s">
        <v>534</v>
      </c>
      <c r="B57" s="213">
        <v>248982</v>
      </c>
      <c r="C57" s="1"/>
    </row>
    <row r="58" spans="1:3" ht="14.45" customHeight="1" thickBot="1" x14ac:dyDescent="0.3">
      <c r="A58" s="209" t="s">
        <v>535</v>
      </c>
      <c r="B58" s="213">
        <v>2143351</v>
      </c>
      <c r="C58" s="1"/>
    </row>
    <row r="59" spans="1:3" ht="14.45" customHeight="1" thickBot="1" x14ac:dyDescent="0.3">
      <c r="A59" s="209" t="s">
        <v>642</v>
      </c>
      <c r="B59" s="213">
        <v>2142973</v>
      </c>
      <c r="C59" s="1"/>
    </row>
    <row r="60" spans="1:3" ht="14.45" customHeight="1" thickBot="1" x14ac:dyDescent="0.3">
      <c r="A60" s="218" t="s">
        <v>651</v>
      </c>
      <c r="B60" s="221">
        <v>270610</v>
      </c>
      <c r="C60" s="1"/>
    </row>
    <row r="61" spans="1:3" ht="14.45" customHeight="1" thickBot="1" x14ac:dyDescent="0.3">
      <c r="A61" s="209" t="s">
        <v>652</v>
      </c>
      <c r="B61" s="213">
        <v>2142962</v>
      </c>
      <c r="C61" s="1"/>
    </row>
    <row r="62" spans="1:3" ht="14.45" customHeight="1" thickBot="1" x14ac:dyDescent="0.3">
      <c r="A62" s="218" t="s">
        <v>536</v>
      </c>
      <c r="B62" s="213">
        <v>2143291</v>
      </c>
      <c r="C62" s="1"/>
    </row>
    <row r="63" spans="1:3" ht="14.45" customHeight="1" thickBot="1" x14ac:dyDescent="0.3">
      <c r="A63" s="209" t="s">
        <v>537</v>
      </c>
      <c r="B63" s="213">
        <v>2143142</v>
      </c>
      <c r="C63" s="1"/>
    </row>
    <row r="64" spans="1:3" ht="14.45" customHeight="1" thickBot="1" x14ac:dyDescent="0.3">
      <c r="A64" s="209" t="s">
        <v>537</v>
      </c>
      <c r="B64" s="221">
        <v>2126072</v>
      </c>
      <c r="C64" s="1"/>
    </row>
    <row r="65" spans="1:3" ht="14.45" customHeight="1" thickBot="1" x14ac:dyDescent="0.3">
      <c r="A65" s="209" t="s">
        <v>538</v>
      </c>
      <c r="B65" s="213">
        <v>810584</v>
      </c>
      <c r="C65" s="1"/>
    </row>
    <row r="66" spans="1:3" ht="14.45" customHeight="1" thickBot="1" x14ac:dyDescent="0.3">
      <c r="A66" s="218" t="s">
        <v>538</v>
      </c>
      <c r="B66" s="221">
        <v>667103</v>
      </c>
      <c r="C66" s="1"/>
    </row>
    <row r="67" spans="1:3" ht="14.45" customHeight="1" thickBot="1" x14ac:dyDescent="0.3">
      <c r="A67" s="209" t="s">
        <v>539</v>
      </c>
      <c r="B67" s="216">
        <v>20392</v>
      </c>
      <c r="C67" s="1"/>
    </row>
    <row r="68" spans="1:3" ht="14.45" customHeight="1" thickBot="1" x14ac:dyDescent="0.3">
      <c r="A68" s="209" t="s">
        <v>539</v>
      </c>
      <c r="B68" s="216">
        <v>99278</v>
      </c>
      <c r="C68" s="1"/>
    </row>
    <row r="69" spans="1:3" ht="14.45" customHeight="1" thickBot="1" x14ac:dyDescent="0.3">
      <c r="A69" s="219" t="s">
        <v>540</v>
      </c>
      <c r="B69" s="213">
        <v>21197</v>
      </c>
      <c r="C69" s="1"/>
    </row>
    <row r="70" spans="1:3" ht="14.45" customHeight="1" thickBot="1" x14ac:dyDescent="0.3">
      <c r="A70" s="218" t="s">
        <v>540</v>
      </c>
      <c r="B70" s="216">
        <v>21153</v>
      </c>
      <c r="C70" s="1"/>
    </row>
    <row r="71" spans="1:3" ht="14.45" customHeight="1" thickBot="1" x14ac:dyDescent="0.3">
      <c r="A71" s="209" t="s">
        <v>541</v>
      </c>
      <c r="B71" s="213">
        <v>2155114</v>
      </c>
      <c r="C71" s="1"/>
    </row>
    <row r="72" spans="1:3" ht="14.45" customHeight="1" thickBot="1" x14ac:dyDescent="0.3">
      <c r="A72" s="209" t="s">
        <v>542</v>
      </c>
      <c r="B72" s="220">
        <v>2155060</v>
      </c>
      <c r="C72" s="1"/>
    </row>
    <row r="73" spans="1:3" ht="14.45" customHeight="1" thickBot="1" x14ac:dyDescent="0.3">
      <c r="A73" s="209" t="s">
        <v>543</v>
      </c>
      <c r="B73" s="221">
        <v>2155003</v>
      </c>
      <c r="C73" s="1"/>
    </row>
    <row r="74" spans="1:3" ht="14.45" customHeight="1" thickBot="1" x14ac:dyDescent="0.3">
      <c r="A74" s="209" t="s">
        <v>544</v>
      </c>
      <c r="B74" s="213">
        <v>2155546</v>
      </c>
      <c r="C74" s="1"/>
    </row>
    <row r="75" spans="1:3" ht="14.45" customHeight="1" thickBot="1" x14ac:dyDescent="0.3">
      <c r="A75" s="209" t="s">
        <v>545</v>
      </c>
      <c r="B75" s="221">
        <v>53387</v>
      </c>
      <c r="C75" s="1"/>
    </row>
    <row r="76" spans="1:3" ht="14.45" customHeight="1" thickBot="1" x14ac:dyDescent="0.3">
      <c r="A76" s="209" t="s">
        <v>546</v>
      </c>
      <c r="B76" s="213">
        <v>768781</v>
      </c>
      <c r="C76" s="1"/>
    </row>
    <row r="77" spans="1:3" ht="14.45" customHeight="1" thickBot="1" x14ac:dyDescent="0.3">
      <c r="A77" s="218" t="s">
        <v>547</v>
      </c>
      <c r="B77" s="220">
        <v>771800</v>
      </c>
      <c r="C77" s="1"/>
    </row>
    <row r="78" spans="1:3" ht="14.45" customHeight="1" thickBot="1" x14ac:dyDescent="0.3">
      <c r="A78" s="211" t="s">
        <v>547</v>
      </c>
      <c r="B78" s="221">
        <v>52605</v>
      </c>
      <c r="C78" s="1"/>
    </row>
    <row r="79" spans="1:3" ht="14.45" customHeight="1" thickBot="1" x14ac:dyDescent="0.3">
      <c r="A79" s="209" t="s">
        <v>548</v>
      </c>
      <c r="B79" s="213">
        <v>2142978</v>
      </c>
      <c r="C79" s="1"/>
    </row>
    <row r="80" spans="1:3" ht="14.45" customHeight="1" thickBot="1" x14ac:dyDescent="0.3">
      <c r="A80" s="209" t="s">
        <v>548</v>
      </c>
      <c r="B80" s="213">
        <v>2147995</v>
      </c>
      <c r="C80" s="1"/>
    </row>
    <row r="81" spans="1:5" ht="14.45" customHeight="1" thickBot="1" x14ac:dyDescent="0.3">
      <c r="A81" s="209" t="s">
        <v>549</v>
      </c>
      <c r="B81" s="213">
        <v>2154989</v>
      </c>
      <c r="C81" s="1"/>
    </row>
    <row r="82" spans="1:5" ht="14.45" customHeight="1" thickBot="1" x14ac:dyDescent="0.3">
      <c r="A82" s="219" t="s">
        <v>549</v>
      </c>
      <c r="B82" s="221">
        <v>2155447</v>
      </c>
      <c r="C82" s="1"/>
    </row>
    <row r="83" spans="1:5" ht="14.45" customHeight="1" thickBot="1" x14ac:dyDescent="0.25">
      <c r="A83" s="218" t="s">
        <v>550</v>
      </c>
      <c r="B83" s="213">
        <v>336163</v>
      </c>
      <c r="C83" s="207"/>
    </row>
    <row r="84" spans="1:5" ht="14.45" customHeight="1" thickBot="1" x14ac:dyDescent="0.25">
      <c r="A84" s="209" t="s">
        <v>551</v>
      </c>
      <c r="B84" s="221">
        <v>67853710</v>
      </c>
      <c r="C84" s="208"/>
      <c r="D84" s="84">
        <v>168776</v>
      </c>
    </row>
    <row r="85" spans="1:5" ht="14.45" customHeight="1" thickBot="1" x14ac:dyDescent="0.25">
      <c r="A85" s="218" t="s">
        <v>552</v>
      </c>
      <c r="B85" s="216">
        <v>58270</v>
      </c>
    </row>
    <row r="86" spans="1:5" ht="14.45" customHeight="1" thickBot="1" x14ac:dyDescent="0.25">
      <c r="A86" s="209" t="s">
        <v>553</v>
      </c>
      <c r="B86" s="216">
        <v>82282</v>
      </c>
    </row>
    <row r="87" spans="1:5" ht="28.15" customHeight="1" thickBot="1" x14ac:dyDescent="0.25">
      <c r="A87" s="217" t="s">
        <v>571</v>
      </c>
      <c r="B87" s="213">
        <v>8842084002153</v>
      </c>
    </row>
    <row r="88" spans="1:5" ht="14.45" customHeight="1" x14ac:dyDescent="0.2">
      <c r="C88" s="261">
        <f>SUM(C2:C87)</f>
        <v>0</v>
      </c>
    </row>
    <row r="89" spans="1:5" ht="14.45" customHeight="1" thickBot="1" x14ac:dyDescent="0.25"/>
    <row r="90" spans="1:5" ht="25.15" customHeight="1" thickBot="1" x14ac:dyDescent="0.25">
      <c r="A90" s="205" t="s">
        <v>555</v>
      </c>
      <c r="B90" s="89"/>
      <c r="C90" s="206"/>
    </row>
    <row r="91" spans="1:5" ht="14.45" customHeight="1" thickBot="1" x14ac:dyDescent="0.25">
      <c r="A91" s="89" t="s">
        <v>391</v>
      </c>
      <c r="B91" s="90"/>
      <c r="C91" s="89"/>
    </row>
    <row r="92" spans="1:5" ht="14.45" customHeight="1" thickBot="1" x14ac:dyDescent="0.25">
      <c r="A92" s="89" t="s">
        <v>556</v>
      </c>
      <c r="B92" s="88"/>
      <c r="C92" s="262"/>
    </row>
    <row r="93" spans="1:5" ht="28.9" customHeight="1" thickBot="1" x14ac:dyDescent="0.25">
      <c r="A93" s="91" t="s">
        <v>557</v>
      </c>
      <c r="B93" s="88"/>
      <c r="C93" s="262"/>
    </row>
    <row r="94" spans="1:5" ht="14.45" customHeight="1" thickBot="1" x14ac:dyDescent="0.25">
      <c r="A94" s="85"/>
      <c r="B94" s="86"/>
      <c r="E94" s="84">
        <f>317-136</f>
        <v>181</v>
      </c>
    </row>
    <row r="95" spans="1:5" ht="14.45" customHeight="1" thickBot="1" x14ac:dyDescent="0.25">
      <c r="A95" s="93" t="s">
        <v>558</v>
      </c>
      <c r="B95" s="90"/>
      <c r="C95" s="89"/>
    </row>
    <row r="96" spans="1:5" ht="14.45" customHeight="1" thickBot="1" x14ac:dyDescent="0.3">
      <c r="A96" s="263" t="s">
        <v>559</v>
      </c>
      <c r="B96" s="92">
        <v>140106</v>
      </c>
      <c r="C96" s="1"/>
      <c r="D96" s="89">
        <f>ROUND(43%*C96,0)</f>
        <v>0</v>
      </c>
    </row>
    <row r="97" spans="1:5" ht="14.45" customHeight="1" thickBot="1" x14ac:dyDescent="0.3">
      <c r="A97" s="89" t="s">
        <v>560</v>
      </c>
      <c r="B97" s="88">
        <v>61011</v>
      </c>
      <c r="C97" s="1"/>
    </row>
    <row r="98" spans="1:5" ht="14.45" customHeight="1" thickBot="1" x14ac:dyDescent="0.25">
      <c r="A98" s="87"/>
      <c r="B98" s="87"/>
    </row>
    <row r="99" spans="1:5" ht="14.45" customHeight="1" thickBot="1" x14ac:dyDescent="0.25">
      <c r="A99" s="95" t="s">
        <v>561</v>
      </c>
      <c r="B99" s="94"/>
      <c r="C99" s="156">
        <f>C88-C91-C92-C93+D96+C97</f>
        <v>0</v>
      </c>
    </row>
    <row r="100" spans="1:5" ht="14.45" customHeight="1" thickBot="1" x14ac:dyDescent="0.25">
      <c r="A100" s="109" t="s">
        <v>476</v>
      </c>
      <c r="B100" s="86"/>
    </row>
    <row r="101" spans="1:5" ht="14.45" customHeight="1" thickBot="1" x14ac:dyDescent="0.3">
      <c r="A101" s="99" t="s">
        <v>476</v>
      </c>
      <c r="B101" s="100">
        <v>9013681</v>
      </c>
      <c r="C101" s="1"/>
    </row>
    <row r="102" spans="1:5" ht="14.45" customHeight="1" thickBot="1" x14ac:dyDescent="0.3">
      <c r="A102" s="97" t="s">
        <v>476</v>
      </c>
      <c r="B102" s="101">
        <v>9013691</v>
      </c>
      <c r="C102" s="1"/>
    </row>
    <row r="103" spans="1:5" ht="14.45" customHeight="1" thickBot="1" x14ac:dyDescent="0.3">
      <c r="A103" s="98" t="s">
        <v>562</v>
      </c>
      <c r="B103" s="102">
        <v>694271</v>
      </c>
      <c r="C103" s="1"/>
      <c r="D103" s="84" t="s">
        <v>563</v>
      </c>
      <c r="E103" s="84" t="s">
        <v>565</v>
      </c>
    </row>
    <row r="104" spans="1:5" ht="14.45" customHeight="1" thickBot="1" x14ac:dyDescent="0.3">
      <c r="A104" s="103"/>
      <c r="B104" s="102">
        <v>694271</v>
      </c>
      <c r="C104" s="1"/>
      <c r="D104" s="84" t="s">
        <v>564</v>
      </c>
    </row>
    <row r="105" spans="1:5" ht="14.45" customHeight="1" thickBot="1" x14ac:dyDescent="0.3">
      <c r="A105" s="201" t="s">
        <v>566</v>
      </c>
      <c r="B105" s="202"/>
      <c r="C105" s="155">
        <f>SUM(C101:C104)</f>
        <v>0</v>
      </c>
    </row>
    <row r="106" spans="1:5" ht="14.45" customHeight="1" thickBot="1" x14ac:dyDescent="0.3">
      <c r="A106" s="108" t="s">
        <v>567</v>
      </c>
      <c r="B106" s="86"/>
      <c r="C106" s="1"/>
    </row>
    <row r="107" spans="1:5" ht="14.45" customHeight="1" thickBot="1" x14ac:dyDescent="0.3">
      <c r="A107" s="104" t="s">
        <v>568</v>
      </c>
      <c r="B107" s="105">
        <v>17604858</v>
      </c>
      <c r="C107" s="1"/>
    </row>
    <row r="108" spans="1:5" ht="14.45" customHeight="1" thickBot="1" x14ac:dyDescent="0.3">
      <c r="A108" s="104" t="s">
        <v>568</v>
      </c>
      <c r="B108" s="105">
        <v>17604796</v>
      </c>
      <c r="C108" s="1"/>
    </row>
    <row r="109" spans="1:5" ht="14.45" customHeight="1" thickBot="1" x14ac:dyDescent="0.3">
      <c r="A109" s="104" t="s">
        <v>569</v>
      </c>
      <c r="B109" s="105">
        <v>798155</v>
      </c>
      <c r="C109" s="1"/>
    </row>
    <row r="110" spans="1:5" ht="14.45" customHeight="1" thickBot="1" x14ac:dyDescent="0.3">
      <c r="A110" s="104" t="s">
        <v>570</v>
      </c>
      <c r="B110" s="105">
        <v>666349</v>
      </c>
      <c r="C110" s="1"/>
    </row>
    <row r="111" spans="1:5" ht="14.45" customHeight="1" thickBot="1" x14ac:dyDescent="0.25">
      <c r="A111" s="201" t="s">
        <v>572</v>
      </c>
      <c r="B111" s="202"/>
      <c r="C111" s="261">
        <f>SUM(C107:C110)</f>
        <v>0</v>
      </c>
    </row>
    <row r="112" spans="1:5" ht="14.45" customHeight="1" thickBot="1" x14ac:dyDescent="0.3">
      <c r="A112" s="107" t="s">
        <v>487</v>
      </c>
      <c r="B112" s="87"/>
      <c r="C112" s="1"/>
    </row>
    <row r="113" spans="1:4" ht="14.45" customHeight="1" thickBot="1" x14ac:dyDescent="0.3">
      <c r="A113" s="104" t="s">
        <v>573</v>
      </c>
      <c r="B113" s="105">
        <v>537899</v>
      </c>
      <c r="C113" s="1"/>
    </row>
    <row r="114" spans="1:4" ht="14.45" customHeight="1" thickBot="1" x14ac:dyDescent="0.25">
      <c r="A114" s="104" t="s">
        <v>573</v>
      </c>
      <c r="B114" s="105">
        <v>537878</v>
      </c>
      <c r="C114" s="106"/>
    </row>
    <row r="115" spans="1:4" ht="14.45" customHeight="1" x14ac:dyDescent="0.2">
      <c r="A115" s="203" t="s">
        <v>574</v>
      </c>
      <c r="B115" s="204"/>
      <c r="C115" s="188">
        <f>C113</f>
        <v>0</v>
      </c>
    </row>
    <row r="116" spans="1:4" ht="14.45" customHeight="1" x14ac:dyDescent="0.2">
      <c r="A116" s="192" t="s">
        <v>643</v>
      </c>
      <c r="B116" s="191"/>
      <c r="C116" s="193"/>
      <c r="D116" s="194"/>
    </row>
    <row r="117" spans="1:4" ht="14.45" customHeight="1" thickBot="1" x14ac:dyDescent="0.3">
      <c r="A117" s="189" t="s">
        <v>644</v>
      </c>
      <c r="B117" s="190">
        <v>11221</v>
      </c>
      <c r="C117" s="1"/>
    </row>
    <row r="118" spans="1:4" ht="14.45" customHeight="1" x14ac:dyDescent="0.2">
      <c r="A118" s="87"/>
      <c r="B118" s="87"/>
    </row>
    <row r="119" spans="1:4" ht="14.45" customHeight="1" x14ac:dyDescent="0.2">
      <c r="A119" s="87"/>
      <c r="B119" s="87"/>
    </row>
    <row r="120" spans="1:4" ht="14.45" customHeight="1" x14ac:dyDescent="0.2">
      <c r="A120" s="87"/>
      <c r="B120" s="87"/>
    </row>
    <row r="121" spans="1:4" ht="14.45" customHeight="1" x14ac:dyDescent="0.2">
      <c r="A121" s="85"/>
      <c r="B121" s="86"/>
    </row>
    <row r="122" spans="1:4" ht="14.45" customHeight="1" x14ac:dyDescent="0.2">
      <c r="A122" s="87"/>
      <c r="B122" s="87"/>
    </row>
    <row r="123" spans="1:4" ht="14.45" customHeight="1" x14ac:dyDescent="0.2">
      <c r="A123" s="87"/>
      <c r="B123" s="87"/>
    </row>
    <row r="124" spans="1:4" ht="14.45" customHeight="1" x14ac:dyDescent="0.2">
      <c r="A124" s="85"/>
      <c r="B124" s="86"/>
    </row>
    <row r="130" spans="1:2" ht="14.45" customHeight="1" x14ac:dyDescent="0.2">
      <c r="A130" s="85"/>
      <c r="B130" s="86"/>
    </row>
    <row r="131" spans="1:2" ht="14.45" customHeight="1" x14ac:dyDescent="0.2">
      <c r="A131" s="85"/>
      <c r="B131" s="86"/>
    </row>
    <row r="132" spans="1:2" ht="14.45" customHeight="1" x14ac:dyDescent="0.2">
      <c r="A132" s="85"/>
      <c r="B132" s="8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l2</vt:lpstr>
      <vt:lpstr>l3</vt:lpstr>
      <vt:lpstr>l1</vt:lpstr>
      <vt:lpstr>Лист1</vt:lpstr>
      <vt:lpstr>Пустографка</vt:lpstr>
      <vt:lpstr>222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saint Maria</dc:creator>
  <cp:lastModifiedBy>adm</cp:lastModifiedBy>
  <cp:lastPrinted>2020-12-03T12:51:33Z</cp:lastPrinted>
  <dcterms:created xsi:type="dcterms:W3CDTF">2020-10-01T16:51:54Z</dcterms:created>
  <dcterms:modified xsi:type="dcterms:W3CDTF">2021-01-10T12:57:35Z</dcterms:modified>
</cp:coreProperties>
</file>