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wer\Documents\GitHub\xlsxtest\"/>
    </mc:Choice>
  </mc:AlternateContent>
  <bookViews>
    <workbookView xWindow="0" yWindow="6000" windowWidth="23670" windowHeight="9045" tabRatio="598"/>
  </bookViews>
  <sheets>
    <sheet name="list1" sheetId="1" r:id="rId1"/>
    <sheet name="СУБ.АБ. НАСЕЛЕНИЕ" sheetId="2" r:id="rId2"/>
    <sheet name="общежития" sheetId="7" r:id="rId3"/>
    <sheet name="ЦТП" sheetId="4" r:id="rId4"/>
    <sheet name="СВОД" sheetId="3" r:id="rId5"/>
    <sheet name="ПУСТОГРАФКА" sheetId="5" r:id="rId6"/>
    <sheet name="Лист1" sheetId="6" r:id="rId7"/>
    <sheet name="сокольская" sheetId="8" r:id="rId8"/>
    <sheet name="ТС Индурское 4-2" sheetId="9" r:id="rId9"/>
    <sheet name="Лист3" sheetId="10" r:id="rId10"/>
    <sheet name="Лист4" sheetId="11" r:id="rId11"/>
  </sheets>
  <definedNames>
    <definedName name="_xlnm.Print_Area" localSheetId="0">list1!$B$206:$J$225</definedName>
    <definedName name="_xlnm.Print_Area" localSheetId="6">Лист1!$A$1:$R$92</definedName>
    <definedName name="_xlnm.Print_Area" localSheetId="10">Лист4!$C$2:$G$14</definedName>
    <definedName name="_xlnm.Print_Area" localSheetId="2">общежития!$A$3:$F$18</definedName>
    <definedName name="_xlnm.Print_Area" localSheetId="5">ПУСТОГРАФКА!$A$1:$Q$32</definedName>
    <definedName name="_xlnm.Print_Area" localSheetId="4">СВОД!$A$1:$R$94</definedName>
    <definedName name="_xlnm.Print_Area" localSheetId="7">сокольская!$B$296:$J$340</definedName>
    <definedName name="_xlnm.Print_Area" localSheetId="1">'СУБ.АБ. НАСЕЛЕНИЕ'!$B$1:$K$244</definedName>
    <definedName name="_xlnm.Print_Area" localSheetId="8">'ТС Индурское 4-2'!$A$49:$I$96</definedName>
    <definedName name="_xlnm.Print_Area" localSheetId="3">ЦТП!$A$3:$H$33</definedName>
  </definedNames>
  <calcPr calcId="152511"/>
</workbook>
</file>

<file path=xl/calcChain.xml><?xml version="1.0" encoding="utf-8"?>
<calcChain xmlns="http://schemas.openxmlformats.org/spreadsheetml/2006/main">
  <c r="N5" i="5" l="1"/>
  <c r="M5" i="5"/>
  <c r="L5" i="5"/>
  <c r="K5" i="5"/>
  <c r="J5" i="5"/>
  <c r="I5" i="5"/>
  <c r="H5" i="5"/>
  <c r="Q5" i="5"/>
  <c r="Q29" i="5"/>
  <c r="P33" i="5"/>
  <c r="G5" i="5"/>
  <c r="F5" i="5"/>
  <c r="E5" i="5"/>
  <c r="D5" i="5"/>
  <c r="Q14" i="5"/>
  <c r="Q22" i="5"/>
  <c r="Q25" i="5"/>
  <c r="Q9" i="5"/>
  <c r="Q10" i="5"/>
  <c r="Q11" i="5"/>
  <c r="Q33" i="5"/>
  <c r="G8" i="5"/>
  <c r="Q8" i="5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69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3" i="2"/>
  <c r="G84" i="2"/>
  <c r="G85" i="2"/>
  <c r="G86" i="2"/>
  <c r="G88" i="2"/>
  <c r="G89" i="2"/>
  <c r="G90" i="2"/>
  <c r="G91" i="2"/>
  <c r="G92" i="2"/>
  <c r="G94" i="2"/>
  <c r="G95" i="2"/>
  <c r="G96" i="2"/>
  <c r="G97" i="2"/>
  <c r="G98" i="2"/>
  <c r="G99" i="2"/>
  <c r="G13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40" i="2"/>
  <c r="G155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6" i="2"/>
  <c r="G157" i="2"/>
  <c r="G158" i="2"/>
  <c r="G159" i="2"/>
  <c r="G160" i="2"/>
  <c r="G161" i="2"/>
  <c r="G162" i="2"/>
  <c r="G163" i="2"/>
  <c r="G164" i="2"/>
  <c r="G165" i="2"/>
  <c r="G176" i="2"/>
  <c r="G166" i="2"/>
  <c r="G167" i="2"/>
  <c r="G168" i="2"/>
  <c r="G169" i="2"/>
  <c r="G170" i="2"/>
  <c r="G171" i="2"/>
  <c r="G172" i="2"/>
  <c r="G173" i="2"/>
  <c r="G174" i="2"/>
  <c r="G175" i="2"/>
  <c r="G177" i="2"/>
  <c r="G178" i="2"/>
  <c r="G179" i="2"/>
  <c r="G180" i="2"/>
  <c r="G181" i="2"/>
  <c r="G182" i="2"/>
  <c r="G183" i="2"/>
  <c r="G184" i="2"/>
  <c r="I184" i="2"/>
  <c r="J184" i="2"/>
  <c r="G185" i="2"/>
  <c r="G186" i="2"/>
  <c r="G187" i="2"/>
  <c r="G188" i="2"/>
  <c r="G189" i="2"/>
  <c r="G190" i="2"/>
  <c r="G192" i="2"/>
  <c r="G193" i="2"/>
  <c r="G194" i="2"/>
  <c r="G195" i="2"/>
  <c r="G196" i="2"/>
  <c r="G198" i="2"/>
  <c r="G199" i="2"/>
  <c r="G200" i="2"/>
  <c r="G201" i="2"/>
  <c r="G202" i="2"/>
  <c r="G203" i="2"/>
  <c r="G204" i="2"/>
  <c r="G206" i="2"/>
  <c r="G207" i="2"/>
  <c r="G208" i="2"/>
  <c r="G209" i="2"/>
  <c r="G210" i="2"/>
  <c r="G211" i="2"/>
  <c r="G212" i="2"/>
  <c r="G213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2" i="2"/>
  <c r="G233" i="2"/>
  <c r="G234" i="2"/>
  <c r="G235" i="2"/>
  <c r="G239" i="2"/>
  <c r="G236" i="2"/>
  <c r="G237" i="2"/>
  <c r="G238" i="2"/>
  <c r="E240" i="2"/>
  <c r="AC8" i="5"/>
  <c r="I8" i="5"/>
  <c r="G21" i="5"/>
  <c r="Q21" i="5"/>
  <c r="M21" i="5"/>
  <c r="D31" i="1"/>
  <c r="D223" i="1"/>
  <c r="G159" i="1"/>
  <c r="G161" i="1"/>
  <c r="D191" i="2"/>
  <c r="G191" i="2"/>
  <c r="I191" i="2"/>
  <c r="J191" i="2"/>
  <c r="R33" i="5"/>
  <c r="Q17" i="5"/>
  <c r="N21" i="5"/>
  <c r="L26" i="5"/>
  <c r="Q18" i="5"/>
  <c r="Q7" i="5"/>
  <c r="K21" i="5"/>
  <c r="J21" i="5"/>
  <c r="D199" i="1"/>
  <c r="D185" i="1"/>
  <c r="D26" i="5"/>
  <c r="Q26" i="5"/>
  <c r="D52" i="1"/>
  <c r="L6" i="5"/>
  <c r="D6" i="5"/>
  <c r="Q6" i="5"/>
  <c r="D235" i="2"/>
  <c r="D215" i="2"/>
  <c r="G215" i="2"/>
  <c r="D87" i="2"/>
  <c r="G87" i="2"/>
  <c r="D205" i="2"/>
  <c r="G205" i="2"/>
  <c r="D82" i="2"/>
  <c r="G82" i="2"/>
  <c r="D156" i="1"/>
  <c r="D152" i="1"/>
  <c r="D155" i="1" s="1"/>
  <c r="D120" i="1"/>
  <c r="D67" i="1"/>
  <c r="O45" i="6"/>
  <c r="R8" i="6"/>
  <c r="K78" i="6"/>
  <c r="K76" i="6"/>
  <c r="C78" i="6"/>
  <c r="C76" i="6"/>
  <c r="R76" i="6"/>
  <c r="D339" i="8"/>
  <c r="G339" i="8"/>
  <c r="D338" i="8"/>
  <c r="G338" i="8"/>
  <c r="I338" i="8"/>
  <c r="D337" i="8"/>
  <c r="G337" i="8"/>
  <c r="D335" i="8"/>
  <c r="G335" i="8"/>
  <c r="D334" i="8"/>
  <c r="G315" i="8"/>
  <c r="G336" i="8"/>
  <c r="G334" i="8"/>
  <c r="I334" i="8"/>
  <c r="D326" i="8"/>
  <c r="G325" i="8"/>
  <c r="G324" i="8"/>
  <c r="G323" i="8"/>
  <c r="G322" i="8"/>
  <c r="I322" i="8"/>
  <c r="G321" i="8"/>
  <c r="G320" i="8"/>
  <c r="D316" i="8"/>
  <c r="I315" i="8"/>
  <c r="J315" i="8"/>
  <c r="G314" i="8"/>
  <c r="G313" i="8"/>
  <c r="I313" i="8"/>
  <c r="I316" i="8"/>
  <c r="G312" i="8"/>
  <c r="G311" i="8"/>
  <c r="I311" i="8"/>
  <c r="G310" i="8"/>
  <c r="D306" i="8"/>
  <c r="G305" i="8"/>
  <c r="I305" i="8"/>
  <c r="G304" i="8"/>
  <c r="G303" i="8"/>
  <c r="I303" i="8"/>
  <c r="G302" i="8"/>
  <c r="G301" i="8"/>
  <c r="I301" i="8"/>
  <c r="G300" i="8"/>
  <c r="G62" i="1"/>
  <c r="I62" i="1" s="1"/>
  <c r="J62" i="1" s="1"/>
  <c r="G55" i="1"/>
  <c r="I55" i="1"/>
  <c r="J55" i="1" s="1"/>
  <c r="S149" i="2"/>
  <c r="Q149" i="2"/>
  <c r="P149" i="2"/>
  <c r="O149" i="2"/>
  <c r="N149" i="2"/>
  <c r="R149" i="2"/>
  <c r="I134" i="2"/>
  <c r="J134" i="2"/>
  <c r="I290" i="8"/>
  <c r="D290" i="8"/>
  <c r="G290" i="8"/>
  <c r="D289" i="8"/>
  <c r="G289" i="8"/>
  <c r="I289" i="8"/>
  <c r="D286" i="8"/>
  <c r="D285" i="8"/>
  <c r="G285" i="8"/>
  <c r="G276" i="8"/>
  <c r="I276" i="8"/>
  <c r="J276" i="8"/>
  <c r="G266" i="8"/>
  <c r="I266" i="8"/>
  <c r="G288" i="8"/>
  <c r="I288" i="8"/>
  <c r="G287" i="8"/>
  <c r="D277" i="8"/>
  <c r="G275" i="8"/>
  <c r="I275" i="8"/>
  <c r="J275" i="8"/>
  <c r="G274" i="8"/>
  <c r="J274" i="8"/>
  <c r="I274" i="8"/>
  <c r="G273" i="8"/>
  <c r="I273" i="8"/>
  <c r="G272" i="8"/>
  <c r="I272" i="8"/>
  <c r="G271" i="8"/>
  <c r="D267" i="8"/>
  <c r="G265" i="8"/>
  <c r="G264" i="8"/>
  <c r="I264" i="8"/>
  <c r="J264" i="8"/>
  <c r="G263" i="8"/>
  <c r="I263" i="8"/>
  <c r="G262" i="8"/>
  <c r="I262" i="8"/>
  <c r="J262" i="8"/>
  <c r="G261" i="8"/>
  <c r="D257" i="8"/>
  <c r="G256" i="8"/>
  <c r="I256" i="8"/>
  <c r="G255" i="8"/>
  <c r="G254" i="8"/>
  <c r="G253" i="8"/>
  <c r="I253" i="8"/>
  <c r="J253" i="8"/>
  <c r="G252" i="8"/>
  <c r="G251" i="8"/>
  <c r="G349" i="2"/>
  <c r="D349" i="2"/>
  <c r="I347" i="2"/>
  <c r="G113" i="1"/>
  <c r="G111" i="1"/>
  <c r="I111" i="1"/>
  <c r="G322" i="2"/>
  <c r="D322" i="2"/>
  <c r="I320" i="2"/>
  <c r="D297" i="2"/>
  <c r="G296" i="2"/>
  <c r="I296" i="2"/>
  <c r="G294" i="2"/>
  <c r="G292" i="2"/>
  <c r="I292" i="2"/>
  <c r="G290" i="2"/>
  <c r="I290" i="2"/>
  <c r="G288" i="2"/>
  <c r="G286" i="2"/>
  <c r="D269" i="2"/>
  <c r="G268" i="2"/>
  <c r="G266" i="2"/>
  <c r="I266" i="2"/>
  <c r="J266" i="2"/>
  <c r="G264" i="2"/>
  <c r="G262" i="2"/>
  <c r="G260" i="2"/>
  <c r="G258" i="2"/>
  <c r="G269" i="2"/>
  <c r="D239" i="2"/>
  <c r="I238" i="2"/>
  <c r="J238" i="2"/>
  <c r="S233" i="2"/>
  <c r="D231" i="2"/>
  <c r="S230" i="2"/>
  <c r="Q230" i="2"/>
  <c r="P230" i="2"/>
  <c r="O230" i="2"/>
  <c r="N230" i="2"/>
  <c r="S229" i="2"/>
  <c r="Q229" i="2"/>
  <c r="P229" i="2"/>
  <c r="O229" i="2"/>
  <c r="N229" i="2"/>
  <c r="I226" i="2"/>
  <c r="J226" i="2"/>
  <c r="S225" i="2"/>
  <c r="Q225" i="2"/>
  <c r="P225" i="2"/>
  <c r="O225" i="2"/>
  <c r="N225" i="2"/>
  <c r="R225" i="2"/>
  <c r="S224" i="2"/>
  <c r="Q224" i="2"/>
  <c r="P224" i="2"/>
  <c r="O224" i="2"/>
  <c r="N224" i="2"/>
  <c r="I224" i="2"/>
  <c r="S223" i="2"/>
  <c r="Q223" i="2"/>
  <c r="P223" i="2"/>
  <c r="O223" i="2"/>
  <c r="N223" i="2"/>
  <c r="I220" i="2"/>
  <c r="J220" i="2"/>
  <c r="I219" i="2"/>
  <c r="J219" i="2"/>
  <c r="I217" i="2"/>
  <c r="I216" i="2"/>
  <c r="J216" i="2"/>
  <c r="D214" i="2"/>
  <c r="S213" i="2"/>
  <c r="Q213" i="2"/>
  <c r="P213" i="2"/>
  <c r="O213" i="2"/>
  <c r="N213" i="2"/>
  <c r="I207" i="2"/>
  <c r="J207" i="2"/>
  <c r="I206" i="2"/>
  <c r="S204" i="2"/>
  <c r="Q204" i="2"/>
  <c r="P204" i="2"/>
  <c r="O204" i="2"/>
  <c r="N204" i="2"/>
  <c r="S203" i="2"/>
  <c r="S202" i="2"/>
  <c r="I202" i="2"/>
  <c r="J202" i="2"/>
  <c r="S201" i="2"/>
  <c r="I201" i="2"/>
  <c r="S200" i="2"/>
  <c r="I200" i="2"/>
  <c r="J200" i="2"/>
  <c r="S199" i="2"/>
  <c r="S198" i="2"/>
  <c r="Q198" i="2"/>
  <c r="P198" i="2"/>
  <c r="O198" i="2"/>
  <c r="N198" i="2"/>
  <c r="D197" i="2"/>
  <c r="I196" i="2"/>
  <c r="S195" i="2"/>
  <c r="Q195" i="2"/>
  <c r="P195" i="2"/>
  <c r="O195" i="2"/>
  <c r="N195" i="2"/>
  <c r="I194" i="2"/>
  <c r="J194" i="2"/>
  <c r="I192" i="2"/>
  <c r="J192" i="2"/>
  <c r="I190" i="2"/>
  <c r="I188" i="2"/>
  <c r="J188" i="2"/>
  <c r="S186" i="2"/>
  <c r="S185" i="2"/>
  <c r="I183" i="2"/>
  <c r="J183" i="2"/>
  <c r="S181" i="2"/>
  <c r="Q181" i="2"/>
  <c r="P181" i="2"/>
  <c r="O181" i="2"/>
  <c r="N181" i="2"/>
  <c r="I181" i="2"/>
  <c r="S180" i="2"/>
  <c r="I180" i="2"/>
  <c r="S179" i="2"/>
  <c r="S178" i="2"/>
  <c r="I178" i="2"/>
  <c r="J178" i="2"/>
  <c r="S177" i="2"/>
  <c r="Q177" i="2"/>
  <c r="P177" i="2"/>
  <c r="O177" i="2"/>
  <c r="N177" i="2"/>
  <c r="R177" i="2"/>
  <c r="D176" i="2"/>
  <c r="S175" i="2"/>
  <c r="Q175" i="2"/>
  <c r="P175" i="2"/>
  <c r="O175" i="2"/>
  <c r="N175" i="2"/>
  <c r="S174" i="2"/>
  <c r="Q174" i="2"/>
  <c r="P174" i="2"/>
  <c r="O174" i="2"/>
  <c r="N174" i="2"/>
  <c r="R174" i="2"/>
  <c r="I172" i="2"/>
  <c r="I170" i="2"/>
  <c r="J170" i="2"/>
  <c r="I169" i="2"/>
  <c r="I168" i="2"/>
  <c r="J168" i="2"/>
  <c r="Q165" i="2"/>
  <c r="P165" i="2"/>
  <c r="O165" i="2"/>
  <c r="N165" i="2"/>
  <c r="D164" i="2"/>
  <c r="I163" i="2"/>
  <c r="J163" i="2"/>
  <c r="I161" i="2"/>
  <c r="J161" i="2"/>
  <c r="I159" i="2"/>
  <c r="J159" i="2"/>
  <c r="I158" i="2"/>
  <c r="J158" i="2"/>
  <c r="D155" i="2"/>
  <c r="S154" i="2"/>
  <c r="Q154" i="2"/>
  <c r="P154" i="2"/>
  <c r="O154" i="2"/>
  <c r="N154" i="2"/>
  <c r="S153" i="2"/>
  <c r="Q153" i="2"/>
  <c r="P153" i="2"/>
  <c r="O153" i="2"/>
  <c r="N153" i="2"/>
  <c r="R153" i="2"/>
  <c r="S152" i="2"/>
  <c r="Q152" i="2"/>
  <c r="P152" i="2"/>
  <c r="O152" i="2"/>
  <c r="N152" i="2"/>
  <c r="S151" i="2"/>
  <c r="Q151" i="2"/>
  <c r="P151" i="2"/>
  <c r="O151" i="2"/>
  <c r="N151" i="2"/>
  <c r="S150" i="2"/>
  <c r="Q150" i="2"/>
  <c r="P150" i="2"/>
  <c r="O150" i="2"/>
  <c r="N150" i="2"/>
  <c r="I150" i="2"/>
  <c r="T150" i="2"/>
  <c r="I148" i="2"/>
  <c r="J148" i="2"/>
  <c r="S146" i="2"/>
  <c r="Q146" i="2"/>
  <c r="P146" i="2"/>
  <c r="O146" i="2"/>
  <c r="N146" i="2"/>
  <c r="R146" i="2"/>
  <c r="S145" i="2"/>
  <c r="Q145" i="2"/>
  <c r="P145" i="2"/>
  <c r="O145" i="2"/>
  <c r="N145" i="2"/>
  <c r="I145" i="2"/>
  <c r="J145" i="2"/>
  <c r="U145" i="2"/>
  <c r="S144" i="2"/>
  <c r="Q144" i="2"/>
  <c r="P144" i="2"/>
  <c r="O144" i="2"/>
  <c r="N144" i="2"/>
  <c r="I143" i="2"/>
  <c r="J143" i="2"/>
  <c r="I141" i="2"/>
  <c r="J141" i="2"/>
  <c r="I140" i="2"/>
  <c r="J140" i="2"/>
  <c r="D139" i="2"/>
  <c r="O138" i="2"/>
  <c r="O137" i="2"/>
  <c r="I137" i="2"/>
  <c r="J137" i="2"/>
  <c r="I136" i="2"/>
  <c r="I133" i="2"/>
  <c r="I132" i="2"/>
  <c r="J132" i="2"/>
  <c r="S131" i="2"/>
  <c r="Q131" i="2"/>
  <c r="P131" i="2"/>
  <c r="O131" i="2"/>
  <c r="N131" i="2"/>
  <c r="I131" i="2"/>
  <c r="O130" i="2"/>
  <c r="O129" i="2"/>
  <c r="O128" i="2"/>
  <c r="O127" i="2"/>
  <c r="O126" i="2"/>
  <c r="O125" i="2"/>
  <c r="O124" i="2"/>
  <c r="O123" i="2"/>
  <c r="O122" i="2"/>
  <c r="O121" i="2"/>
  <c r="I121" i="2"/>
  <c r="O120" i="2"/>
  <c r="I120" i="2"/>
  <c r="J120" i="2"/>
  <c r="O119" i="2"/>
  <c r="O118" i="2"/>
  <c r="I118" i="2"/>
  <c r="O117" i="2"/>
  <c r="I117" i="2"/>
  <c r="J117" i="2"/>
  <c r="O116" i="2"/>
  <c r="O115" i="2"/>
  <c r="O114" i="2"/>
  <c r="N114" i="2"/>
  <c r="O113" i="2"/>
  <c r="N113" i="2"/>
  <c r="O112" i="2"/>
  <c r="N112" i="2"/>
  <c r="O111" i="2"/>
  <c r="N111" i="2"/>
  <c r="I111" i="2"/>
  <c r="O110" i="2"/>
  <c r="I110" i="2"/>
  <c r="J110" i="2"/>
  <c r="O109" i="2"/>
  <c r="N109" i="2"/>
  <c r="O108" i="2"/>
  <c r="N108" i="2"/>
  <c r="I108" i="2"/>
  <c r="J108" i="2"/>
  <c r="O107" i="2"/>
  <c r="N107" i="2"/>
  <c r="O106" i="2"/>
  <c r="N106" i="2"/>
  <c r="I106" i="2"/>
  <c r="O105" i="2"/>
  <c r="O104" i="2"/>
  <c r="N104" i="2"/>
  <c r="O103" i="2"/>
  <c r="N103" i="2"/>
  <c r="I103" i="2"/>
  <c r="J103" i="2"/>
  <c r="O102" i="2"/>
  <c r="N102" i="2"/>
  <c r="I102" i="2"/>
  <c r="J102" i="2"/>
  <c r="O101" i="2"/>
  <c r="N101" i="2"/>
  <c r="O100" i="2"/>
  <c r="N100" i="2"/>
  <c r="O99" i="2"/>
  <c r="N99" i="2"/>
  <c r="O98" i="2"/>
  <c r="N98" i="2"/>
  <c r="O97" i="2"/>
  <c r="N97" i="2"/>
  <c r="S96" i="2"/>
  <c r="Q96" i="2"/>
  <c r="P96" i="2"/>
  <c r="O96" i="2"/>
  <c r="N96" i="2"/>
  <c r="R96" i="2"/>
  <c r="S95" i="2"/>
  <c r="Q95" i="2"/>
  <c r="P95" i="2"/>
  <c r="O95" i="2"/>
  <c r="N95" i="2"/>
  <c r="D93" i="2"/>
  <c r="I92" i="2"/>
  <c r="J92" i="2"/>
  <c r="S86" i="2"/>
  <c r="Q86" i="2"/>
  <c r="P86" i="2"/>
  <c r="O86" i="2"/>
  <c r="N86" i="2"/>
  <c r="I86" i="2"/>
  <c r="T86" i="2"/>
  <c r="S85" i="2"/>
  <c r="Q85" i="2"/>
  <c r="P85" i="2"/>
  <c r="O85" i="2"/>
  <c r="N85" i="2"/>
  <c r="S84" i="2"/>
  <c r="Q84" i="2"/>
  <c r="P84" i="2"/>
  <c r="O84" i="2"/>
  <c r="N84" i="2"/>
  <c r="R84" i="2"/>
  <c r="R85" i="2"/>
  <c r="Q79" i="2"/>
  <c r="P79" i="2"/>
  <c r="O79" i="2"/>
  <c r="N79" i="2"/>
  <c r="I79" i="2"/>
  <c r="T79" i="2"/>
  <c r="I78" i="2"/>
  <c r="J78" i="2"/>
  <c r="I76" i="2"/>
  <c r="I74" i="2"/>
  <c r="Q73" i="2"/>
  <c r="P73" i="2"/>
  <c r="O73" i="2"/>
  <c r="N73" i="2"/>
  <c r="R73" i="2"/>
  <c r="I72" i="2"/>
  <c r="J72" i="2"/>
  <c r="I70" i="2"/>
  <c r="D69" i="2"/>
  <c r="O68" i="2"/>
  <c r="O67" i="2"/>
  <c r="I67" i="2"/>
  <c r="J67" i="2"/>
  <c r="O66" i="2"/>
  <c r="O65" i="2"/>
  <c r="O64" i="2"/>
  <c r="I64" i="2"/>
  <c r="J64" i="2"/>
  <c r="O63" i="2"/>
  <c r="O62" i="2"/>
  <c r="I62" i="2"/>
  <c r="J62" i="2"/>
  <c r="S61" i="2"/>
  <c r="Q61" i="2"/>
  <c r="P61" i="2"/>
  <c r="O61" i="2"/>
  <c r="N61" i="2"/>
  <c r="O60" i="2"/>
  <c r="O59" i="2"/>
  <c r="S58" i="2"/>
  <c r="Q58" i="2"/>
  <c r="P58" i="2"/>
  <c r="O58" i="2"/>
  <c r="N58" i="2"/>
  <c r="S57" i="2"/>
  <c r="Q57" i="2"/>
  <c r="P57" i="2"/>
  <c r="O57" i="2"/>
  <c r="N57" i="2"/>
  <c r="O56" i="2"/>
  <c r="I56" i="2"/>
  <c r="J56" i="2"/>
  <c r="O55" i="2"/>
  <c r="I55" i="2"/>
  <c r="O54" i="2"/>
  <c r="I54" i="2"/>
  <c r="J54" i="2"/>
  <c r="O53" i="2"/>
  <c r="I53" i="2"/>
  <c r="O52" i="2"/>
  <c r="O51" i="2"/>
  <c r="O50" i="2"/>
  <c r="O49" i="2"/>
  <c r="O48" i="2"/>
  <c r="I48" i="2"/>
  <c r="J48" i="2"/>
  <c r="O47" i="2"/>
  <c r="O46" i="2"/>
  <c r="I46" i="2"/>
  <c r="J46" i="2"/>
  <c r="S45" i="2"/>
  <c r="Q45" i="2"/>
  <c r="P45" i="2"/>
  <c r="O45" i="2"/>
  <c r="N45" i="2"/>
  <c r="I45" i="2"/>
  <c r="O44" i="2"/>
  <c r="S43" i="2"/>
  <c r="Q43" i="2"/>
  <c r="P43" i="2"/>
  <c r="O43" i="2"/>
  <c r="N43" i="2"/>
  <c r="O42" i="2"/>
  <c r="S41" i="2"/>
  <c r="Q41" i="2"/>
  <c r="P41" i="2"/>
  <c r="O41" i="2"/>
  <c r="N41" i="2"/>
  <c r="Q40" i="2"/>
  <c r="P40" i="2"/>
  <c r="O40" i="2"/>
  <c r="N40" i="2"/>
  <c r="Q39" i="2"/>
  <c r="P39" i="2"/>
  <c r="O39" i="2"/>
  <c r="N39" i="2"/>
  <c r="I39" i="2"/>
  <c r="O38" i="2"/>
  <c r="R38" i="2"/>
  <c r="T38" i="2"/>
  <c r="U38" i="2"/>
  <c r="N38" i="2"/>
  <c r="Q37" i="2"/>
  <c r="P37" i="2"/>
  <c r="O37" i="2"/>
  <c r="N37" i="2"/>
  <c r="D36" i="2"/>
  <c r="D240" i="2"/>
  <c r="D241" i="2"/>
  <c r="S35" i="2"/>
  <c r="Q35" i="2"/>
  <c r="P35" i="2"/>
  <c r="O35" i="2"/>
  <c r="N35" i="2"/>
  <c r="R35" i="2"/>
  <c r="O34" i="2"/>
  <c r="O33" i="2"/>
  <c r="I33" i="2"/>
  <c r="O32" i="2"/>
  <c r="I32" i="2"/>
  <c r="J32" i="2"/>
  <c r="O31" i="2"/>
  <c r="O30" i="2"/>
  <c r="S29" i="2"/>
  <c r="Q29" i="2"/>
  <c r="P29" i="2"/>
  <c r="O29" i="2"/>
  <c r="N29" i="2"/>
  <c r="I29" i="2"/>
  <c r="T29" i="2"/>
  <c r="Q28" i="2"/>
  <c r="P28" i="2"/>
  <c r="O28" i="2"/>
  <c r="N28" i="2"/>
  <c r="O27" i="2"/>
  <c r="I27" i="2"/>
  <c r="J27" i="2"/>
  <c r="O26" i="2"/>
  <c r="O25" i="2"/>
  <c r="I25" i="2"/>
  <c r="J25" i="2"/>
  <c r="O24" i="2"/>
  <c r="Q23" i="2"/>
  <c r="P23" i="2"/>
  <c r="O23" i="2"/>
  <c r="N23" i="2"/>
  <c r="Q22" i="2"/>
  <c r="P22" i="2"/>
  <c r="O22" i="2"/>
  <c r="N22" i="2"/>
  <c r="O21" i="2"/>
  <c r="I21" i="2"/>
  <c r="J21" i="2"/>
  <c r="O20" i="2"/>
  <c r="Q19" i="2"/>
  <c r="P19" i="2"/>
  <c r="O19" i="2"/>
  <c r="N19" i="2"/>
  <c r="Q18" i="2"/>
  <c r="P18" i="2"/>
  <c r="O18" i="2"/>
  <c r="N18" i="2"/>
  <c r="O17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R13" i="2"/>
  <c r="Q12" i="2"/>
  <c r="P12" i="2"/>
  <c r="O12" i="2"/>
  <c r="N12" i="2"/>
  <c r="Q11" i="2"/>
  <c r="P11" i="2"/>
  <c r="O11" i="2"/>
  <c r="N11" i="2"/>
  <c r="R11" i="2"/>
  <c r="Q10" i="2"/>
  <c r="P10" i="2"/>
  <c r="O10" i="2"/>
  <c r="N10" i="2"/>
  <c r="Q8" i="2"/>
  <c r="P8" i="2"/>
  <c r="O8" i="2"/>
  <c r="N8" i="2"/>
  <c r="I8" i="2"/>
  <c r="T8" i="2"/>
  <c r="I6" i="2"/>
  <c r="D242" i="8"/>
  <c r="G242" i="8"/>
  <c r="D241" i="8"/>
  <c r="G241" i="8"/>
  <c r="I241" i="8"/>
  <c r="J241" i="8"/>
  <c r="D238" i="8"/>
  <c r="D237" i="8"/>
  <c r="G237" i="8"/>
  <c r="G218" i="8"/>
  <c r="I218" i="8"/>
  <c r="G240" i="8"/>
  <c r="G239" i="8"/>
  <c r="D229" i="8"/>
  <c r="G228" i="8"/>
  <c r="G227" i="8"/>
  <c r="I227" i="8"/>
  <c r="J227" i="8"/>
  <c r="G226" i="8"/>
  <c r="I226" i="8"/>
  <c r="J226" i="8"/>
  <c r="G225" i="8"/>
  <c r="I225" i="8"/>
  <c r="J225" i="8"/>
  <c r="G224" i="8"/>
  <c r="I224" i="8"/>
  <c r="J224" i="8"/>
  <c r="G223" i="8"/>
  <c r="D219" i="8"/>
  <c r="G217" i="8"/>
  <c r="I217" i="8"/>
  <c r="G216" i="8"/>
  <c r="I216" i="8"/>
  <c r="J216" i="8"/>
  <c r="G215" i="8"/>
  <c r="I215" i="8"/>
  <c r="J215" i="8"/>
  <c r="G214" i="8"/>
  <c r="I214" i="8"/>
  <c r="J214" i="8"/>
  <c r="G213" i="8"/>
  <c r="D209" i="8"/>
  <c r="G208" i="8"/>
  <c r="I208" i="8"/>
  <c r="J208" i="8"/>
  <c r="G207" i="8"/>
  <c r="G206" i="8"/>
  <c r="I206" i="8"/>
  <c r="G205" i="8"/>
  <c r="G204" i="8"/>
  <c r="I204" i="8"/>
  <c r="G203" i="8"/>
  <c r="G48" i="1"/>
  <c r="I48" i="1" s="1"/>
  <c r="D194" i="8"/>
  <c r="G194" i="8"/>
  <c r="I194" i="8"/>
  <c r="D193" i="8"/>
  <c r="G193" i="8"/>
  <c r="D191" i="8"/>
  <c r="G191" i="8"/>
  <c r="I191" i="8"/>
  <c r="D190" i="8"/>
  <c r="G190" i="8"/>
  <c r="I190" i="8"/>
  <c r="D189" i="8"/>
  <c r="G189" i="8"/>
  <c r="G170" i="8"/>
  <c r="I170" i="8"/>
  <c r="I171" i="8"/>
  <c r="G192" i="8"/>
  <c r="I192" i="8"/>
  <c r="D181" i="8"/>
  <c r="G180" i="8"/>
  <c r="G179" i="8"/>
  <c r="I179" i="8"/>
  <c r="G178" i="8"/>
  <c r="I178" i="8"/>
  <c r="J178" i="8"/>
  <c r="G177" i="8"/>
  <c r="I177" i="8"/>
  <c r="J177" i="8"/>
  <c r="G176" i="8"/>
  <c r="G175" i="8"/>
  <c r="D171" i="8"/>
  <c r="G169" i="8"/>
  <c r="G168" i="8"/>
  <c r="I168" i="8"/>
  <c r="G167" i="8"/>
  <c r="I167" i="8"/>
  <c r="J167" i="8"/>
  <c r="G166" i="8"/>
  <c r="I166" i="8"/>
  <c r="J166" i="8"/>
  <c r="G165" i="8"/>
  <c r="D161" i="8"/>
  <c r="G160" i="8"/>
  <c r="I160" i="8"/>
  <c r="G159" i="8"/>
  <c r="G158" i="8"/>
  <c r="I158" i="8"/>
  <c r="J158" i="8"/>
  <c r="G157" i="8"/>
  <c r="G156" i="8"/>
  <c r="I156" i="8"/>
  <c r="G155" i="8"/>
  <c r="G179" i="1"/>
  <c r="I179" i="1" s="1"/>
  <c r="D144" i="8"/>
  <c r="G144" i="8"/>
  <c r="D143" i="8"/>
  <c r="G143" i="8"/>
  <c r="I143" i="8"/>
  <c r="D141" i="8"/>
  <c r="D140" i="8"/>
  <c r="G140" i="8"/>
  <c r="D139" i="8"/>
  <c r="G142" i="8"/>
  <c r="I142" i="8"/>
  <c r="J142" i="8"/>
  <c r="G141" i="8"/>
  <c r="I141" i="8"/>
  <c r="J141" i="8"/>
  <c r="G139" i="8"/>
  <c r="G145" i="8"/>
  <c r="G94" i="8"/>
  <c r="G118" i="1"/>
  <c r="I118" i="1" s="1"/>
  <c r="J118" i="1" s="1"/>
  <c r="G117" i="1"/>
  <c r="D131" i="8"/>
  <c r="G131" i="8"/>
  <c r="D130" i="8"/>
  <c r="G130" i="8"/>
  <c r="D128" i="8"/>
  <c r="G128" i="8"/>
  <c r="D127" i="8"/>
  <c r="G127" i="8"/>
  <c r="D126" i="8"/>
  <c r="G129" i="8"/>
  <c r="G126" i="8"/>
  <c r="G116" i="8"/>
  <c r="D118" i="8"/>
  <c r="G118" i="8"/>
  <c r="I118" i="8"/>
  <c r="D117" i="8"/>
  <c r="G117" i="8"/>
  <c r="D115" i="8"/>
  <c r="G115" i="8"/>
  <c r="D114" i="8"/>
  <c r="D113" i="8"/>
  <c r="G113" i="8"/>
  <c r="I113" i="8"/>
  <c r="I116" i="8"/>
  <c r="G104" i="8"/>
  <c r="G103" i="8"/>
  <c r="G102" i="8"/>
  <c r="G101" i="8"/>
  <c r="G100" i="8"/>
  <c r="G99" i="8"/>
  <c r="D95" i="8"/>
  <c r="G93" i="8"/>
  <c r="G92" i="8"/>
  <c r="G91" i="8"/>
  <c r="I91" i="8"/>
  <c r="J91" i="8"/>
  <c r="G90" i="8"/>
  <c r="G89" i="8"/>
  <c r="I89" i="8"/>
  <c r="D85" i="8"/>
  <c r="G84" i="8"/>
  <c r="G83" i="8"/>
  <c r="G82" i="8"/>
  <c r="G81" i="8"/>
  <c r="G80" i="8"/>
  <c r="G79" i="8"/>
  <c r="G15" i="8"/>
  <c r="I15" i="8"/>
  <c r="J15" i="8"/>
  <c r="D25" i="8"/>
  <c r="G25" i="8"/>
  <c r="G35" i="8"/>
  <c r="I35" i="8"/>
  <c r="D71" i="8"/>
  <c r="G70" i="8"/>
  <c r="G69" i="8"/>
  <c r="G68" i="8"/>
  <c r="G67" i="8"/>
  <c r="I67" i="8"/>
  <c r="G66" i="8"/>
  <c r="D62" i="8"/>
  <c r="G61" i="8"/>
  <c r="I61" i="8"/>
  <c r="G60" i="8"/>
  <c r="G59" i="8"/>
  <c r="G58" i="8"/>
  <c r="G57" i="8"/>
  <c r="I57" i="8"/>
  <c r="J57" i="8"/>
  <c r="G56" i="8"/>
  <c r="D52" i="8"/>
  <c r="G51" i="8"/>
  <c r="I51" i="8"/>
  <c r="G50" i="8"/>
  <c r="G49" i="8"/>
  <c r="I49" i="8"/>
  <c r="G48" i="8"/>
  <c r="G47" i="8"/>
  <c r="I47" i="8"/>
  <c r="J47" i="8"/>
  <c r="G46" i="8"/>
  <c r="D36" i="8"/>
  <c r="G34" i="8"/>
  <c r="G33" i="8"/>
  <c r="I33" i="8"/>
  <c r="G32" i="8"/>
  <c r="G31" i="8"/>
  <c r="I31" i="8"/>
  <c r="G30" i="8"/>
  <c r="D26" i="8"/>
  <c r="G24" i="8"/>
  <c r="G23" i="8"/>
  <c r="G22" i="8"/>
  <c r="G21" i="8"/>
  <c r="I21" i="8"/>
  <c r="J21" i="8"/>
  <c r="G20" i="8"/>
  <c r="D16" i="8"/>
  <c r="G14" i="8"/>
  <c r="I14" i="8"/>
  <c r="J14" i="8"/>
  <c r="G13" i="8"/>
  <c r="I13" i="8"/>
  <c r="J13" i="8"/>
  <c r="J16" i="8"/>
  <c r="G12" i="8"/>
  <c r="I12" i="8"/>
  <c r="J12" i="8"/>
  <c r="G11" i="8"/>
  <c r="I11" i="8"/>
  <c r="J11" i="8"/>
  <c r="G10" i="8"/>
  <c r="I10" i="8"/>
  <c r="G87" i="1"/>
  <c r="D356" i="1"/>
  <c r="G74" i="1"/>
  <c r="I74" i="1" s="1"/>
  <c r="G14" i="1"/>
  <c r="I14" i="1" s="1"/>
  <c r="G343" i="1"/>
  <c r="D382" i="1"/>
  <c r="G380" i="1"/>
  <c r="G379" i="1"/>
  <c r="I379" i="1" s="1"/>
  <c r="G378" i="1"/>
  <c r="G377" i="1"/>
  <c r="G376" i="1"/>
  <c r="I376" i="1"/>
  <c r="J376" i="1" s="1"/>
  <c r="G375" i="1"/>
  <c r="J375" i="1" s="1"/>
  <c r="G374" i="1"/>
  <c r="G373" i="1"/>
  <c r="G372" i="1"/>
  <c r="I372" i="1" s="1"/>
  <c r="J372" i="1" s="1"/>
  <c r="G371" i="1"/>
  <c r="I371" i="1" s="1"/>
  <c r="J371" i="1" s="1"/>
  <c r="G370" i="1"/>
  <c r="I370" i="1" s="1"/>
  <c r="G345" i="1"/>
  <c r="I345" i="1" s="1"/>
  <c r="G346" i="1"/>
  <c r="J346" i="1" s="1"/>
  <c r="G347" i="1"/>
  <c r="I347" i="1" s="1"/>
  <c r="G348" i="1"/>
  <c r="I348" i="1" s="1"/>
  <c r="G349" i="1"/>
  <c r="G350" i="1"/>
  <c r="I350" i="1" s="1"/>
  <c r="G351" i="1"/>
  <c r="I351" i="1" s="1"/>
  <c r="J351" i="1" s="1"/>
  <c r="G352" i="1"/>
  <c r="G353" i="1"/>
  <c r="I353" i="1" s="1"/>
  <c r="G354" i="1"/>
  <c r="I354" i="1" s="1"/>
  <c r="J354" i="1" s="1"/>
  <c r="G344" i="1"/>
  <c r="I344" i="1" s="1"/>
  <c r="I356" i="1" s="1"/>
  <c r="D299" i="1"/>
  <c r="G295" i="1"/>
  <c r="I295" i="1"/>
  <c r="J295" i="1" s="1"/>
  <c r="J299" i="1" s="1"/>
  <c r="G266" i="1"/>
  <c r="I266" i="1" s="1"/>
  <c r="J266" i="1" s="1"/>
  <c r="J270" i="1" s="1"/>
  <c r="G138" i="1"/>
  <c r="G137" i="1"/>
  <c r="I137" i="1" s="1"/>
  <c r="J137" i="1" s="1"/>
  <c r="G99" i="1"/>
  <c r="I99" i="1" s="1"/>
  <c r="G70" i="1"/>
  <c r="G25" i="1"/>
  <c r="I25" i="1" s="1"/>
  <c r="H75" i="6"/>
  <c r="G181" i="1"/>
  <c r="I181" i="1" s="1"/>
  <c r="J181" i="1" s="1"/>
  <c r="G69" i="1"/>
  <c r="I69" i="1" s="1"/>
  <c r="G68" i="1"/>
  <c r="G8" i="1"/>
  <c r="I8" i="1" s="1"/>
  <c r="J8" i="1" s="1"/>
  <c r="G136" i="1"/>
  <c r="I136" i="1" s="1"/>
  <c r="G20" i="1"/>
  <c r="I20" i="1" s="1"/>
  <c r="J20" i="1" s="1"/>
  <c r="G24" i="1"/>
  <c r="K17" i="6"/>
  <c r="G131" i="1"/>
  <c r="G23" i="1"/>
  <c r="I23" i="1" s="1"/>
  <c r="C17" i="6"/>
  <c r="K10" i="6"/>
  <c r="J10" i="6"/>
  <c r="G7" i="6"/>
  <c r="G71" i="1"/>
  <c r="I71" i="1" s="1"/>
  <c r="G9" i="11"/>
  <c r="G8" i="11"/>
  <c r="G7" i="11"/>
  <c r="G6" i="11"/>
  <c r="D10" i="11"/>
  <c r="G5" i="11"/>
  <c r="F10" i="11"/>
  <c r="E10" i="11"/>
  <c r="G195" i="1"/>
  <c r="I195" i="1" s="1"/>
  <c r="G135" i="1"/>
  <c r="G147" i="1"/>
  <c r="G38" i="1"/>
  <c r="J38" i="1" s="1"/>
  <c r="G146" i="1"/>
  <c r="G183" i="1"/>
  <c r="I183" i="1" s="1"/>
  <c r="D193" i="1"/>
  <c r="G191" i="1"/>
  <c r="J191" i="1" s="1"/>
  <c r="I191" i="1"/>
  <c r="G216" i="1"/>
  <c r="D109" i="1"/>
  <c r="D143" i="1"/>
  <c r="R64" i="6"/>
  <c r="R52" i="6"/>
  <c r="C55" i="6"/>
  <c r="P71" i="6"/>
  <c r="G139" i="1"/>
  <c r="I139" i="1" s="1"/>
  <c r="G106" i="1"/>
  <c r="G75" i="6"/>
  <c r="F75" i="6"/>
  <c r="C75" i="6"/>
  <c r="G165" i="1"/>
  <c r="I165" i="1" s="1"/>
  <c r="J165" i="1" s="1"/>
  <c r="G97" i="1"/>
  <c r="I97" i="1"/>
  <c r="J97" i="1" s="1"/>
  <c r="D13" i="6"/>
  <c r="E13" i="6"/>
  <c r="F13" i="6"/>
  <c r="G13" i="6"/>
  <c r="H13" i="6"/>
  <c r="I13" i="6"/>
  <c r="R13" i="6"/>
  <c r="J13" i="6"/>
  <c r="K13" i="6"/>
  <c r="L13" i="6"/>
  <c r="M13" i="6"/>
  <c r="N13" i="6"/>
  <c r="O13" i="6"/>
  <c r="G189" i="1"/>
  <c r="I189" i="1" s="1"/>
  <c r="G190" i="1"/>
  <c r="G34" i="1"/>
  <c r="N45" i="6"/>
  <c r="G91" i="1"/>
  <c r="G90" i="1"/>
  <c r="I90" i="1"/>
  <c r="G89" i="1"/>
  <c r="I89" i="1" s="1"/>
  <c r="G13" i="1"/>
  <c r="G12" i="1"/>
  <c r="I12" i="1" s="1"/>
  <c r="G11" i="1"/>
  <c r="J11" i="1" s="1"/>
  <c r="I11" i="1"/>
  <c r="C90" i="9"/>
  <c r="C24" i="9"/>
  <c r="C26" i="9"/>
  <c r="C21" i="9"/>
  <c r="C23" i="9"/>
  <c r="C31" i="9"/>
  <c r="C87" i="9"/>
  <c r="C95" i="9"/>
  <c r="C39" i="9"/>
  <c r="C7" i="9"/>
  <c r="C15" i="9"/>
  <c r="C94" i="9"/>
  <c r="C93" i="9"/>
  <c r="C78" i="9"/>
  <c r="C77" i="9"/>
  <c r="C74" i="9"/>
  <c r="C71" i="9"/>
  <c r="C62" i="9"/>
  <c r="C61" i="9"/>
  <c r="C58" i="9"/>
  <c r="C63" i="9"/>
  <c r="C55" i="9"/>
  <c r="C46" i="9"/>
  <c r="C45" i="9"/>
  <c r="C42" i="9"/>
  <c r="C30" i="9"/>
  <c r="C29" i="9"/>
  <c r="C14" i="9"/>
  <c r="C13" i="9"/>
  <c r="C10" i="9"/>
  <c r="G134" i="1"/>
  <c r="J134" i="1" s="1"/>
  <c r="I134" i="1"/>
  <c r="G132" i="1"/>
  <c r="I132" i="1" s="1"/>
  <c r="J132" i="1" s="1"/>
  <c r="G46" i="1"/>
  <c r="G45" i="1"/>
  <c r="I45" i="1" s="1"/>
  <c r="J45" i="1" s="1"/>
  <c r="G151" i="1"/>
  <c r="G22" i="1"/>
  <c r="I22" i="1"/>
  <c r="G149" i="1"/>
  <c r="I149" i="1" s="1"/>
  <c r="J149" i="1" s="1"/>
  <c r="G148" i="1"/>
  <c r="G52" i="1"/>
  <c r="I52" i="1" s="1"/>
  <c r="G47" i="1"/>
  <c r="G19" i="1"/>
  <c r="I19" i="1" s="1"/>
  <c r="G21" i="1"/>
  <c r="G26" i="1"/>
  <c r="I26" i="1" s="1"/>
  <c r="J26" i="1" s="1"/>
  <c r="G214" i="1"/>
  <c r="I214" i="1"/>
  <c r="J214" i="1" s="1"/>
  <c r="G197" i="1"/>
  <c r="G188" i="1"/>
  <c r="G187" i="1"/>
  <c r="G193" i="1" s="1"/>
  <c r="I187" i="1"/>
  <c r="G72" i="1"/>
  <c r="I72" i="1"/>
  <c r="F6" i="7"/>
  <c r="E6" i="7"/>
  <c r="C13" i="6"/>
  <c r="E6" i="4"/>
  <c r="G6" i="4"/>
  <c r="G8" i="4"/>
  <c r="G250" i="1"/>
  <c r="I250" i="1" s="1"/>
  <c r="J250" i="1" s="1"/>
  <c r="G251" i="1"/>
  <c r="G252" i="1"/>
  <c r="I252" i="1" s="1"/>
  <c r="G253" i="1"/>
  <c r="I253" i="1" s="1"/>
  <c r="J253" i="1" s="1"/>
  <c r="G254" i="1"/>
  <c r="G249" i="1"/>
  <c r="I249" i="1"/>
  <c r="G233" i="1"/>
  <c r="I233" i="1" s="1"/>
  <c r="I237" i="1" s="1"/>
  <c r="G211" i="1"/>
  <c r="G212" i="1"/>
  <c r="I212" i="1" s="1"/>
  <c r="G213" i="1"/>
  <c r="I213" i="1" s="1"/>
  <c r="G215" i="1"/>
  <c r="G217" i="1"/>
  <c r="I217" i="1"/>
  <c r="G218" i="1"/>
  <c r="I218" i="1" s="1"/>
  <c r="G219" i="1"/>
  <c r="I219" i="1" s="1"/>
  <c r="G220" i="1"/>
  <c r="I220" i="1" s="1"/>
  <c r="G221" i="1"/>
  <c r="G222" i="1"/>
  <c r="G210" i="1"/>
  <c r="I210" i="1"/>
  <c r="J210" i="1" s="1"/>
  <c r="G196" i="1"/>
  <c r="G198" i="1"/>
  <c r="G194" i="1"/>
  <c r="I194" i="1"/>
  <c r="G192" i="1"/>
  <c r="G186" i="1"/>
  <c r="I186" i="1" s="1"/>
  <c r="G162" i="1"/>
  <c r="G185" i="1" s="1"/>
  <c r="G163" i="1"/>
  <c r="I163" i="1" s="1"/>
  <c r="J163" i="1" s="1"/>
  <c r="G164" i="1"/>
  <c r="I164" i="1"/>
  <c r="G166" i="1"/>
  <c r="I166" i="1" s="1"/>
  <c r="G167" i="1"/>
  <c r="G168" i="1"/>
  <c r="I168" i="1" s="1"/>
  <c r="G169" i="1"/>
  <c r="I169" i="1" s="1"/>
  <c r="G170" i="1"/>
  <c r="G171" i="1"/>
  <c r="G172" i="1"/>
  <c r="G173" i="1"/>
  <c r="I173" i="1" s="1"/>
  <c r="J173" i="1" s="1"/>
  <c r="G174" i="1"/>
  <c r="I174" i="1"/>
  <c r="J174" i="1" s="1"/>
  <c r="G175" i="1"/>
  <c r="I175" i="1" s="1"/>
  <c r="G176" i="1"/>
  <c r="I176" i="1"/>
  <c r="J176" i="1" s="1"/>
  <c r="G177" i="1"/>
  <c r="I177" i="1" s="1"/>
  <c r="G178" i="1"/>
  <c r="I178" i="1" s="1"/>
  <c r="J178" i="1" s="1"/>
  <c r="G180" i="1"/>
  <c r="I180" i="1" s="1"/>
  <c r="G182" i="1"/>
  <c r="I182" i="1" s="1"/>
  <c r="G184" i="1"/>
  <c r="I184" i="1" s="1"/>
  <c r="G157" i="1"/>
  <c r="I157" i="1"/>
  <c r="G158" i="1"/>
  <c r="I158" i="1" s="1"/>
  <c r="J158" i="1" s="1"/>
  <c r="G145" i="1"/>
  <c r="G150" i="1"/>
  <c r="G153" i="1"/>
  <c r="G154" i="1"/>
  <c r="I154" i="1"/>
  <c r="G144" i="1"/>
  <c r="I144" i="1" s="1"/>
  <c r="J144" i="1" s="1"/>
  <c r="G124" i="1"/>
  <c r="G125" i="1"/>
  <c r="I125" i="1" s="1"/>
  <c r="G126" i="1"/>
  <c r="I126" i="1"/>
  <c r="G127" i="1"/>
  <c r="I127" i="1" s="1"/>
  <c r="J127" i="1" s="1"/>
  <c r="G128" i="1"/>
  <c r="I128" i="1"/>
  <c r="J128" i="1" s="1"/>
  <c r="G129" i="1"/>
  <c r="I129" i="1" s="1"/>
  <c r="J129" i="1" s="1"/>
  <c r="G130" i="1"/>
  <c r="G133" i="1"/>
  <c r="I133" i="1"/>
  <c r="J133" i="1" s="1"/>
  <c r="G140" i="1"/>
  <c r="I140" i="1" s="1"/>
  <c r="G141" i="1"/>
  <c r="G142" i="1"/>
  <c r="G123" i="1"/>
  <c r="I123" i="1"/>
  <c r="G110" i="1"/>
  <c r="G112" i="1"/>
  <c r="G114" i="1"/>
  <c r="J114" i="1" s="1"/>
  <c r="I114" i="1"/>
  <c r="G115" i="1"/>
  <c r="I115" i="1" s="1"/>
  <c r="J115" i="1" s="1"/>
  <c r="G116" i="1"/>
  <c r="I116" i="1" s="1"/>
  <c r="J116" i="1" s="1"/>
  <c r="G119" i="1"/>
  <c r="I119" i="1" s="1"/>
  <c r="G121" i="1"/>
  <c r="G78" i="1"/>
  <c r="I78" i="1" s="1"/>
  <c r="G79" i="1"/>
  <c r="I79" i="1"/>
  <c r="G80" i="1"/>
  <c r="I80" i="1" s="1"/>
  <c r="G81" i="1"/>
  <c r="G82" i="1"/>
  <c r="I82" i="1" s="1"/>
  <c r="J82" i="1" s="1"/>
  <c r="G83" i="1"/>
  <c r="G84" i="1"/>
  <c r="I84" i="1"/>
  <c r="G85" i="1"/>
  <c r="I85" i="1" s="1"/>
  <c r="G86" i="1"/>
  <c r="I86" i="1" s="1"/>
  <c r="G88" i="1"/>
  <c r="G92" i="1"/>
  <c r="I92" i="1"/>
  <c r="J92" i="1" s="1"/>
  <c r="G93" i="1"/>
  <c r="I93" i="1" s="1"/>
  <c r="G94" i="1"/>
  <c r="I94" i="1"/>
  <c r="J94" i="1"/>
  <c r="G95" i="1"/>
  <c r="G96" i="1"/>
  <c r="I96" i="1"/>
  <c r="G98" i="1"/>
  <c r="G100" i="1"/>
  <c r="G101" i="1"/>
  <c r="G102" i="1"/>
  <c r="I102" i="1" s="1"/>
  <c r="J102" i="1" s="1"/>
  <c r="G103" i="1"/>
  <c r="I103" i="1" s="1"/>
  <c r="G104" i="1"/>
  <c r="I104" i="1"/>
  <c r="G105" i="1"/>
  <c r="I105" i="1" s="1"/>
  <c r="G107" i="1"/>
  <c r="I107" i="1" s="1"/>
  <c r="G108" i="1"/>
  <c r="G77" i="1"/>
  <c r="G109" i="1" s="1"/>
  <c r="I77" i="1"/>
  <c r="G33" i="1"/>
  <c r="I33" i="1" s="1"/>
  <c r="G35" i="1"/>
  <c r="I35" i="1"/>
  <c r="J35" i="1" s="1"/>
  <c r="G36" i="1"/>
  <c r="G37" i="1"/>
  <c r="I37" i="1" s="1"/>
  <c r="J37" i="1" s="1"/>
  <c r="G39" i="1"/>
  <c r="I39" i="1" s="1"/>
  <c r="J39" i="1" s="1"/>
  <c r="G40" i="1"/>
  <c r="I40" i="1" s="1"/>
  <c r="G41" i="1"/>
  <c r="I41" i="1"/>
  <c r="J41" i="1" s="1"/>
  <c r="G42" i="1"/>
  <c r="I42" i="1" s="1"/>
  <c r="J42" i="1" s="1"/>
  <c r="G43" i="1"/>
  <c r="G44" i="1"/>
  <c r="G49" i="1"/>
  <c r="I49" i="1" s="1"/>
  <c r="J49" i="1" s="1"/>
  <c r="G50" i="1"/>
  <c r="G51" i="1"/>
  <c r="I51" i="1" s="1"/>
  <c r="J51" i="1" s="1"/>
  <c r="G53" i="1"/>
  <c r="J53" i="1" s="1"/>
  <c r="I53" i="1"/>
  <c r="G54" i="1"/>
  <c r="G56" i="1"/>
  <c r="I56" i="1" s="1"/>
  <c r="G57" i="1"/>
  <c r="I57" i="1"/>
  <c r="G58" i="1"/>
  <c r="I58" i="1" s="1"/>
  <c r="G59" i="1"/>
  <c r="I59" i="1"/>
  <c r="J59" i="1" s="1"/>
  <c r="G60" i="1"/>
  <c r="I60" i="1" s="1"/>
  <c r="J60" i="1" s="1"/>
  <c r="G61" i="1"/>
  <c r="I61" i="1"/>
  <c r="G63" i="1"/>
  <c r="J63" i="1" s="1"/>
  <c r="I63" i="1"/>
  <c r="G64" i="1"/>
  <c r="G65" i="1"/>
  <c r="G66" i="1"/>
  <c r="J66" i="1" s="1"/>
  <c r="I66" i="1"/>
  <c r="G67" i="1"/>
  <c r="I67" i="1"/>
  <c r="J67" i="1" s="1"/>
  <c r="G73" i="1"/>
  <c r="I73" i="1" s="1"/>
  <c r="G75" i="1"/>
  <c r="G32" i="1"/>
  <c r="G6" i="1"/>
  <c r="G31" i="1" s="1"/>
  <c r="I6" i="1"/>
  <c r="J6" i="1" s="1"/>
  <c r="G7" i="1"/>
  <c r="G9" i="1"/>
  <c r="G10" i="1"/>
  <c r="J10" i="1" s="1"/>
  <c r="I10" i="1"/>
  <c r="G15" i="1"/>
  <c r="I15" i="1" s="1"/>
  <c r="G16" i="1"/>
  <c r="G17" i="1"/>
  <c r="I17" i="1" s="1"/>
  <c r="G18" i="1"/>
  <c r="J18" i="1" s="1"/>
  <c r="G27" i="1"/>
  <c r="G28" i="1"/>
  <c r="I28" i="1"/>
  <c r="J28" i="1" s="1"/>
  <c r="G29" i="1"/>
  <c r="I29" i="1" s="1"/>
  <c r="G5" i="1"/>
  <c r="D75" i="6"/>
  <c r="Q71" i="6"/>
  <c r="R71" i="6"/>
  <c r="Q67" i="6"/>
  <c r="R67" i="6"/>
  <c r="Q86" i="6"/>
  <c r="P86" i="6"/>
  <c r="E75" i="6"/>
  <c r="I75" i="6"/>
  <c r="J75" i="6"/>
  <c r="K75" i="6"/>
  <c r="L75" i="6"/>
  <c r="M75" i="6"/>
  <c r="N75" i="6"/>
  <c r="O75" i="6"/>
  <c r="P75" i="6"/>
  <c r="Q75" i="6"/>
  <c r="H55" i="6"/>
  <c r="D55" i="6"/>
  <c r="R55" i="6"/>
  <c r="O50" i="6"/>
  <c r="P50" i="6"/>
  <c r="Q50" i="6"/>
  <c r="N50" i="6"/>
  <c r="R50" i="6"/>
  <c r="P45" i="6"/>
  <c r="R45" i="6"/>
  <c r="Q45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C41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C37" i="6"/>
  <c r="D17" i="6"/>
  <c r="E17" i="6"/>
  <c r="F17" i="6"/>
  <c r="G17" i="6"/>
  <c r="H17" i="6"/>
  <c r="I17" i="6"/>
  <c r="J17" i="6"/>
  <c r="L17" i="6"/>
  <c r="M17" i="6"/>
  <c r="N17" i="6"/>
  <c r="O17" i="6"/>
  <c r="P17" i="6"/>
  <c r="Q17" i="6"/>
  <c r="D10" i="6"/>
  <c r="E10" i="6"/>
  <c r="H10" i="6"/>
  <c r="N10" i="6"/>
  <c r="O10" i="6"/>
  <c r="P10" i="6"/>
  <c r="Q1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C21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C24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C28" i="6"/>
  <c r="R28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C32" i="6"/>
  <c r="G30" i="1"/>
  <c r="R83" i="6"/>
  <c r="E314" i="1"/>
  <c r="G312" i="1"/>
  <c r="H312" i="1" s="1"/>
  <c r="H314" i="1" s="1"/>
  <c r="R47" i="6"/>
  <c r="C10" i="3"/>
  <c r="D14" i="4"/>
  <c r="K81" i="6"/>
  <c r="G81" i="6"/>
  <c r="F81" i="6"/>
  <c r="D81" i="6"/>
  <c r="C81" i="6"/>
  <c r="R79" i="6"/>
  <c r="Q78" i="6"/>
  <c r="P78" i="6"/>
  <c r="O78" i="6"/>
  <c r="N78" i="6"/>
  <c r="M78" i="6"/>
  <c r="L78" i="6"/>
  <c r="R72" i="6"/>
  <c r="R68" i="6"/>
  <c r="R42" i="6"/>
  <c r="R38" i="6"/>
  <c r="R34" i="6"/>
  <c r="R29" i="6"/>
  <c r="R25" i="6"/>
  <c r="R22" i="6"/>
  <c r="R18" i="6"/>
  <c r="R11" i="6"/>
  <c r="M7" i="6"/>
  <c r="L7" i="6"/>
  <c r="K7" i="6"/>
  <c r="J7" i="6"/>
  <c r="I7" i="6"/>
  <c r="H7" i="6"/>
  <c r="F7" i="6"/>
  <c r="E7" i="6"/>
  <c r="D7" i="6"/>
  <c r="R7" i="6"/>
  <c r="C7" i="6"/>
  <c r="R5" i="6"/>
  <c r="G25" i="3"/>
  <c r="M10" i="3"/>
  <c r="L10" i="3"/>
  <c r="K10" i="3"/>
  <c r="J10" i="3"/>
  <c r="H10" i="3"/>
  <c r="G10" i="3"/>
  <c r="F10" i="3"/>
  <c r="E10" i="3"/>
  <c r="D10" i="3"/>
  <c r="F94" i="3"/>
  <c r="R64" i="3"/>
  <c r="K85" i="3"/>
  <c r="G85" i="3"/>
  <c r="F85" i="3"/>
  <c r="D85" i="3"/>
  <c r="C85" i="3"/>
  <c r="R85" i="3"/>
  <c r="C82" i="3"/>
  <c r="C80" i="3"/>
  <c r="G82" i="3"/>
  <c r="G80" i="3"/>
  <c r="F82" i="3"/>
  <c r="F80" i="3"/>
  <c r="D82" i="3"/>
  <c r="D80" i="3"/>
  <c r="R63" i="3"/>
  <c r="D270" i="1"/>
  <c r="I10" i="3"/>
  <c r="R84" i="3"/>
  <c r="R83" i="3"/>
  <c r="R51" i="3"/>
  <c r="Q54" i="3"/>
  <c r="O54" i="3"/>
  <c r="R54" i="3"/>
  <c r="D59" i="3"/>
  <c r="R59" i="3"/>
  <c r="R18" i="3"/>
  <c r="R68" i="3"/>
  <c r="N10" i="3"/>
  <c r="O10" i="3"/>
  <c r="P10" i="3"/>
  <c r="Q10" i="3"/>
  <c r="G7" i="3"/>
  <c r="F79" i="3"/>
  <c r="E330" i="1"/>
  <c r="G328" i="1"/>
  <c r="H328" i="1" s="1"/>
  <c r="G326" i="1"/>
  <c r="H326" i="1"/>
  <c r="A38" i="4"/>
  <c r="R22" i="3"/>
  <c r="P75" i="3"/>
  <c r="N54" i="3"/>
  <c r="G79" i="3"/>
  <c r="P54" i="3"/>
  <c r="L36" i="3"/>
  <c r="C28" i="3"/>
  <c r="R28" i="3"/>
  <c r="N49" i="3"/>
  <c r="C79" i="3"/>
  <c r="R79" i="3"/>
  <c r="Q75" i="3"/>
  <c r="Q71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D45" i="3"/>
  <c r="D41" i="3"/>
  <c r="E41" i="3"/>
  <c r="F41" i="3"/>
  <c r="G41" i="3"/>
  <c r="R41" i="3"/>
  <c r="H41" i="3"/>
  <c r="I41" i="3"/>
  <c r="J41" i="3"/>
  <c r="K41" i="3"/>
  <c r="L41" i="3"/>
  <c r="M41" i="3"/>
  <c r="N41" i="3"/>
  <c r="O41" i="3"/>
  <c r="P41" i="3"/>
  <c r="Q41" i="3"/>
  <c r="C41" i="3"/>
  <c r="D36" i="3"/>
  <c r="E36" i="3"/>
  <c r="F36" i="3"/>
  <c r="G36" i="3"/>
  <c r="H36" i="3"/>
  <c r="I36" i="3"/>
  <c r="J36" i="3"/>
  <c r="K36" i="3"/>
  <c r="M36" i="3"/>
  <c r="N36" i="3"/>
  <c r="O36" i="3"/>
  <c r="P36" i="3"/>
  <c r="Q36" i="3"/>
  <c r="C36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C32" i="3"/>
  <c r="R32" i="3"/>
  <c r="D25" i="3"/>
  <c r="E25" i="3"/>
  <c r="F25" i="3"/>
  <c r="H25" i="3"/>
  <c r="I25" i="3"/>
  <c r="J25" i="3"/>
  <c r="K25" i="3"/>
  <c r="L25" i="3"/>
  <c r="M25" i="3"/>
  <c r="C25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C21" i="3"/>
  <c r="Q90" i="3"/>
  <c r="R90" i="3"/>
  <c r="E82" i="3"/>
  <c r="H82" i="3"/>
  <c r="I82" i="3"/>
  <c r="J82" i="3"/>
  <c r="L82" i="3"/>
  <c r="M82" i="3"/>
  <c r="N82" i="3"/>
  <c r="O82" i="3"/>
  <c r="P82" i="3"/>
  <c r="Q82" i="3"/>
  <c r="Q49" i="3"/>
  <c r="O49" i="3"/>
  <c r="D28" i="3"/>
  <c r="E28" i="3"/>
  <c r="F28" i="3"/>
  <c r="G28" i="3"/>
  <c r="H28" i="3"/>
  <c r="I28" i="3"/>
  <c r="J28" i="3"/>
  <c r="K28" i="3"/>
  <c r="L28" i="3"/>
  <c r="M28" i="3"/>
  <c r="C17" i="3"/>
  <c r="D17" i="3"/>
  <c r="E17" i="3"/>
  <c r="F17" i="3"/>
  <c r="G17" i="3"/>
  <c r="H17" i="3"/>
  <c r="I17" i="3"/>
  <c r="J17" i="3"/>
  <c r="K17" i="3"/>
  <c r="L17" i="3"/>
  <c r="M17" i="3"/>
  <c r="R87" i="3"/>
  <c r="R13" i="3"/>
  <c r="R11" i="3"/>
  <c r="R69" i="3"/>
  <c r="R71" i="3"/>
  <c r="R56" i="3"/>
  <c r="C45" i="3"/>
  <c r="R8" i="3"/>
  <c r="R38" i="3"/>
  <c r="D237" i="1"/>
  <c r="R29" i="3"/>
  <c r="R33" i="3"/>
  <c r="N25" i="3"/>
  <c r="O25" i="3"/>
  <c r="P25" i="3"/>
  <c r="Q25" i="3"/>
  <c r="N17" i="3"/>
  <c r="O17" i="3"/>
  <c r="P17" i="3"/>
  <c r="Q17" i="3"/>
  <c r="R14" i="3"/>
  <c r="R5" i="3"/>
  <c r="C7" i="3"/>
  <c r="D7" i="3"/>
  <c r="E7" i="3"/>
  <c r="F7" i="3"/>
  <c r="H7" i="3"/>
  <c r="I7" i="3"/>
  <c r="J7" i="3"/>
  <c r="K7" i="3"/>
  <c r="L7" i="3"/>
  <c r="M7" i="3"/>
  <c r="N7" i="3"/>
  <c r="O7" i="3"/>
  <c r="P7" i="3"/>
  <c r="Q7" i="3"/>
  <c r="R26" i="3"/>
  <c r="N28" i="3"/>
  <c r="O28" i="3"/>
  <c r="P28" i="3"/>
  <c r="Q28" i="3"/>
  <c r="R42" i="3"/>
  <c r="R46" i="3"/>
  <c r="P49" i="3"/>
  <c r="R72" i="3"/>
  <c r="R76" i="3"/>
  <c r="D255" i="1"/>
  <c r="C14" i="7"/>
  <c r="E14" i="7"/>
  <c r="F14" i="7"/>
  <c r="I222" i="1"/>
  <c r="J222" i="1"/>
  <c r="G255" i="1"/>
  <c r="R14" i="6"/>
  <c r="I13" i="1"/>
  <c r="J13" i="1"/>
  <c r="I131" i="1"/>
  <c r="J131" i="1" s="1"/>
  <c r="G299" i="1"/>
  <c r="G270" i="1"/>
  <c r="I352" i="1"/>
  <c r="J352" i="1" s="1"/>
  <c r="I346" i="1"/>
  <c r="I373" i="1"/>
  <c r="I375" i="1"/>
  <c r="R86" i="6"/>
  <c r="G314" i="1"/>
  <c r="E8" i="4"/>
  <c r="G95" i="8"/>
  <c r="I93" i="8"/>
  <c r="J93" i="8"/>
  <c r="I104" i="8"/>
  <c r="J104" i="8"/>
  <c r="I80" i="8"/>
  <c r="J80" i="8"/>
  <c r="I82" i="8"/>
  <c r="J82" i="8"/>
  <c r="I84" i="8"/>
  <c r="J84" i="8"/>
  <c r="J89" i="8"/>
  <c r="I90" i="8"/>
  <c r="J90" i="8"/>
  <c r="I92" i="8"/>
  <c r="J92" i="8"/>
  <c r="I94" i="8"/>
  <c r="J94" i="8"/>
  <c r="I99" i="8"/>
  <c r="J99" i="8"/>
  <c r="I101" i="8"/>
  <c r="J101" i="8"/>
  <c r="I103" i="8"/>
  <c r="J103" i="8"/>
  <c r="D105" i="8"/>
  <c r="J67" i="8"/>
  <c r="J49" i="8"/>
  <c r="J51" i="8"/>
  <c r="I46" i="8"/>
  <c r="J46" i="8"/>
  <c r="I48" i="8"/>
  <c r="I50" i="8"/>
  <c r="J50" i="8"/>
  <c r="I56" i="8"/>
  <c r="I58" i="8"/>
  <c r="J58" i="8"/>
  <c r="G62" i="8"/>
  <c r="I66" i="8"/>
  <c r="J66" i="8"/>
  <c r="I68" i="8"/>
  <c r="J68" i="8"/>
  <c r="I70" i="8"/>
  <c r="J70" i="8"/>
  <c r="I30" i="8"/>
  <c r="J30" i="8"/>
  <c r="J31" i="8"/>
  <c r="J36" i="8"/>
  <c r="I32" i="8"/>
  <c r="J32" i="8"/>
  <c r="J33" i="8"/>
  <c r="I34" i="8"/>
  <c r="J35" i="8"/>
  <c r="G36" i="8"/>
  <c r="I23" i="8"/>
  <c r="J23" i="8"/>
  <c r="I20" i="8"/>
  <c r="I22" i="8"/>
  <c r="J22" i="8"/>
  <c r="I24" i="8"/>
  <c r="J24" i="8"/>
  <c r="G26" i="8"/>
  <c r="J10" i="8"/>
  <c r="G16" i="8"/>
  <c r="J56" i="8"/>
  <c r="I129" i="8"/>
  <c r="J129" i="8"/>
  <c r="I131" i="8"/>
  <c r="J131" i="8"/>
  <c r="I130" i="8"/>
  <c r="I126" i="8"/>
  <c r="J126" i="8"/>
  <c r="J116" i="8"/>
  <c r="I115" i="8"/>
  <c r="J115" i="8"/>
  <c r="J118" i="8"/>
  <c r="J143" i="8"/>
  <c r="I140" i="8"/>
  <c r="G85" i="8"/>
  <c r="I79" i="8"/>
  <c r="J79" i="8"/>
  <c r="I169" i="8"/>
  <c r="I165" i="8"/>
  <c r="J165" i="8"/>
  <c r="I159" i="8"/>
  <c r="J159" i="8"/>
  <c r="I155" i="8"/>
  <c r="J155" i="8"/>
  <c r="J191" i="8"/>
  <c r="J192" i="8"/>
  <c r="J194" i="8"/>
  <c r="G161" i="8"/>
  <c r="J168" i="8"/>
  <c r="G171" i="8"/>
  <c r="I180" i="8"/>
  <c r="J169" i="8"/>
  <c r="I189" i="8"/>
  <c r="I242" i="8"/>
  <c r="J242" i="8"/>
  <c r="G229" i="8"/>
  <c r="G219" i="8"/>
  <c r="J218" i="8"/>
  <c r="J206" i="8"/>
  <c r="J204" i="8"/>
  <c r="I239" i="8"/>
  <c r="J239" i="8"/>
  <c r="J217" i="8"/>
  <c r="I228" i="8"/>
  <c r="J228" i="8"/>
  <c r="I203" i="8"/>
  <c r="I213" i="8"/>
  <c r="I219" i="8"/>
  <c r="I223" i="8"/>
  <c r="I229" i="8"/>
  <c r="J213" i="8"/>
  <c r="J219" i="8"/>
  <c r="I237" i="2"/>
  <c r="J237" i="2"/>
  <c r="R224" i="2"/>
  <c r="I230" i="2"/>
  <c r="T230" i="2"/>
  <c r="R198" i="2"/>
  <c r="R213" i="2"/>
  <c r="I198" i="2"/>
  <c r="J198" i="2"/>
  <c r="U198" i="2"/>
  <c r="I205" i="2"/>
  <c r="I209" i="2"/>
  <c r="J209" i="2"/>
  <c r="I213" i="2"/>
  <c r="T213" i="2"/>
  <c r="R195" i="2"/>
  <c r="I179" i="2"/>
  <c r="J179" i="2"/>
  <c r="I185" i="2"/>
  <c r="J185" i="2"/>
  <c r="I187" i="2"/>
  <c r="J187" i="2"/>
  <c r="I195" i="2"/>
  <c r="R175" i="2"/>
  <c r="I173" i="2"/>
  <c r="J173" i="2"/>
  <c r="I175" i="2"/>
  <c r="J175" i="2"/>
  <c r="U175" i="2"/>
  <c r="R145" i="2"/>
  <c r="R150" i="2"/>
  <c r="I122" i="2"/>
  <c r="J122" i="2"/>
  <c r="I124" i="2"/>
  <c r="J124" i="2"/>
  <c r="I126" i="2"/>
  <c r="J126" i="2"/>
  <c r="I130" i="2"/>
  <c r="J130" i="2"/>
  <c r="R131" i="2"/>
  <c r="I113" i="2"/>
  <c r="J113" i="2"/>
  <c r="I116" i="2"/>
  <c r="J116" i="2"/>
  <c r="J118" i="2"/>
  <c r="R86" i="2"/>
  <c r="I84" i="2"/>
  <c r="T85" i="2"/>
  <c r="I77" i="2"/>
  <c r="J77" i="2"/>
  <c r="I63" i="2"/>
  <c r="J63" i="2"/>
  <c r="R41" i="2"/>
  <c r="R40" i="2"/>
  <c r="I41" i="2"/>
  <c r="T41" i="2"/>
  <c r="R23" i="2"/>
  <c r="R29" i="2"/>
  <c r="R61" i="2"/>
  <c r="I61" i="2"/>
  <c r="J61" i="2"/>
  <c r="U61" i="2"/>
  <c r="I7" i="2"/>
  <c r="J7" i="2"/>
  <c r="I11" i="2"/>
  <c r="T11" i="2"/>
  <c r="R12" i="2"/>
  <c r="I13" i="2"/>
  <c r="T13" i="2"/>
  <c r="I14" i="2"/>
  <c r="I15" i="2"/>
  <c r="T15" i="2"/>
  <c r="R15" i="2"/>
  <c r="I30" i="2"/>
  <c r="J30" i="2"/>
  <c r="I31" i="2"/>
  <c r="J31" i="2"/>
  <c r="I34" i="2"/>
  <c r="J34" i="2"/>
  <c r="I35" i="2"/>
  <c r="I43" i="2"/>
  <c r="R43" i="2"/>
  <c r="I47" i="2"/>
  <c r="J47" i="2"/>
  <c r="I51" i="2"/>
  <c r="J51" i="2"/>
  <c r="I52" i="2"/>
  <c r="J52" i="2"/>
  <c r="R230" i="2"/>
  <c r="I233" i="2"/>
  <c r="J233" i="2"/>
  <c r="I236" i="2"/>
  <c r="J236" i="2"/>
  <c r="I258" i="2"/>
  <c r="J258" i="2"/>
  <c r="I262" i="2"/>
  <c r="J262" i="2"/>
  <c r="I286" i="2"/>
  <c r="J286" i="2"/>
  <c r="I294" i="2"/>
  <c r="J294" i="2"/>
  <c r="I94" i="2"/>
  <c r="J94" i="2"/>
  <c r="I96" i="2"/>
  <c r="T96" i="2"/>
  <c r="I146" i="2"/>
  <c r="T146" i="2"/>
  <c r="I153" i="2"/>
  <c r="I156" i="2"/>
  <c r="J156" i="2"/>
  <c r="I174" i="2"/>
  <c r="I177" i="2"/>
  <c r="I225" i="2"/>
  <c r="I229" i="2"/>
  <c r="T229" i="2"/>
  <c r="J213" i="2"/>
  <c r="U213" i="2"/>
  <c r="I85" i="2"/>
  <c r="J85" i="2"/>
  <c r="G277" i="8"/>
  <c r="J272" i="8"/>
  <c r="J263" i="8"/>
  <c r="I265" i="8"/>
  <c r="J265" i="8"/>
  <c r="I251" i="8"/>
  <c r="J251" i="8"/>
  <c r="J256" i="8"/>
  <c r="J266" i="8"/>
  <c r="J273" i="8"/>
  <c r="J288" i="8"/>
  <c r="J289" i="8"/>
  <c r="I271" i="8"/>
  <c r="J271" i="8"/>
  <c r="J180" i="2"/>
  <c r="R22" i="2"/>
  <c r="J86" i="2"/>
  <c r="U86" i="2"/>
  <c r="J217" i="2"/>
  <c r="T224" i="2"/>
  <c r="J224" i="2"/>
  <c r="U224" i="2"/>
  <c r="H6" i="4"/>
  <c r="H8" i="4"/>
  <c r="I270" i="1"/>
  <c r="G326" i="8"/>
  <c r="J322" i="8"/>
  <c r="I324" i="8"/>
  <c r="J324" i="8"/>
  <c r="I320" i="8"/>
  <c r="J320" i="8"/>
  <c r="J326" i="8"/>
  <c r="J313" i="8"/>
  <c r="J311" i="8"/>
  <c r="J303" i="8"/>
  <c r="J301" i="8"/>
  <c r="J305" i="8"/>
  <c r="I339" i="8"/>
  <c r="I300" i="8"/>
  <c r="J300" i="8"/>
  <c r="J306" i="8"/>
  <c r="I302" i="8"/>
  <c r="J302" i="8"/>
  <c r="I304" i="8"/>
  <c r="J304" i="8"/>
  <c r="G306" i="8"/>
  <c r="I310" i="8"/>
  <c r="J310" i="8"/>
  <c r="J316" i="8"/>
  <c r="I312" i="8"/>
  <c r="J312" i="8"/>
  <c r="I314" i="8"/>
  <c r="J314" i="8"/>
  <c r="G316" i="8"/>
  <c r="I321" i="8"/>
  <c r="J321" i="8"/>
  <c r="I323" i="8"/>
  <c r="J323" i="8"/>
  <c r="I325" i="8"/>
  <c r="J325" i="8"/>
  <c r="J334" i="8"/>
  <c r="I65" i="1"/>
  <c r="J65" i="1" s="1"/>
  <c r="I20" i="2"/>
  <c r="J20" i="2"/>
  <c r="J338" i="8"/>
  <c r="G195" i="8"/>
  <c r="D195" i="8"/>
  <c r="J113" i="8"/>
  <c r="I128" i="8"/>
  <c r="J128" i="8"/>
  <c r="J20" i="8"/>
  <c r="I50" i="1"/>
  <c r="J50" i="1" s="1"/>
  <c r="I88" i="1"/>
  <c r="I69" i="8"/>
  <c r="I150" i="1"/>
  <c r="J150" i="1" s="1"/>
  <c r="J12" i="1"/>
  <c r="J203" i="8"/>
  <c r="J190" i="8"/>
  <c r="R25" i="3"/>
  <c r="I95" i="1"/>
  <c r="J95" i="1" s="1"/>
  <c r="I216" i="1"/>
  <c r="J216" i="1" s="1"/>
  <c r="I147" i="1"/>
  <c r="J147" i="1" s="1"/>
  <c r="I380" i="1"/>
  <c r="J380" i="1"/>
  <c r="J156" i="8"/>
  <c r="I148" i="1"/>
  <c r="J148" i="1"/>
  <c r="I251" i="1"/>
  <c r="J251" i="1"/>
  <c r="I190" i="1"/>
  <c r="J190" i="1" s="1"/>
  <c r="I167" i="1"/>
  <c r="J167" i="1"/>
  <c r="I215" i="1"/>
  <c r="J215" i="1" s="1"/>
  <c r="I70" i="1"/>
  <c r="J70" i="1" s="1"/>
  <c r="I343" i="1"/>
  <c r="G71" i="8"/>
  <c r="I71" i="8"/>
  <c r="D72" i="8"/>
  <c r="I102" i="8"/>
  <c r="J102" i="8"/>
  <c r="J105" i="8"/>
  <c r="I60" i="2"/>
  <c r="I81" i="2"/>
  <c r="J81" i="2"/>
  <c r="I114" i="2"/>
  <c r="J114" i="2"/>
  <c r="I162" i="2"/>
  <c r="J162" i="2"/>
  <c r="J206" i="2"/>
  <c r="I171" i="1"/>
  <c r="J171" i="1"/>
  <c r="G10" i="11"/>
  <c r="D132" i="8"/>
  <c r="I117" i="1"/>
  <c r="J117" i="1" s="1"/>
  <c r="J183" i="1"/>
  <c r="D145" i="8"/>
  <c r="J76" i="2"/>
  <c r="I100" i="2"/>
  <c r="J100" i="2"/>
  <c r="I182" i="2"/>
  <c r="J182" i="2"/>
  <c r="G286" i="8"/>
  <c r="D291" i="8"/>
  <c r="I59" i="2"/>
  <c r="I66" i="2"/>
  <c r="J66" i="2"/>
  <c r="I109" i="2"/>
  <c r="J109" i="2"/>
  <c r="I157" i="2"/>
  <c r="J157" i="2"/>
  <c r="I167" i="2"/>
  <c r="J167" i="2"/>
  <c r="I193" i="2"/>
  <c r="J193" i="2"/>
  <c r="I135" i="2"/>
  <c r="J135" i="2"/>
  <c r="I212" i="2"/>
  <c r="J212" i="2"/>
  <c r="J136" i="2"/>
  <c r="D340" i="8"/>
  <c r="J71" i="8"/>
  <c r="G72" i="8"/>
  <c r="J59" i="2"/>
  <c r="J343" i="1"/>
  <c r="J69" i="8"/>
  <c r="J121" i="2"/>
  <c r="I73" i="2"/>
  <c r="J73" i="2"/>
  <c r="U73" i="2"/>
  <c r="T73" i="2"/>
  <c r="R45" i="2"/>
  <c r="J33" i="2"/>
  <c r="J11" i="2"/>
  <c r="U11" i="2"/>
  <c r="R8" i="2"/>
  <c r="J8" i="2"/>
  <c r="U8" i="2"/>
  <c r="I5" i="2"/>
  <c r="I36" i="2"/>
  <c r="J194" i="1"/>
  <c r="I188" i="1"/>
  <c r="J169" i="1"/>
  <c r="J139" i="1"/>
  <c r="J126" i="1"/>
  <c r="J123" i="1"/>
  <c r="I112" i="1"/>
  <c r="J103" i="1"/>
  <c r="J84" i="1"/>
  <c r="J69" i="1"/>
  <c r="I68" i="1"/>
  <c r="J68" i="1" s="1"/>
  <c r="J33" i="1"/>
  <c r="I5" i="1"/>
  <c r="J5" i="1" s="1"/>
  <c r="J112" i="1"/>
  <c r="I149" i="2"/>
  <c r="I9" i="2"/>
  <c r="J9" i="2"/>
  <c r="I28" i="2"/>
  <c r="T28" i="2"/>
  <c r="I37" i="2"/>
  <c r="T37" i="2"/>
  <c r="R37" i="2"/>
  <c r="I50" i="2"/>
  <c r="J50" i="2"/>
  <c r="I65" i="2"/>
  <c r="J65" i="2"/>
  <c r="I90" i="2"/>
  <c r="J90" i="2"/>
  <c r="I138" i="2"/>
  <c r="J138" i="2"/>
  <c r="J229" i="2"/>
  <c r="U229" i="2"/>
  <c r="J196" i="2"/>
  <c r="R39" i="2"/>
  <c r="I19" i="2"/>
  <c r="T19" i="2"/>
  <c r="R165" i="2"/>
  <c r="R19" i="2"/>
  <c r="I112" i="2"/>
  <c r="J112" i="2"/>
  <c r="J29" i="2"/>
  <c r="U29" i="2"/>
  <c r="I165" i="2"/>
  <c r="I176" i="2"/>
  <c r="I17" i="2"/>
  <c r="J17" i="2"/>
  <c r="J74" i="2"/>
  <c r="J106" i="2"/>
  <c r="J111" i="2"/>
  <c r="I152" i="2"/>
  <c r="T152" i="2"/>
  <c r="R152" i="2"/>
  <c r="I154" i="2"/>
  <c r="T154" i="2"/>
  <c r="R154" i="2"/>
  <c r="I221" i="2"/>
  <c r="J221" i="2"/>
  <c r="I322" i="2"/>
  <c r="J320" i="2"/>
  <c r="J322" i="2"/>
  <c r="I18" i="2"/>
  <c r="T18" i="2"/>
  <c r="R18" i="2"/>
  <c r="I26" i="2"/>
  <c r="J26" i="2"/>
  <c r="R144" i="2"/>
  <c r="I144" i="2"/>
  <c r="I151" i="2"/>
  <c r="I155" i="2"/>
  <c r="R223" i="2"/>
  <c r="I223" i="2"/>
  <c r="T223" i="2"/>
  <c r="R28" i="2"/>
  <c r="I10" i="2"/>
  <c r="T10" i="2"/>
  <c r="J10" i="2"/>
  <c r="U10" i="2"/>
  <c r="R10" i="2"/>
  <c r="I57" i="2"/>
  <c r="T57" i="2"/>
  <c r="R57" i="2"/>
  <c r="I80" i="2"/>
  <c r="J80" i="2"/>
  <c r="I99" i="2"/>
  <c r="J99" i="2"/>
  <c r="I142" i="2"/>
  <c r="J142" i="2"/>
  <c r="J290" i="2"/>
  <c r="J169" i="2"/>
  <c r="R181" i="2"/>
  <c r="I12" i="2"/>
  <c r="T12" i="2"/>
  <c r="I16" i="2"/>
  <c r="J16" i="2"/>
  <c r="R58" i="2"/>
  <c r="I58" i="2"/>
  <c r="J58" i="2"/>
  <c r="U58" i="2"/>
  <c r="T58" i="2"/>
  <c r="I68" i="2"/>
  <c r="J68" i="2"/>
  <c r="I75" i="2"/>
  <c r="J75" i="2"/>
  <c r="I127" i="2"/>
  <c r="J127" i="2"/>
  <c r="R151" i="2"/>
  <c r="I171" i="2"/>
  <c r="J171" i="2"/>
  <c r="R204" i="2"/>
  <c r="I204" i="2"/>
  <c r="T204" i="2"/>
  <c r="I222" i="2"/>
  <c r="J222" i="2"/>
  <c r="R229" i="2"/>
  <c r="I288" i="2"/>
  <c r="I297" i="2"/>
  <c r="G297" i="2"/>
  <c r="J296" i="2"/>
  <c r="I237" i="8"/>
  <c r="J237" i="8"/>
  <c r="R75" i="3"/>
  <c r="J15" i="1"/>
  <c r="I32" i="1"/>
  <c r="I54" i="1"/>
  <c r="I43" i="1"/>
  <c r="J43" i="1" s="1"/>
  <c r="R75" i="6"/>
  <c r="I176" i="8"/>
  <c r="G181" i="8"/>
  <c r="I98" i="2"/>
  <c r="J98" i="2"/>
  <c r="I211" i="2"/>
  <c r="J211" i="2"/>
  <c r="J79" i="1"/>
  <c r="I42" i="2"/>
  <c r="J42" i="2"/>
  <c r="R14" i="2"/>
  <c r="R241" i="2"/>
  <c r="G242" i="2"/>
  <c r="J72" i="8"/>
  <c r="R10" i="3"/>
  <c r="E14" i="4"/>
  <c r="D22" i="4"/>
  <c r="R17" i="6"/>
  <c r="I7" i="1"/>
  <c r="J7" i="1" s="1"/>
  <c r="I172" i="1"/>
  <c r="J172" i="1" s="1"/>
  <c r="I192" i="1"/>
  <c r="J192" i="1" s="1"/>
  <c r="I254" i="1"/>
  <c r="J254" i="1"/>
  <c r="I47" i="1"/>
  <c r="J47" i="1" s="1"/>
  <c r="I59" i="8"/>
  <c r="J59" i="8"/>
  <c r="D119" i="8"/>
  <c r="I82" i="2"/>
  <c r="J82" i="2"/>
  <c r="I97" i="2"/>
  <c r="J97" i="2"/>
  <c r="I105" i="2"/>
  <c r="J105" i="2"/>
  <c r="I166" i="2"/>
  <c r="I208" i="2"/>
  <c r="J208" i="2"/>
  <c r="I227" i="2"/>
  <c r="J227" i="2"/>
  <c r="I254" i="8"/>
  <c r="G257" i="8"/>
  <c r="G114" i="8"/>
  <c r="I306" i="8"/>
  <c r="J105" i="1"/>
  <c r="J77" i="1"/>
  <c r="T174" i="2"/>
  <c r="J174" i="2"/>
  <c r="U174" i="2"/>
  <c r="I44" i="2"/>
  <c r="J44" i="2"/>
  <c r="I139" i="8"/>
  <c r="J139" i="8"/>
  <c r="I52" i="8"/>
  <c r="I153" i="1"/>
  <c r="J153" i="1" s="1"/>
  <c r="I72" i="8"/>
  <c r="J61" i="1"/>
  <c r="J223" i="8"/>
  <c r="J229" i="8"/>
  <c r="I234" i="2"/>
  <c r="T181" i="2"/>
  <c r="J181" i="2"/>
  <c r="U181" i="2"/>
  <c r="J176" i="8"/>
  <c r="R7" i="3"/>
  <c r="R80" i="3"/>
  <c r="R91" i="3"/>
  <c r="R100" i="3"/>
  <c r="R87" i="6"/>
  <c r="P95" i="6"/>
  <c r="I121" i="1"/>
  <c r="J121" i="1" s="1"/>
  <c r="R81" i="6"/>
  <c r="I64" i="1"/>
  <c r="J64" i="1"/>
  <c r="J58" i="1"/>
  <c r="J157" i="1"/>
  <c r="I170" i="1"/>
  <c r="J212" i="1"/>
  <c r="J353" i="1"/>
  <c r="I100" i="8"/>
  <c r="I105" i="8"/>
  <c r="G105" i="8"/>
  <c r="J130" i="8"/>
  <c r="I24" i="2"/>
  <c r="J24" i="2"/>
  <c r="I128" i="2"/>
  <c r="J128" i="2"/>
  <c r="J70" i="2"/>
  <c r="G209" i="8"/>
  <c r="J189" i="8"/>
  <c r="G52" i="8"/>
  <c r="J96" i="1"/>
  <c r="J93" i="1"/>
  <c r="J80" i="1"/>
  <c r="I161" i="1"/>
  <c r="I211" i="1"/>
  <c r="J211" i="1"/>
  <c r="J249" i="1"/>
  <c r="G132" i="8"/>
  <c r="J140" i="8"/>
  <c r="I125" i="2"/>
  <c r="J125" i="2"/>
  <c r="J133" i="2"/>
  <c r="I147" i="2"/>
  <c r="J147" i="2"/>
  <c r="I38" i="1"/>
  <c r="I81" i="8"/>
  <c r="J81" i="8"/>
  <c r="J85" i="8"/>
  <c r="I38" i="2"/>
  <c r="I88" i="2"/>
  <c r="J88" i="2"/>
  <c r="I115" i="2"/>
  <c r="J115" i="2"/>
  <c r="I160" i="2"/>
  <c r="J160" i="2"/>
  <c r="I186" i="2"/>
  <c r="J186" i="2"/>
  <c r="I268" i="2"/>
  <c r="J268" i="2"/>
  <c r="J269" i="2"/>
  <c r="J339" i="8"/>
  <c r="I83" i="8"/>
  <c r="J83" i="8"/>
  <c r="J179" i="1"/>
  <c r="G238" i="8"/>
  <c r="G243" i="8"/>
  <c r="D243" i="8"/>
  <c r="I40" i="2"/>
  <c r="J40" i="2"/>
  <c r="U40" i="2"/>
  <c r="J60" i="2"/>
  <c r="I83" i="2"/>
  <c r="J83" i="2"/>
  <c r="J172" i="2"/>
  <c r="I218" i="2"/>
  <c r="J218" i="2"/>
  <c r="I264" i="2"/>
  <c r="J264" i="2"/>
  <c r="J25" i="1"/>
  <c r="J345" i="1"/>
  <c r="J61" i="8"/>
  <c r="I101" i="2"/>
  <c r="J101" i="2"/>
  <c r="I107" i="2"/>
  <c r="J107" i="2"/>
  <c r="I129" i="2"/>
  <c r="J129" i="2"/>
  <c r="I210" i="2"/>
  <c r="J210" i="2"/>
  <c r="J292" i="2"/>
  <c r="J19" i="2"/>
  <c r="U19" i="2"/>
  <c r="J288" i="2"/>
  <c r="J297" i="2"/>
  <c r="J152" i="2"/>
  <c r="U152" i="2"/>
  <c r="J161" i="1"/>
  <c r="I114" i="8"/>
  <c r="J114" i="8"/>
  <c r="G119" i="8"/>
  <c r="D30" i="4"/>
  <c r="E30" i="4"/>
  <c r="E22" i="4"/>
  <c r="H22" i="4"/>
  <c r="H24" i="4"/>
  <c r="J254" i="8"/>
  <c r="J166" i="2"/>
  <c r="J176" i="2"/>
  <c r="G14" i="4"/>
  <c r="G16" i="4"/>
  <c r="E16" i="4"/>
  <c r="G22" i="4"/>
  <c r="G24" i="4"/>
  <c r="E24" i="4"/>
  <c r="I49" i="2"/>
  <c r="J49" i="2"/>
  <c r="I110" i="1"/>
  <c r="J110" i="1" s="1"/>
  <c r="I71" i="2"/>
  <c r="J71" i="2"/>
  <c r="I228" i="2"/>
  <c r="J228" i="2"/>
  <c r="I252" i="8"/>
  <c r="I255" i="8"/>
  <c r="J255" i="8"/>
  <c r="I261" i="8"/>
  <c r="I267" i="8"/>
  <c r="G267" i="8"/>
  <c r="I337" i="8"/>
  <c r="J337" i="8"/>
  <c r="D122" i="1"/>
  <c r="G120" i="1"/>
  <c r="J370" i="1"/>
  <c r="J100" i="8"/>
  <c r="J28" i="2"/>
  <c r="U28" i="2"/>
  <c r="I95" i="8"/>
  <c r="I18" i="1"/>
  <c r="I138" i="1"/>
  <c r="J138" i="1" s="1"/>
  <c r="I85" i="8"/>
  <c r="J57" i="2"/>
  <c r="U57" i="2"/>
  <c r="I260" i="2"/>
  <c r="R79" i="2"/>
  <c r="J79" i="2"/>
  <c r="U79" i="2"/>
  <c r="I36" i="8"/>
  <c r="J34" i="8"/>
  <c r="I30" i="1"/>
  <c r="J30" i="1"/>
  <c r="R32" i="6"/>
  <c r="R21" i="6"/>
  <c r="I196" i="1"/>
  <c r="J196" i="1" s="1"/>
  <c r="G291" i="8"/>
  <c r="I286" i="8"/>
  <c r="R21" i="3"/>
  <c r="R49" i="3"/>
  <c r="R41" i="6"/>
  <c r="I100" i="1"/>
  <c r="J100" i="1" s="1"/>
  <c r="J180" i="1"/>
  <c r="I162" i="1"/>
  <c r="J41" i="2"/>
  <c r="U41" i="2"/>
  <c r="R17" i="3"/>
  <c r="I16" i="1"/>
  <c r="J16" i="1"/>
  <c r="I81" i="1"/>
  <c r="J81" i="1"/>
  <c r="C47" i="9"/>
  <c r="J48" i="8"/>
  <c r="J52" i="8"/>
  <c r="I157" i="8"/>
  <c r="I161" i="8"/>
  <c r="J157" i="8"/>
  <c r="R82" i="3"/>
  <c r="R78" i="6"/>
  <c r="R10" i="6"/>
  <c r="J188" i="1"/>
  <c r="I207" i="8"/>
  <c r="O241" i="2"/>
  <c r="D242" i="2"/>
  <c r="J73" i="1"/>
  <c r="J57" i="1"/>
  <c r="J104" i="1"/>
  <c r="J182" i="1"/>
  <c r="J186" i="1"/>
  <c r="I46" i="1"/>
  <c r="J46" i="1"/>
  <c r="J348" i="1"/>
  <c r="J179" i="8"/>
  <c r="I240" i="8"/>
  <c r="J240" i="8"/>
  <c r="I22" i="2"/>
  <c r="T22" i="2"/>
  <c r="I89" i="2"/>
  <c r="J89" i="2"/>
  <c r="I104" i="2"/>
  <c r="J104" i="2"/>
  <c r="I189" i="2"/>
  <c r="J189" i="2"/>
  <c r="I374" i="1"/>
  <c r="J374" i="1" s="1"/>
  <c r="I23" i="2"/>
  <c r="J23" i="2"/>
  <c r="U23" i="2"/>
  <c r="I119" i="2"/>
  <c r="J119" i="2"/>
  <c r="I123" i="2"/>
  <c r="J123" i="2"/>
  <c r="I232" i="2"/>
  <c r="J232" i="2"/>
  <c r="I87" i="2"/>
  <c r="J87" i="2"/>
  <c r="I91" i="2"/>
  <c r="J91" i="2"/>
  <c r="R95" i="2"/>
  <c r="I95" i="2"/>
  <c r="T95" i="2"/>
  <c r="I199" i="2"/>
  <c r="J199" i="2"/>
  <c r="J53" i="2"/>
  <c r="J55" i="2"/>
  <c r="J190" i="2"/>
  <c r="J201" i="2"/>
  <c r="J286" i="8"/>
  <c r="J260" i="2"/>
  <c r="I269" i="2"/>
  <c r="J22" i="2"/>
  <c r="U22" i="2"/>
  <c r="I120" i="1"/>
  <c r="J120" i="1" s="1"/>
  <c r="G122" i="1"/>
  <c r="J95" i="2"/>
  <c r="U95" i="2"/>
  <c r="J207" i="8"/>
  <c r="J261" i="8"/>
  <c r="J252" i="8"/>
  <c r="J223" i="2"/>
  <c r="U223" i="2"/>
  <c r="I197" i="2"/>
  <c r="J37" i="2"/>
  <c r="J230" i="2"/>
  <c r="U230" i="2"/>
  <c r="J146" i="2"/>
  <c r="U146" i="2"/>
  <c r="T175" i="2"/>
  <c r="J12" i="2"/>
  <c r="U12" i="2"/>
  <c r="J150" i="2"/>
  <c r="U150" i="2"/>
  <c r="J18" i="2"/>
  <c r="U18" i="2"/>
  <c r="J13" i="2"/>
  <c r="U13" i="2"/>
  <c r="T35" i="2"/>
  <c r="J35" i="2"/>
  <c r="U35" i="2"/>
  <c r="J84" i="2"/>
  <c r="U85" i="2"/>
  <c r="I164" i="2"/>
  <c r="T61" i="2"/>
  <c r="J15" i="2"/>
  <c r="U15" i="2"/>
  <c r="T149" i="2"/>
  <c r="J149" i="2"/>
  <c r="U149" i="2"/>
  <c r="T145" i="2"/>
  <c r="J225" i="2"/>
  <c r="U225" i="2"/>
  <c r="T225" i="2"/>
  <c r="T14" i="2"/>
  <c r="J14" i="2"/>
  <c r="U14" i="2"/>
  <c r="J6" i="2"/>
  <c r="T131" i="2"/>
  <c r="J131" i="2"/>
  <c r="U131" i="2"/>
  <c r="J38" i="2"/>
  <c r="I69" i="2"/>
  <c r="J195" i="2"/>
  <c r="U195" i="2"/>
  <c r="T195" i="2"/>
  <c r="J45" i="2"/>
  <c r="U45" i="2"/>
  <c r="T45" i="2"/>
  <c r="T144" i="2"/>
  <c r="J144" i="2"/>
  <c r="U144" i="2"/>
  <c r="J204" i="2"/>
  <c r="U204" i="2"/>
  <c r="T165" i="2"/>
  <c r="J165" i="2"/>
  <c r="U165" i="2"/>
  <c r="T177" i="2"/>
  <c r="J177" i="2"/>
  <c r="J197" i="2"/>
  <c r="T43" i="2"/>
  <c r="J43" i="2"/>
  <c r="U43" i="2"/>
  <c r="T198" i="2"/>
  <c r="T39" i="2"/>
  <c r="J39" i="2"/>
  <c r="U39" i="2"/>
  <c r="AC5" i="5"/>
  <c r="V14" i="5"/>
  <c r="V19" i="5"/>
  <c r="U177" i="2"/>
  <c r="J267" i="8"/>
  <c r="R92" i="3"/>
  <c r="Q95" i="3"/>
  <c r="R95" i="3"/>
  <c r="J164" i="2"/>
  <c r="J69" i="2"/>
  <c r="J93" i="2"/>
  <c r="E31" i="4"/>
  <c r="G30" i="4"/>
  <c r="G31" i="4"/>
  <c r="H30" i="4"/>
  <c r="H31" i="4"/>
  <c r="J257" i="8"/>
  <c r="L267" i="8"/>
  <c r="L316" i="8"/>
  <c r="L326" i="8"/>
  <c r="U37" i="2"/>
  <c r="I257" i="8"/>
  <c r="I277" i="8"/>
  <c r="T40" i="2"/>
  <c r="J234" i="2"/>
  <c r="J239" i="2"/>
  <c r="T151" i="2"/>
  <c r="J154" i="2"/>
  <c r="U154" i="2"/>
  <c r="J5" i="2"/>
  <c r="J36" i="2"/>
  <c r="I9" i="1"/>
  <c r="J9" i="1" s="1"/>
  <c r="I117" i="8"/>
  <c r="J117" i="8"/>
  <c r="J119" i="8"/>
  <c r="I127" i="8"/>
  <c r="I132" i="8"/>
  <c r="I175" i="8"/>
  <c r="I181" i="8"/>
  <c r="J290" i="8"/>
  <c r="I139" i="2"/>
  <c r="I93" i="2"/>
  <c r="J164" i="1"/>
  <c r="I326" i="8"/>
  <c r="J151" i="2"/>
  <c r="U151" i="2"/>
  <c r="J189" i="1"/>
  <c r="J277" i="8"/>
  <c r="J95" i="8"/>
  <c r="L95" i="8"/>
  <c r="L105" i="8"/>
  <c r="R36" i="3"/>
  <c r="R37" i="6"/>
  <c r="I349" i="1"/>
  <c r="J349" i="1" s="1"/>
  <c r="J285" i="8"/>
  <c r="I285" i="8"/>
  <c r="I26" i="8"/>
  <c r="J335" i="8"/>
  <c r="I335" i="8"/>
  <c r="H14" i="4"/>
  <c r="H16" i="4"/>
  <c r="H36" i="4"/>
  <c r="I238" i="8"/>
  <c r="I25" i="8"/>
  <c r="J25" i="8"/>
  <c r="J26" i="8"/>
  <c r="L26" i="8"/>
  <c r="L35" i="8"/>
  <c r="T84" i="2"/>
  <c r="I141" i="1"/>
  <c r="J141" i="1" s="1"/>
  <c r="J347" i="2"/>
  <c r="J349" i="2"/>
  <c r="I349" i="2"/>
  <c r="J205" i="2"/>
  <c r="U84" i="2"/>
  <c r="T23" i="2"/>
  <c r="T241" i="2"/>
  <c r="I242" i="2"/>
  <c r="J242" i="2"/>
  <c r="J162" i="1"/>
  <c r="J96" i="2"/>
  <c r="C79" i="9"/>
  <c r="E95" i="9"/>
  <c r="I16" i="8"/>
  <c r="I144" i="8"/>
  <c r="I145" i="8"/>
  <c r="J144" i="8"/>
  <c r="J145" i="8"/>
  <c r="J180" i="8"/>
  <c r="I193" i="8"/>
  <c r="I195" i="8"/>
  <c r="I205" i="8"/>
  <c r="I209" i="8"/>
  <c r="I287" i="8"/>
  <c r="J287" i="8"/>
  <c r="I106" i="1"/>
  <c r="J106" i="1" s="1"/>
  <c r="I60" i="8"/>
  <c r="I62" i="8"/>
  <c r="J336" i="8"/>
  <c r="I336" i="8"/>
  <c r="I215" i="2"/>
  <c r="I231" i="2"/>
  <c r="J215" i="2"/>
  <c r="J231" i="2"/>
  <c r="G231" i="2"/>
  <c r="I377" i="1"/>
  <c r="J347" i="1"/>
  <c r="G340" i="8"/>
  <c r="T153" i="2"/>
  <c r="J153" i="2"/>
  <c r="U153" i="2"/>
  <c r="R45" i="3"/>
  <c r="R24" i="6"/>
  <c r="R88" i="6"/>
  <c r="G214" i="2"/>
  <c r="G197" i="2"/>
  <c r="G93" i="2"/>
  <c r="G240" i="2"/>
  <c r="G241" i="2"/>
  <c r="I198" i="1"/>
  <c r="J111" i="1"/>
  <c r="I203" i="2"/>
  <c r="I235" i="2"/>
  <c r="J235" i="2"/>
  <c r="I87" i="1"/>
  <c r="J87" i="1" s="1"/>
  <c r="J160" i="8"/>
  <c r="J161" i="8"/>
  <c r="I113" i="1"/>
  <c r="J113" i="1" s="1"/>
  <c r="J170" i="8"/>
  <c r="J171" i="8"/>
  <c r="U241" i="2"/>
  <c r="L171" i="8"/>
  <c r="J377" i="1"/>
  <c r="J139" i="2"/>
  <c r="U96" i="2"/>
  <c r="J291" i="8"/>
  <c r="J198" i="1"/>
  <c r="I239" i="2"/>
  <c r="J193" i="8"/>
  <c r="J195" i="8"/>
  <c r="J175" i="8"/>
  <c r="J181" i="8"/>
  <c r="I119" i="8"/>
  <c r="I340" i="8"/>
  <c r="J127" i="8"/>
  <c r="J132" i="8"/>
  <c r="L277" i="8"/>
  <c r="J155" i="2"/>
  <c r="J240" i="2"/>
  <c r="J203" i="2"/>
  <c r="J214" i="2"/>
  <c r="I214" i="2"/>
  <c r="I240" i="2"/>
  <c r="I241" i="2"/>
  <c r="J241" i="2"/>
  <c r="J340" i="8"/>
  <c r="J238" i="8"/>
  <c r="J243" i="8"/>
  <c r="I243" i="8"/>
  <c r="H93" i="6"/>
  <c r="I93" i="6"/>
  <c r="F90" i="6"/>
  <c r="P91" i="6"/>
  <c r="J60" i="8"/>
  <c r="J62" i="8"/>
  <c r="L62" i="8"/>
  <c r="L72" i="8"/>
  <c r="J205" i="8"/>
  <c r="J209" i="8"/>
  <c r="L219" i="8"/>
  <c r="L229" i="8"/>
  <c r="I291" i="8"/>
  <c r="L181" i="8"/>
  <c r="J252" i="1" l="1"/>
  <c r="I255" i="1"/>
  <c r="J378" i="1"/>
  <c r="J125" i="1"/>
  <c r="J233" i="1"/>
  <c r="J237" i="1" s="1"/>
  <c r="J140" i="1"/>
  <c r="J89" i="1"/>
  <c r="J29" i="1"/>
  <c r="J195" i="1"/>
  <c r="J48" i="1"/>
  <c r="J218" i="1"/>
  <c r="J85" i="1"/>
  <c r="I378" i="1"/>
  <c r="J119" i="1"/>
  <c r="I299" i="1"/>
  <c r="G237" i="1"/>
  <c r="J220" i="1"/>
  <c r="H330" i="1"/>
  <c r="J32" i="1"/>
  <c r="J88" i="1"/>
  <c r="J22" i="1"/>
  <c r="J90" i="1"/>
  <c r="D76" i="1"/>
  <c r="J40" i="1"/>
  <c r="J107" i="1"/>
  <c r="J175" i="1"/>
  <c r="G143" i="1"/>
  <c r="J154" i="1"/>
  <c r="J122" i="1"/>
  <c r="J213" i="1"/>
  <c r="J99" i="1"/>
  <c r="J19" i="1"/>
  <c r="J86" i="1"/>
  <c r="J136" i="1"/>
  <c r="J166" i="1"/>
  <c r="J168" i="1"/>
  <c r="I75" i="1"/>
  <c r="J75" i="1" s="1"/>
  <c r="I221" i="1"/>
  <c r="J221" i="1" s="1"/>
  <c r="J219" i="1"/>
  <c r="J72" i="1"/>
  <c r="G199" i="1"/>
  <c r="J74" i="1"/>
  <c r="I185" i="1"/>
  <c r="J14" i="1"/>
  <c r="J356" i="1"/>
  <c r="I145" i="1"/>
  <c r="J145" i="1" s="1"/>
  <c r="I159" i="1"/>
  <c r="J159" i="1"/>
  <c r="J350" i="1"/>
  <c r="J52" i="1"/>
  <c r="J184" i="1"/>
  <c r="I223" i="1"/>
  <c r="G223" i="1"/>
  <c r="J56" i="1"/>
  <c r="I27" i="1"/>
  <c r="J27" i="1"/>
  <c r="J54" i="1"/>
  <c r="I142" i="1"/>
  <c r="J142" i="1"/>
  <c r="I21" i="1"/>
  <c r="J21" i="1" s="1"/>
  <c r="J31" i="1" s="1"/>
  <c r="I151" i="1"/>
  <c r="J151" i="1"/>
  <c r="I91" i="1"/>
  <c r="J91" i="1" s="1"/>
  <c r="J373" i="1"/>
  <c r="J382" i="1" s="1"/>
  <c r="G156" i="1"/>
  <c r="D160" i="1"/>
  <c r="D200" i="1" s="1"/>
  <c r="I108" i="1"/>
  <c r="J108" i="1"/>
  <c r="I101" i="1"/>
  <c r="J101" i="1"/>
  <c r="I24" i="1"/>
  <c r="J24" i="1"/>
  <c r="J379" i="1"/>
  <c r="I382" i="1"/>
  <c r="J177" i="1"/>
  <c r="G356" i="1"/>
  <c r="G330" i="1"/>
  <c r="I36" i="1"/>
  <c r="J36" i="1"/>
  <c r="I98" i="1"/>
  <c r="J98" i="1" s="1"/>
  <c r="I83" i="1"/>
  <c r="J83" i="1" s="1"/>
  <c r="I130" i="1"/>
  <c r="J130" i="1" s="1"/>
  <c r="G152" i="1"/>
  <c r="G155" i="1" s="1"/>
  <c r="I193" i="1"/>
  <c r="J217" i="1"/>
  <c r="J187" i="1"/>
  <c r="J193" i="1" s="1"/>
  <c r="I135" i="1"/>
  <c r="J135" i="1" s="1"/>
  <c r="I124" i="1"/>
  <c r="I143" i="1" s="1"/>
  <c r="I122" i="1"/>
  <c r="J71" i="1"/>
  <c r="G76" i="1"/>
  <c r="G382" i="1"/>
  <c r="I197" i="1"/>
  <c r="I199" i="1" s="1"/>
  <c r="J255" i="1"/>
  <c r="J78" i="1"/>
  <c r="J17" i="1"/>
  <c r="I44" i="1"/>
  <c r="J44" i="1"/>
  <c r="J170" i="1"/>
  <c r="J185" i="1" s="1"/>
  <c r="I34" i="1"/>
  <c r="J34" i="1" s="1"/>
  <c r="I146" i="1"/>
  <c r="J146" i="1" s="1"/>
  <c r="J344" i="1"/>
  <c r="J23" i="1"/>
  <c r="J76" i="1" l="1"/>
  <c r="J124" i="1"/>
  <c r="J143" i="1" s="1"/>
  <c r="I76" i="1"/>
  <c r="J223" i="1"/>
  <c r="I31" i="1"/>
  <c r="J109" i="1"/>
  <c r="I156" i="1"/>
  <c r="I160" i="1" s="1"/>
  <c r="G160" i="1"/>
  <c r="G200" i="1" s="1"/>
  <c r="I109" i="1"/>
  <c r="I152" i="1"/>
  <c r="I155" i="1" s="1"/>
  <c r="J197" i="1"/>
  <c r="J199" i="1" s="1"/>
  <c r="J152" i="1" l="1"/>
  <c r="J155" i="1" s="1"/>
  <c r="J156" i="1"/>
  <c r="J160" i="1" s="1"/>
  <c r="J200" i="1" s="1"/>
  <c r="I200" i="1"/>
</calcChain>
</file>

<file path=xl/sharedStrings.xml><?xml version="1.0" encoding="utf-8"?>
<sst xmlns="http://schemas.openxmlformats.org/spreadsheetml/2006/main" count="1769" uniqueCount="618">
  <si>
    <t>ЖЭС №</t>
  </si>
  <si>
    <t>Пользователь</t>
  </si>
  <si>
    <t>к-во кВт</t>
  </si>
  <si>
    <t>тариф</t>
  </si>
  <si>
    <t>Курс.к-ф</t>
  </si>
  <si>
    <t>Сумма без НДС</t>
  </si>
  <si>
    <t>ставка НДС</t>
  </si>
  <si>
    <t>Сумма  НДС</t>
  </si>
  <si>
    <t>Сумма с  НДС</t>
  </si>
  <si>
    <t>Витебские ковры</t>
  </si>
  <si>
    <t>Цифровая сеть  Комп.</t>
  </si>
  <si>
    <t xml:space="preserve"> -//- эл-ро обогрев</t>
  </si>
  <si>
    <t>Итого:</t>
  </si>
  <si>
    <t>ИП Нагула</t>
  </si>
  <si>
    <t>ЧУП  КУРАЖстиль</t>
  </si>
  <si>
    <t>ЧП   Эллин- Мод</t>
  </si>
  <si>
    <t>ИП  Жданов В.Н.</t>
  </si>
  <si>
    <t>М-н  Ва-Дена</t>
  </si>
  <si>
    <t>ЧТУП Чайный  дом</t>
  </si>
  <si>
    <t>ИП  Федюк В.И.</t>
  </si>
  <si>
    <t>ИП  Галезников</t>
  </si>
  <si>
    <t>ЧП  Рыбачек</t>
  </si>
  <si>
    <t>Тир  Тор</t>
  </si>
  <si>
    <t>Отдел культуры горисп</t>
  </si>
  <si>
    <t>Худ.Мазалевич</t>
  </si>
  <si>
    <t>ИП  Сычев</t>
  </si>
  <si>
    <t>ИП  Ускова О.А.</t>
  </si>
  <si>
    <t>"Миллам"</t>
  </si>
  <si>
    <t>"Эскад-студия"</t>
  </si>
  <si>
    <t>ИП Горкалова</t>
  </si>
  <si>
    <t>ИП   Ашанов</t>
  </si>
  <si>
    <t>ИП Субботин</t>
  </si>
  <si>
    <t>ЧУП  Ремтекстиль</t>
  </si>
  <si>
    <t>СООО  МТС</t>
  </si>
  <si>
    <t>ГОО  Семья</t>
  </si>
  <si>
    <t>ПК Манометр</t>
  </si>
  <si>
    <t>ОДО  Фатон</t>
  </si>
  <si>
    <t>ИП  Демченко В.Н.</t>
  </si>
  <si>
    <t>Cуб.абон.</t>
  </si>
  <si>
    <t>Офис ОДО"Корр"</t>
  </si>
  <si>
    <t>"Пчелка"</t>
  </si>
  <si>
    <t>Маг."Топ.книга"</t>
  </si>
  <si>
    <t>Маг."Военсервис"</t>
  </si>
  <si>
    <t xml:space="preserve">"Пинскдрев" </t>
  </si>
  <si>
    <t xml:space="preserve"> -//- эл-ро обогрев день</t>
  </si>
  <si>
    <t xml:space="preserve"> -//- эл-ро обогрев ночь</t>
  </si>
  <si>
    <t>ИП Жук</t>
  </si>
  <si>
    <t>ЖСПК 68</t>
  </si>
  <si>
    <t>ЖСПК 78</t>
  </si>
  <si>
    <t>ЖСПК 81</t>
  </si>
  <si>
    <t>Антен.усил."Гарант"</t>
  </si>
  <si>
    <t>Антен.усил.</t>
  </si>
  <si>
    <t>ИТОГО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</si>
  <si>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</si>
  <si>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Химч. Чайка</t>
  </si>
  <si>
    <t>ПОДО "Пчелка плюс"</t>
  </si>
  <si>
    <t>Итого</t>
  </si>
  <si>
    <t>УЖРЭП</t>
  </si>
  <si>
    <t xml:space="preserve">МОП </t>
  </si>
  <si>
    <t xml:space="preserve"> кВТ</t>
  </si>
  <si>
    <t>сумма</t>
  </si>
  <si>
    <t>Лифты</t>
  </si>
  <si>
    <t>Конторы</t>
  </si>
  <si>
    <t>Мастерская</t>
  </si>
  <si>
    <t>Бытовки</t>
  </si>
  <si>
    <t>Лифты диспет</t>
  </si>
  <si>
    <t>ЦТП</t>
  </si>
  <si>
    <t>в/г</t>
  </si>
  <si>
    <t>Суб.абон.</t>
  </si>
  <si>
    <t>Механич мас</t>
  </si>
  <si>
    <t>Столярн.маст</t>
  </si>
  <si>
    <t>Администр.пом</t>
  </si>
  <si>
    <t>Население</t>
  </si>
  <si>
    <t>Аренда</t>
  </si>
  <si>
    <t>Итог кВТ</t>
  </si>
  <si>
    <t>Итог сумм</t>
  </si>
  <si>
    <t>Коэф</t>
  </si>
  <si>
    <t>ЧП Реквием Ретуал</t>
  </si>
  <si>
    <t>ЦС 0129</t>
  </si>
  <si>
    <t>РСУ 23,9</t>
  </si>
  <si>
    <t>ПС 0681</t>
  </si>
  <si>
    <t>Потребление в пределах нормативов</t>
  </si>
  <si>
    <t>Светофорный объект</t>
  </si>
  <si>
    <t>Вест.трафик.Групп</t>
  </si>
  <si>
    <t xml:space="preserve">  </t>
  </si>
  <si>
    <t>НДС 18.3</t>
  </si>
  <si>
    <t>Зеленая дверца</t>
  </si>
  <si>
    <t>разница</t>
  </si>
  <si>
    <t>Больница №2</t>
  </si>
  <si>
    <t>Бухгалтер</t>
  </si>
  <si>
    <t>Наименование затрат</t>
  </si>
  <si>
    <t>э/энергия</t>
  </si>
  <si>
    <t>ЖСПК 31</t>
  </si>
  <si>
    <t xml:space="preserve">                                                                                       </t>
  </si>
  <si>
    <t>квт</t>
  </si>
  <si>
    <t>в руб.</t>
  </si>
  <si>
    <t>ЦТП водок</t>
  </si>
  <si>
    <t>ГВС Жук</t>
  </si>
  <si>
    <t>"Глобус медиа"</t>
  </si>
  <si>
    <t>Арникатрейд</t>
  </si>
  <si>
    <t>Белэконом Гродно</t>
  </si>
  <si>
    <t>ГРП-57 - межрайгаз</t>
  </si>
  <si>
    <t>Межрайгаз</t>
  </si>
  <si>
    <t>ИП Быков</t>
  </si>
  <si>
    <t>"Союз-Паритет"</t>
  </si>
  <si>
    <t>Архив</t>
  </si>
  <si>
    <t>ЧУП ДАР центр</t>
  </si>
  <si>
    <t>"Супер Шуз"</t>
  </si>
  <si>
    <t>"Ирэяна"</t>
  </si>
  <si>
    <t>кВТ</t>
  </si>
  <si>
    <t>КНС</t>
  </si>
  <si>
    <t>ИП Протас</t>
  </si>
  <si>
    <t>ЦТП котельная фабричный</t>
  </si>
  <si>
    <t>ИП Куджицкий</t>
  </si>
  <si>
    <t>ЦТП 20\12</t>
  </si>
  <si>
    <t>сч 20,4</t>
  </si>
  <si>
    <t>CЧ 20/4</t>
  </si>
  <si>
    <t>ИП Карев</t>
  </si>
  <si>
    <t>Клецкова 96</t>
  </si>
  <si>
    <t>Клецкова 29а</t>
  </si>
  <si>
    <t>Кабяка 8/1</t>
  </si>
  <si>
    <t>Фолюш 15/200а</t>
  </si>
  <si>
    <t>Южная 15</t>
  </si>
  <si>
    <t>диспетчерские лифтовые</t>
  </si>
  <si>
    <t>по лифтам</t>
  </si>
  <si>
    <t>ЧУП "КанВа-сервис"</t>
  </si>
  <si>
    <t>"Сити Борд"</t>
  </si>
  <si>
    <t>ИП Красько</t>
  </si>
  <si>
    <t>БЕСТ</t>
  </si>
  <si>
    <t>Школа олимп.резерва№1</t>
  </si>
  <si>
    <t>"Ситимаркет"</t>
  </si>
  <si>
    <t>ЧСУП "Тир-Тор"</t>
  </si>
  <si>
    <t>ЧП"Фаленопсис"</t>
  </si>
  <si>
    <t>ЮАВТО</t>
  </si>
  <si>
    <t>ООО  Грант дебюд</t>
  </si>
  <si>
    <t>Админ.Октябрьского р-на</t>
  </si>
  <si>
    <t>Умкаград</t>
  </si>
  <si>
    <t>ООО "ТОРИА"</t>
  </si>
  <si>
    <t>УПТП "Зарница"</t>
  </si>
  <si>
    <t>ИП"Малый"</t>
  </si>
  <si>
    <t>ЧУП"Стиль-Лорив"</t>
  </si>
  <si>
    <t>ИП "Дулуб"</t>
  </si>
  <si>
    <t>ИП Новицкая</t>
  </si>
  <si>
    <t xml:space="preserve"> -//-гвс</t>
  </si>
  <si>
    <t>сч 62.11</t>
  </si>
  <si>
    <t>Аренда+дис.лиф</t>
  </si>
  <si>
    <t>насосы  ИТП (гвс)</t>
  </si>
  <si>
    <t>насосы  ИТП (х.в.)</t>
  </si>
  <si>
    <t>Сверхнорм.потр</t>
  </si>
  <si>
    <t>насосы  ИТП (от.)</t>
  </si>
  <si>
    <t>80%-20.12</t>
  </si>
  <si>
    <t>20.12</t>
  </si>
  <si>
    <t>20%-20.4</t>
  </si>
  <si>
    <t>ООО "Гродн.инф.сети"</t>
  </si>
  <si>
    <t>ПК"Парикмах-я Каприз"</t>
  </si>
  <si>
    <t xml:space="preserve"> -//-  водонагр(резерв)</t>
  </si>
  <si>
    <t>УЧП"Люкс"</t>
  </si>
  <si>
    <t>Парикмах-я Грицкевич</t>
  </si>
  <si>
    <t xml:space="preserve"> -//-  гвс</t>
  </si>
  <si>
    <t>ОДО"Комелия"</t>
  </si>
  <si>
    <t>ООО"Белмистр"</t>
  </si>
  <si>
    <t>ООО"АКТИП"</t>
  </si>
  <si>
    <t>Янушкевич</t>
  </si>
  <si>
    <t>"Альтернативная цифр.сеть"</t>
  </si>
  <si>
    <t>ЦТП котельная лососно</t>
  </si>
  <si>
    <t>ИП Руденко</t>
  </si>
  <si>
    <t>ГК Городничанка</t>
  </si>
  <si>
    <t>"Демитра"</t>
  </si>
  <si>
    <t>ИП Караваева</t>
  </si>
  <si>
    <t>перебр</t>
  </si>
  <si>
    <t>25.2</t>
  </si>
  <si>
    <t>охрана труда</t>
  </si>
  <si>
    <t>20.4</t>
  </si>
  <si>
    <t>профавтоматика</t>
  </si>
  <si>
    <t xml:space="preserve"> -//- гвс</t>
  </si>
  <si>
    <t>Синкевич</t>
  </si>
  <si>
    <t>Т.А. Бахар</t>
  </si>
  <si>
    <t>Орды, 11</t>
  </si>
  <si>
    <t>ЧУП "Лерэма"</t>
  </si>
  <si>
    <t>"Отличный выбор"</t>
  </si>
  <si>
    <t>ИП Коротков В.А.</t>
  </si>
  <si>
    <t>ИП Чирков</t>
  </si>
  <si>
    <t>Нап. Орды, 11</t>
  </si>
  <si>
    <t>Акт №</t>
  </si>
  <si>
    <t>Ставка НДС</t>
  </si>
  <si>
    <t>Сумма НДС</t>
  </si>
  <si>
    <t>Сумма с НДС</t>
  </si>
  <si>
    <t xml:space="preserve">ООО А и А </t>
  </si>
  <si>
    <t>20/4</t>
  </si>
  <si>
    <t>пер.Южн,      12а</t>
  </si>
  <si>
    <t>Акты по наруш.</t>
  </si>
  <si>
    <t>ЖЭС№</t>
  </si>
  <si>
    <t>ИТОГО:</t>
  </si>
  <si>
    <t xml:space="preserve">относить с НДС  </t>
  </si>
  <si>
    <t xml:space="preserve">Грод. нотариальная палата </t>
  </si>
  <si>
    <t>ИнваШанс</t>
  </si>
  <si>
    <t>ГАРАЖ Л.Чайкиной.2</t>
  </si>
  <si>
    <t>Гараж</t>
  </si>
  <si>
    <t>Скляр</t>
  </si>
  <si>
    <t>25.1</t>
  </si>
  <si>
    <t>Жданук</t>
  </si>
  <si>
    <t>УЧПП Эрис</t>
  </si>
  <si>
    <t>2605-ДО</t>
  </si>
  <si>
    <t>2310-М</t>
  </si>
  <si>
    <t>2705-НО</t>
  </si>
  <si>
    <t>2705-ДО</t>
  </si>
  <si>
    <t>2705-Б</t>
  </si>
  <si>
    <t>ЦТП - Фолюш</t>
  </si>
  <si>
    <t>Итого кВТ</t>
  </si>
  <si>
    <t>2310 ЭП</t>
  </si>
  <si>
    <t>2605-ЛФ</t>
  </si>
  <si>
    <t>2502  2502-ДО</t>
  </si>
  <si>
    <t>2605   1002</t>
  </si>
  <si>
    <t>ИП Талюк</t>
  </si>
  <si>
    <t>Стромтранс</t>
  </si>
  <si>
    <t>ИП Пилипчик</t>
  </si>
  <si>
    <t>ЦТП - ФОЛЮШ</t>
  </si>
  <si>
    <t xml:space="preserve">курс. коэф.- </t>
  </si>
  <si>
    <t>2706-ДО</t>
  </si>
  <si>
    <t>курс. коэф.-</t>
  </si>
  <si>
    <t>СиГани</t>
  </si>
  <si>
    <t>2502-ДО</t>
  </si>
  <si>
    <t>2502-НО</t>
  </si>
  <si>
    <t>Хорута</t>
  </si>
  <si>
    <t>Ветеран. Парикм.</t>
  </si>
  <si>
    <t xml:space="preserve"> -//- эл-ро обогрев день </t>
  </si>
  <si>
    <t xml:space="preserve"> -//-  гвс день</t>
  </si>
  <si>
    <t>ИП Смирнова</t>
  </si>
  <si>
    <t>ИП Гурши В.В.</t>
  </si>
  <si>
    <t xml:space="preserve">Сервис Генуя </t>
  </si>
  <si>
    <t>ЧТУП Эльмарт</t>
  </si>
  <si>
    <t xml:space="preserve">коэф.- </t>
  </si>
  <si>
    <t>20/4        22</t>
  </si>
  <si>
    <t>ИП Ширяев</t>
  </si>
  <si>
    <t>ИП Карпей</t>
  </si>
  <si>
    <t>ЦСО ул. Фомичева, 17</t>
  </si>
  <si>
    <t>Справка  за июль 2015 г.</t>
  </si>
  <si>
    <t>ИП Фадеева</t>
  </si>
  <si>
    <t xml:space="preserve">ИП Косило </t>
  </si>
  <si>
    <t>ООО Рассомаха</t>
  </si>
  <si>
    <t>055683</t>
  </si>
  <si>
    <t>ПК Манометр ( 102 кВтч)</t>
  </si>
  <si>
    <t>055668</t>
  </si>
  <si>
    <t>ООО Иреяна ( 919 кВтч)</t>
  </si>
  <si>
    <t>Правильный свет</t>
  </si>
  <si>
    <t>Одристайл</t>
  </si>
  <si>
    <t>ИП Байчук</t>
  </si>
  <si>
    <t xml:space="preserve">ИП Савостьян </t>
  </si>
  <si>
    <t>РКЦ</t>
  </si>
  <si>
    <t>2310-ФН</t>
  </si>
  <si>
    <t>ИП Михалька Н</t>
  </si>
  <si>
    <t>Кривчун Д.С.</t>
  </si>
  <si>
    <t>на 76с ндс с ощего ндс отнять</t>
  </si>
  <si>
    <t>Н.Н. Дадацкая</t>
  </si>
  <si>
    <t>Бухгалтер                      Н.Н. Дадацкая</t>
  </si>
  <si>
    <t>Бухгалтер                      Н.Н.Дадацкая</t>
  </si>
  <si>
    <t xml:space="preserve">МСС аноним. наркоманов </t>
  </si>
  <si>
    <t>ИП Аблавацкий</t>
  </si>
  <si>
    <t>ИП Можейко</t>
  </si>
  <si>
    <t>20/41</t>
  </si>
  <si>
    <t>цтп вода</t>
  </si>
  <si>
    <t xml:space="preserve"> 20\4</t>
  </si>
  <si>
    <t>ремонт УЖРП</t>
  </si>
  <si>
    <t>ЦТП кнс</t>
  </si>
  <si>
    <t>ЧУП Фотоцентр Мега</t>
  </si>
  <si>
    <t>Пороховая 12</t>
  </si>
  <si>
    <t>для жанны</t>
  </si>
  <si>
    <t>Автофан</t>
  </si>
  <si>
    <t>СДЮШОР №8</t>
  </si>
  <si>
    <t>БигБорд</t>
  </si>
  <si>
    <t>Сведения о потребленной электроэнергии по УЖРЭП Октябрьского р-на за декабрь 2015г.</t>
  </si>
  <si>
    <t xml:space="preserve"> кот-ЛОСОСНО</t>
  </si>
  <si>
    <t xml:space="preserve">курс. коэф. - </t>
  </si>
  <si>
    <t>"Мотор-Лайф</t>
  </si>
  <si>
    <t>76.0</t>
  </si>
  <si>
    <t xml:space="preserve">МОП-общ </t>
  </si>
  <si>
    <t>э/э Лифты</t>
  </si>
  <si>
    <t>э/э Лифты-общ</t>
  </si>
  <si>
    <t>МОП -общ</t>
  </si>
  <si>
    <t xml:space="preserve"> Инженер-энергетик                      </t>
  </si>
  <si>
    <t>Лифты ОБЩ</t>
  </si>
  <si>
    <t>МОП  ОБЩ</t>
  </si>
  <si>
    <t>ДООЦЕНКА</t>
  </si>
  <si>
    <t>Бузук</t>
  </si>
  <si>
    <t>кВт</t>
  </si>
  <si>
    <t>Н.Н.Дадацкая</t>
  </si>
  <si>
    <t>ИП Микевич</t>
  </si>
  <si>
    <t>Клецкова 98</t>
  </si>
  <si>
    <t>Лайн торг сервис</t>
  </si>
  <si>
    <t>Бест</t>
  </si>
  <si>
    <t>76/3</t>
  </si>
  <si>
    <t>ИП Мартысевич</t>
  </si>
  <si>
    <t>Фирма Техномиг</t>
  </si>
  <si>
    <t>Справка  за  АВГУСТ 2016 г.</t>
  </si>
  <si>
    <t>ООО Ситимаркет</t>
  </si>
  <si>
    <t>Акт № 066055 от 27.06.2016</t>
  </si>
  <si>
    <t>Сорока</t>
  </si>
  <si>
    <t>Космонавтов 41б</t>
  </si>
  <si>
    <t>ИП Матвеева</t>
  </si>
  <si>
    <t>"Велла Гродно"</t>
  </si>
  <si>
    <t>щорса 25</t>
  </si>
  <si>
    <t>ИП Мельниченко</t>
  </si>
  <si>
    <t>ИП Хильмон</t>
  </si>
  <si>
    <t>Строй.площадка Лен.р</t>
  </si>
  <si>
    <t>Степанов А.В.</t>
  </si>
  <si>
    <t>счет 76.0</t>
  </si>
  <si>
    <t>Сорока П.Т.</t>
  </si>
  <si>
    <t>Мукосей</t>
  </si>
  <si>
    <t>ООО РМБСпай</t>
  </si>
  <si>
    <t>Эксион плюс</t>
  </si>
  <si>
    <t>Магазин БелГродТорг</t>
  </si>
  <si>
    <t>ОДО Парма</t>
  </si>
  <si>
    <t>Олеся-Гродно</t>
  </si>
  <si>
    <t>ИП Война Д.В.</t>
  </si>
  <si>
    <t>УЧП Владан</t>
  </si>
  <si>
    <t>ОЗ.шос 17</t>
  </si>
  <si>
    <t>ООО БелДрев-Гро</t>
  </si>
  <si>
    <t>УП Ивафарм</t>
  </si>
  <si>
    <t>ИП Гуриш В.В.</t>
  </si>
  <si>
    <t>ИП Гурш М.В.</t>
  </si>
  <si>
    <t>Расчет ЖКУ Лифт 7%</t>
  </si>
  <si>
    <t>ООО Май-книги</t>
  </si>
  <si>
    <t>ИП Гайдар</t>
  </si>
  <si>
    <t>ИП Мулярчик</t>
  </si>
  <si>
    <t>Опекун</t>
  </si>
  <si>
    <t>Магазин Фол.15/193</t>
  </si>
  <si>
    <t>НДС</t>
  </si>
  <si>
    <t>"Лидер Стандарт"</t>
  </si>
  <si>
    <t>Эльмарт</t>
  </si>
  <si>
    <t>Я.Купалы 27</t>
  </si>
  <si>
    <t>ИП Сыч</t>
  </si>
  <si>
    <t>Аптека №134   Л.Чайкиной 45</t>
  </si>
  <si>
    <t>Аптека №114   Поповича 10</t>
  </si>
  <si>
    <t>Банкомат    Л.Чайкиной 45</t>
  </si>
  <si>
    <t>Бел.банк 400/163 Косм.10б</t>
  </si>
  <si>
    <t>Бел.банк  426/70  Косм. 38а</t>
  </si>
  <si>
    <t>Аптека №158 Косм. 38а</t>
  </si>
  <si>
    <t>Аптека №3  Антонова 4</t>
  </si>
  <si>
    <t>Аптека №159   Клецкова 34</t>
  </si>
  <si>
    <t>ИП Яцковский</t>
  </si>
  <si>
    <t>ИП Енза</t>
  </si>
  <si>
    <t>Рембыттехника</t>
  </si>
  <si>
    <t>ИП Гавецкий</t>
  </si>
  <si>
    <t>ООО Жеторг</t>
  </si>
  <si>
    <t>ПК Ремчас</t>
  </si>
  <si>
    <t>ИП Партфенова</t>
  </si>
  <si>
    <t>ЧТУП Пансистем Инв</t>
  </si>
  <si>
    <t>Лифт</t>
  </si>
  <si>
    <t>Индурское шоссе 4/2</t>
  </si>
  <si>
    <t>ГОТТЦ Гарант</t>
  </si>
  <si>
    <t>Сведения о потребленной электроэнергии по УЖРЭП Октябрьского р-на за апрель 2017г.</t>
  </si>
  <si>
    <t xml:space="preserve">ПС </t>
  </si>
  <si>
    <t>Сведения о потребленной электроэнергии по УЖРЭП Октябрьского р-на за май 2017г.</t>
  </si>
  <si>
    <t>Сведения о потребленной электроэнергии по УЖРЭП Октябрьского р-на за июнь 2017г.</t>
  </si>
  <si>
    <t>Сведения о потребленной электроэнергии по УЖРЭП Октябрьского р-на за июль 2017г.</t>
  </si>
  <si>
    <t>Сведения о потребленной электроэнергии по УЖРЭП Октябрьского р-на за август 2017г.</t>
  </si>
  <si>
    <t>Сведения о потребленной электроэнергии по УЖРЭП Октябрьского р-на за сентябрь 2017г.</t>
  </si>
  <si>
    <t>УЖРЭП Октябрьского р-на г.Гродно</t>
  </si>
  <si>
    <t>Справка  за октябрь 2017 г.</t>
  </si>
  <si>
    <t>май 2017г</t>
  </si>
  <si>
    <t>июнь 2017г</t>
  </si>
  <si>
    <t>апрель 2017г</t>
  </si>
  <si>
    <t>период перерасчета</t>
  </si>
  <si>
    <t>июль 2017г</t>
  </si>
  <si>
    <t>август  2017г</t>
  </si>
  <si>
    <t>сентябрь  2017г</t>
  </si>
  <si>
    <t>УЖРЭП Октябрьского р-на</t>
  </si>
  <si>
    <t>Маг №6 Сов.погр.106</t>
  </si>
  <si>
    <t>Маг №2 Л.Чайкиной 45</t>
  </si>
  <si>
    <t>Маг №9 Титова 11</t>
  </si>
  <si>
    <t>ООО "Комповид"</t>
  </si>
  <si>
    <t>Качанов Купалы24-168</t>
  </si>
  <si>
    <t>ИП Покочайло</t>
  </si>
  <si>
    <t>ОДО Технострой</t>
  </si>
  <si>
    <t>Бакалея</t>
  </si>
  <si>
    <t>Щорса,32/1</t>
  </si>
  <si>
    <t>Орды 11</t>
  </si>
  <si>
    <t>Аптека СалюсЛайн Суворов 13</t>
  </si>
  <si>
    <t xml:space="preserve">МОП   </t>
  </si>
  <si>
    <t>Зеленый мир</t>
  </si>
  <si>
    <t>Ремопил</t>
  </si>
  <si>
    <t>Эдемик</t>
  </si>
  <si>
    <t>Бухгалтер                                                                   Н.Н.Дадацкая</t>
  </si>
  <si>
    <t>Грод. информац. Сети</t>
  </si>
  <si>
    <t>ИП Макаренко</t>
  </si>
  <si>
    <t>ИП Богатырева</t>
  </si>
  <si>
    <t>МВД Щорса 41</t>
  </si>
  <si>
    <t xml:space="preserve">гвс  день </t>
  </si>
  <si>
    <t xml:space="preserve"> -//-  гвс ночь</t>
  </si>
  <si>
    <t>Белвторполимер</t>
  </si>
  <si>
    <t>СТК Ремстрой</t>
  </si>
  <si>
    <t>"Кватрастрой"</t>
  </si>
  <si>
    <t>ИП Селедчик</t>
  </si>
  <si>
    <t>Вишневский</t>
  </si>
  <si>
    <t>пеня</t>
  </si>
  <si>
    <t>CЧ 20/41</t>
  </si>
  <si>
    <t>итого</t>
  </si>
  <si>
    <t>Репина 9 кв 74</t>
  </si>
  <si>
    <t>ИП Рублевская</t>
  </si>
  <si>
    <t>ИП Дудкевич</t>
  </si>
  <si>
    <t>ИП Народовский</t>
  </si>
  <si>
    <t>ИП Павилойть</t>
  </si>
  <si>
    <t>ЧТУП Святобор</t>
  </si>
  <si>
    <t>ИП Лимановская</t>
  </si>
  <si>
    <t>Гая 33</t>
  </si>
  <si>
    <t>Кабяка 8/2</t>
  </si>
  <si>
    <t>ООО Ойкодомос</t>
  </si>
  <si>
    <t>Кишкель</t>
  </si>
  <si>
    <t>Виботорг</t>
  </si>
  <si>
    <t>ИП Санько</t>
  </si>
  <si>
    <t>ИП Кумпель</t>
  </si>
  <si>
    <t>Принеманский</t>
  </si>
  <si>
    <t>Ойкодомос</t>
  </si>
  <si>
    <t>ЗАО Унифарм</t>
  </si>
  <si>
    <t>ОДО Техномиг</t>
  </si>
  <si>
    <t>Мастацтво</t>
  </si>
  <si>
    <t>Белуга</t>
  </si>
  <si>
    <t>ИП Михайловская</t>
  </si>
  <si>
    <t>ИП Давидович</t>
  </si>
  <si>
    <t>ООО ЖилКомфорт</t>
  </si>
  <si>
    <t>ИП Грецкая</t>
  </si>
  <si>
    <t>ИП Скорб</t>
  </si>
  <si>
    <t>Ин.ш 6</t>
  </si>
  <si>
    <t xml:space="preserve">РСУ - 6 </t>
  </si>
  <si>
    <t>э/э Лифты(п-рсч)</t>
  </si>
  <si>
    <t xml:space="preserve">МОП(п-рсч) </t>
  </si>
  <si>
    <t>УНП</t>
  </si>
  <si>
    <t>500034230</t>
  </si>
  <si>
    <t>акт МОП</t>
  </si>
  <si>
    <t>октябрь 2018г</t>
  </si>
  <si>
    <t>аварийное обслуживание</t>
  </si>
  <si>
    <t>диспетчерская служба</t>
  </si>
  <si>
    <t>мой город 115</t>
  </si>
  <si>
    <t>ноябрь 2018г</t>
  </si>
  <si>
    <t>декабрь 2018г</t>
  </si>
  <si>
    <t>январь 2019г</t>
  </si>
  <si>
    <t>Бухгалтер                                    Н.Н.Дадацкая</t>
  </si>
  <si>
    <t>сентябрь 2018г</t>
  </si>
  <si>
    <t>всего за месяц</t>
  </si>
  <si>
    <t xml:space="preserve">Затраты предъявленные ЦАДС за сентябрь 2018г-январь 2019г </t>
  </si>
  <si>
    <t>Аптека № 147</t>
  </si>
  <si>
    <t>Технострой</t>
  </si>
  <si>
    <t>Гая 17</t>
  </si>
  <si>
    <t>ИП Андрушкевич</t>
  </si>
  <si>
    <t>ОАО Спартак</t>
  </si>
  <si>
    <t>ИП Эйсмонт</t>
  </si>
  <si>
    <t>Грицко П.И.(кв 8)</t>
  </si>
  <si>
    <t>Грицко П.И.(кв 9)</t>
  </si>
  <si>
    <t>2705-до</t>
  </si>
  <si>
    <t>2605-до</t>
  </si>
  <si>
    <t>Цунами</t>
  </si>
  <si>
    <t>ИП Гнидко (Савана сервис)</t>
  </si>
  <si>
    <t>Зеленда (Кулевич)</t>
  </si>
  <si>
    <t>ИП Гордейчик № дог ЧУП "Арториус"</t>
  </si>
  <si>
    <t>Олещук</t>
  </si>
  <si>
    <t>ООО "Спортивные клубы Харт Рейт" Фитнес клуб Купалы 22</t>
  </si>
  <si>
    <t>ИП Сорока М.К. (Солеенте)</t>
  </si>
  <si>
    <t>Фундамент-строй</t>
  </si>
  <si>
    <t>Заря</t>
  </si>
  <si>
    <t>Гродногаз (межрайгаз)</t>
  </si>
  <si>
    <t>ЧП Гарден стайл</t>
  </si>
  <si>
    <t>"Фундамент строй"</t>
  </si>
  <si>
    <t>Григоровича</t>
  </si>
  <si>
    <t>ИП Киушкин</t>
  </si>
  <si>
    <t>С.погр106а</t>
  </si>
  <si>
    <t>Гагарин 18а</t>
  </si>
  <si>
    <t>Кабяка 10/2</t>
  </si>
  <si>
    <t>ИП Гразион</t>
  </si>
  <si>
    <t>00-003113</t>
  </si>
  <si>
    <t>00-003148</t>
  </si>
  <si>
    <t>00-003136</t>
  </si>
  <si>
    <t>ул. Антонова,14</t>
  </si>
  <si>
    <t>00-003156</t>
  </si>
  <si>
    <t>Фомичева, 4</t>
  </si>
  <si>
    <t>Пестрака, 44</t>
  </si>
  <si>
    <t>Пестрака, 18</t>
  </si>
  <si>
    <t>Я.Купалы, 51</t>
  </si>
  <si>
    <t>Пестрака,58</t>
  </si>
  <si>
    <t>00-003110</t>
  </si>
  <si>
    <t>00-003150</t>
  </si>
  <si>
    <t>РУП "Белсоюзпечать"</t>
  </si>
  <si>
    <t>РСУ-6</t>
  </si>
  <si>
    <t>00-003130</t>
  </si>
  <si>
    <t>ГранитГродСтрой</t>
  </si>
  <si>
    <t>Тихомирова</t>
  </si>
  <si>
    <t>ИП Прудникова</t>
  </si>
  <si>
    <t>Алексеева</t>
  </si>
  <si>
    <t>2310-м</t>
  </si>
  <si>
    <t>"Гарант"</t>
  </si>
  <si>
    <t>Виктория</t>
  </si>
  <si>
    <t>Пилипчик</t>
  </si>
  <si>
    <t>Ивафарм</t>
  </si>
  <si>
    <t>ИП Макаревич А.К.</t>
  </si>
  <si>
    <t>ЦБС</t>
  </si>
  <si>
    <t>ИП Томещик А.С.</t>
  </si>
  <si>
    <t>Богданчук</t>
  </si>
  <si>
    <t>Элитмонтажсервис</t>
  </si>
  <si>
    <t>Алексейчик</t>
  </si>
  <si>
    <t>Клецк,50.22</t>
  </si>
  <si>
    <t>Гроднолифт</t>
  </si>
  <si>
    <t>Тедол</t>
  </si>
  <si>
    <t>НиДаНат</t>
  </si>
  <si>
    <t>Глобусмедиа</t>
  </si>
  <si>
    <t>Зезюля</t>
  </si>
  <si>
    <t>Коронец</t>
  </si>
  <si>
    <t>Висем</t>
  </si>
  <si>
    <t>ИП Мисюля</t>
  </si>
  <si>
    <t>Справка  за ноябрь 2019 г.</t>
  </si>
  <si>
    <t>Акт №083327 от 18.11.2019</t>
  </si>
  <si>
    <t>сентябрь</t>
  </si>
  <si>
    <t>октябрь</t>
  </si>
  <si>
    <t>ноябрь</t>
  </si>
  <si>
    <t>Справка  за декабрь 2019 г.</t>
  </si>
  <si>
    <t>декабрь</t>
  </si>
  <si>
    <t>Томина 8а</t>
  </si>
  <si>
    <t>Кабя 12/1/4.10/2</t>
  </si>
  <si>
    <t>ИП Кеда</t>
  </si>
  <si>
    <t>разница в тарифах</t>
  </si>
  <si>
    <t>курсовой к-ф</t>
  </si>
  <si>
    <t>Справочно : тариф по которому была выставлена э/энергия данному предприятию за декабрь 2018 г составил 0.30287 руб. коп., надо по тарифу 0.25858 руб.коп.; за период январь-ноябрь 2019 г 0.31990 руб.коп., надо по тарифу 0.27312 руб.коп.</t>
  </si>
  <si>
    <t>Гл. бухгалтер                Л.Ф.Путиловская</t>
  </si>
  <si>
    <t>Расход э/энергии  за январь 2020г.</t>
  </si>
  <si>
    <t>Расход э/энергии на подкачку воды насосами по котельной  для жилфонда за   2020г</t>
  </si>
  <si>
    <t>Жиденевская</t>
  </si>
  <si>
    <t>ООО "Друзья"</t>
  </si>
  <si>
    <t>Сериндип</t>
  </si>
  <si>
    <t>Мискевич</t>
  </si>
  <si>
    <t>Лифт Сити</t>
  </si>
  <si>
    <t>Горкалов</t>
  </si>
  <si>
    <t>Белюробеспечение</t>
  </si>
  <si>
    <t>Пестр 28</t>
  </si>
  <si>
    <t>Калинина 25</t>
  </si>
  <si>
    <t>Чайкиной 14</t>
  </si>
  <si>
    <t>Белтелеком</t>
  </si>
  <si>
    <t>СтройКапител</t>
  </si>
  <si>
    <t>Щорса 43</t>
  </si>
  <si>
    <t>Щорса 52</t>
  </si>
  <si>
    <t>Фол 203</t>
  </si>
  <si>
    <t>Фол 15/197</t>
  </si>
  <si>
    <t>Огинского 9</t>
  </si>
  <si>
    <t>Расход э/энергии  за март 2020г.</t>
  </si>
  <si>
    <t>ООО "Союззапчасть"</t>
  </si>
  <si>
    <t>ООО "Норвэйоптторг"</t>
  </si>
  <si>
    <t>ИП Кацко</t>
  </si>
  <si>
    <t>ИП Мельникова</t>
  </si>
  <si>
    <t>Сторожка</t>
  </si>
  <si>
    <t>Производственная база</t>
  </si>
  <si>
    <t xml:space="preserve">ПОТРЕБЛЕНИЕ </t>
  </si>
  <si>
    <t>ОСВЕЩЕНИЕ ТЕРРИТОРИИ</t>
  </si>
  <si>
    <t>ПОТЕРИ</t>
  </si>
  <si>
    <t>Расход э/энергии  за февраль 2020г.</t>
  </si>
  <si>
    <t>всего</t>
  </si>
  <si>
    <t>Расход э/энергии  за ФЕВРАЛЬ 2020г.</t>
  </si>
  <si>
    <t>ТЕХОБСЛУЖИВАНИЕ</t>
  </si>
  <si>
    <t>Расход э/энергии  за ЯНВАРЬ 2020г.</t>
  </si>
  <si>
    <t>ИП Матягина</t>
  </si>
  <si>
    <t>ОДО Тедол</t>
  </si>
  <si>
    <t>Кленовая 25</t>
  </si>
  <si>
    <t>перерасчет</t>
  </si>
  <si>
    <t>Расход э/энергии  за МАРТ 2020г.</t>
  </si>
  <si>
    <t>Расход э/энергии  за апрель 2020г.</t>
  </si>
  <si>
    <t>Пилец</t>
  </si>
  <si>
    <t>Силко</t>
  </si>
  <si>
    <t>ИП Матусевич</t>
  </si>
  <si>
    <t>Клецкова 40</t>
  </si>
  <si>
    <t>Фунд .строй</t>
  </si>
  <si>
    <t>Расход э/энергии  за апрель 2020г. По Сокольской</t>
  </si>
  <si>
    <t>00-003145</t>
  </si>
  <si>
    <t>00-003112</t>
  </si>
  <si>
    <t>Титова 13</t>
  </si>
  <si>
    <t>Расход э/энергии  за май 2020г. По Сокольской</t>
  </si>
  <si>
    <t>Расход э/энергии  за май 2020г.</t>
  </si>
  <si>
    <t>Расход э/энергии  за июнь 2020г.</t>
  </si>
  <si>
    <t>а</t>
  </si>
  <si>
    <t>б</t>
  </si>
  <si>
    <t>Соломовой. 60</t>
  </si>
  <si>
    <t>ул. Л.Чайкиной,41</t>
  </si>
  <si>
    <t>ИП Рогачевская</t>
  </si>
  <si>
    <t>ул. Антонова, 1, кв 8</t>
  </si>
  <si>
    <t>ул. Антонова, 1, кв 9</t>
  </si>
  <si>
    <t>(пр. Космонавтов,37)</t>
  </si>
  <si>
    <t xml:space="preserve"> (ул. Сов. Пограничников,51/1)</t>
  </si>
  <si>
    <t>ИП Борцов</t>
  </si>
  <si>
    <t>Тамтрейд</t>
  </si>
  <si>
    <t>Справка  за июнь 2020 г.</t>
  </si>
  <si>
    <t>ЧТУП "А.П.Кучко"</t>
  </si>
  <si>
    <t>Расход э/энергии  за июнь 2020г. По Сокольской 62</t>
  </si>
  <si>
    <t>Расход э/энергии  за июль 2020г.</t>
  </si>
  <si>
    <t>Расход э/энергии на подкачку воды насосами в ЦТП для жилфонда за ИЮЛЬ 2020г</t>
  </si>
  <si>
    <t>Расход э/энергии на подкачку воды насосами по котельной  для жилфонда за ИЮЛЬ 2020г</t>
  </si>
  <si>
    <t>ЧП "ВТБ КОМ"</t>
  </si>
  <si>
    <t>Томина, 14/1</t>
  </si>
  <si>
    <t>"Тедол"</t>
  </si>
  <si>
    <t>Ин.ш 4</t>
  </si>
  <si>
    <t>Косандра ИКС</t>
  </si>
  <si>
    <t>Белинвестэнергосбережение</t>
  </si>
  <si>
    <t>Расход э/энергии  за июль 2020г. По Сокольской 62</t>
  </si>
  <si>
    <t>Сведения о потребленной электроэнергии по УЖРЭП Октябрьского р-на за июль 2020г.</t>
  </si>
  <si>
    <t>из ТГ</t>
  </si>
  <si>
    <t>ЧСУП БытСервисЛюкс</t>
  </si>
  <si>
    <t>"ТропикСан"</t>
  </si>
  <si>
    <t>ушёл</t>
  </si>
  <si>
    <t>Клецкова, 11</t>
  </si>
  <si>
    <t>"ТЕДОЛ"</t>
  </si>
  <si>
    <t xml:space="preserve">мендел 26  </t>
  </si>
  <si>
    <t>Инженер-энергетик</t>
  </si>
  <si>
    <t>М.И. Горегляд</t>
  </si>
  <si>
    <t>Расход э/энергии  за август м-ц  2020г.</t>
  </si>
  <si>
    <t>Расход э/энергии  за август 2020г.</t>
  </si>
  <si>
    <t>М. И. Горегляд</t>
  </si>
  <si>
    <t xml:space="preserve">Инженер-энергетик                     </t>
  </si>
  <si>
    <t>Чародейка стайл</t>
  </si>
  <si>
    <t>надо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</si>
  <si>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</si>
  <si>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Сведения о потребленной электроэнергии по УЖРЭП Октябрьского р-на за  август 2020г.</t>
  </si>
  <si>
    <t>адрес нужно ставить</t>
  </si>
  <si>
    <t>NumberSCH_2</t>
  </si>
  <si>
    <t>Kilovaty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</si>
</sst>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-* #,##0.00_р_._-;\-* #,##0.00_р_._-;_-* &quot;-&quot;??_р_._-;_-@_-"/>
    <numFmt numFmtId="165" formatCode="_-* #,##0_р_._-;\-* #,##0_р_._-;_-* &quot;-&quot;??_р_._-;_-@_-"/>
    <numFmt numFmtId="166" formatCode="0.0"/>
    <numFmt numFmtId="167" formatCode="0.000000000"/>
    <numFmt numFmtId="168" formatCode="0.00000000"/>
    <numFmt numFmtId="169" formatCode="#,##0.0"/>
    <numFmt numFmtId="170" formatCode="0.000000"/>
    <numFmt numFmtId="171" formatCode="#,##0.000000"/>
    <numFmt numFmtId="172" formatCode="#,##0.00000"/>
    <numFmt numFmtId="173" formatCode="0.00000"/>
    <numFmt numFmtId="174" formatCode="#,##0.00_ ;\-#,##0.00\ "/>
    <numFmt numFmtId="175" formatCode="#,##0.0000"/>
    <numFmt numFmtId="176" formatCode="#,##0_ ;\-#,##0\ "/>
  </numFmts>
  <fonts count="85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b/>
      <sz val="16"/>
      <name val="Arial Cyr"/>
      <family val="2"/>
      <charset val="204"/>
    </font>
    <font>
      <b/>
      <sz val="10"/>
      <name val="Arial Cyr"/>
      <charset val="204"/>
    </font>
    <font>
      <sz val="12"/>
      <name val="Arial Cyr"/>
      <charset val="204"/>
    </font>
    <font>
      <b/>
      <sz val="12"/>
      <name val="Arial Cyr"/>
      <charset val="204"/>
    </font>
    <font>
      <b/>
      <sz val="12"/>
      <name val="Arial Cyr"/>
      <family val="2"/>
      <charset val="204"/>
    </font>
    <font>
      <sz val="12"/>
      <name val="Arial Cyr"/>
      <family val="2"/>
      <charset val="204"/>
    </font>
    <font>
      <sz val="14"/>
      <name val="Arial Cyr"/>
      <charset val="204"/>
    </font>
    <font>
      <b/>
      <sz val="14"/>
      <name val="Arial Cyr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3"/>
      <color indexed="8"/>
      <name val="Calibri"/>
      <family val="2"/>
      <charset val="204"/>
    </font>
    <font>
      <sz val="13"/>
      <color indexed="8"/>
      <name val="Arial"/>
      <family val="2"/>
      <charset val="204"/>
    </font>
    <font>
      <b/>
      <sz val="13"/>
      <color indexed="8"/>
      <name val="Calibri"/>
      <family val="2"/>
      <charset val="204"/>
    </font>
    <font>
      <sz val="14"/>
      <color indexed="8"/>
      <name val="Arial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4"/>
      <color indexed="8"/>
      <name val="Arial"/>
      <family val="2"/>
      <charset val="204"/>
    </font>
    <font>
      <b/>
      <sz val="14"/>
      <name val="Calibri"/>
      <family val="2"/>
      <charset val="204"/>
    </font>
    <font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sz val="14"/>
      <name val="Calibri"/>
      <family val="2"/>
      <charset val="204"/>
    </font>
    <font>
      <sz val="8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5"/>
      <color indexed="8"/>
      <name val="Calibri"/>
      <family val="2"/>
      <charset val="204"/>
    </font>
    <font>
      <b/>
      <sz val="9"/>
      <name val="Times New Roman"/>
      <family val="1"/>
      <charset val="204"/>
    </font>
    <font>
      <b/>
      <sz val="9"/>
      <name val="Arial Cyr"/>
      <charset val="204"/>
    </font>
    <font>
      <sz val="11"/>
      <name val="Arial Cyr"/>
      <charset val="204"/>
    </font>
    <font>
      <b/>
      <sz val="14"/>
      <name val="Arial Cyr"/>
      <family val="2"/>
      <charset val="204"/>
    </font>
    <font>
      <sz val="16"/>
      <color indexed="8"/>
      <name val="Calibri"/>
      <family val="2"/>
      <charset val="204"/>
    </font>
    <font>
      <sz val="10"/>
      <name val="Times New Roman"/>
      <family val="1"/>
      <charset val="204"/>
    </font>
    <font>
      <sz val="9"/>
      <name val="Arial Cyr"/>
      <charset val="204"/>
    </font>
    <font>
      <b/>
      <sz val="16"/>
      <color indexed="8"/>
      <name val="Calibri"/>
      <family val="2"/>
      <charset val="204"/>
    </font>
    <font>
      <b/>
      <sz val="20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20"/>
      <color indexed="8"/>
      <name val="Calibri"/>
      <family val="2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sz val="18"/>
      <color indexed="8"/>
      <name val="Calibri"/>
      <family val="2"/>
      <charset val="204"/>
    </font>
    <font>
      <sz val="14"/>
      <name val="Times New Roman"/>
      <family val="1"/>
      <charset val="204"/>
    </font>
    <font>
      <b/>
      <sz val="10"/>
      <color indexed="8"/>
      <name val="Calibri"/>
      <family val="2"/>
      <charset val="204"/>
    </font>
    <font>
      <b/>
      <sz val="10"/>
      <name val="Calibri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Calibri"/>
      <family val="2"/>
      <charset val="204"/>
    </font>
    <font>
      <b/>
      <sz val="8"/>
      <name val="Arial Cyr"/>
      <charset val="204"/>
    </font>
    <font>
      <u val="double"/>
      <sz val="12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</font>
    <font>
      <sz val="12"/>
      <color rgb="FFFF0000"/>
      <name val="Arial Cyr"/>
      <charset val="204"/>
    </font>
    <font>
      <b/>
      <sz val="14"/>
      <color rgb="FFFF0000"/>
      <name val="Calibri"/>
      <family val="2"/>
      <charset val="204"/>
    </font>
    <font>
      <b/>
      <sz val="10"/>
      <color rgb="FFFF0000"/>
      <name val="Calibri"/>
      <family val="2"/>
      <charset val="204"/>
    </font>
    <font>
      <b/>
      <sz val="10"/>
      <color rgb="FF00B050"/>
      <name val="Calibri"/>
      <family val="2"/>
      <charset val="204"/>
    </font>
    <font>
      <b/>
      <sz val="12"/>
      <color rgb="FFFF0000"/>
      <name val="Arial Cyr"/>
      <charset val="204"/>
    </font>
    <font>
      <sz val="12"/>
      <color rgb="FFFF000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2"/>
      <color theme="0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6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164" fontId="1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788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3" fillId="0" borderId="0" xfId="1" applyFont="1" applyAlignment="1">
      <alignment horizontal="center" wrapText="1"/>
    </xf>
    <xf numFmtId="0" fontId="0" fillId="0" borderId="0" xfId="0" applyAlignment="1">
      <alignment horizontal="right"/>
    </xf>
    <xf numFmtId="0" fontId="17" fillId="0" borderId="0" xfId="0" applyFont="1"/>
    <xf numFmtId="0" fontId="5" fillId="0" borderId="0" xfId="1" applyFont="1"/>
    <xf numFmtId="0" fontId="16" fillId="0" borderId="0" xfId="0" applyFont="1"/>
    <xf numFmtId="0" fontId="18" fillId="0" borderId="0" xfId="0" applyFont="1"/>
    <xf numFmtId="0" fontId="19" fillId="0" borderId="0" xfId="0" applyFont="1"/>
    <xf numFmtId="168" fontId="18" fillId="0" borderId="0" xfId="0" applyNumberFormat="1" applyFont="1"/>
    <xf numFmtId="168" fontId="19" fillId="0" borderId="0" xfId="0" applyNumberFormat="1" applyFont="1"/>
    <xf numFmtId="1" fontId="18" fillId="0" borderId="0" xfId="0" applyNumberFormat="1" applyFont="1"/>
    <xf numFmtId="3" fontId="18" fillId="0" borderId="0" xfId="0" applyNumberFormat="1" applyFont="1"/>
    <xf numFmtId="0" fontId="17" fillId="0" borderId="0" xfId="0" applyFont="1" applyAlignment="1">
      <alignment wrapText="1"/>
    </xf>
    <xf numFmtId="0" fontId="21" fillId="0" borderId="0" xfId="0" applyFont="1"/>
    <xf numFmtId="0" fontId="22" fillId="0" borderId="0" xfId="0" applyFont="1"/>
    <xf numFmtId="0" fontId="17" fillId="0" borderId="1" xfId="0" applyFont="1" applyBorder="1"/>
    <xf numFmtId="0" fontId="22" fillId="0" borderId="1" xfId="0" applyFont="1" applyBorder="1"/>
    <xf numFmtId="3" fontId="17" fillId="0" borderId="1" xfId="0" applyNumberFormat="1" applyFont="1" applyBorder="1"/>
    <xf numFmtId="3" fontId="22" fillId="0" borderId="1" xfId="0" applyNumberFormat="1" applyFont="1" applyBorder="1"/>
    <xf numFmtId="3" fontId="17" fillId="0" borderId="1" xfId="0" applyNumberFormat="1" applyFont="1" applyFill="1" applyBorder="1"/>
    <xf numFmtId="0" fontId="23" fillId="0" borderId="0" xfId="0" applyFont="1"/>
    <xf numFmtId="0" fontId="6" fillId="0" borderId="1" xfId="1" applyFont="1" applyBorder="1" applyAlignment="1">
      <alignment wrapText="1"/>
    </xf>
    <xf numFmtId="0" fontId="6" fillId="0" borderId="2" xfId="1" applyFont="1" applyBorder="1" applyAlignment="1">
      <alignment wrapText="1"/>
    </xf>
    <xf numFmtId="0" fontId="6" fillId="0" borderId="3" xfId="1" applyFont="1" applyBorder="1" applyAlignment="1">
      <alignment wrapText="1"/>
    </xf>
    <xf numFmtId="0" fontId="7" fillId="0" borderId="4" xfId="1" applyFont="1" applyBorder="1" applyAlignment="1">
      <alignment wrapText="1"/>
    </xf>
    <xf numFmtId="0" fontId="7" fillId="0" borderId="5" xfId="1" applyFont="1" applyBorder="1" applyAlignment="1">
      <alignment wrapText="1"/>
    </xf>
    <xf numFmtId="0" fontId="7" fillId="0" borderId="6" xfId="1" applyFont="1" applyBorder="1" applyAlignment="1">
      <alignment wrapText="1"/>
    </xf>
    <xf numFmtId="0" fontId="7" fillId="0" borderId="3" xfId="1" applyFont="1" applyBorder="1" applyAlignment="1">
      <alignment wrapText="1"/>
    </xf>
    <xf numFmtId="0" fontId="6" fillId="0" borderId="7" xfId="1" applyFont="1" applyBorder="1" applyAlignment="1">
      <alignment wrapText="1"/>
    </xf>
    <xf numFmtId="0" fontId="6" fillId="0" borderId="8" xfId="1" applyFont="1" applyFill="1" applyBorder="1" applyAlignment="1">
      <alignment wrapText="1"/>
    </xf>
    <xf numFmtId="9" fontId="6" fillId="0" borderId="7" xfId="1" applyNumberFormat="1" applyFont="1" applyBorder="1" applyAlignment="1">
      <alignment wrapText="1"/>
    </xf>
    <xf numFmtId="0" fontId="6" fillId="0" borderId="9" xfId="1" applyFont="1" applyFill="1" applyBorder="1" applyAlignment="1">
      <alignment wrapText="1"/>
    </xf>
    <xf numFmtId="0" fontId="6" fillId="0" borderId="10" xfId="1" applyFont="1" applyFill="1" applyBorder="1" applyAlignment="1">
      <alignment wrapText="1"/>
    </xf>
    <xf numFmtId="0" fontId="6" fillId="0" borderId="1" xfId="1" applyFont="1" applyFill="1" applyBorder="1" applyAlignment="1">
      <alignment wrapText="1"/>
    </xf>
    <xf numFmtId="0" fontId="6" fillId="0" borderId="11" xfId="1" applyFont="1" applyFill="1" applyBorder="1" applyAlignment="1">
      <alignment wrapText="1"/>
    </xf>
    <xf numFmtId="0" fontId="8" fillId="0" borderId="5" xfId="1" applyFont="1" applyBorder="1" applyAlignment="1">
      <alignment wrapText="1"/>
    </xf>
    <xf numFmtId="0" fontId="6" fillId="0" borderId="8" xfId="1" applyFont="1" applyBorder="1" applyAlignment="1">
      <alignment wrapText="1"/>
    </xf>
    <xf numFmtId="0" fontId="7" fillId="0" borderId="1" xfId="1" applyFont="1" applyBorder="1" applyAlignment="1">
      <alignment wrapText="1"/>
    </xf>
    <xf numFmtId="0" fontId="7" fillId="0" borderId="12" xfId="1" applyFont="1" applyBorder="1" applyAlignment="1">
      <alignment wrapText="1"/>
    </xf>
    <xf numFmtId="0" fontId="6" fillId="0" borderId="9" xfId="1" applyFont="1" applyBorder="1" applyAlignment="1">
      <alignment wrapText="1"/>
    </xf>
    <xf numFmtId="0" fontId="7" fillId="0" borderId="13" xfId="1" applyFont="1" applyBorder="1" applyAlignment="1">
      <alignment wrapText="1"/>
    </xf>
    <xf numFmtId="0" fontId="6" fillId="0" borderId="10" xfId="1" applyFont="1" applyBorder="1" applyAlignment="1">
      <alignment wrapText="1"/>
    </xf>
    <xf numFmtId="9" fontId="6" fillId="0" borderId="14" xfId="1" applyNumberFormat="1" applyFont="1" applyBorder="1" applyAlignment="1">
      <alignment wrapText="1"/>
    </xf>
    <xf numFmtId="0" fontId="9" fillId="0" borderId="2" xfId="1" applyFont="1" applyFill="1" applyBorder="1" applyAlignment="1">
      <alignment wrapText="1"/>
    </xf>
    <xf numFmtId="0" fontId="7" fillId="0" borderId="0" xfId="1" applyFont="1" applyAlignment="1">
      <alignment wrapText="1"/>
    </xf>
    <xf numFmtId="0" fontId="8" fillId="0" borderId="0" xfId="1" applyFont="1" applyBorder="1" applyAlignment="1">
      <alignment wrapText="1"/>
    </xf>
    <xf numFmtId="0" fontId="6" fillId="0" borderId="0" xfId="1" applyFont="1"/>
    <xf numFmtId="0" fontId="8" fillId="0" borderId="0" xfId="1" applyFont="1"/>
    <xf numFmtId="0" fontId="8" fillId="0" borderId="0" xfId="1" applyFont="1" applyFill="1"/>
    <xf numFmtId="165" fontId="24" fillId="0" borderId="3" xfId="4" applyNumberFormat="1" applyFont="1" applyBorder="1" applyAlignment="1">
      <alignment wrapText="1"/>
    </xf>
    <xf numFmtId="168" fontId="17" fillId="0" borderId="1" xfId="0" applyNumberFormat="1" applyFont="1" applyBorder="1"/>
    <xf numFmtId="3" fontId="22" fillId="0" borderId="1" xfId="0" applyNumberFormat="1" applyFont="1" applyFill="1" applyBorder="1"/>
    <xf numFmtId="3" fontId="17" fillId="0" borderId="0" xfId="0" applyNumberFormat="1" applyFont="1"/>
    <xf numFmtId="3" fontId="21" fillId="0" borderId="0" xfId="0" applyNumberFormat="1" applyFont="1"/>
    <xf numFmtId="3" fontId="22" fillId="0" borderId="0" xfId="0" applyNumberFormat="1" applyFont="1"/>
    <xf numFmtId="0" fontId="17" fillId="0" borderId="0" xfId="0" applyFont="1" applyAlignment="1"/>
    <xf numFmtId="0" fontId="17" fillId="0" borderId="0" xfId="0" applyFont="1" applyAlignment="1">
      <alignment horizontal="right"/>
    </xf>
    <xf numFmtId="0" fontId="11" fillId="0" borderId="5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0" fillId="0" borderId="7" xfId="1" applyFont="1" applyBorder="1" applyAlignment="1"/>
    <xf numFmtId="9" fontId="12" fillId="0" borderId="7" xfId="1" applyNumberFormat="1" applyFont="1" applyBorder="1" applyAlignment="1">
      <alignment horizontal="right"/>
    </xf>
    <xf numFmtId="3" fontId="22" fillId="2" borderId="1" xfId="0" applyNumberFormat="1" applyFont="1" applyFill="1" applyBorder="1"/>
    <xf numFmtId="3" fontId="21" fillId="0" borderId="0" xfId="0" applyNumberFormat="1" applyFont="1" applyFill="1"/>
    <xf numFmtId="3" fontId="17" fillId="2" borderId="1" xfId="0" applyNumberFormat="1" applyFont="1" applyFill="1" applyBorder="1"/>
    <xf numFmtId="0" fontId="6" fillId="0" borderId="0" xfId="1" applyFont="1" applyAlignment="1">
      <alignment wrapText="1"/>
    </xf>
    <xf numFmtId="3" fontId="25" fillId="0" borderId="0" xfId="0" applyNumberFormat="1" applyFont="1"/>
    <xf numFmtId="0" fontId="22" fillId="2" borderId="1" xfId="0" applyFont="1" applyFill="1" applyBorder="1"/>
    <xf numFmtId="0" fontId="18" fillId="2" borderId="0" xfId="0" applyFont="1" applyFill="1"/>
    <xf numFmtId="4" fontId="17" fillId="0" borderId="1" xfId="0" applyNumberFormat="1" applyFont="1" applyBorder="1"/>
    <xf numFmtId="0" fontId="11" fillId="0" borderId="5" xfId="1" applyFont="1" applyBorder="1" applyAlignment="1">
      <alignment horizontal="center" wrapText="1"/>
    </xf>
    <xf numFmtId="0" fontId="10" fillId="0" borderId="7" xfId="1" applyFont="1" applyBorder="1" applyAlignment="1">
      <alignment wrapText="1"/>
    </xf>
    <xf numFmtId="0" fontId="11" fillId="0" borderId="3" xfId="1" applyFont="1" applyBorder="1" applyAlignment="1">
      <alignment wrapText="1"/>
    </xf>
    <xf numFmtId="167" fontId="17" fillId="0" borderId="1" xfId="0" applyNumberFormat="1" applyFont="1" applyBorder="1"/>
    <xf numFmtId="49" fontId="17" fillId="0" borderId="1" xfId="0" applyNumberFormat="1" applyFont="1" applyBorder="1" applyAlignment="1">
      <alignment horizontal="left" vertical="center" wrapText="1"/>
    </xf>
    <xf numFmtId="9" fontId="6" fillId="0" borderId="1" xfId="1" applyNumberFormat="1" applyFont="1" applyBorder="1" applyAlignment="1">
      <alignment wrapText="1"/>
    </xf>
    <xf numFmtId="0" fontId="23" fillId="0" borderId="0" xfId="0" applyFont="1" applyAlignment="1">
      <alignment horizontal="right"/>
    </xf>
    <xf numFmtId="0" fontId="6" fillId="0" borderId="0" xfId="1" applyFont="1" applyAlignment="1"/>
    <xf numFmtId="0" fontId="6" fillId="0" borderId="0" xfId="1" applyFont="1" applyAlignment="1">
      <alignment horizontal="right"/>
    </xf>
    <xf numFmtId="0" fontId="6" fillId="0" borderId="1" xfId="1" applyFont="1" applyFill="1" applyBorder="1" applyAlignment="1">
      <alignment horizontal="right"/>
    </xf>
    <xf numFmtId="9" fontId="13" fillId="0" borderId="1" xfId="1" applyNumberFormat="1" applyFont="1" applyBorder="1" applyAlignment="1">
      <alignment horizontal="right"/>
    </xf>
    <xf numFmtId="9" fontId="6" fillId="0" borderId="2" xfId="1" applyNumberFormat="1" applyFont="1" applyBorder="1" applyAlignment="1">
      <alignment wrapText="1"/>
    </xf>
    <xf numFmtId="0" fontId="9" fillId="0" borderId="7" xfId="1" applyFont="1" applyFill="1" applyBorder="1" applyAlignment="1">
      <alignment wrapText="1"/>
    </xf>
    <xf numFmtId="0" fontId="6" fillId="0" borderId="12" xfId="1" applyFont="1" applyBorder="1" applyAlignment="1">
      <alignment wrapText="1"/>
    </xf>
    <xf numFmtId="0" fontId="7" fillId="0" borderId="0" xfId="1" applyFont="1" applyBorder="1" applyAlignment="1">
      <alignment wrapText="1"/>
    </xf>
    <xf numFmtId="0" fontId="6" fillId="0" borderId="0" xfId="1" applyFont="1" applyBorder="1" applyAlignment="1">
      <alignment wrapText="1"/>
    </xf>
    <xf numFmtId="165" fontId="24" fillId="0" borderId="0" xfId="4" applyNumberFormat="1" applyFont="1" applyBorder="1" applyAlignment="1">
      <alignment wrapText="1"/>
    </xf>
    <xf numFmtId="0" fontId="22" fillId="0" borderId="1" xfId="0" applyFont="1" applyBorder="1" applyAlignment="1">
      <alignment wrapText="1"/>
    </xf>
    <xf numFmtId="170" fontId="17" fillId="0" borderId="1" xfId="0" applyNumberFormat="1" applyFont="1" applyBorder="1"/>
    <xf numFmtId="0" fontId="23" fillId="0" borderId="0" xfId="0" applyFont="1" applyBorder="1" applyAlignment="1"/>
    <xf numFmtId="165" fontId="28" fillId="0" borderId="0" xfId="0" applyNumberFormat="1" applyFont="1" applyBorder="1" applyAlignment="1">
      <alignment horizontal="left"/>
    </xf>
    <xf numFmtId="165" fontId="24" fillId="0" borderId="15" xfId="4" applyNumberFormat="1" applyFont="1" applyBorder="1" applyAlignment="1">
      <alignment wrapText="1"/>
    </xf>
    <xf numFmtId="3" fontId="19" fillId="0" borderId="0" xfId="0" applyNumberFormat="1" applyFont="1"/>
    <xf numFmtId="0" fontId="7" fillId="0" borderId="0" xfId="1" applyFont="1" applyFill="1" applyBorder="1" applyAlignment="1">
      <alignment wrapText="1"/>
    </xf>
    <xf numFmtId="9" fontId="7" fillId="0" borderId="0" xfId="1" applyNumberFormat="1" applyFont="1" applyBorder="1" applyAlignment="1">
      <alignment wrapText="1"/>
    </xf>
    <xf numFmtId="165" fontId="24" fillId="0" borderId="0" xfId="0" applyNumberFormat="1" applyFont="1" applyBorder="1" applyAlignment="1">
      <alignment wrapText="1"/>
    </xf>
    <xf numFmtId="0" fontId="17" fillId="0" borderId="1" xfId="0" applyFont="1" applyFill="1" applyBorder="1"/>
    <xf numFmtId="0" fontId="6" fillId="0" borderId="0" xfId="1" applyFont="1" applyFill="1" applyBorder="1" applyAlignment="1">
      <alignment wrapText="1"/>
    </xf>
    <xf numFmtId="165" fontId="23" fillId="0" borderId="0" xfId="4" applyNumberFormat="1" applyFont="1" applyBorder="1" applyAlignment="1">
      <alignment wrapText="1"/>
    </xf>
    <xf numFmtId="9" fontId="6" fillId="0" borderId="0" xfId="1" applyNumberFormat="1" applyFont="1" applyBorder="1" applyAlignment="1">
      <alignment wrapText="1"/>
    </xf>
    <xf numFmtId="165" fontId="23" fillId="0" borderId="0" xfId="0" applyNumberFormat="1" applyFont="1" applyBorder="1" applyAlignment="1">
      <alignment wrapText="1"/>
    </xf>
    <xf numFmtId="0" fontId="29" fillId="0" borderId="7" xfId="1" applyFont="1" applyBorder="1" applyAlignment="1">
      <alignment wrapText="1"/>
    </xf>
    <xf numFmtId="3" fontId="10" fillId="0" borderId="7" xfId="1" applyNumberFormat="1" applyFont="1" applyFill="1" applyBorder="1" applyAlignment="1">
      <alignment horizontal="right"/>
    </xf>
    <xf numFmtId="0" fontId="24" fillId="0" borderId="1" xfId="0" applyFont="1" applyBorder="1"/>
    <xf numFmtId="168" fontId="17" fillId="0" borderId="1" xfId="0" applyNumberFormat="1" applyFont="1" applyFill="1" applyBorder="1"/>
    <xf numFmtId="3" fontId="22" fillId="3" borderId="1" xfId="0" applyNumberFormat="1" applyFont="1" applyFill="1" applyBorder="1"/>
    <xf numFmtId="3" fontId="17" fillId="3" borderId="1" xfId="0" applyNumberFormat="1" applyFont="1" applyFill="1" applyBorder="1"/>
    <xf numFmtId="49" fontId="24" fillId="0" borderId="1" xfId="0" applyNumberFormat="1" applyFont="1" applyBorder="1"/>
    <xf numFmtId="0" fontId="60" fillId="0" borderId="0" xfId="0" applyFont="1"/>
    <xf numFmtId="0" fontId="8" fillId="0" borderId="0" xfId="1" applyFont="1" applyAlignment="1"/>
    <xf numFmtId="0" fontId="0" fillId="0" borderId="0" xfId="0" applyFill="1"/>
    <xf numFmtId="0" fontId="29" fillId="0" borderId="7" xfId="1" applyFont="1" applyFill="1" applyBorder="1" applyAlignment="1">
      <alignment wrapText="1"/>
    </xf>
    <xf numFmtId="0" fontId="19" fillId="0" borderId="0" xfId="0" applyFont="1" applyFill="1"/>
    <xf numFmtId="0" fontId="0" fillId="0" borderId="0" xfId="0"/>
    <xf numFmtId="49" fontId="17" fillId="0" borderId="1" xfId="0" applyNumberFormat="1" applyFont="1" applyBorder="1"/>
    <xf numFmtId="0" fontId="24" fillId="0" borderId="0" xfId="0" applyFont="1"/>
    <xf numFmtId="0" fontId="31" fillId="0" borderId="0" xfId="0" applyFont="1"/>
    <xf numFmtId="0" fontId="22" fillId="3" borderId="1" xfId="0" applyFont="1" applyFill="1" applyBorder="1"/>
    <xf numFmtId="0" fontId="24" fillId="3" borderId="1" xfId="0" applyFont="1" applyFill="1" applyBorder="1"/>
    <xf numFmtId="0" fontId="27" fillId="0" borderId="0" xfId="0" applyFont="1" applyFill="1" applyBorder="1" applyAlignment="1"/>
    <xf numFmtId="0" fontId="33" fillId="0" borderId="0" xfId="1" applyFont="1" applyBorder="1" applyAlignment="1"/>
    <xf numFmtId="0" fontId="33" fillId="0" borderId="0" xfId="1" applyFont="1" applyBorder="1" applyAlignment="1">
      <alignment wrapText="1"/>
    </xf>
    <xf numFmtId="0" fontId="33" fillId="0" borderId="3" xfId="1" applyFont="1" applyBorder="1" applyAlignment="1">
      <alignment wrapText="1"/>
    </xf>
    <xf numFmtId="0" fontId="34" fillId="0" borderId="12" xfId="1" applyFont="1" applyBorder="1" applyAlignment="1">
      <alignment wrapText="1"/>
    </xf>
    <xf numFmtId="0" fontId="34" fillId="0" borderId="5" xfId="1" applyFont="1" applyBorder="1" applyAlignment="1">
      <alignment wrapText="1"/>
    </xf>
    <xf numFmtId="165" fontId="31" fillId="0" borderId="15" xfId="4" applyNumberFormat="1" applyFont="1" applyBorder="1" applyAlignment="1">
      <alignment wrapText="1"/>
    </xf>
    <xf numFmtId="0" fontId="34" fillId="0" borderId="0" xfId="1" applyFont="1" applyAlignment="1">
      <alignment wrapText="1"/>
    </xf>
    <xf numFmtId="0" fontId="34" fillId="0" borderId="3" xfId="1" applyFont="1" applyBorder="1" applyAlignment="1">
      <alignment wrapText="1"/>
    </xf>
    <xf numFmtId="0" fontId="33" fillId="0" borderId="4" xfId="1" applyFont="1" applyBorder="1" applyAlignment="1">
      <alignment wrapText="1"/>
    </xf>
    <xf numFmtId="0" fontId="33" fillId="0" borderId="5" xfId="1" applyFont="1" applyBorder="1" applyAlignment="1">
      <alignment wrapText="1"/>
    </xf>
    <xf numFmtId="0" fontId="33" fillId="0" borderId="6" xfId="1" applyFont="1" applyBorder="1" applyAlignment="1">
      <alignment wrapText="1"/>
    </xf>
    <xf numFmtId="0" fontId="34" fillId="0" borderId="7" xfId="1" applyFont="1" applyBorder="1" applyAlignment="1">
      <alignment wrapText="1"/>
    </xf>
    <xf numFmtId="0" fontId="34" fillId="0" borderId="8" xfId="1" applyFont="1" applyFill="1" applyBorder="1" applyAlignment="1">
      <alignment wrapText="1"/>
    </xf>
    <xf numFmtId="0" fontId="34" fillId="0" borderId="1" xfId="1" applyFont="1" applyBorder="1" applyAlignment="1">
      <alignment wrapText="1"/>
    </xf>
    <xf numFmtId="9" fontId="34" fillId="0" borderId="7" xfId="1" applyNumberFormat="1" applyFont="1" applyBorder="1" applyAlignment="1">
      <alignment wrapText="1"/>
    </xf>
    <xf numFmtId="0" fontId="34" fillId="0" borderId="9" xfId="1" applyFont="1" applyFill="1" applyBorder="1" applyAlignment="1">
      <alignment wrapText="1"/>
    </xf>
    <xf numFmtId="0" fontId="34" fillId="0" borderId="10" xfId="1" applyFont="1" applyFill="1" applyBorder="1" applyAlignment="1">
      <alignment wrapText="1"/>
    </xf>
    <xf numFmtId="0" fontId="34" fillId="0" borderId="1" xfId="1" applyFont="1" applyFill="1" applyBorder="1" applyAlignment="1">
      <alignment wrapText="1"/>
    </xf>
    <xf numFmtId="0" fontId="34" fillId="0" borderId="2" xfId="1" applyFont="1" applyBorder="1" applyAlignment="1">
      <alignment wrapText="1"/>
    </xf>
    <xf numFmtId="0" fontId="34" fillId="0" borderId="11" xfId="1" applyFont="1" applyFill="1" applyBorder="1" applyAlignment="1">
      <alignment wrapText="1"/>
    </xf>
    <xf numFmtId="0" fontId="34" fillId="0" borderId="2" xfId="1" applyFont="1" applyFill="1" applyBorder="1" applyAlignment="1">
      <alignment wrapText="1"/>
    </xf>
    <xf numFmtId="9" fontId="34" fillId="0" borderId="2" xfId="1" applyNumberFormat="1" applyFont="1" applyBorder="1" applyAlignment="1">
      <alignment wrapText="1"/>
    </xf>
    <xf numFmtId="0" fontId="33" fillId="0" borderId="0" xfId="1" applyFont="1" applyAlignment="1">
      <alignment horizontal="center" wrapText="1"/>
    </xf>
    <xf numFmtId="0" fontId="7" fillId="0" borderId="0" xfId="1" applyFont="1" applyBorder="1" applyAlignment="1">
      <alignment horizontal="center" wrapText="1"/>
    </xf>
    <xf numFmtId="0" fontId="36" fillId="0" borderId="1" xfId="0" applyFont="1" applyBorder="1"/>
    <xf numFmtId="0" fontId="61" fillId="0" borderId="0" xfId="0" applyFont="1" applyBorder="1"/>
    <xf numFmtId="0" fontId="10" fillId="0" borderId="7" xfId="1" applyFont="1" applyFill="1" applyBorder="1" applyAlignment="1">
      <alignment horizontal="right"/>
    </xf>
    <xf numFmtId="0" fontId="7" fillId="0" borderId="5" xfId="1" applyFont="1" applyFill="1" applyBorder="1" applyAlignment="1">
      <alignment wrapText="1"/>
    </xf>
    <xf numFmtId="0" fontId="33" fillId="0" borderId="5" xfId="1" applyFont="1" applyFill="1" applyBorder="1" applyAlignment="1">
      <alignment wrapText="1"/>
    </xf>
    <xf numFmtId="0" fontId="6" fillId="0" borderId="7" xfId="1" applyFont="1" applyFill="1" applyBorder="1" applyAlignment="1">
      <alignment horizontal="right"/>
    </xf>
    <xf numFmtId="9" fontId="13" fillId="0" borderId="1" xfId="1" applyNumberFormat="1" applyFont="1" applyFill="1" applyBorder="1" applyAlignment="1">
      <alignment horizontal="right"/>
    </xf>
    <xf numFmtId="0" fontId="18" fillId="0" borderId="0" xfId="0" applyFont="1" applyFill="1"/>
    <xf numFmtId="173" fontId="10" fillId="0" borderId="7" xfId="1" applyNumberFormat="1" applyFont="1" applyFill="1" applyBorder="1" applyAlignment="1">
      <alignment wrapText="1"/>
    </xf>
    <xf numFmtId="0" fontId="2" fillId="0" borderId="7" xfId="1" applyFont="1" applyBorder="1" applyAlignment="1">
      <alignment wrapText="1"/>
    </xf>
    <xf numFmtId="165" fontId="0" fillId="0" borderId="0" xfId="0" applyNumberFormat="1"/>
    <xf numFmtId="3" fontId="18" fillId="0" borderId="0" xfId="0" applyNumberFormat="1" applyFont="1" applyFill="1"/>
    <xf numFmtId="0" fontId="18" fillId="0" borderId="0" xfId="0" applyFont="1" applyFill="1" applyBorder="1"/>
    <xf numFmtId="168" fontId="18" fillId="0" borderId="0" xfId="0" applyNumberFormat="1" applyFont="1" applyFill="1"/>
    <xf numFmtId="168" fontId="19" fillId="0" borderId="0" xfId="0" applyNumberFormat="1" applyFont="1" applyFill="1"/>
    <xf numFmtId="168" fontId="18" fillId="0" borderId="0" xfId="0" applyNumberFormat="1" applyFont="1" applyFill="1" applyBorder="1"/>
    <xf numFmtId="0" fontId="20" fillId="0" borderId="0" xfId="0" applyFont="1" applyFill="1" applyBorder="1"/>
    <xf numFmtId="3" fontId="18" fillId="0" borderId="0" xfId="0" applyNumberFormat="1" applyFont="1" applyFill="1" applyBorder="1"/>
    <xf numFmtId="0" fontId="29" fillId="0" borderId="1" xfId="1" applyFont="1" applyBorder="1" applyAlignment="1">
      <alignment wrapText="1"/>
    </xf>
    <xf numFmtId="0" fontId="17" fillId="0" borderId="0" xfId="0" applyFont="1" applyFill="1" applyBorder="1"/>
    <xf numFmtId="0" fontId="21" fillId="0" borderId="0" xfId="0" applyFont="1" applyFill="1"/>
    <xf numFmtId="0" fontId="62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3" fontId="64" fillId="0" borderId="0" xfId="0" applyNumberFormat="1" applyFont="1" applyBorder="1" applyAlignment="1">
      <alignment horizontal="center"/>
    </xf>
    <xf numFmtId="9" fontId="64" fillId="0" borderId="0" xfId="0" applyNumberFormat="1" applyFont="1" applyBorder="1" applyAlignment="1">
      <alignment horizontal="center"/>
    </xf>
    <xf numFmtId="0" fontId="37" fillId="0" borderId="0" xfId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62" fillId="0" borderId="1" xfId="0" applyFont="1" applyBorder="1" applyAlignment="1">
      <alignment horizontal="center"/>
    </xf>
    <xf numFmtId="0" fontId="64" fillId="0" borderId="1" xfId="0" applyFont="1" applyBorder="1" applyAlignment="1">
      <alignment horizontal="center"/>
    </xf>
    <xf numFmtId="9" fontId="64" fillId="0" borderId="1" xfId="0" applyNumberFormat="1" applyFont="1" applyBorder="1" applyAlignment="1">
      <alignment horizontal="center"/>
    </xf>
    <xf numFmtId="0" fontId="62" fillId="0" borderId="0" xfId="0" applyFont="1"/>
    <xf numFmtId="0" fontId="6" fillId="0" borderId="16" xfId="1" applyFont="1" applyBorder="1" applyAlignment="1">
      <alignment wrapText="1"/>
    </xf>
    <xf numFmtId="0" fontId="7" fillId="0" borderId="1" xfId="1" applyFont="1" applyBorder="1" applyAlignment="1">
      <alignment horizontal="center" wrapText="1"/>
    </xf>
    <xf numFmtId="0" fontId="7" fillId="0" borderId="1" xfId="1" applyFont="1" applyFill="1" applyBorder="1" applyAlignment="1">
      <alignment horizontal="center" wrapText="1"/>
    </xf>
    <xf numFmtId="0" fontId="7" fillId="0" borderId="17" xfId="1" applyFont="1" applyFill="1" applyBorder="1" applyAlignment="1"/>
    <xf numFmtId="0" fontId="7" fillId="3" borderId="17" xfId="1" applyFont="1" applyFill="1" applyBorder="1" applyAlignment="1"/>
    <xf numFmtId="0" fontId="7" fillId="0" borderId="18" xfId="1" applyFont="1" applyFill="1" applyBorder="1" applyAlignment="1"/>
    <xf numFmtId="0" fontId="7" fillId="3" borderId="18" xfId="1" applyFont="1" applyFill="1" applyBorder="1" applyAlignment="1"/>
    <xf numFmtId="0" fontId="7" fillId="0" borderId="17" xfId="1" applyNumberFormat="1" applyFont="1" applyFill="1" applyBorder="1" applyAlignment="1"/>
    <xf numFmtId="0" fontId="7" fillId="0" borderId="19" xfId="1" applyFont="1" applyFill="1" applyBorder="1" applyAlignment="1"/>
    <xf numFmtId="0" fontId="7" fillId="0" borderId="1" xfId="1" applyFont="1" applyFill="1" applyBorder="1" applyAlignment="1"/>
    <xf numFmtId="0" fontId="5" fillId="0" borderId="1" xfId="1" applyFont="1" applyBorder="1" applyAlignment="1">
      <alignment horizontal="center" wrapText="1"/>
    </xf>
    <xf numFmtId="3" fontId="22" fillId="0" borderId="1" xfId="0" applyNumberFormat="1" applyFont="1" applyBorder="1" applyAlignment="1">
      <alignment horizontal="center"/>
    </xf>
    <xf numFmtId="0" fontId="17" fillId="0" borderId="0" xfId="0" applyFont="1" applyFill="1" applyAlignment="1">
      <alignment horizontal="right"/>
    </xf>
    <xf numFmtId="0" fontId="34" fillId="0" borderId="7" xfId="1" applyFont="1" applyFill="1" applyBorder="1" applyAlignment="1">
      <alignment wrapText="1"/>
    </xf>
    <xf numFmtId="9" fontId="13" fillId="0" borderId="7" xfId="1" applyNumberFormat="1" applyFont="1" applyBorder="1" applyAlignment="1">
      <alignment horizontal="right"/>
    </xf>
    <xf numFmtId="0" fontId="7" fillId="0" borderId="16" xfId="1" applyFont="1" applyFill="1" applyBorder="1" applyAlignment="1"/>
    <xf numFmtId="0" fontId="34" fillId="0" borderId="5" xfId="1" applyFont="1" applyFill="1" applyBorder="1" applyAlignment="1">
      <alignment wrapText="1"/>
    </xf>
    <xf numFmtId="0" fontId="7" fillId="0" borderId="5" xfId="1" applyFont="1" applyFill="1" applyBorder="1" applyAlignment="1">
      <alignment horizontal="right"/>
    </xf>
    <xf numFmtId="0" fontId="6" fillId="0" borderId="5" xfId="1" applyFont="1" applyBorder="1" applyAlignment="1">
      <alignment wrapText="1"/>
    </xf>
    <xf numFmtId="0" fontId="6" fillId="0" borderId="5" xfId="1" applyFont="1" applyFill="1" applyBorder="1" applyAlignment="1">
      <alignment horizontal="right"/>
    </xf>
    <xf numFmtId="0" fontId="38" fillId="0" borderId="17" xfId="1" applyFont="1" applyFill="1" applyBorder="1" applyAlignment="1">
      <alignment wrapText="1"/>
    </xf>
    <xf numFmtId="0" fontId="38" fillId="0" borderId="18" xfId="1" applyFont="1" applyFill="1" applyBorder="1" applyAlignment="1"/>
    <xf numFmtId="0" fontId="6" fillId="0" borderId="7" xfId="1" applyFont="1" applyFill="1" applyBorder="1" applyAlignment="1">
      <alignment wrapText="1"/>
    </xf>
    <xf numFmtId="0" fontId="6" fillId="0" borderId="2" xfId="1" applyFont="1" applyFill="1" applyBorder="1" applyAlignment="1">
      <alignment wrapText="1"/>
    </xf>
    <xf numFmtId="165" fontId="28" fillId="0" borderId="0" xfId="0" applyNumberFormat="1" applyFont="1" applyFill="1" applyBorder="1" applyAlignment="1">
      <alignment horizontal="left"/>
    </xf>
    <xf numFmtId="0" fontId="7" fillId="0" borderId="1" xfId="1" applyNumberFormat="1" applyFont="1" applyFill="1" applyBorder="1" applyAlignment="1"/>
    <xf numFmtId="0" fontId="17" fillId="0" borderId="0" xfId="0" applyFont="1" applyAlignment="1">
      <alignment horizontal="center"/>
    </xf>
    <xf numFmtId="0" fontId="8" fillId="0" borderId="5" xfId="1" applyFont="1" applyFill="1" applyBorder="1" applyAlignment="1">
      <alignment wrapText="1"/>
    </xf>
    <xf numFmtId="0" fontId="7" fillId="0" borderId="12" xfId="1" applyFont="1" applyFill="1" applyBorder="1" applyAlignment="1">
      <alignment wrapText="1"/>
    </xf>
    <xf numFmtId="0" fontId="7" fillId="0" borderId="16" xfId="1" applyFont="1" applyBorder="1" applyAlignment="1">
      <alignment wrapText="1"/>
    </xf>
    <xf numFmtId="0" fontId="7" fillId="0" borderId="3" xfId="1" applyFont="1" applyFill="1" applyBorder="1" applyAlignment="1"/>
    <xf numFmtId="0" fontId="6" fillId="0" borderId="3" xfId="1" applyFont="1" applyFill="1" applyBorder="1" applyAlignment="1"/>
    <xf numFmtId="0" fontId="6" fillId="0" borderId="3" xfId="1" applyFont="1" applyFill="1" applyBorder="1" applyAlignment="1">
      <alignment horizontal="right"/>
    </xf>
    <xf numFmtId="0" fontId="63" fillId="0" borderId="1" xfId="0" applyFont="1" applyBorder="1"/>
    <xf numFmtId="0" fontId="62" fillId="0" borderId="1" xfId="0" applyFont="1" applyBorder="1"/>
    <xf numFmtId="0" fontId="64" fillId="0" borderId="1" xfId="0" applyFont="1" applyBorder="1"/>
    <xf numFmtId="0" fontId="64" fillId="0" borderId="0" xfId="0" applyFont="1"/>
    <xf numFmtId="3" fontId="18" fillId="0" borderId="0" xfId="0" applyNumberFormat="1" applyFont="1" applyFill="1" applyAlignment="1">
      <alignment wrapText="1"/>
    </xf>
    <xf numFmtId="9" fontId="34" fillId="0" borderId="1" xfId="1" applyNumberFormat="1" applyFont="1" applyBorder="1" applyAlignment="1">
      <alignment horizontal="right"/>
    </xf>
    <xf numFmtId="0" fontId="39" fillId="0" borderId="2" xfId="1" applyFont="1" applyFill="1" applyBorder="1" applyAlignment="1">
      <alignment wrapText="1"/>
    </xf>
    <xf numFmtId="0" fontId="6" fillId="0" borderId="5" xfId="1" applyFont="1" applyFill="1" applyBorder="1" applyAlignment="1">
      <alignment wrapText="1"/>
    </xf>
    <xf numFmtId="0" fontId="6" fillId="0" borderId="12" xfId="1" applyFont="1" applyFill="1" applyBorder="1" applyAlignment="1">
      <alignment wrapText="1"/>
    </xf>
    <xf numFmtId="0" fontId="41" fillId="0" borderId="0" xfId="0" applyFont="1"/>
    <xf numFmtId="0" fontId="61" fillId="0" borderId="0" xfId="0" applyFont="1" applyAlignment="1">
      <alignment horizontal="left"/>
    </xf>
    <xf numFmtId="0" fontId="11" fillId="0" borderId="4" xfId="1" applyFont="1" applyFill="1" applyBorder="1" applyAlignment="1">
      <alignment horizontal="center"/>
    </xf>
    <xf numFmtId="0" fontId="6" fillId="0" borderId="14" xfId="1" applyFont="1" applyFill="1" applyBorder="1" applyAlignment="1">
      <alignment wrapText="1"/>
    </xf>
    <xf numFmtId="0" fontId="6" fillId="0" borderId="1" xfId="1" applyFont="1" applyFill="1" applyBorder="1" applyAlignment="1">
      <alignment horizontal="right" wrapText="1"/>
    </xf>
    <xf numFmtId="0" fontId="9" fillId="0" borderId="14" xfId="1" applyFont="1" applyFill="1" applyBorder="1" applyAlignment="1">
      <alignment wrapText="1"/>
    </xf>
    <xf numFmtId="0" fontId="9" fillId="0" borderId="1" xfId="1" applyFont="1" applyFill="1" applyBorder="1" applyAlignment="1">
      <alignment wrapText="1"/>
    </xf>
    <xf numFmtId="0" fontId="9" fillId="0" borderId="19" xfId="1" applyFont="1" applyFill="1" applyBorder="1" applyAlignment="1">
      <alignment wrapText="1"/>
    </xf>
    <xf numFmtId="3" fontId="8" fillId="0" borderId="0" xfId="1" applyNumberFormat="1" applyFont="1" applyFill="1" applyBorder="1" applyAlignment="1">
      <alignment wrapText="1"/>
    </xf>
    <xf numFmtId="0" fontId="8" fillId="0" borderId="0" xfId="1" applyFont="1" applyFill="1" applyBorder="1" applyAlignment="1">
      <alignment wrapText="1"/>
    </xf>
    <xf numFmtId="0" fontId="8" fillId="0" borderId="0" xfId="1" applyFont="1" applyFill="1" applyAlignment="1"/>
    <xf numFmtId="0" fontId="6" fillId="0" borderId="0" xfId="1" applyFont="1" applyFill="1" applyAlignment="1">
      <alignment horizontal="right"/>
    </xf>
    <xf numFmtId="0" fontId="6" fillId="0" borderId="2" xfId="1" applyFont="1" applyFill="1" applyBorder="1" applyAlignment="1">
      <alignment horizontal="right"/>
    </xf>
    <xf numFmtId="49" fontId="17" fillId="0" borderId="7" xfId="0" applyNumberFormat="1" applyFont="1" applyFill="1" applyBorder="1" applyAlignment="1">
      <alignment vertical="center" wrapText="1"/>
    </xf>
    <xf numFmtId="0" fontId="2" fillId="0" borderId="0" xfId="1" applyAlignment="1">
      <alignment horizontal="right"/>
    </xf>
    <xf numFmtId="49" fontId="2" fillId="0" borderId="0" xfId="1" applyNumberFormat="1" applyAlignment="1">
      <alignment horizontal="right"/>
    </xf>
    <xf numFmtId="0" fontId="5" fillId="0" borderId="0" xfId="1" applyFont="1" applyAlignment="1">
      <alignment horizontal="right"/>
    </xf>
    <xf numFmtId="0" fontId="23" fillId="0" borderId="0" xfId="0" applyFont="1" applyFill="1" applyAlignment="1">
      <alignment horizontal="right"/>
    </xf>
    <xf numFmtId="49" fontId="23" fillId="0" borderId="0" xfId="0" applyNumberFormat="1" applyFont="1" applyAlignment="1">
      <alignment horizontal="right"/>
    </xf>
    <xf numFmtId="0" fontId="22" fillId="0" borderId="1" xfId="0" applyFont="1" applyBorder="1" applyAlignment="1">
      <alignment vertical="center"/>
    </xf>
    <xf numFmtId="0" fontId="44" fillId="0" borderId="0" xfId="0" applyFont="1"/>
    <xf numFmtId="0" fontId="41" fillId="0" borderId="0" xfId="0" applyFont="1" applyAlignment="1">
      <alignment wrapText="1"/>
    </xf>
    <xf numFmtId="0" fontId="17" fillId="0" borderId="1" xfId="0" applyFont="1" applyBorder="1" applyAlignment="1">
      <alignment horizontal="left" vertical="center" wrapText="1"/>
    </xf>
    <xf numFmtId="0" fontId="65" fillId="0" borderId="1" xfId="0" applyFont="1" applyBorder="1"/>
    <xf numFmtId="0" fontId="7" fillId="0" borderId="20" xfId="1" applyFont="1" applyFill="1" applyBorder="1" applyAlignment="1"/>
    <xf numFmtId="0" fontId="7" fillId="0" borderId="2" xfId="1" applyFont="1" applyFill="1" applyBorder="1" applyAlignment="1"/>
    <xf numFmtId="0" fontId="40" fillId="0" borderId="0" xfId="1" applyFont="1" applyFill="1" applyAlignment="1">
      <alignment horizontal="right" wrapText="1"/>
    </xf>
    <xf numFmtId="9" fontId="6" fillId="0" borderId="1" xfId="1" applyNumberFormat="1" applyFont="1" applyFill="1" applyBorder="1" applyAlignment="1">
      <alignment wrapText="1"/>
    </xf>
    <xf numFmtId="0" fontId="0" fillId="0" borderId="0" xfId="0" applyAlignment="1">
      <alignment horizontal="left"/>
    </xf>
    <xf numFmtId="0" fontId="62" fillId="0" borderId="1" xfId="0" applyFont="1" applyBorder="1" applyAlignment="1">
      <alignment wrapText="1"/>
    </xf>
    <xf numFmtId="170" fontId="40" fillId="0" borderId="0" xfId="1" applyNumberFormat="1" applyFont="1" applyFill="1" applyAlignment="1">
      <alignment horizontal="right" wrapText="1"/>
    </xf>
    <xf numFmtId="9" fontId="13" fillId="0" borderId="7" xfId="1" applyNumberFormat="1" applyFont="1" applyFill="1" applyBorder="1" applyAlignment="1">
      <alignment horizontal="right"/>
    </xf>
    <xf numFmtId="0" fontId="38" fillId="0" borderId="1" xfId="1" applyFont="1" applyFill="1" applyBorder="1" applyAlignment="1">
      <alignment wrapText="1"/>
    </xf>
    <xf numFmtId="3" fontId="19" fillId="0" borderId="0" xfId="0" applyNumberFormat="1" applyFont="1" applyFill="1"/>
    <xf numFmtId="3" fontId="22" fillId="3" borderId="1" xfId="0" applyNumberFormat="1" applyFont="1" applyFill="1" applyBorder="1" applyAlignment="1">
      <alignment horizontal="right"/>
    </xf>
    <xf numFmtId="0" fontId="22" fillId="0" borderId="0" xfId="0" applyFont="1" applyFill="1"/>
    <xf numFmtId="0" fontId="11" fillId="0" borderId="5" xfId="1" applyFont="1" applyFill="1" applyBorder="1" applyAlignment="1">
      <alignment horizontal="center"/>
    </xf>
    <xf numFmtId="0" fontId="48" fillId="0" borderId="0" xfId="0" applyFont="1"/>
    <xf numFmtId="0" fontId="6" fillId="3" borderId="1" xfId="1" applyFont="1" applyFill="1" applyBorder="1" applyAlignment="1">
      <alignment wrapText="1"/>
    </xf>
    <xf numFmtId="0" fontId="42" fillId="0" borderId="0" xfId="1" applyFont="1" applyAlignment="1">
      <alignment wrapText="1"/>
    </xf>
    <xf numFmtId="0" fontId="49" fillId="0" borderId="0" xfId="1" applyFont="1" applyFill="1" applyAlignment="1">
      <alignment horizontal="right" wrapText="1"/>
    </xf>
    <xf numFmtId="170" fontId="49" fillId="0" borderId="0" xfId="1" applyNumberFormat="1" applyFont="1" applyFill="1" applyAlignment="1">
      <alignment horizontal="left" wrapText="1"/>
    </xf>
    <xf numFmtId="0" fontId="50" fillId="0" borderId="0" xfId="1" applyFont="1" applyAlignment="1">
      <alignment horizontal="center" wrapText="1"/>
    </xf>
    <xf numFmtId="0" fontId="34" fillId="0" borderId="14" xfId="1" applyFont="1" applyBorder="1" applyAlignment="1">
      <alignment wrapText="1"/>
    </xf>
    <xf numFmtId="9" fontId="34" fillId="0" borderId="14" xfId="1" applyNumberFormat="1" applyFont="1" applyBorder="1" applyAlignment="1">
      <alignment wrapText="1"/>
    </xf>
    <xf numFmtId="0" fontId="34" fillId="0" borderId="0" xfId="1" applyFont="1" applyBorder="1" applyAlignment="1">
      <alignment wrapText="1"/>
    </xf>
    <xf numFmtId="165" fontId="31" fillId="0" borderId="0" xfId="4" applyNumberFormat="1" applyFont="1" applyBorder="1" applyAlignment="1">
      <alignment wrapText="1"/>
    </xf>
    <xf numFmtId="0" fontId="33" fillId="0" borderId="0" xfId="1" applyFont="1" applyBorder="1" applyAlignment="1">
      <alignment horizontal="center" wrapText="1"/>
    </xf>
    <xf numFmtId="9" fontId="6" fillId="0" borderId="7" xfId="1" applyNumberFormat="1" applyFont="1" applyFill="1" applyBorder="1" applyAlignment="1">
      <alignment wrapText="1"/>
    </xf>
    <xf numFmtId="0" fontId="51" fillId="0" borderId="0" xfId="0" applyFont="1" applyAlignment="1">
      <alignment horizontal="center"/>
    </xf>
    <xf numFmtId="0" fontId="34" fillId="0" borderId="14" xfId="1" applyFont="1" applyFill="1" applyBorder="1" applyAlignment="1">
      <alignment wrapText="1"/>
    </xf>
    <xf numFmtId="0" fontId="6" fillId="0" borderId="14" xfId="1" applyFont="1" applyFill="1" applyBorder="1" applyAlignment="1">
      <alignment horizontal="right"/>
    </xf>
    <xf numFmtId="0" fontId="52" fillId="0" borderId="0" xfId="1" applyFont="1" applyAlignment="1"/>
    <xf numFmtId="0" fontId="52" fillId="0" borderId="0" xfId="1" applyFont="1" applyAlignment="1">
      <alignment horizontal="right"/>
    </xf>
    <xf numFmtId="0" fontId="52" fillId="0" borderId="3" xfId="1" applyFont="1" applyBorder="1" applyAlignment="1"/>
    <xf numFmtId="0" fontId="49" fillId="0" borderId="21" xfId="1" applyFont="1" applyBorder="1" applyAlignment="1"/>
    <xf numFmtId="0" fontId="49" fillId="0" borderId="22" xfId="1" applyFont="1" applyBorder="1" applyAlignment="1">
      <alignment horizontal="center"/>
    </xf>
    <xf numFmtId="0" fontId="49" fillId="0" borderId="23" xfId="1" applyFont="1" applyBorder="1" applyAlignment="1">
      <alignment horizontal="center"/>
    </xf>
    <xf numFmtId="0" fontId="49" fillId="0" borderId="24" xfId="1" applyFont="1" applyBorder="1" applyAlignment="1">
      <alignment horizontal="center"/>
    </xf>
    <xf numFmtId="0" fontId="49" fillId="0" borderId="21" xfId="1" applyFont="1" applyBorder="1" applyAlignment="1">
      <alignment horizontal="center"/>
    </xf>
    <xf numFmtId="0" fontId="52" fillId="3" borderId="7" xfId="1" applyFont="1" applyFill="1" applyBorder="1" applyAlignment="1"/>
    <xf numFmtId="0" fontId="52" fillId="0" borderId="1" xfId="1" applyFont="1" applyFill="1" applyBorder="1" applyAlignment="1"/>
    <xf numFmtId="3" fontId="52" fillId="0" borderId="1" xfId="1" applyNumberFormat="1" applyFont="1" applyFill="1" applyBorder="1" applyAlignment="1"/>
    <xf numFmtId="9" fontId="52" fillId="0" borderId="1" xfId="1" applyNumberFormat="1" applyFont="1" applyFill="1" applyBorder="1" applyAlignment="1"/>
    <xf numFmtId="0" fontId="52" fillId="0" borderId="1" xfId="1" applyFont="1" applyBorder="1" applyAlignment="1"/>
    <xf numFmtId="0" fontId="66" fillId="0" borderId="7" xfId="0" applyFont="1" applyBorder="1"/>
    <xf numFmtId="3" fontId="46" fillId="0" borderId="7" xfId="0" applyNumberFormat="1" applyFont="1" applyBorder="1"/>
    <xf numFmtId="169" fontId="46" fillId="0" borderId="7" xfId="0" applyNumberFormat="1" applyFont="1" applyBorder="1"/>
    <xf numFmtId="3" fontId="46" fillId="0" borderId="7" xfId="0" applyNumberFormat="1" applyFont="1" applyBorder="1" applyAlignment="1">
      <alignment wrapText="1"/>
    </xf>
    <xf numFmtId="169" fontId="46" fillId="0" borderId="7" xfId="0" applyNumberFormat="1" applyFont="1" applyBorder="1" applyAlignment="1">
      <alignment wrapText="1"/>
    </xf>
    <xf numFmtId="0" fontId="46" fillId="0" borderId="1" xfId="0" applyFont="1" applyBorder="1"/>
    <xf numFmtId="0" fontId="66" fillId="0" borderId="1" xfId="0" applyFont="1" applyBorder="1"/>
    <xf numFmtId="0" fontId="52" fillId="0" borderId="14" xfId="1" applyFont="1" applyFill="1" applyBorder="1" applyAlignment="1"/>
    <xf numFmtId="0" fontId="52" fillId="0" borderId="2" xfId="1" applyFont="1" applyFill="1" applyBorder="1" applyAlignment="1"/>
    <xf numFmtId="0" fontId="61" fillId="0" borderId="1" xfId="0" applyFont="1" applyBorder="1"/>
    <xf numFmtId="1" fontId="52" fillId="0" borderId="1" xfId="1" applyNumberFormat="1" applyFont="1" applyFill="1" applyBorder="1" applyAlignment="1"/>
    <xf numFmtId="1" fontId="52" fillId="0" borderId="1" xfId="1" applyNumberFormat="1" applyFont="1" applyBorder="1" applyAlignment="1"/>
    <xf numFmtId="1" fontId="46" fillId="0" borderId="7" xfId="0" applyNumberFormat="1" applyFont="1" applyBorder="1"/>
    <xf numFmtId="1" fontId="46" fillId="0" borderId="7" xfId="0" applyNumberFormat="1" applyFont="1" applyBorder="1" applyAlignment="1">
      <alignment wrapText="1"/>
    </xf>
    <xf numFmtId="1" fontId="46" fillId="0" borderId="1" xfId="0" applyNumberFormat="1" applyFont="1" applyBorder="1"/>
    <xf numFmtId="1" fontId="52" fillId="0" borderId="2" xfId="1" applyNumberFormat="1" applyFont="1" applyFill="1" applyBorder="1" applyAlignment="1"/>
    <xf numFmtId="1" fontId="66" fillId="0" borderId="1" xfId="0" applyNumberFormat="1" applyFont="1" applyBorder="1"/>
    <xf numFmtId="1" fontId="61" fillId="0" borderId="1" xfId="0" applyNumberFormat="1" applyFont="1" applyBorder="1"/>
    <xf numFmtId="0" fontId="48" fillId="0" borderId="0" xfId="0" applyFont="1" applyAlignment="1">
      <alignment horizontal="right"/>
    </xf>
    <xf numFmtId="0" fontId="44" fillId="0" borderId="0" xfId="0" applyFont="1" applyAlignment="1">
      <alignment horizontal="left"/>
    </xf>
    <xf numFmtId="170" fontId="66" fillId="0" borderId="1" xfId="0" applyNumberFormat="1" applyFont="1" applyBorder="1"/>
    <xf numFmtId="0" fontId="63" fillId="0" borderId="0" xfId="0" applyFont="1" applyBorder="1"/>
    <xf numFmtId="0" fontId="62" fillId="0" borderId="0" xfId="0" applyFont="1" applyBorder="1"/>
    <xf numFmtId="0" fontId="64" fillId="0" borderId="0" xfId="0" applyFont="1" applyBorder="1"/>
    <xf numFmtId="0" fontId="61" fillId="0" borderId="0" xfId="0" applyFont="1" applyBorder="1" applyAlignment="1">
      <alignment horizontal="left"/>
    </xf>
    <xf numFmtId="0" fontId="62" fillId="0" borderId="0" xfId="0" applyFont="1" applyBorder="1" applyAlignment="1">
      <alignment horizontal="center" vertical="center"/>
    </xf>
    <xf numFmtId="0" fontId="62" fillId="0" borderId="0" xfId="0" applyFont="1" applyBorder="1" applyAlignment="1">
      <alignment vertical="center" wrapText="1"/>
    </xf>
    <xf numFmtId="3" fontId="62" fillId="0" borderId="0" xfId="0" applyNumberFormat="1" applyFont="1" applyBorder="1" applyAlignment="1">
      <alignment horizontal="center" vertical="center"/>
    </xf>
    <xf numFmtId="9" fontId="62" fillId="0" borderId="0" xfId="0" applyNumberFormat="1" applyFont="1" applyBorder="1" applyAlignment="1">
      <alignment horizontal="center" vertical="center"/>
    </xf>
    <xf numFmtId="0" fontId="64" fillId="0" borderId="0" xfId="0" applyFont="1" applyBorder="1" applyAlignment="1">
      <alignment horizontal="center" vertical="center"/>
    </xf>
    <xf numFmtId="9" fontId="64" fillId="0" borderId="0" xfId="0" applyNumberFormat="1" applyFont="1" applyBorder="1" applyAlignment="1">
      <alignment horizontal="center" vertical="center"/>
    </xf>
    <xf numFmtId="0" fontId="0" fillId="3" borderId="0" xfId="0" applyFill="1"/>
    <xf numFmtId="2" fontId="46" fillId="0" borderId="1" xfId="0" applyNumberFormat="1" applyFont="1" applyBorder="1"/>
    <xf numFmtId="0" fontId="0" fillId="0" borderId="0" xfId="0" applyBorder="1" applyAlignment="1">
      <alignment horizontal="right"/>
    </xf>
    <xf numFmtId="0" fontId="63" fillId="0" borderId="0" xfId="0" applyFont="1" applyBorder="1" applyAlignment="1">
      <alignment horizontal="center" vertical="center" wrapText="1"/>
    </xf>
    <xf numFmtId="0" fontId="65" fillId="0" borderId="0" xfId="0" applyFont="1" applyBorder="1" applyAlignment="1">
      <alignment vertical="center"/>
    </xf>
    <xf numFmtId="0" fontId="47" fillId="0" borderId="0" xfId="0" applyFont="1" applyBorder="1" applyAlignment="1"/>
    <xf numFmtId="0" fontId="0" fillId="0" borderId="0" xfId="0" applyBorder="1" applyAlignment="1"/>
    <xf numFmtId="3" fontId="26" fillId="0" borderId="1" xfId="0" applyNumberFormat="1" applyFont="1" applyFill="1" applyBorder="1"/>
    <xf numFmtId="3" fontId="51" fillId="0" borderId="0" xfId="0" applyNumberFormat="1" applyFont="1" applyAlignment="1">
      <alignment horizontal="center"/>
    </xf>
    <xf numFmtId="49" fontId="17" fillId="3" borderId="0" xfId="0" applyNumberFormat="1" applyFont="1" applyFill="1" applyAlignment="1">
      <alignment horizontal="center"/>
    </xf>
    <xf numFmtId="4" fontId="17" fillId="0" borderId="1" xfId="0" applyNumberFormat="1" applyFont="1" applyFill="1" applyBorder="1"/>
    <xf numFmtId="0" fontId="61" fillId="0" borderId="0" xfId="0" applyFont="1" applyAlignment="1">
      <alignment horizontal="left"/>
    </xf>
    <xf numFmtId="3" fontId="62" fillId="0" borderId="1" xfId="0" applyNumberFormat="1" applyFont="1" applyBorder="1" applyAlignment="1">
      <alignment horizontal="center"/>
    </xf>
    <xf numFmtId="3" fontId="64" fillId="0" borderId="1" xfId="0" applyNumberFormat="1" applyFont="1" applyBorder="1" applyAlignment="1">
      <alignment horizontal="center"/>
    </xf>
    <xf numFmtId="0" fontId="63" fillId="0" borderId="1" xfId="0" applyFont="1" applyBorder="1" applyAlignment="1">
      <alignment horizontal="center"/>
    </xf>
    <xf numFmtId="49" fontId="64" fillId="0" borderId="1" xfId="0" applyNumberFormat="1" applyFont="1" applyBorder="1" applyAlignment="1">
      <alignment horizontal="center"/>
    </xf>
    <xf numFmtId="0" fontId="5" fillId="0" borderId="17" xfId="1" applyNumberFormat="1" applyFont="1" applyFill="1" applyBorder="1" applyAlignment="1"/>
    <xf numFmtId="0" fontId="61" fillId="0" borderId="1" xfId="0" applyFont="1" applyBorder="1" applyAlignment="1">
      <alignment horizontal="center" vertical="center"/>
    </xf>
    <xf numFmtId="0" fontId="52" fillId="0" borderId="7" xfId="1" applyFont="1" applyFill="1" applyBorder="1" applyAlignment="1">
      <alignment horizontal="center" vertical="center"/>
    </xf>
    <xf numFmtId="0" fontId="52" fillId="0" borderId="1" xfId="1" applyFont="1" applyBorder="1" applyAlignment="1">
      <alignment horizontal="center" vertical="center" wrapText="1"/>
    </xf>
    <xf numFmtId="0" fontId="52" fillId="0" borderId="2" xfId="1" applyFont="1" applyFill="1" applyBorder="1" applyAlignment="1">
      <alignment horizontal="center" vertical="center"/>
    </xf>
    <xf numFmtId="9" fontId="52" fillId="0" borderId="2" xfId="1" applyNumberFormat="1" applyFont="1" applyBorder="1" applyAlignment="1">
      <alignment horizontal="center" vertical="center"/>
    </xf>
    <xf numFmtId="0" fontId="33" fillId="0" borderId="1" xfId="1" applyFont="1" applyFill="1" applyBorder="1" applyAlignment="1">
      <alignment horizontal="center" wrapText="1"/>
    </xf>
    <xf numFmtId="0" fontId="33" fillId="0" borderId="1" xfId="1" applyFont="1" applyBorder="1" applyAlignment="1">
      <alignment horizontal="center" wrapText="1"/>
    </xf>
    <xf numFmtId="0" fontId="50" fillId="0" borderId="1" xfId="1" applyFont="1" applyBorder="1" applyAlignment="1">
      <alignment horizontal="center" wrapText="1"/>
    </xf>
    <xf numFmtId="0" fontId="7" fillId="0" borderId="16" xfId="1" applyNumberFormat="1" applyFont="1" applyFill="1" applyBorder="1" applyAlignment="1"/>
    <xf numFmtId="0" fontId="0" fillId="0" borderId="0" xfId="0" applyFill="1" applyAlignment="1">
      <alignment horizontal="left"/>
    </xf>
    <xf numFmtId="9" fontId="13" fillId="0" borderId="2" xfId="1" applyNumberFormat="1" applyFont="1" applyFill="1" applyBorder="1" applyAlignment="1">
      <alignment horizontal="right"/>
    </xf>
    <xf numFmtId="0" fontId="7" fillId="0" borderId="2" xfId="1" applyNumberFormat="1" applyFont="1" applyFill="1" applyBorder="1" applyAlignment="1"/>
    <xf numFmtId="0" fontId="0" fillId="0" borderId="0" xfId="0" applyFill="1" applyAlignment="1">
      <alignment horizontal="right"/>
    </xf>
    <xf numFmtId="0" fontId="8" fillId="3" borderId="13" xfId="1" applyFont="1" applyFill="1" applyBorder="1" applyAlignment="1">
      <alignment wrapText="1"/>
    </xf>
    <xf numFmtId="0" fontId="8" fillId="3" borderId="5" xfId="1" applyFont="1" applyFill="1" applyBorder="1" applyAlignment="1">
      <alignment wrapText="1"/>
    </xf>
    <xf numFmtId="0" fontId="7" fillId="3" borderId="6" xfId="1" applyFont="1" applyFill="1" applyBorder="1" applyAlignment="1">
      <alignment wrapText="1"/>
    </xf>
    <xf numFmtId="0" fontId="7" fillId="3" borderId="5" xfId="1" applyFont="1" applyFill="1" applyBorder="1" applyAlignment="1">
      <alignment wrapText="1"/>
    </xf>
    <xf numFmtId="0" fontId="8" fillId="3" borderId="6" xfId="1" applyFont="1" applyFill="1" applyBorder="1" applyAlignment="1">
      <alignment wrapText="1"/>
    </xf>
    <xf numFmtId="0" fontId="33" fillId="3" borderId="13" xfId="1" applyFont="1" applyFill="1" applyBorder="1" applyAlignment="1">
      <alignment wrapText="1"/>
    </xf>
    <xf numFmtId="0" fontId="7" fillId="0" borderId="12" xfId="1" applyFont="1" applyFill="1" applyBorder="1" applyAlignment="1"/>
    <xf numFmtId="170" fontId="46" fillId="0" borderId="1" xfId="0" applyNumberFormat="1" applyFont="1" applyBorder="1"/>
    <xf numFmtId="3" fontId="10" fillId="3" borderId="7" xfId="1" applyNumberFormat="1" applyFont="1" applyFill="1" applyBorder="1" applyAlignment="1">
      <alignment horizontal="right"/>
    </xf>
    <xf numFmtId="0" fontId="10" fillId="3" borderId="7" xfId="1" applyFont="1" applyFill="1" applyBorder="1" applyAlignment="1">
      <alignment horizontal="right"/>
    </xf>
    <xf numFmtId="3" fontId="67" fillId="3" borderId="0" xfId="0" applyNumberFormat="1" applyFont="1" applyFill="1"/>
    <xf numFmtId="170" fontId="10" fillId="3" borderId="7" xfId="1" applyNumberFormat="1" applyFont="1" applyFill="1" applyBorder="1" applyAlignment="1">
      <alignment wrapText="1"/>
    </xf>
    <xf numFmtId="0" fontId="63" fillId="0" borderId="1" xfId="0" applyFont="1" applyBorder="1" applyAlignment="1">
      <alignment horizontal="center"/>
    </xf>
    <xf numFmtId="3" fontId="21" fillId="3" borderId="0" xfId="0" applyNumberFormat="1" applyFont="1" applyFill="1"/>
    <xf numFmtId="3" fontId="17" fillId="3" borderId="0" xfId="0" applyNumberFormat="1" applyFont="1" applyFill="1"/>
    <xf numFmtId="3" fontId="29" fillId="3" borderId="1" xfId="0" applyNumberFormat="1" applyFont="1" applyFill="1" applyBorder="1"/>
    <xf numFmtId="0" fontId="65" fillId="0" borderId="1" xfId="0" applyFont="1" applyBorder="1" applyAlignment="1">
      <alignment wrapText="1"/>
    </xf>
    <xf numFmtId="3" fontId="17" fillId="3" borderId="1" xfId="0" applyNumberFormat="1" applyFont="1" applyFill="1" applyBorder="1" applyAlignment="1">
      <alignment horizontal="right"/>
    </xf>
    <xf numFmtId="0" fontId="68" fillId="0" borderId="0" xfId="0" applyFont="1"/>
    <xf numFmtId="0" fontId="0" fillId="0" borderId="1" xfId="0" applyBorder="1"/>
    <xf numFmtId="0" fontId="68" fillId="0" borderId="1" xfId="0" applyFont="1" applyBorder="1"/>
    <xf numFmtId="0" fontId="66" fillId="0" borderId="1" xfId="0" applyFont="1" applyFill="1" applyBorder="1"/>
    <xf numFmtId="1" fontId="68" fillId="0" borderId="1" xfId="0" applyNumberFormat="1" applyFont="1" applyBorder="1"/>
    <xf numFmtId="171" fontId="52" fillId="0" borderId="1" xfId="1" applyNumberFormat="1" applyFont="1" applyFill="1" applyBorder="1" applyAlignment="1"/>
    <xf numFmtId="170" fontId="46" fillId="0" borderId="7" xfId="0" applyNumberFormat="1" applyFont="1" applyBorder="1"/>
    <xf numFmtId="0" fontId="18" fillId="3" borderId="0" xfId="0" applyFont="1" applyFill="1"/>
    <xf numFmtId="3" fontId="69" fillId="3" borderId="1" xfId="0" applyNumberFormat="1" applyFont="1" applyFill="1" applyBorder="1"/>
    <xf numFmtId="0" fontId="34" fillId="3" borderId="7" xfId="1" applyFont="1" applyFill="1" applyBorder="1" applyAlignment="1">
      <alignment wrapText="1"/>
    </xf>
    <xf numFmtId="0" fontId="2" fillId="0" borderId="19" xfId="1" applyFont="1" applyFill="1" applyBorder="1" applyAlignment="1">
      <alignment wrapText="1"/>
    </xf>
    <xf numFmtId="0" fontId="70" fillId="0" borderId="1" xfId="1" applyFont="1" applyFill="1" applyBorder="1" applyAlignment="1">
      <alignment horizontal="right"/>
    </xf>
    <xf numFmtId="3" fontId="71" fillId="3" borderId="1" xfId="0" applyNumberFormat="1" applyFont="1" applyFill="1" applyBorder="1"/>
    <xf numFmtId="3" fontId="29" fillId="0" borderId="1" xfId="1" applyNumberFormat="1" applyFont="1" applyFill="1" applyBorder="1" applyAlignment="1">
      <alignment wrapText="1"/>
    </xf>
    <xf numFmtId="0" fontId="53" fillId="0" borderId="0" xfId="0" applyFont="1" applyAlignment="1">
      <alignment horizontal="left"/>
    </xf>
    <xf numFmtId="0" fontId="53" fillId="0" borderId="0" xfId="0" applyFont="1"/>
    <xf numFmtId="0" fontId="53" fillId="2" borderId="1" xfId="0" applyFont="1" applyFill="1" applyBorder="1"/>
    <xf numFmtId="3" fontId="53" fillId="0" borderId="1" xfId="0" applyNumberFormat="1" applyFont="1" applyBorder="1"/>
    <xf numFmtId="3" fontId="53" fillId="0" borderId="1" xfId="0" applyNumberFormat="1" applyFont="1" applyFill="1" applyBorder="1"/>
    <xf numFmtId="0" fontId="53" fillId="3" borderId="1" xfId="0" applyFont="1" applyFill="1" applyBorder="1"/>
    <xf numFmtId="3" fontId="53" fillId="3" borderId="1" xfId="0" applyNumberFormat="1" applyFont="1" applyFill="1" applyBorder="1"/>
    <xf numFmtId="0" fontId="53" fillId="0" borderId="1" xfId="0" applyFont="1" applyBorder="1"/>
    <xf numFmtId="49" fontId="53" fillId="0" borderId="1" xfId="0" applyNumberFormat="1" applyFont="1" applyBorder="1"/>
    <xf numFmtId="0" fontId="53" fillId="0" borderId="0" xfId="0" applyFont="1" applyFill="1" applyBorder="1"/>
    <xf numFmtId="3" fontId="53" fillId="0" borderId="1" xfId="0" applyNumberFormat="1" applyFont="1" applyBorder="1" applyAlignment="1">
      <alignment horizontal="center"/>
    </xf>
    <xf numFmtId="3" fontId="72" fillId="3" borderId="1" xfId="0" applyNumberFormat="1" applyFont="1" applyFill="1" applyBorder="1"/>
    <xf numFmtId="3" fontId="53" fillId="0" borderId="0" xfId="0" applyNumberFormat="1" applyFont="1"/>
    <xf numFmtId="3" fontId="53" fillId="3" borderId="1" xfId="0" applyNumberFormat="1" applyFont="1" applyFill="1" applyBorder="1" applyAlignment="1">
      <alignment horizontal="right"/>
    </xf>
    <xf numFmtId="3" fontId="55" fillId="0" borderId="0" xfId="0" applyNumberFormat="1" applyFont="1"/>
    <xf numFmtId="0" fontId="53" fillId="0" borderId="0" xfId="0" applyFont="1" applyAlignment="1">
      <alignment wrapText="1"/>
    </xf>
    <xf numFmtId="0" fontId="53" fillId="0" borderId="0" xfId="0" applyFont="1" applyAlignment="1">
      <alignment horizontal="center"/>
    </xf>
    <xf numFmtId="0" fontId="55" fillId="0" borderId="0" xfId="0" applyFont="1"/>
    <xf numFmtId="0" fontId="53" fillId="0" borderId="0" xfId="0" applyFont="1" applyAlignment="1">
      <alignment horizontal="right"/>
    </xf>
    <xf numFmtId="4" fontId="53" fillId="0" borderId="1" xfId="0" applyNumberFormat="1" applyFont="1" applyBorder="1"/>
    <xf numFmtId="0" fontId="53" fillId="0" borderId="0" xfId="0" applyFont="1" applyFill="1"/>
    <xf numFmtId="0" fontId="55" fillId="0" borderId="0" xfId="0" applyFont="1" applyFill="1"/>
    <xf numFmtId="3" fontId="53" fillId="0" borderId="0" xfId="0" applyNumberFormat="1" applyFont="1" applyFill="1"/>
    <xf numFmtId="0" fontId="53" fillId="2" borderId="0" xfId="0" applyFont="1" applyFill="1"/>
    <xf numFmtId="0" fontId="53" fillId="0" borderId="1" xfId="0" applyFont="1" applyFill="1" applyBorder="1"/>
    <xf numFmtId="168" fontId="53" fillId="0" borderId="1" xfId="0" applyNumberFormat="1" applyFont="1" applyBorder="1"/>
    <xf numFmtId="0" fontId="54" fillId="0" borderId="7" xfId="1" applyFont="1" applyBorder="1" applyAlignment="1">
      <alignment wrapText="1"/>
    </xf>
    <xf numFmtId="0" fontId="54" fillId="0" borderId="7" xfId="1" applyFont="1" applyFill="1" applyBorder="1" applyAlignment="1">
      <alignment wrapText="1"/>
    </xf>
    <xf numFmtId="0" fontId="54" fillId="0" borderId="1" xfId="1" applyFont="1" applyBorder="1" applyAlignment="1">
      <alignment wrapText="1"/>
    </xf>
    <xf numFmtId="168" fontId="53" fillId="0" borderId="0" xfId="0" applyNumberFormat="1" applyFont="1" applyFill="1" applyBorder="1"/>
    <xf numFmtId="168" fontId="55" fillId="0" borderId="0" xfId="0" applyNumberFormat="1" applyFont="1" applyFill="1"/>
    <xf numFmtId="168" fontId="53" fillId="0" borderId="0" xfId="0" applyNumberFormat="1" applyFont="1" applyFill="1"/>
    <xf numFmtId="168" fontId="53" fillId="0" borderId="0" xfId="0" applyNumberFormat="1" applyFont="1"/>
    <xf numFmtId="167" fontId="53" fillId="0" borderId="1" xfId="0" applyNumberFormat="1" applyFont="1" applyBorder="1"/>
    <xf numFmtId="3" fontId="55" fillId="0" borderId="0" xfId="0" applyNumberFormat="1" applyFont="1" applyFill="1"/>
    <xf numFmtId="0" fontId="53" fillId="3" borderId="0" xfId="0" applyFont="1" applyFill="1"/>
    <xf numFmtId="49" fontId="53" fillId="3" borderId="0" xfId="0" applyNumberFormat="1" applyFont="1" applyFill="1" applyAlignment="1">
      <alignment horizontal="center"/>
    </xf>
    <xf numFmtId="168" fontId="55" fillId="0" borderId="0" xfId="0" applyNumberFormat="1" applyFont="1"/>
    <xf numFmtId="170" fontId="53" fillId="0" borderId="1" xfId="0" applyNumberFormat="1" applyFont="1" applyBorder="1"/>
    <xf numFmtId="4" fontId="53" fillId="0" borderId="1" xfId="0" applyNumberFormat="1" applyFont="1" applyFill="1" applyBorder="1"/>
    <xf numFmtId="49" fontId="53" fillId="0" borderId="1" xfId="0" applyNumberFormat="1" applyFont="1" applyBorder="1" applyAlignment="1">
      <alignment horizontal="left" vertical="center" wrapText="1"/>
    </xf>
    <xf numFmtId="49" fontId="53" fillId="0" borderId="7" xfId="0" applyNumberFormat="1" applyFont="1" applyFill="1" applyBorder="1" applyAlignment="1">
      <alignment vertical="center" wrapText="1"/>
    </xf>
    <xf numFmtId="3" fontId="53" fillId="3" borderId="0" xfId="0" applyNumberFormat="1" applyFont="1" applyFill="1"/>
    <xf numFmtId="3" fontId="55" fillId="3" borderId="0" xfId="0" applyNumberFormat="1" applyFont="1" applyFill="1"/>
    <xf numFmtId="3" fontId="72" fillId="2" borderId="1" xfId="0" applyNumberFormat="1" applyFont="1" applyFill="1" applyBorder="1"/>
    <xf numFmtId="4" fontId="72" fillId="0" borderId="1" xfId="0" applyNumberFormat="1" applyFont="1" applyFill="1" applyBorder="1"/>
    <xf numFmtId="3" fontId="73" fillId="3" borderId="1" xfId="0" applyNumberFormat="1" applyFont="1" applyFill="1" applyBorder="1"/>
    <xf numFmtId="3" fontId="72" fillId="3" borderId="1" xfId="0" applyNumberFormat="1" applyFont="1" applyFill="1" applyBorder="1" applyAlignment="1">
      <alignment horizontal="right"/>
    </xf>
    <xf numFmtId="0" fontId="38" fillId="0" borderId="19" xfId="1" applyFont="1" applyFill="1" applyBorder="1" applyAlignment="1"/>
    <xf numFmtId="0" fontId="62" fillId="0" borderId="0" xfId="0" applyFont="1" applyBorder="1" applyAlignment="1">
      <alignment horizontal="center" wrapText="1"/>
    </xf>
    <xf numFmtId="0" fontId="2" fillId="0" borderId="18" xfId="1" applyFont="1" applyFill="1" applyBorder="1" applyAlignment="1"/>
    <xf numFmtId="0" fontId="4" fillId="0" borderId="18" xfId="1" applyFont="1" applyBorder="1" applyAlignment="1">
      <alignment horizontal="left" wrapText="1"/>
    </xf>
    <xf numFmtId="0" fontId="0" fillId="0" borderId="25" xfId="0" applyBorder="1"/>
    <xf numFmtId="0" fontId="0" fillId="0" borderId="9" xfId="0" applyBorder="1"/>
    <xf numFmtId="0" fontId="52" fillId="4" borderId="1" xfId="1" applyFont="1" applyFill="1" applyBorder="1" applyAlignment="1"/>
    <xf numFmtId="173" fontId="6" fillId="0" borderId="7" xfId="1" applyNumberFormat="1" applyFont="1" applyFill="1" applyBorder="1" applyAlignment="1">
      <alignment wrapText="1"/>
    </xf>
    <xf numFmtId="173" fontId="6" fillId="0" borderId="1" xfId="1" applyNumberFormat="1" applyFont="1" applyFill="1" applyBorder="1" applyAlignment="1">
      <alignment wrapText="1"/>
    </xf>
    <xf numFmtId="173" fontId="6" fillId="0" borderId="1" xfId="1" applyNumberFormat="1" applyFont="1" applyFill="1" applyBorder="1" applyAlignment="1">
      <alignment horizontal="right"/>
    </xf>
    <xf numFmtId="174" fontId="24" fillId="0" borderId="3" xfId="4" applyNumberFormat="1" applyFont="1" applyBorder="1" applyAlignment="1">
      <alignment wrapText="1"/>
    </xf>
    <xf numFmtId="174" fontId="24" fillId="0" borderId="5" xfId="4" applyNumberFormat="1" applyFont="1" applyBorder="1" applyAlignment="1">
      <alignment wrapText="1"/>
    </xf>
    <xf numFmtId="174" fontId="24" fillId="0" borderId="26" xfId="4" applyNumberFormat="1" applyFont="1" applyBorder="1" applyAlignment="1">
      <alignment wrapText="1"/>
    </xf>
    <xf numFmtId="174" fontId="23" fillId="0" borderId="7" xfId="4" applyNumberFormat="1" applyFont="1" applyBorder="1" applyAlignment="1">
      <alignment wrapText="1"/>
    </xf>
    <xf numFmtId="174" fontId="23" fillId="0" borderId="17" xfId="0" applyNumberFormat="1" applyFont="1" applyBorder="1" applyAlignment="1">
      <alignment wrapText="1"/>
    </xf>
    <xf numFmtId="174" fontId="23" fillId="0" borderId="7" xfId="0" applyNumberFormat="1" applyFont="1" applyBorder="1" applyAlignment="1">
      <alignment wrapText="1"/>
    </xf>
    <xf numFmtId="174" fontId="24" fillId="0" borderId="15" xfId="4" applyNumberFormat="1" applyFont="1" applyBorder="1" applyAlignment="1">
      <alignment wrapText="1"/>
    </xf>
    <xf numFmtId="174" fontId="24" fillId="0" borderId="4" xfId="4" applyNumberFormat="1" applyFont="1" applyBorder="1" applyAlignment="1">
      <alignment wrapText="1"/>
    </xf>
    <xf numFmtId="174" fontId="24" fillId="0" borderId="13" xfId="4" applyNumberFormat="1" applyFont="1" applyBorder="1" applyAlignment="1">
      <alignment wrapText="1"/>
    </xf>
    <xf numFmtId="2" fontId="24" fillId="0" borderId="5" xfId="4" applyNumberFormat="1" applyFont="1" applyBorder="1" applyAlignment="1">
      <alignment wrapText="1"/>
    </xf>
    <xf numFmtId="2" fontId="7" fillId="0" borderId="5" xfId="1" applyNumberFormat="1" applyFont="1" applyBorder="1" applyAlignment="1">
      <alignment wrapText="1"/>
    </xf>
    <xf numFmtId="2" fontId="24" fillId="0" borderId="5" xfId="0" applyNumberFormat="1" applyFont="1" applyBorder="1" applyAlignment="1">
      <alignment wrapText="1"/>
    </xf>
    <xf numFmtId="2" fontId="24" fillId="0" borderId="26" xfId="0" applyNumberFormat="1" applyFont="1" applyBorder="1" applyAlignment="1">
      <alignment wrapText="1"/>
    </xf>
    <xf numFmtId="2" fontId="8" fillId="0" borderId="5" xfId="1" applyNumberFormat="1" applyFont="1" applyBorder="1" applyAlignment="1">
      <alignment wrapText="1"/>
    </xf>
    <xf numFmtId="2" fontId="24" fillId="0" borderId="15" xfId="0" applyNumberFormat="1" applyFont="1" applyBorder="1" applyAlignment="1">
      <alignment wrapText="1"/>
    </xf>
    <xf numFmtId="2" fontId="8" fillId="0" borderId="0" xfId="1" applyNumberFormat="1" applyFont="1" applyBorder="1" applyAlignment="1">
      <alignment wrapText="1"/>
    </xf>
    <xf numFmtId="174" fontId="32" fillId="0" borderId="7" xfId="4" applyNumberFormat="1" applyFont="1" applyBorder="1" applyAlignment="1">
      <alignment wrapText="1"/>
    </xf>
    <xf numFmtId="174" fontId="31" fillId="0" borderId="3" xfId="4" applyNumberFormat="1" applyFont="1" applyBorder="1" applyAlignment="1">
      <alignment wrapText="1"/>
    </xf>
    <xf numFmtId="174" fontId="32" fillId="0" borderId="17" xfId="0" applyNumberFormat="1" applyFont="1" applyBorder="1" applyAlignment="1">
      <alignment wrapText="1"/>
    </xf>
    <xf numFmtId="174" fontId="32" fillId="0" borderId="7" xfId="0" applyNumberFormat="1" applyFont="1" applyBorder="1" applyAlignment="1">
      <alignment wrapText="1"/>
    </xf>
    <xf numFmtId="174" fontId="32" fillId="0" borderId="14" xfId="4" applyNumberFormat="1" applyFont="1" applyBorder="1" applyAlignment="1">
      <alignment wrapText="1"/>
    </xf>
    <xf numFmtId="174" fontId="32" fillId="0" borderId="27" xfId="0" applyNumberFormat="1" applyFont="1" applyBorder="1" applyAlignment="1">
      <alignment wrapText="1"/>
    </xf>
    <xf numFmtId="174" fontId="32" fillId="0" borderId="14" xfId="0" applyNumberFormat="1" applyFont="1" applyBorder="1" applyAlignment="1">
      <alignment wrapText="1"/>
    </xf>
    <xf numFmtId="0" fontId="10" fillId="0" borderId="1" xfId="1" applyFont="1" applyBorder="1" applyAlignment="1">
      <alignment wrapText="1"/>
    </xf>
    <xf numFmtId="174" fontId="21" fillId="0" borderId="7" xfId="3" applyNumberFormat="1" applyFont="1" applyBorder="1" applyAlignment="1">
      <alignment horizontal="right"/>
    </xf>
    <xf numFmtId="174" fontId="21" fillId="0" borderId="17" xfId="0" applyNumberFormat="1" applyFont="1" applyBorder="1" applyAlignment="1">
      <alignment horizontal="right"/>
    </xf>
    <xf numFmtId="174" fontId="21" fillId="0" borderId="7" xfId="0" applyNumberFormat="1" applyFont="1" applyBorder="1" applyAlignment="1">
      <alignment horizontal="right"/>
    </xf>
    <xf numFmtId="2" fontId="21" fillId="0" borderId="7" xfId="3" applyNumberFormat="1" applyFont="1" applyBorder="1" applyAlignment="1">
      <alignment horizontal="right"/>
    </xf>
    <xf numFmtId="39" fontId="21" fillId="0" borderId="7" xfId="3" applyNumberFormat="1" applyFont="1" applyBorder="1" applyAlignment="1">
      <alignment horizontal="right"/>
    </xf>
    <xf numFmtId="0" fontId="74" fillId="0" borderId="18" xfId="1" applyFont="1" applyFill="1" applyBorder="1" applyAlignment="1"/>
    <xf numFmtId="174" fontId="27" fillId="0" borderId="1" xfId="3" applyNumberFormat="1" applyFont="1" applyBorder="1" applyAlignment="1">
      <alignment horizontal="right"/>
    </xf>
    <xf numFmtId="174" fontId="27" fillId="0" borderId="7" xfId="0" applyNumberFormat="1" applyFont="1" applyBorder="1" applyAlignment="1">
      <alignment horizontal="right"/>
    </xf>
    <xf numFmtId="174" fontId="7" fillId="0" borderId="5" xfId="1" applyNumberFormat="1" applyFont="1" applyFill="1" applyBorder="1" applyAlignment="1">
      <alignment horizontal="right"/>
    </xf>
    <xf numFmtId="174" fontId="28" fillId="0" borderId="0" xfId="0" applyNumberFormat="1" applyFont="1" applyBorder="1" applyAlignment="1">
      <alignment horizontal="left"/>
    </xf>
    <xf numFmtId="174" fontId="27" fillId="0" borderId="7" xfId="0" applyNumberFormat="1" applyFont="1" applyFill="1" applyBorder="1" applyAlignment="1">
      <alignment horizontal="right"/>
    </xf>
    <xf numFmtId="173" fontId="6" fillId="3" borderId="7" xfId="1" applyNumberFormat="1" applyFont="1" applyFill="1" applyBorder="1" applyAlignment="1">
      <alignment horizontal="right"/>
    </xf>
    <xf numFmtId="175" fontId="53" fillId="0" borderId="1" xfId="0" applyNumberFormat="1" applyFont="1" applyBorder="1"/>
    <xf numFmtId="2" fontId="53" fillId="0" borderId="1" xfId="0" applyNumberFormat="1" applyFont="1" applyBorder="1"/>
    <xf numFmtId="2" fontId="53" fillId="0" borderId="1" xfId="0" applyNumberFormat="1" applyFont="1" applyFill="1" applyBorder="1"/>
    <xf numFmtId="2" fontId="53" fillId="0" borderId="0" xfId="0" applyNumberFormat="1" applyFont="1" applyFill="1" applyBorder="1"/>
    <xf numFmtId="2" fontId="55" fillId="0" borderId="0" xfId="0" applyNumberFormat="1" applyFont="1" applyFill="1"/>
    <xf numFmtId="2" fontId="53" fillId="0" borderId="0" xfId="0" applyNumberFormat="1" applyFont="1" applyFill="1"/>
    <xf numFmtId="2" fontId="53" fillId="0" borderId="0" xfId="0" applyNumberFormat="1" applyFont="1"/>
    <xf numFmtId="173" fontId="53" fillId="0" borderId="1" xfId="0" applyNumberFormat="1" applyFont="1" applyBorder="1"/>
    <xf numFmtId="173" fontId="53" fillId="0" borderId="0" xfId="0" applyNumberFormat="1" applyFont="1" applyFill="1" applyBorder="1"/>
    <xf numFmtId="173" fontId="55" fillId="0" borderId="0" xfId="0" applyNumberFormat="1" applyFont="1" applyFill="1"/>
    <xf numFmtId="173" fontId="53" fillId="0" borderId="0" xfId="0" applyNumberFormat="1" applyFont="1" applyFill="1"/>
    <xf numFmtId="173" fontId="53" fillId="0" borderId="0" xfId="0" applyNumberFormat="1" applyFont="1"/>
    <xf numFmtId="2" fontId="55" fillId="0" borderId="0" xfId="0" applyNumberFormat="1" applyFont="1"/>
    <xf numFmtId="2" fontId="54" fillId="0" borderId="1" xfId="1" applyNumberFormat="1" applyFont="1" applyFill="1" applyBorder="1" applyAlignment="1">
      <alignment wrapText="1"/>
    </xf>
    <xf numFmtId="173" fontId="53" fillId="0" borderId="1" xfId="0" applyNumberFormat="1" applyFont="1" applyFill="1" applyBorder="1"/>
    <xf numFmtId="173" fontId="55" fillId="0" borderId="0" xfId="0" applyNumberFormat="1" applyFont="1"/>
    <xf numFmtId="172" fontId="53" fillId="0" borderId="1" xfId="0" applyNumberFormat="1" applyFont="1" applyBorder="1"/>
    <xf numFmtId="2" fontId="54" fillId="0" borderId="1" xfId="0" applyNumberFormat="1" applyFont="1" applyFill="1" applyBorder="1"/>
    <xf numFmtId="2" fontId="53" fillId="0" borderId="0" xfId="0" applyNumberFormat="1" applyFont="1" applyFill="1" applyAlignment="1">
      <alignment wrapText="1"/>
    </xf>
    <xf numFmtId="4" fontId="55" fillId="0" borderId="0" xfId="0" applyNumberFormat="1" applyFont="1"/>
    <xf numFmtId="1" fontId="53" fillId="3" borderId="1" xfId="0" applyNumberFormat="1" applyFont="1" applyFill="1" applyBorder="1"/>
    <xf numFmtId="1" fontId="53" fillId="0" borderId="1" xfId="0" applyNumberFormat="1" applyFont="1" applyBorder="1"/>
    <xf numFmtId="1" fontId="53" fillId="0" borderId="0" xfId="0" applyNumberFormat="1" applyFont="1" applyFill="1"/>
    <xf numFmtId="1" fontId="55" fillId="0" borderId="0" xfId="0" applyNumberFormat="1" applyFont="1" applyFill="1"/>
    <xf numFmtId="1" fontId="53" fillId="0" borderId="0" xfId="0" applyNumberFormat="1" applyFont="1"/>
    <xf numFmtId="3" fontId="72" fillId="5" borderId="1" xfId="0" applyNumberFormat="1" applyFont="1" applyFill="1" applyBorder="1"/>
    <xf numFmtId="4" fontId="53" fillId="5" borderId="1" xfId="0" applyNumberFormat="1" applyFont="1" applyFill="1" applyBorder="1"/>
    <xf numFmtId="2" fontId="53" fillId="0" borderId="0" xfId="0" applyNumberFormat="1" applyFont="1" applyAlignment="1">
      <alignment horizontal="center"/>
    </xf>
    <xf numFmtId="174" fontId="24" fillId="3" borderId="5" xfId="4" applyNumberFormat="1" applyFont="1" applyFill="1" applyBorder="1" applyAlignment="1">
      <alignment wrapText="1"/>
    </xf>
    <xf numFmtId="174" fontId="24" fillId="3" borderId="26" xfId="4" applyNumberFormat="1" applyFont="1" applyFill="1" applyBorder="1" applyAlignment="1">
      <alignment wrapText="1"/>
    </xf>
    <xf numFmtId="0" fontId="61" fillId="0" borderId="0" xfId="0" applyFont="1" applyAlignment="1">
      <alignment horizontal="left"/>
    </xf>
    <xf numFmtId="174" fontId="75" fillId="0" borderId="7" xfId="0" applyNumberFormat="1" applyFont="1" applyBorder="1" applyAlignment="1">
      <alignment wrapText="1"/>
    </xf>
    <xf numFmtId="4" fontId="64" fillId="0" borderId="1" xfId="0" applyNumberFormat="1" applyFont="1" applyBorder="1" applyAlignment="1">
      <alignment horizontal="center"/>
    </xf>
    <xf numFmtId="4" fontId="62" fillId="0" borderId="1" xfId="0" applyNumberFormat="1" applyFont="1" applyBorder="1" applyAlignment="1">
      <alignment horizontal="center"/>
    </xf>
    <xf numFmtId="4" fontId="54" fillId="3" borderId="1" xfId="0" applyNumberFormat="1" applyFont="1" applyFill="1" applyBorder="1"/>
    <xf numFmtId="4" fontId="54" fillId="0" borderId="1" xfId="0" applyNumberFormat="1" applyFont="1" applyFill="1" applyBorder="1"/>
    <xf numFmtId="3" fontId="72" fillId="0" borderId="1" xfId="0" applyNumberFormat="1" applyFont="1" applyBorder="1"/>
    <xf numFmtId="0" fontId="72" fillId="0" borderId="0" xfId="0" applyFont="1" applyAlignment="1">
      <alignment horizontal="left"/>
    </xf>
    <xf numFmtId="0" fontId="76" fillId="0" borderId="0" xfId="0" applyFont="1" applyAlignment="1">
      <alignment wrapText="1"/>
    </xf>
    <xf numFmtId="2" fontId="72" fillId="0" borderId="1" xfId="0" applyNumberFormat="1" applyFont="1" applyBorder="1"/>
    <xf numFmtId="0" fontId="43" fillId="0" borderId="17" xfId="1" applyFont="1" applyFill="1" applyBorder="1" applyAlignment="1"/>
    <xf numFmtId="173" fontId="66" fillId="0" borderId="1" xfId="0" applyNumberFormat="1" applyFont="1" applyBorder="1"/>
    <xf numFmtId="0" fontId="2" fillId="0" borderId="1" xfId="1" applyFont="1" applyFill="1" applyBorder="1" applyAlignment="1"/>
    <xf numFmtId="4" fontId="52" fillId="0" borderId="1" xfId="1" applyNumberFormat="1" applyFont="1" applyFill="1" applyBorder="1" applyAlignment="1"/>
    <xf numFmtId="4" fontId="52" fillId="0" borderId="1" xfId="1" applyNumberFormat="1" applyFont="1" applyBorder="1" applyAlignment="1"/>
    <xf numFmtId="4" fontId="46" fillId="0" borderId="7" xfId="0" applyNumberFormat="1" applyFont="1" applyBorder="1"/>
    <xf numFmtId="4" fontId="34" fillId="0" borderId="1" xfId="1" applyNumberFormat="1" applyFont="1" applyFill="1" applyBorder="1" applyAlignment="1">
      <alignment wrapText="1"/>
    </xf>
    <xf numFmtId="4" fontId="46" fillId="0" borderId="7" xfId="0" applyNumberFormat="1" applyFont="1" applyBorder="1" applyAlignment="1">
      <alignment wrapText="1"/>
    </xf>
    <xf numFmtId="4" fontId="46" fillId="0" borderId="1" xfId="0" applyNumberFormat="1" applyFont="1" applyBorder="1"/>
    <xf numFmtId="4" fontId="52" fillId="0" borderId="2" xfId="1" applyNumberFormat="1" applyFont="1" applyFill="1" applyBorder="1" applyAlignment="1"/>
    <xf numFmtId="4" fontId="66" fillId="0" borderId="1" xfId="0" applyNumberFormat="1" applyFont="1" applyBorder="1"/>
    <xf numFmtId="4" fontId="61" fillId="0" borderId="1" xfId="0" applyNumberFormat="1" applyFont="1" applyBorder="1"/>
    <xf numFmtId="4" fontId="68" fillId="0" borderId="1" xfId="0" applyNumberFormat="1" applyFont="1" applyBorder="1"/>
    <xf numFmtId="4" fontId="66" fillId="0" borderId="1" xfId="0" applyNumberFormat="1" applyFont="1" applyFill="1" applyBorder="1"/>
    <xf numFmtId="4" fontId="27" fillId="0" borderId="7" xfId="0" applyNumberFormat="1" applyFont="1" applyBorder="1" applyAlignment="1">
      <alignment horizontal="right"/>
    </xf>
    <xf numFmtId="4" fontId="27" fillId="0" borderId="1" xfId="0" applyNumberFormat="1" applyFont="1" applyBorder="1" applyAlignment="1">
      <alignment horizontal="right"/>
    </xf>
    <xf numFmtId="0" fontId="2" fillId="0" borderId="1" xfId="1" applyNumberFormat="1" applyFont="1" applyFill="1" applyBorder="1" applyAlignment="1"/>
    <xf numFmtId="2" fontId="66" fillId="0" borderId="1" xfId="0" applyNumberFormat="1" applyFont="1" applyBorder="1"/>
    <xf numFmtId="174" fontId="23" fillId="0" borderId="14" xfId="4" applyNumberFormat="1" applyFont="1" applyBorder="1" applyAlignment="1">
      <alignment wrapText="1"/>
    </xf>
    <xf numFmtId="174" fontId="23" fillId="0" borderId="27" xfId="0" applyNumberFormat="1" applyFont="1" applyBorder="1" applyAlignment="1">
      <alignment wrapText="1"/>
    </xf>
    <xf numFmtId="174" fontId="23" fillId="0" borderId="14" xfId="0" applyNumberFormat="1" applyFont="1" applyBorder="1" applyAlignment="1">
      <alignment wrapText="1"/>
    </xf>
    <xf numFmtId="0" fontId="34" fillId="0" borderId="1" xfId="1" applyFont="1" applyFill="1" applyBorder="1" applyAlignment="1">
      <alignment horizontal="left"/>
    </xf>
    <xf numFmtId="17" fontId="6" fillId="0" borderId="8" xfId="1" applyNumberFormat="1" applyFont="1" applyFill="1" applyBorder="1" applyAlignment="1">
      <alignment wrapText="1"/>
    </xf>
    <xf numFmtId="17" fontId="6" fillId="0" borderId="9" xfId="1" applyNumberFormat="1" applyFont="1" applyFill="1" applyBorder="1" applyAlignment="1">
      <alignment wrapText="1"/>
    </xf>
    <xf numFmtId="17" fontId="6" fillId="0" borderId="10" xfId="1" applyNumberFormat="1" applyFont="1" applyFill="1" applyBorder="1" applyAlignment="1">
      <alignment wrapText="1"/>
    </xf>
    <xf numFmtId="4" fontId="53" fillId="3" borderId="0" xfId="0" applyNumberFormat="1" applyFont="1" applyFill="1"/>
    <xf numFmtId="173" fontId="52" fillId="0" borderId="1" xfId="1" applyNumberFormat="1" applyFont="1" applyFill="1" applyBorder="1" applyAlignment="1"/>
    <xf numFmtId="0" fontId="74" fillId="0" borderId="1" xfId="1" applyFont="1" applyFill="1" applyBorder="1" applyAlignment="1"/>
    <xf numFmtId="172" fontId="52" fillId="0" borderId="1" xfId="1" applyNumberFormat="1" applyFont="1" applyFill="1" applyBorder="1" applyAlignment="1"/>
    <xf numFmtId="0" fontId="77" fillId="0" borderId="0" xfId="0" applyFont="1"/>
    <xf numFmtId="0" fontId="24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3" fontId="24" fillId="3" borderId="1" xfId="0" applyNumberFormat="1" applyFont="1" applyFill="1" applyBorder="1"/>
    <xf numFmtId="3" fontId="78" fillId="3" borderId="1" xfId="0" applyNumberFormat="1" applyFont="1" applyFill="1" applyBorder="1"/>
    <xf numFmtId="3" fontId="78" fillId="2" borderId="1" xfId="0" applyNumberFormat="1" applyFont="1" applyFill="1" applyBorder="1"/>
    <xf numFmtId="173" fontId="24" fillId="0" borderId="1" xfId="0" applyNumberFormat="1" applyFont="1" applyBorder="1"/>
    <xf numFmtId="2" fontId="24" fillId="0" borderId="1" xfId="0" applyNumberFormat="1" applyFont="1" applyBorder="1"/>
    <xf numFmtId="2" fontId="24" fillId="0" borderId="1" xfId="0" applyNumberFormat="1" applyFont="1" applyFill="1" applyBorder="1"/>
    <xf numFmtId="3" fontId="24" fillId="0" borderId="1" xfId="0" applyNumberFormat="1" applyFont="1" applyBorder="1"/>
    <xf numFmtId="175" fontId="24" fillId="0" borderId="1" xfId="0" applyNumberFormat="1" applyFont="1" applyBorder="1"/>
    <xf numFmtId="0" fontId="24" fillId="0" borderId="1" xfId="0" applyFont="1" applyFill="1" applyBorder="1"/>
    <xf numFmtId="3" fontId="24" fillId="0" borderId="1" xfId="0" applyNumberFormat="1" applyFont="1" applyFill="1" applyBorder="1"/>
    <xf numFmtId="0" fontId="77" fillId="0" borderId="1" xfId="0" applyFont="1" applyBorder="1"/>
    <xf numFmtId="0" fontId="79" fillId="0" borderId="1" xfId="0" applyFont="1" applyBorder="1"/>
    <xf numFmtId="2" fontId="79" fillId="0" borderId="1" xfId="0" applyNumberFormat="1" applyFont="1" applyBorder="1"/>
    <xf numFmtId="0" fontId="24" fillId="0" borderId="0" xfId="0" applyFont="1" applyFill="1" applyBorder="1"/>
    <xf numFmtId="3" fontId="24" fillId="0" borderId="0" xfId="0" applyNumberFormat="1" applyFont="1" applyFill="1" applyBorder="1"/>
    <xf numFmtId="3" fontId="78" fillId="0" borderId="0" xfId="0" applyNumberFormat="1" applyFont="1" applyFill="1" applyBorder="1"/>
    <xf numFmtId="173" fontId="24" fillId="0" borderId="0" xfId="0" applyNumberFormat="1" applyFont="1" applyFill="1" applyBorder="1"/>
    <xf numFmtId="2" fontId="24" fillId="0" borderId="0" xfId="0" applyNumberFormat="1" applyFont="1" applyFill="1" applyBorder="1"/>
    <xf numFmtId="175" fontId="24" fillId="0" borderId="0" xfId="0" applyNumberFormat="1" applyFont="1" applyFill="1" applyBorder="1"/>
    <xf numFmtId="2" fontId="77" fillId="0" borderId="0" xfId="0" applyNumberFormat="1" applyFont="1"/>
    <xf numFmtId="165" fontId="22" fillId="0" borderId="0" xfId="4" applyNumberFormat="1" applyFont="1" applyBorder="1" applyAlignment="1">
      <alignment wrapText="1"/>
    </xf>
    <xf numFmtId="0" fontId="67" fillId="0" borderId="0" xfId="0" applyFont="1" applyBorder="1" applyAlignment="1">
      <alignment horizontal="right"/>
    </xf>
    <xf numFmtId="0" fontId="64" fillId="0" borderId="0" xfId="0" applyFont="1" applyFill="1" applyBorder="1"/>
    <xf numFmtId="0" fontId="0" fillId="0" borderId="0" xfId="0" applyFill="1" applyBorder="1" applyAlignment="1">
      <alignment horizontal="right"/>
    </xf>
    <xf numFmtId="0" fontId="7" fillId="0" borderId="0" xfId="1" applyFont="1" applyFill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165" fontId="24" fillId="0" borderId="0" xfId="4" applyNumberFormat="1" applyFont="1" applyFill="1" applyBorder="1" applyAlignment="1">
      <alignment wrapText="1"/>
    </xf>
    <xf numFmtId="0" fontId="61" fillId="0" borderId="0" xfId="0" applyFont="1" applyFill="1" applyBorder="1" applyAlignment="1">
      <alignment horizontal="left"/>
    </xf>
    <xf numFmtId="0" fontId="33" fillId="0" borderId="0" xfId="1" applyFont="1" applyFill="1" applyBorder="1" applyAlignment="1">
      <alignment wrapText="1"/>
    </xf>
    <xf numFmtId="2" fontId="6" fillId="0" borderId="0" xfId="1" applyNumberFormat="1" applyFont="1" applyFill="1" applyBorder="1" applyAlignment="1">
      <alignment wrapText="1"/>
    </xf>
    <xf numFmtId="174" fontId="23" fillId="0" borderId="0" xfId="4" applyNumberFormat="1" applyFont="1" applyFill="1" applyBorder="1" applyAlignment="1">
      <alignment wrapText="1"/>
    </xf>
    <xf numFmtId="9" fontId="6" fillId="0" borderId="0" xfId="1" applyNumberFormat="1" applyFont="1" applyFill="1" applyBorder="1" applyAlignment="1">
      <alignment wrapText="1"/>
    </xf>
    <xf numFmtId="174" fontId="23" fillId="0" borderId="0" xfId="0" applyNumberFormat="1" applyFont="1" applyFill="1" applyBorder="1" applyAlignment="1">
      <alignment wrapText="1"/>
    </xf>
    <xf numFmtId="174" fontId="24" fillId="0" borderId="0" xfId="4" applyNumberFormat="1" applyFont="1" applyFill="1" applyBorder="1" applyAlignment="1">
      <alignment wrapText="1"/>
    </xf>
    <xf numFmtId="0" fontId="66" fillId="0" borderId="14" xfId="0" applyFont="1" applyBorder="1"/>
    <xf numFmtId="0" fontId="46" fillId="0" borderId="2" xfId="0" applyFont="1" applyBorder="1"/>
    <xf numFmtId="4" fontId="46" fillId="0" borderId="2" xfId="0" applyNumberFormat="1" applyFont="1" applyBorder="1"/>
    <xf numFmtId="0" fontId="2" fillId="0" borderId="1" xfId="1" applyFont="1" applyFill="1" applyBorder="1" applyAlignment="1">
      <alignment wrapText="1"/>
    </xf>
    <xf numFmtId="4" fontId="61" fillId="0" borderId="1" xfId="0" applyNumberFormat="1" applyFont="1" applyBorder="1" applyAlignment="1">
      <alignment horizontal="center" vertical="center"/>
    </xf>
    <xf numFmtId="4" fontId="46" fillId="0" borderId="2" xfId="0" applyNumberFormat="1" applyFont="1" applyBorder="1" applyAlignment="1">
      <alignment horizontal="center" vertical="center"/>
    </xf>
    <xf numFmtId="0" fontId="38" fillId="0" borderId="2" xfId="1" applyFont="1" applyFill="1" applyBorder="1" applyAlignment="1">
      <alignment wrapText="1"/>
    </xf>
    <xf numFmtId="174" fontId="12" fillId="0" borderId="7" xfId="0" applyNumberFormat="1" applyFont="1" applyBorder="1" applyAlignment="1">
      <alignment horizontal="right"/>
    </xf>
    <xf numFmtId="0" fontId="62" fillId="0" borderId="0" xfId="0" applyFont="1" applyBorder="1" applyAlignment="1">
      <alignment horizontal="center"/>
    </xf>
    <xf numFmtId="4" fontId="34" fillId="0" borderId="7" xfId="1" applyNumberFormat="1" applyFont="1" applyFill="1" applyBorder="1" applyAlignment="1">
      <alignment wrapText="1"/>
    </xf>
    <xf numFmtId="0" fontId="2" fillId="0" borderId="2" xfId="1" applyFont="1" applyFill="1" applyBorder="1" applyAlignment="1">
      <alignment wrapText="1"/>
    </xf>
    <xf numFmtId="0" fontId="39" fillId="0" borderId="1" xfId="1" applyFont="1" applyFill="1" applyBorder="1" applyAlignment="1">
      <alignment wrapText="1"/>
    </xf>
    <xf numFmtId="0" fontId="7" fillId="0" borderId="19" xfId="1" applyNumberFormat="1" applyFont="1" applyFill="1" applyBorder="1" applyAlignment="1"/>
    <xf numFmtId="0" fontId="52" fillId="0" borderId="7" xfId="1" applyFont="1" applyBorder="1" applyAlignment="1"/>
    <xf numFmtId="0" fontId="52" fillId="0" borderId="7" xfId="1" applyFont="1" applyFill="1" applyBorder="1" applyAlignment="1"/>
    <xf numFmtId="1" fontId="52" fillId="0" borderId="7" xfId="1" applyNumberFormat="1" applyFont="1" applyFill="1" applyBorder="1" applyAlignment="1"/>
    <xf numFmtId="4" fontId="52" fillId="0" borderId="7" xfId="1" applyNumberFormat="1" applyFont="1" applyFill="1" applyBorder="1" applyAlignment="1"/>
    <xf numFmtId="173" fontId="6" fillId="0" borderId="7" xfId="1" applyNumberFormat="1" applyFont="1" applyFill="1" applyBorder="1" applyAlignment="1">
      <alignment horizontal="right"/>
    </xf>
    <xf numFmtId="174" fontId="27" fillId="0" borderId="1" xfId="0" applyNumberFormat="1" applyFont="1" applyFill="1" applyBorder="1" applyAlignment="1">
      <alignment horizontal="right"/>
    </xf>
    <xf numFmtId="0" fontId="2" fillId="0" borderId="17" xfId="1" applyNumberFormat="1" applyFont="1" applyFill="1" applyBorder="1" applyAlignment="1"/>
    <xf numFmtId="0" fontId="7" fillId="0" borderId="13" xfId="1" applyFont="1" applyFill="1" applyBorder="1" applyAlignment="1">
      <alignment wrapText="1"/>
    </xf>
    <xf numFmtId="3" fontId="28" fillId="0" borderId="5" xfId="0" applyNumberFormat="1" applyFont="1" applyFill="1" applyBorder="1" applyAlignment="1">
      <alignment horizontal="right"/>
    </xf>
    <xf numFmtId="2" fontId="28" fillId="0" borderId="5" xfId="0" applyNumberFormat="1" applyFont="1" applyFill="1" applyBorder="1" applyAlignment="1">
      <alignment horizontal="right"/>
    </xf>
    <xf numFmtId="2" fontId="14" fillId="0" borderId="5" xfId="1" applyNumberFormat="1" applyFont="1" applyFill="1" applyBorder="1" applyAlignment="1">
      <alignment horizontal="right"/>
    </xf>
    <xf numFmtId="2" fontId="28" fillId="0" borderId="26" xfId="0" applyNumberFormat="1" applyFont="1" applyFill="1" applyBorder="1" applyAlignment="1">
      <alignment horizontal="right"/>
    </xf>
    <xf numFmtId="0" fontId="7" fillId="0" borderId="18" xfId="1" applyNumberFormat="1" applyFont="1" applyFill="1" applyBorder="1" applyAlignment="1"/>
    <xf numFmtId="174" fontId="23" fillId="0" borderId="7" xfId="4" applyNumberFormat="1" applyFont="1" applyFill="1" applyBorder="1" applyAlignment="1">
      <alignment wrapText="1"/>
    </xf>
    <xf numFmtId="174" fontId="23" fillId="0" borderId="17" xfId="0" applyNumberFormat="1" applyFont="1" applyFill="1" applyBorder="1" applyAlignment="1">
      <alignment wrapText="1"/>
    </xf>
    <xf numFmtId="174" fontId="23" fillId="0" borderId="7" xfId="0" applyNumberFormat="1" applyFont="1" applyFill="1" applyBorder="1" applyAlignment="1">
      <alignment wrapText="1"/>
    </xf>
    <xf numFmtId="3" fontId="7" fillId="0" borderId="5" xfId="1" applyNumberFormat="1" applyFont="1" applyFill="1" applyBorder="1" applyAlignment="1">
      <alignment horizontal="right"/>
    </xf>
    <xf numFmtId="2" fontId="7" fillId="0" borderId="5" xfId="1" applyNumberFormat="1" applyFont="1" applyFill="1" applyBorder="1" applyAlignment="1">
      <alignment horizontal="center"/>
    </xf>
    <xf numFmtId="2" fontId="7" fillId="0" borderId="5" xfId="1" applyNumberFormat="1" applyFont="1" applyFill="1" applyBorder="1" applyAlignment="1">
      <alignment horizontal="right"/>
    </xf>
    <xf numFmtId="2" fontId="7" fillId="0" borderId="26" xfId="1" applyNumberFormat="1" applyFont="1" applyFill="1" applyBorder="1" applyAlignment="1">
      <alignment horizontal="center"/>
    </xf>
    <xf numFmtId="2" fontId="13" fillId="0" borderId="5" xfId="1" applyNumberFormat="1" applyFont="1" applyFill="1" applyBorder="1" applyAlignment="1">
      <alignment horizontal="right"/>
    </xf>
    <xf numFmtId="0" fontId="43" fillId="0" borderId="18" xfId="1" applyFont="1" applyFill="1" applyBorder="1" applyAlignment="1"/>
    <xf numFmtId="9" fontId="13" fillId="0" borderId="5" xfId="1" applyNumberFormat="1" applyFont="1" applyFill="1" applyBorder="1" applyAlignment="1">
      <alignment horizontal="right"/>
    </xf>
    <xf numFmtId="174" fontId="28" fillId="0" borderId="5" xfId="0" applyNumberFormat="1" applyFont="1" applyFill="1" applyBorder="1" applyAlignment="1">
      <alignment horizontal="right"/>
    </xf>
    <xf numFmtId="174" fontId="28" fillId="0" borderId="26" xfId="0" applyNumberFormat="1" applyFont="1" applyFill="1" applyBorder="1" applyAlignment="1">
      <alignment horizontal="right"/>
    </xf>
    <xf numFmtId="0" fontId="7" fillId="0" borderId="7" xfId="1" applyFont="1" applyFill="1" applyBorder="1" applyAlignment="1"/>
    <xf numFmtId="0" fontId="2" fillId="0" borderId="2" xfId="1" applyFont="1" applyFill="1" applyBorder="1" applyAlignment="1"/>
    <xf numFmtId="0" fontId="7" fillId="0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wrapText="1"/>
    </xf>
    <xf numFmtId="9" fontId="13" fillId="0" borderId="13" xfId="1" applyNumberFormat="1" applyFont="1" applyFill="1" applyBorder="1" applyAlignment="1">
      <alignment horizontal="right"/>
    </xf>
    <xf numFmtId="174" fontId="28" fillId="0" borderId="3" xfId="0" applyNumberFormat="1" applyFont="1" applyFill="1" applyBorder="1" applyAlignment="1">
      <alignment horizontal="right"/>
    </xf>
    <xf numFmtId="0" fontId="23" fillId="0" borderId="3" xfId="0" applyFont="1" applyFill="1" applyBorder="1" applyAlignment="1"/>
    <xf numFmtId="0" fontId="27" fillId="0" borderId="3" xfId="0" applyFont="1" applyFill="1" applyBorder="1" applyAlignment="1"/>
    <xf numFmtId="165" fontId="28" fillId="0" borderId="3" xfId="0" applyNumberFormat="1" applyFont="1" applyFill="1" applyBorder="1" applyAlignment="1">
      <alignment horizontal="center"/>
    </xf>
    <xf numFmtId="165" fontId="28" fillId="0" borderId="3" xfId="0" applyNumberFormat="1" applyFont="1" applyFill="1" applyBorder="1" applyAlignment="1">
      <alignment horizontal="left"/>
    </xf>
    <xf numFmtId="174" fontId="28" fillId="0" borderId="3" xfId="0" applyNumberFormat="1" applyFont="1" applyFill="1" applyBorder="1" applyAlignment="1">
      <alignment horizontal="left"/>
    </xf>
    <xf numFmtId="174" fontId="28" fillId="0" borderId="3" xfId="0" applyNumberFormat="1" applyFont="1" applyFill="1" applyBorder="1" applyAlignment="1">
      <alignment horizontal="center"/>
    </xf>
    <xf numFmtId="0" fontId="23" fillId="0" borderId="0" xfId="0" applyFont="1" applyFill="1" applyBorder="1" applyAlignment="1"/>
    <xf numFmtId="174" fontId="28" fillId="0" borderId="0" xfId="0" applyNumberFormat="1" applyFont="1" applyFill="1" applyBorder="1" applyAlignment="1">
      <alignment horizontal="left"/>
    </xf>
    <xf numFmtId="0" fontId="67" fillId="0" borderId="1" xfId="0" applyFont="1" applyBorder="1" applyAlignment="1">
      <alignment wrapText="1"/>
    </xf>
    <xf numFmtId="0" fontId="67" fillId="0" borderId="1" xfId="0" applyFont="1" applyBorder="1"/>
    <xf numFmtId="4" fontId="67" fillId="0" borderId="1" xfId="0" applyNumberFormat="1" applyFont="1" applyBorder="1"/>
    <xf numFmtId="0" fontId="68" fillId="0" borderId="0" xfId="0" applyFont="1" applyFill="1" applyBorder="1"/>
    <xf numFmtId="4" fontId="68" fillId="0" borderId="1" xfId="0" applyNumberFormat="1" applyFont="1" applyBorder="1" applyAlignment="1">
      <alignment wrapText="1"/>
    </xf>
    <xf numFmtId="4" fontId="67" fillId="0" borderId="1" xfId="0" applyNumberFormat="1" applyFont="1" applyBorder="1" applyAlignment="1">
      <alignment wrapText="1"/>
    </xf>
    <xf numFmtId="174" fontId="27" fillId="0" borderId="7" xfId="4" applyNumberFormat="1" applyFont="1" applyBorder="1" applyAlignment="1">
      <alignment wrapText="1"/>
    </xf>
    <xf numFmtId="9" fontId="13" fillId="0" borderId="7" xfId="1" applyNumberFormat="1" applyFont="1" applyBorder="1" applyAlignment="1">
      <alignment wrapText="1"/>
    </xf>
    <xf numFmtId="174" fontId="27" fillId="0" borderId="17" xfId="0" applyNumberFormat="1" applyFont="1" applyBorder="1" applyAlignment="1">
      <alignment wrapText="1"/>
    </xf>
    <xf numFmtId="174" fontId="27" fillId="0" borderId="7" xfId="0" applyNumberFormat="1" applyFont="1" applyBorder="1" applyAlignment="1">
      <alignment wrapText="1"/>
    </xf>
    <xf numFmtId="0" fontId="13" fillId="0" borderId="2" xfId="1" applyFont="1" applyFill="1" applyBorder="1" applyAlignment="1">
      <alignment wrapText="1"/>
    </xf>
    <xf numFmtId="173" fontId="13" fillId="0" borderId="7" xfId="1" applyNumberFormat="1" applyFont="1" applyFill="1" applyBorder="1" applyAlignment="1">
      <alignment wrapText="1"/>
    </xf>
    <xf numFmtId="0" fontId="13" fillId="0" borderId="1" xfId="1" applyFont="1" applyBorder="1" applyAlignment="1">
      <alignment wrapText="1"/>
    </xf>
    <xf numFmtId="0" fontId="13" fillId="0" borderId="1" xfId="1" applyFont="1" applyFill="1" applyBorder="1" applyAlignment="1">
      <alignment wrapText="1"/>
    </xf>
    <xf numFmtId="173" fontId="13" fillId="0" borderId="1" xfId="1" applyNumberFormat="1" applyFont="1" applyFill="1" applyBorder="1" applyAlignment="1">
      <alignment wrapText="1"/>
    </xf>
    <xf numFmtId="0" fontId="13" fillId="0" borderId="1" xfId="1" applyFont="1" applyFill="1" applyBorder="1" applyAlignment="1">
      <alignment horizontal="right"/>
    </xf>
    <xf numFmtId="173" fontId="13" fillId="0" borderId="1" xfId="1" applyNumberFormat="1" applyFont="1" applyFill="1" applyBorder="1" applyAlignment="1">
      <alignment horizontal="right"/>
    </xf>
    <xf numFmtId="0" fontId="35" fillId="0" borderId="0" xfId="1" applyFont="1" applyBorder="1" applyAlignment="1">
      <alignment horizontal="left" wrapText="1"/>
    </xf>
    <xf numFmtId="174" fontId="27" fillId="0" borderId="1" xfId="5" applyNumberFormat="1" applyFont="1" applyFill="1" applyBorder="1" applyAlignment="1">
      <alignment horizontal="right"/>
    </xf>
    <xf numFmtId="0" fontId="23" fillId="6" borderId="0" xfId="0" applyFont="1" applyFill="1" applyAlignment="1">
      <alignment horizontal="right"/>
    </xf>
    <xf numFmtId="0" fontId="34" fillId="6" borderId="2" xfId="1" applyFont="1" applyFill="1" applyBorder="1" applyAlignment="1">
      <alignment wrapText="1"/>
    </xf>
    <xf numFmtId="4" fontId="27" fillId="0" borderId="1" xfId="5" applyNumberFormat="1" applyFont="1" applyBorder="1" applyAlignment="1">
      <alignment horizontal="right"/>
    </xf>
    <xf numFmtId="0" fontId="34" fillId="6" borderId="1" xfId="1" applyFont="1" applyFill="1" applyBorder="1" applyAlignment="1">
      <alignment wrapText="1"/>
    </xf>
    <xf numFmtId="174" fontId="27" fillId="0" borderId="7" xfId="5" applyNumberFormat="1" applyFont="1" applyFill="1" applyBorder="1" applyAlignment="1">
      <alignment horizontal="right"/>
    </xf>
    <xf numFmtId="2" fontId="28" fillId="0" borderId="5" xfId="5" applyNumberFormat="1" applyFont="1" applyFill="1" applyBorder="1" applyAlignment="1">
      <alignment horizontal="right"/>
    </xf>
    <xf numFmtId="0" fontId="77" fillId="6" borderId="0" xfId="0" applyFont="1" applyFill="1"/>
    <xf numFmtId="0" fontId="6" fillId="6" borderId="1" xfId="1" applyFont="1" applyFill="1" applyBorder="1" applyAlignment="1">
      <alignment wrapText="1"/>
    </xf>
    <xf numFmtId="0" fontId="2" fillId="6" borderId="1" xfId="1" applyFont="1" applyFill="1" applyBorder="1" applyAlignment="1">
      <alignment wrapText="1"/>
    </xf>
    <xf numFmtId="0" fontId="23" fillId="7" borderId="0" xfId="0" applyFont="1" applyFill="1" applyAlignment="1">
      <alignment horizontal="right"/>
    </xf>
    <xf numFmtId="174" fontId="28" fillId="0" borderId="5" xfId="5" applyNumberFormat="1" applyFont="1" applyFill="1" applyBorder="1" applyAlignment="1">
      <alignment horizontal="right"/>
    </xf>
    <xf numFmtId="165" fontId="28" fillId="0" borderId="5" xfId="5" applyNumberFormat="1" applyFont="1" applyFill="1" applyBorder="1" applyAlignment="1">
      <alignment horizontal="right"/>
    </xf>
    <xf numFmtId="174" fontId="28" fillId="0" borderId="26" xfId="5" applyNumberFormat="1" applyFont="1" applyFill="1" applyBorder="1" applyAlignment="1">
      <alignment horizontal="right"/>
    </xf>
    <xf numFmtId="174" fontId="28" fillId="0" borderId="3" xfId="5" applyNumberFormat="1" applyFont="1" applyFill="1" applyBorder="1" applyAlignment="1">
      <alignment horizontal="right"/>
    </xf>
    <xf numFmtId="174" fontId="27" fillId="0" borderId="7" xfId="5" applyNumberFormat="1" applyFont="1" applyBorder="1" applyAlignment="1">
      <alignment horizontal="right"/>
    </xf>
    <xf numFmtId="4" fontId="46" fillId="0" borderId="2" xfId="5" applyNumberFormat="1" applyFont="1" applyBorder="1" applyAlignment="1">
      <alignment horizontal="center" vertical="center"/>
    </xf>
    <xf numFmtId="0" fontId="34" fillId="3" borderId="1" xfId="1" applyFont="1" applyFill="1" applyBorder="1" applyAlignment="1">
      <alignment wrapText="1"/>
    </xf>
    <xf numFmtId="0" fontId="34" fillId="3" borderId="2" xfId="1" applyFont="1" applyFill="1" applyBorder="1" applyAlignment="1">
      <alignment wrapText="1"/>
    </xf>
    <xf numFmtId="0" fontId="56" fillId="6" borderId="0" xfId="0" applyFont="1" applyFill="1" applyAlignment="1">
      <alignment horizontal="right"/>
    </xf>
    <xf numFmtId="0" fontId="23" fillId="8" borderId="0" xfId="0" applyFont="1" applyFill="1" applyAlignment="1">
      <alignment horizontal="right"/>
    </xf>
    <xf numFmtId="0" fontId="0" fillId="6" borderId="0" xfId="0" applyFill="1"/>
    <xf numFmtId="0" fontId="6" fillId="0" borderId="18" xfId="1" applyFont="1" applyFill="1" applyBorder="1" applyAlignment="1"/>
    <xf numFmtId="0" fontId="56" fillId="0" borderId="0" xfId="0" applyFont="1" applyAlignment="1">
      <alignment horizontal="right"/>
    </xf>
    <xf numFmtId="0" fontId="2" fillId="0" borderId="17" xfId="1" applyFont="1" applyFill="1" applyBorder="1" applyAlignment="1"/>
    <xf numFmtId="0" fontId="0" fillId="0" borderId="17" xfId="0" applyBorder="1"/>
    <xf numFmtId="0" fontId="68" fillId="0" borderId="7" xfId="0" applyFont="1" applyBorder="1"/>
    <xf numFmtId="4" fontId="68" fillId="0" borderId="7" xfId="0" applyNumberFormat="1" applyFont="1" applyBorder="1"/>
    <xf numFmtId="0" fontId="4" fillId="0" borderId="0" xfId="1" applyFont="1" applyBorder="1" applyAlignment="1">
      <alignment horizontal="left" wrapText="1"/>
    </xf>
    <xf numFmtId="0" fontId="57" fillId="0" borderId="2" xfId="1" applyFont="1" applyFill="1" applyBorder="1" applyAlignment="1">
      <alignment wrapText="1"/>
    </xf>
    <xf numFmtId="0" fontId="70" fillId="0" borderId="11" xfId="1" applyFont="1" applyFill="1" applyBorder="1" applyAlignment="1">
      <alignment wrapText="1"/>
    </xf>
    <xf numFmtId="0" fontId="57" fillId="0" borderId="2" xfId="1" applyFont="1" applyFill="1" applyBorder="1" applyAlignment="1"/>
    <xf numFmtId="0" fontId="61" fillId="0" borderId="0" xfId="0" applyFont="1" applyAlignment="1">
      <alignment horizontal="left"/>
    </xf>
    <xf numFmtId="0" fontId="52" fillId="0" borderId="1" xfId="1" applyFont="1" applyBorder="1" applyAlignment="1">
      <alignment wrapText="1"/>
    </xf>
    <xf numFmtId="0" fontId="61" fillId="0" borderId="0" xfId="0" applyFont="1" applyAlignment="1">
      <alignment horizontal="left"/>
    </xf>
    <xf numFmtId="0" fontId="61" fillId="0" borderId="0" xfId="0" applyFont="1" applyAlignment="1">
      <alignment horizontal="left"/>
    </xf>
    <xf numFmtId="0" fontId="2" fillId="0" borderId="1" xfId="1" applyFont="1" applyBorder="1" applyAlignment="1">
      <alignment wrapText="1"/>
    </xf>
    <xf numFmtId="174" fontId="24" fillId="0" borderId="28" xfId="4" applyNumberFormat="1" applyFont="1" applyBorder="1" applyAlignment="1">
      <alignment wrapText="1"/>
    </xf>
    <xf numFmtId="165" fontId="24" fillId="0" borderId="29" xfId="4" applyNumberFormat="1" applyFont="1" applyBorder="1" applyAlignment="1">
      <alignment wrapText="1"/>
    </xf>
    <xf numFmtId="174" fontId="23" fillId="0" borderId="1" xfId="4" applyNumberFormat="1" applyFont="1" applyBorder="1" applyAlignment="1">
      <alignment wrapText="1"/>
    </xf>
    <xf numFmtId="174" fontId="23" fillId="0" borderId="1" xfId="0" applyNumberFormat="1" applyFont="1" applyBorder="1" applyAlignment="1">
      <alignment wrapText="1"/>
    </xf>
    <xf numFmtId="0" fontId="6" fillId="0" borderId="21" xfId="1" applyFont="1" applyBorder="1" applyAlignment="1">
      <alignment wrapText="1"/>
    </xf>
    <xf numFmtId="0" fontId="7" fillId="0" borderId="22" xfId="1" applyFont="1" applyBorder="1" applyAlignment="1">
      <alignment wrapText="1"/>
    </xf>
    <xf numFmtId="0" fontId="33" fillId="0" borderId="23" xfId="1" applyFont="1" applyFill="1" applyBorder="1" applyAlignment="1">
      <alignment wrapText="1"/>
    </xf>
    <xf numFmtId="0" fontId="7" fillId="0" borderId="23" xfId="1" applyFont="1" applyFill="1" applyBorder="1" applyAlignment="1">
      <alignment wrapText="1"/>
    </xf>
    <xf numFmtId="0" fontId="7" fillId="0" borderId="23" xfId="1" applyFont="1" applyBorder="1" applyAlignment="1">
      <alignment wrapText="1"/>
    </xf>
    <xf numFmtId="0" fontId="7" fillId="0" borderId="24" xfId="1" applyFont="1" applyBorder="1" applyAlignment="1">
      <alignment wrapText="1"/>
    </xf>
    <xf numFmtId="0" fontId="7" fillId="0" borderId="21" xfId="1" applyFont="1" applyBorder="1" applyAlignment="1">
      <alignment wrapText="1"/>
    </xf>
    <xf numFmtId="17" fontId="2" fillId="0" borderId="1" xfId="1" applyNumberFormat="1" applyFont="1" applyBorder="1" applyAlignment="1">
      <alignment wrapText="1"/>
    </xf>
    <xf numFmtId="0" fontId="7" fillId="0" borderId="20" xfId="1" applyFont="1" applyBorder="1" applyAlignment="1">
      <alignment wrapText="1"/>
    </xf>
    <xf numFmtId="0" fontId="7" fillId="0" borderId="28" xfId="1" applyFont="1" applyBorder="1" applyAlignment="1">
      <alignment wrapText="1"/>
    </xf>
    <xf numFmtId="0" fontId="8" fillId="3" borderId="30" xfId="1" applyFont="1" applyFill="1" applyBorder="1" applyAlignment="1">
      <alignment wrapText="1"/>
    </xf>
    <xf numFmtId="0" fontId="61" fillId="0" borderId="0" xfId="0" applyFont="1" applyBorder="1" applyAlignment="1">
      <alignment horizontal="center"/>
    </xf>
    <xf numFmtId="0" fontId="2" fillId="0" borderId="0" xfId="1" applyFill="1" applyAlignment="1">
      <alignment horizontal="left"/>
    </xf>
    <xf numFmtId="0" fontId="2" fillId="0" borderId="0" xfId="1" applyFill="1" applyBorder="1" applyAlignment="1">
      <alignment horizontal="left"/>
    </xf>
    <xf numFmtId="173" fontId="6" fillId="3" borderId="7" xfId="1" applyNumberFormat="1" applyFont="1" applyFill="1" applyBorder="1" applyAlignment="1">
      <alignment wrapText="1"/>
    </xf>
    <xf numFmtId="0" fontId="57" fillId="0" borderId="1" xfId="1" applyFont="1" applyFill="1" applyBorder="1" applyAlignment="1"/>
    <xf numFmtId="0" fontId="38" fillId="0" borderId="19" xfId="1" applyFont="1" applyFill="1" applyBorder="1" applyAlignment="1">
      <alignment wrapText="1"/>
    </xf>
    <xf numFmtId="0" fontId="68" fillId="0" borderId="0" xfId="0" applyFont="1" applyBorder="1"/>
    <xf numFmtId="4" fontId="8" fillId="3" borderId="13" xfId="1" applyNumberFormat="1" applyFont="1" applyFill="1" applyBorder="1" applyAlignment="1">
      <alignment wrapText="1"/>
    </xf>
    <xf numFmtId="0" fontId="76" fillId="0" borderId="0" xfId="0" applyFont="1"/>
    <xf numFmtId="174" fontId="59" fillId="0" borderId="0" xfId="0" applyNumberFormat="1" applyFont="1"/>
    <xf numFmtId="174" fontId="79" fillId="0" borderId="0" xfId="0" applyNumberFormat="1" applyFont="1"/>
    <xf numFmtId="0" fontId="57" fillId="0" borderId="17" xfId="1" applyNumberFormat="1" applyFont="1" applyFill="1" applyBorder="1" applyAlignment="1"/>
    <xf numFmtId="0" fontId="80" fillId="0" borderId="1" xfId="1" applyFont="1" applyFill="1" applyBorder="1" applyAlignment="1">
      <alignment wrapText="1"/>
    </xf>
    <xf numFmtId="169" fontId="53" fillId="0" borderId="1" xfId="0" applyNumberFormat="1" applyFont="1" applyBorder="1"/>
    <xf numFmtId="166" fontId="53" fillId="0" borderId="1" xfId="0" applyNumberFormat="1" applyFont="1" applyBorder="1"/>
    <xf numFmtId="0" fontId="61" fillId="0" borderId="0" xfId="0" applyFont="1" applyBorder="1" applyAlignment="1">
      <alignment horizontal="left"/>
    </xf>
    <xf numFmtId="0" fontId="61" fillId="0" borderId="0" xfId="0" applyFont="1" applyAlignment="1">
      <alignment horizontal="left"/>
    </xf>
    <xf numFmtId="0" fontId="62" fillId="0" borderId="0" xfId="0" applyFont="1" applyFill="1" applyBorder="1" applyAlignment="1">
      <alignment horizontal="center"/>
    </xf>
    <xf numFmtId="3" fontId="62" fillId="0" borderId="0" xfId="0" applyNumberFormat="1" applyFont="1" applyFill="1" applyBorder="1" applyAlignment="1">
      <alignment horizontal="center"/>
    </xf>
    <xf numFmtId="3" fontId="64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2" fillId="0" borderId="0" xfId="0" applyFont="1" applyBorder="1" applyAlignment="1">
      <alignment horizontal="center"/>
    </xf>
    <xf numFmtId="3" fontId="62" fillId="0" borderId="0" xfId="0" applyNumberFormat="1" applyFont="1" applyBorder="1" applyAlignment="1">
      <alignment horizontal="center"/>
    </xf>
    <xf numFmtId="0" fontId="61" fillId="0" borderId="0" xfId="0" applyFont="1" applyAlignment="1">
      <alignment horizontal="left"/>
    </xf>
    <xf numFmtId="4" fontId="53" fillId="3" borderId="1" xfId="0" applyNumberFormat="1" applyFont="1" applyFill="1" applyBorder="1"/>
    <xf numFmtId="0" fontId="0" fillId="0" borderId="0" xfId="0" quotePrefix="1"/>
    <xf numFmtId="0" fontId="81" fillId="0" borderId="0" xfId="0" applyFont="1" applyFill="1" applyBorder="1" applyAlignment="1"/>
    <xf numFmtId="165" fontId="82" fillId="0" borderId="0" xfId="0" applyNumberFormat="1" applyFont="1" applyFill="1" applyBorder="1" applyAlignment="1">
      <alignment horizontal="left"/>
    </xf>
    <xf numFmtId="0" fontId="76" fillId="0" borderId="0" xfId="0" applyFont="1" applyAlignment="1">
      <alignment wrapText="1"/>
    </xf>
    <xf numFmtId="0" fontId="58" fillId="0" borderId="11" xfId="1" applyFont="1" applyFill="1" applyBorder="1" applyAlignment="1">
      <alignment wrapText="1"/>
    </xf>
    <xf numFmtId="0" fontId="58" fillId="0" borderId="2" xfId="1" applyFont="1" applyFill="1" applyBorder="1" applyAlignment="1">
      <alignment wrapText="1"/>
    </xf>
    <xf numFmtId="3" fontId="17" fillId="0" borderId="2" xfId="0" applyNumberFormat="1" applyFont="1" applyBorder="1"/>
    <xf numFmtId="3" fontId="17" fillId="0" borderId="2" xfId="0" applyNumberFormat="1" applyFont="1" applyFill="1" applyBorder="1"/>
    <xf numFmtId="3" fontId="17" fillId="0" borderId="7" xfId="0" applyNumberFormat="1" applyFont="1" applyBorder="1"/>
    <xf numFmtId="3" fontId="17" fillId="0" borderId="18" xfId="0" applyNumberFormat="1" applyFont="1" applyBorder="1" applyAlignment="1"/>
    <xf numFmtId="3" fontId="17" fillId="0" borderId="25" xfId="0" applyNumberFormat="1" applyFont="1" applyBorder="1" applyAlignment="1"/>
    <xf numFmtId="3" fontId="17" fillId="0" borderId="9" xfId="0" applyNumberFormat="1" applyFont="1" applyBorder="1" applyAlignment="1"/>
    <xf numFmtId="3" fontId="17" fillId="0" borderId="11" xfId="0" applyNumberFormat="1" applyFont="1" applyBorder="1"/>
    <xf numFmtId="3" fontId="17" fillId="0" borderId="8" xfId="0" applyNumberFormat="1" applyFont="1" applyBorder="1"/>
    <xf numFmtId="3" fontId="17" fillId="0" borderId="9" xfId="0" applyNumberFormat="1" applyFont="1" applyBorder="1"/>
    <xf numFmtId="0" fontId="61" fillId="0" borderId="0" xfId="0" applyFont="1" applyAlignment="1">
      <alignment horizontal="left"/>
    </xf>
    <xf numFmtId="0" fontId="7" fillId="0" borderId="0" xfId="1" applyFont="1" applyBorder="1" applyAlignment="1">
      <alignment horizontal="center" wrapText="1"/>
    </xf>
    <xf numFmtId="176" fontId="24" fillId="0" borderId="0" xfId="4" applyNumberFormat="1" applyFont="1" applyBorder="1" applyAlignment="1">
      <alignment wrapText="1"/>
    </xf>
    <xf numFmtId="176" fontId="0" fillId="0" borderId="0" xfId="0" applyNumberFormat="1" applyAlignment="1">
      <alignment wrapText="1"/>
    </xf>
    <xf numFmtId="0" fontId="83" fillId="0" borderId="0" xfId="0" applyFont="1" applyBorder="1" applyAlignment="1">
      <alignment horizontal="left"/>
    </xf>
    <xf numFmtId="0" fontId="6" fillId="0" borderId="0" xfId="1" applyFont="1" applyFill="1" applyBorder="1" applyAlignment="1">
      <alignment wrapText="1"/>
    </xf>
    <xf numFmtId="0" fontId="7" fillId="0" borderId="0" xfId="1" applyFont="1" applyBorder="1" applyAlignment="1">
      <alignment horizontal="left" wrapText="1"/>
    </xf>
    <xf numFmtId="0" fontId="2" fillId="0" borderId="27" xfId="1" applyFill="1" applyBorder="1" applyAlignment="1">
      <alignment horizontal="left"/>
    </xf>
    <xf numFmtId="0" fontId="2" fillId="0" borderId="0" xfId="1" applyFill="1" applyAlignment="1">
      <alignment horizontal="left"/>
    </xf>
    <xf numFmtId="0" fontId="35" fillId="0" borderId="0" xfId="1" applyFont="1" applyAlignment="1">
      <alignment horizontal="left" wrapText="1"/>
    </xf>
    <xf numFmtId="0" fontId="61" fillId="0" borderId="0" xfId="0" applyFont="1" applyFill="1" applyBorder="1" applyAlignment="1">
      <alignment horizontal="left"/>
    </xf>
    <xf numFmtId="4" fontId="40" fillId="0" borderId="0" xfId="1" applyNumberFormat="1" applyFont="1" applyFill="1" applyAlignment="1">
      <alignment horizontal="center" wrapText="1"/>
    </xf>
    <xf numFmtId="0" fontId="61" fillId="0" borderId="0" xfId="0" applyFont="1" applyBorder="1" applyAlignment="1">
      <alignment horizontal="left"/>
    </xf>
    <xf numFmtId="0" fontId="4" fillId="0" borderId="0" xfId="1" applyFont="1" applyAlignment="1">
      <alignment horizontal="left" wrapText="1"/>
    </xf>
    <xf numFmtId="0" fontId="33" fillId="0" borderId="0" xfId="1" applyFont="1" applyBorder="1" applyAlignment="1">
      <alignment horizontal="left" wrapText="1"/>
    </xf>
    <xf numFmtId="0" fontId="61" fillId="0" borderId="0" xfId="0" applyFont="1" applyAlignment="1">
      <alignment horizontal="center"/>
    </xf>
    <xf numFmtId="0" fontId="35" fillId="0" borderId="0" xfId="1" applyFont="1" applyBorder="1" applyAlignment="1">
      <alignment horizontal="left" wrapText="1"/>
    </xf>
    <xf numFmtId="0" fontId="84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9" fontId="6" fillId="0" borderId="32" xfId="1" applyNumberFormat="1" applyFont="1" applyBorder="1" applyAlignment="1">
      <alignment horizontal="center"/>
    </xf>
    <xf numFmtId="49" fontId="6" fillId="0" borderId="0" xfId="1" applyNumberFormat="1" applyFont="1" applyBorder="1" applyAlignment="1">
      <alignment horizontal="center"/>
    </xf>
    <xf numFmtId="3" fontId="62" fillId="0" borderId="0" xfId="0" applyNumberFormat="1" applyFont="1" applyFill="1" applyBorder="1" applyAlignment="1">
      <alignment horizontal="center"/>
    </xf>
    <xf numFmtId="0" fontId="63" fillId="0" borderId="0" xfId="0" applyFont="1" applyBorder="1" applyAlignment="1">
      <alignment horizontal="center" vertical="center"/>
    </xf>
    <xf numFmtId="0" fontId="61" fillId="0" borderId="0" xfId="0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3" fontId="62" fillId="0" borderId="0" xfId="0" applyNumberFormat="1" applyFont="1" applyBorder="1" applyAlignment="1">
      <alignment horizontal="center"/>
    </xf>
    <xf numFmtId="0" fontId="0" fillId="0" borderId="0" xfId="0" applyAlignment="1"/>
    <xf numFmtId="3" fontId="64" fillId="0" borderId="0" xfId="0" applyNumberFormat="1" applyFont="1" applyBorder="1" applyAlignment="1">
      <alignment horizontal="center" vertical="center"/>
    </xf>
    <xf numFmtId="0" fontId="6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64" fillId="0" borderId="17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76" fillId="0" borderId="0" xfId="0" applyFont="1" applyAlignment="1">
      <alignment wrapText="1"/>
    </xf>
    <xf numFmtId="0" fontId="33" fillId="0" borderId="0" xfId="1" applyFont="1" applyBorder="1" applyAlignment="1">
      <alignment horizontal="center" wrapText="1"/>
    </xf>
    <xf numFmtId="49" fontId="17" fillId="3" borderId="2" xfId="0" applyNumberFormat="1" applyFont="1" applyFill="1" applyBorder="1" applyAlignment="1">
      <alignment horizontal="center" vertical="center" wrapText="1"/>
    </xf>
    <xf numFmtId="49" fontId="17" fillId="3" borderId="14" xfId="0" applyNumberFormat="1" applyFont="1" applyFill="1" applyBorder="1" applyAlignment="1">
      <alignment horizontal="center" vertical="center" wrapText="1"/>
    </xf>
    <xf numFmtId="49" fontId="17" fillId="3" borderId="7" xfId="0" applyNumberFormat="1" applyFont="1" applyFill="1" applyBorder="1" applyAlignment="1">
      <alignment horizontal="center" vertical="center" wrapText="1"/>
    </xf>
    <xf numFmtId="3" fontId="45" fillId="0" borderId="18" xfId="0" applyNumberFormat="1" applyFont="1" applyBorder="1" applyAlignment="1">
      <alignment horizontal="center" wrapText="1"/>
    </xf>
    <xf numFmtId="3" fontId="45" fillId="0" borderId="9" xfId="0" applyNumberFormat="1" applyFont="1" applyBorder="1" applyAlignment="1">
      <alignment horizontal="center" wrapText="1"/>
    </xf>
    <xf numFmtId="49" fontId="53" fillId="3" borderId="2" xfId="0" applyNumberFormat="1" applyFont="1" applyFill="1" applyBorder="1" applyAlignment="1">
      <alignment horizontal="center" vertical="center" wrapText="1"/>
    </xf>
    <xf numFmtId="49" fontId="53" fillId="3" borderId="14" xfId="0" applyNumberFormat="1" applyFont="1" applyFill="1" applyBorder="1" applyAlignment="1">
      <alignment horizontal="center" vertical="center" wrapText="1"/>
    </xf>
    <xf numFmtId="49" fontId="53" fillId="3" borderId="7" xfId="0" applyNumberFormat="1" applyFont="1" applyFill="1" applyBorder="1" applyAlignment="1">
      <alignment horizontal="center" vertical="center" wrapText="1"/>
    </xf>
    <xf numFmtId="0" fontId="7" fillId="0" borderId="32" xfId="1" applyFont="1" applyBorder="1" applyAlignment="1">
      <alignment wrapText="1"/>
    </xf>
    <xf numFmtId="0" fontId="0" fillId="0" borderId="32" xfId="0" applyBorder="1" applyAlignment="1">
      <alignment wrapText="1"/>
    </xf>
    <xf numFmtId="0" fontId="68" fillId="0" borderId="0" xfId="0" applyFont="1" applyAlignment="1"/>
  </cellXfs>
  <cellStyles count="8">
    <cellStyle name="Обычный" xfId="0" builtinId="0"/>
    <cellStyle name="Обычный 2" xfId="1"/>
    <cellStyle name="Обычный 2 2" xfId="2"/>
    <cellStyle name="Финансовый" xfId="3" builtinId="3"/>
    <cellStyle name="Финансовый 2" xfId="4"/>
    <cellStyle name="Финансовый 2 2" xfId="5"/>
    <cellStyle name="Финансовый 2 2 2" xfId="6"/>
    <cellStyle name="Финансовый 2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434340</xdr:colOff>
      <xdr:row>9</xdr:row>
      <xdr:rowOff>158115</xdr:rowOff>
    </xdr:from>
    <xdr:ext cx="191087" cy="274009"/>
    <xdr:sp macro="" textlink="">
      <xdr:nvSpPr>
        <xdr:cNvPr id="2" name="TextBox 1"/>
        <xdr:cNvSpPr txBox="1"/>
      </xdr:nvSpPr>
      <xdr:spPr>
        <a:xfrm>
          <a:off x="438150" y="27165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9</xdr:row>
      <xdr:rowOff>231934</xdr:rowOff>
    </xdr:from>
    <xdr:ext cx="1074064" cy="264560"/>
    <xdr:sp macro="" textlink="">
      <xdr:nvSpPr>
        <xdr:cNvPr id="3" name="TextBox 2"/>
        <xdr:cNvSpPr txBox="1"/>
      </xdr:nvSpPr>
      <xdr:spPr>
        <a:xfrm>
          <a:off x="470535" y="2782729"/>
          <a:ext cx="10787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434340</xdr:colOff>
      <xdr:row>17</xdr:row>
      <xdr:rowOff>152400</xdr:rowOff>
    </xdr:from>
    <xdr:ext cx="191087" cy="272577"/>
    <xdr:sp macro="" textlink="">
      <xdr:nvSpPr>
        <xdr:cNvPr id="4" name="TextBox 3"/>
        <xdr:cNvSpPr txBox="1"/>
      </xdr:nvSpPr>
      <xdr:spPr>
        <a:xfrm>
          <a:off x="438150" y="463931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434340</xdr:colOff>
      <xdr:row>21</xdr:row>
      <xdr:rowOff>158115</xdr:rowOff>
    </xdr:from>
    <xdr:ext cx="191087" cy="274009"/>
    <xdr:sp macro="" textlink="">
      <xdr:nvSpPr>
        <xdr:cNvPr id="5" name="TextBox 4"/>
        <xdr:cNvSpPr txBox="1"/>
      </xdr:nvSpPr>
      <xdr:spPr>
        <a:xfrm>
          <a:off x="438150" y="56121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434340</xdr:colOff>
      <xdr:row>81</xdr:row>
      <xdr:rowOff>152400</xdr:rowOff>
    </xdr:from>
    <xdr:ext cx="183584" cy="263491"/>
    <xdr:sp macro="" textlink="">
      <xdr:nvSpPr>
        <xdr:cNvPr id="6" name="TextBox 5"/>
        <xdr:cNvSpPr txBox="1"/>
      </xdr:nvSpPr>
      <xdr:spPr>
        <a:xfrm>
          <a:off x="436245" y="2019871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81</xdr:row>
      <xdr:rowOff>231934</xdr:rowOff>
    </xdr:from>
    <xdr:ext cx="1074064" cy="296371"/>
    <xdr:sp macro="" textlink="">
      <xdr:nvSpPr>
        <xdr:cNvPr id="7" name="TextBox 6"/>
        <xdr:cNvSpPr txBox="1"/>
      </xdr:nvSpPr>
      <xdr:spPr>
        <a:xfrm>
          <a:off x="466725" y="2778919"/>
          <a:ext cx="10810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464820</xdr:colOff>
      <xdr:row>3</xdr:row>
      <xdr:rowOff>190500</xdr:rowOff>
    </xdr:from>
    <xdr:ext cx="184731" cy="264560"/>
    <xdr:sp macro="" textlink="">
      <xdr:nvSpPr>
        <xdr:cNvPr id="2" name="TextBox 1"/>
        <xdr:cNvSpPr txBox="1"/>
      </xdr:nvSpPr>
      <xdr:spPr>
        <a:xfrm>
          <a:off x="1157547" y="121515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1</xdr:col>
      <xdr:colOff>464820</xdr:colOff>
      <xdr:row>4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1157547" y="16481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1</xdr:col>
      <xdr:colOff>464820</xdr:colOff>
      <xdr:row>5</xdr:row>
      <xdr:rowOff>198120</xdr:rowOff>
    </xdr:from>
    <xdr:ext cx="184731" cy="264560"/>
    <xdr:sp macro="" textlink="">
      <xdr:nvSpPr>
        <xdr:cNvPr id="4" name="TextBox 3"/>
        <xdr:cNvSpPr txBox="1"/>
      </xdr:nvSpPr>
      <xdr:spPr>
        <a:xfrm>
          <a:off x="1157547" y="20886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1</xdr:col>
      <xdr:colOff>464820</xdr:colOff>
      <xdr:row>5</xdr:row>
      <xdr:rowOff>198120</xdr:rowOff>
    </xdr:from>
    <xdr:ext cx="184731" cy="264560"/>
    <xdr:sp macro="" textlink="">
      <xdr:nvSpPr>
        <xdr:cNvPr id="5" name="TextBox 4"/>
        <xdr:cNvSpPr txBox="1"/>
      </xdr:nvSpPr>
      <xdr:spPr>
        <a:xfrm>
          <a:off x="1157547" y="20886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1</xdr:col>
      <xdr:colOff>464820</xdr:colOff>
      <xdr:row>4</xdr:row>
      <xdr:rowOff>190500</xdr:rowOff>
    </xdr:from>
    <xdr:ext cx="184731" cy="264560"/>
    <xdr:sp macro="" textlink="">
      <xdr:nvSpPr>
        <xdr:cNvPr id="6" name="TextBox 5"/>
        <xdr:cNvSpPr txBox="1"/>
      </xdr:nvSpPr>
      <xdr:spPr>
        <a:xfrm>
          <a:off x="1157547" y="16481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432435</xdr:colOff>
      <xdr:row>10</xdr:row>
      <xdr:rowOff>0</xdr:rowOff>
    </xdr:from>
    <xdr:ext cx="189843" cy="268901"/>
    <xdr:sp macro="" textlink="">
      <xdr:nvSpPr>
        <xdr:cNvPr id="2" name="TextBox 1"/>
        <xdr:cNvSpPr txBox="1"/>
      </xdr:nvSpPr>
      <xdr:spPr>
        <a:xfrm>
          <a:off x="436245" y="167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10</xdr:row>
      <xdr:rowOff>1429</xdr:rowOff>
    </xdr:from>
    <xdr:ext cx="1064010" cy="268901"/>
    <xdr:sp macro="" textlink="">
      <xdr:nvSpPr>
        <xdr:cNvPr id="3" name="TextBox 2"/>
        <xdr:cNvSpPr txBox="1"/>
      </xdr:nvSpPr>
      <xdr:spPr>
        <a:xfrm>
          <a:off x="472440" y="1677829"/>
          <a:ext cx="10713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17</xdr:row>
      <xdr:rowOff>0</xdr:rowOff>
    </xdr:from>
    <xdr:ext cx="189843" cy="268901"/>
    <xdr:sp macro="" textlink="">
      <xdr:nvSpPr>
        <xdr:cNvPr id="4" name="TextBox 3"/>
        <xdr:cNvSpPr txBox="1"/>
      </xdr:nvSpPr>
      <xdr:spPr>
        <a:xfrm>
          <a:off x="436245" y="280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18</xdr:row>
      <xdr:rowOff>0</xdr:rowOff>
    </xdr:from>
    <xdr:ext cx="189843" cy="268901"/>
    <xdr:sp macro="" textlink="">
      <xdr:nvSpPr>
        <xdr:cNvPr id="5" name="TextBox 4"/>
        <xdr:cNvSpPr txBox="1"/>
      </xdr:nvSpPr>
      <xdr:spPr>
        <a:xfrm>
          <a:off x="436245" y="2971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78</xdr:row>
      <xdr:rowOff>0</xdr:rowOff>
    </xdr:from>
    <xdr:ext cx="189843" cy="268901"/>
    <xdr:sp macro="" textlink="">
      <xdr:nvSpPr>
        <xdr:cNvPr id="6" name="TextBox 5"/>
        <xdr:cNvSpPr txBox="1"/>
      </xdr:nvSpPr>
      <xdr:spPr>
        <a:xfrm>
          <a:off x="436245" y="1286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78</xdr:row>
      <xdr:rowOff>1429</xdr:rowOff>
    </xdr:from>
    <xdr:ext cx="1064010" cy="268901"/>
    <xdr:sp macro="" textlink="">
      <xdr:nvSpPr>
        <xdr:cNvPr id="7" name="TextBox 6"/>
        <xdr:cNvSpPr txBox="1"/>
      </xdr:nvSpPr>
      <xdr:spPr>
        <a:xfrm>
          <a:off x="472440" y="12869704"/>
          <a:ext cx="10713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13</xdr:row>
      <xdr:rowOff>0</xdr:rowOff>
    </xdr:from>
    <xdr:ext cx="189843" cy="268901"/>
    <xdr:sp macro="" textlink="">
      <xdr:nvSpPr>
        <xdr:cNvPr id="8" name="TextBox 7"/>
        <xdr:cNvSpPr txBox="1"/>
      </xdr:nvSpPr>
      <xdr:spPr>
        <a:xfrm>
          <a:off x="43624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13</xdr:row>
      <xdr:rowOff>1429</xdr:rowOff>
    </xdr:from>
    <xdr:ext cx="1064010" cy="268901"/>
    <xdr:sp macro="" textlink="">
      <xdr:nvSpPr>
        <xdr:cNvPr id="9" name="TextBox 8"/>
        <xdr:cNvSpPr txBox="1"/>
      </xdr:nvSpPr>
      <xdr:spPr>
        <a:xfrm>
          <a:off x="472440" y="2163604"/>
          <a:ext cx="10713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10</xdr:row>
      <xdr:rowOff>0</xdr:rowOff>
    </xdr:from>
    <xdr:ext cx="189843" cy="268901"/>
    <xdr:sp macro="" textlink="">
      <xdr:nvSpPr>
        <xdr:cNvPr id="10" name="TextBox 9"/>
        <xdr:cNvSpPr txBox="1"/>
      </xdr:nvSpPr>
      <xdr:spPr>
        <a:xfrm>
          <a:off x="436245" y="167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10</xdr:row>
      <xdr:rowOff>1429</xdr:rowOff>
    </xdr:from>
    <xdr:ext cx="1064010" cy="268901"/>
    <xdr:sp macro="" textlink="">
      <xdr:nvSpPr>
        <xdr:cNvPr id="11" name="TextBox 10"/>
        <xdr:cNvSpPr txBox="1"/>
      </xdr:nvSpPr>
      <xdr:spPr>
        <a:xfrm>
          <a:off x="472440" y="1677829"/>
          <a:ext cx="10713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4</xdr:row>
      <xdr:rowOff>0</xdr:rowOff>
    </xdr:from>
    <xdr:ext cx="189843" cy="268901"/>
    <xdr:sp macro="" textlink="">
      <xdr:nvSpPr>
        <xdr:cNvPr id="12" name="TextBox 11"/>
        <xdr:cNvSpPr txBox="1"/>
      </xdr:nvSpPr>
      <xdr:spPr>
        <a:xfrm>
          <a:off x="436245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3</xdr:row>
      <xdr:rowOff>172879</xdr:rowOff>
    </xdr:from>
    <xdr:ext cx="1064010" cy="262198"/>
    <xdr:sp macro="" textlink="">
      <xdr:nvSpPr>
        <xdr:cNvPr id="13" name="TextBox 12"/>
        <xdr:cNvSpPr txBox="1"/>
      </xdr:nvSpPr>
      <xdr:spPr>
        <a:xfrm>
          <a:off x="470535" y="696754"/>
          <a:ext cx="10713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4</xdr:row>
      <xdr:rowOff>0</xdr:rowOff>
    </xdr:from>
    <xdr:ext cx="189843" cy="268901"/>
    <xdr:sp macro="" textlink="">
      <xdr:nvSpPr>
        <xdr:cNvPr id="14" name="TextBox 13"/>
        <xdr:cNvSpPr txBox="1"/>
      </xdr:nvSpPr>
      <xdr:spPr>
        <a:xfrm>
          <a:off x="436245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3</xdr:row>
      <xdr:rowOff>172879</xdr:rowOff>
    </xdr:from>
    <xdr:ext cx="1064010" cy="262198"/>
    <xdr:sp macro="" textlink="">
      <xdr:nvSpPr>
        <xdr:cNvPr id="15" name="TextBox 14"/>
        <xdr:cNvSpPr txBox="1"/>
      </xdr:nvSpPr>
      <xdr:spPr>
        <a:xfrm>
          <a:off x="470535" y="696754"/>
          <a:ext cx="10713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432435</xdr:colOff>
      <xdr:row>10</xdr:row>
      <xdr:rowOff>0</xdr:rowOff>
    </xdr:from>
    <xdr:ext cx="189843" cy="264560"/>
    <xdr:sp macro="" textlink="">
      <xdr:nvSpPr>
        <xdr:cNvPr id="2" name="TextBox 1"/>
        <xdr:cNvSpPr txBox="1"/>
      </xdr:nvSpPr>
      <xdr:spPr>
        <a:xfrm>
          <a:off x="436245" y="200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9</xdr:row>
      <xdr:rowOff>195739</xdr:rowOff>
    </xdr:from>
    <xdr:ext cx="1059261" cy="264560"/>
    <xdr:sp macro="" textlink="">
      <xdr:nvSpPr>
        <xdr:cNvPr id="3" name="TextBox 2"/>
        <xdr:cNvSpPr txBox="1"/>
      </xdr:nvSpPr>
      <xdr:spPr>
        <a:xfrm>
          <a:off x="485775" y="197881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13</xdr:row>
      <xdr:rowOff>0</xdr:rowOff>
    </xdr:from>
    <xdr:ext cx="189843" cy="264560"/>
    <xdr:sp macro="" textlink="">
      <xdr:nvSpPr>
        <xdr:cNvPr id="4" name="TextBox 3"/>
        <xdr:cNvSpPr txBox="1"/>
      </xdr:nvSpPr>
      <xdr:spPr>
        <a:xfrm>
          <a:off x="436245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12</xdr:row>
      <xdr:rowOff>195739</xdr:rowOff>
    </xdr:from>
    <xdr:ext cx="1059261" cy="264560"/>
    <xdr:sp macro="" textlink="">
      <xdr:nvSpPr>
        <xdr:cNvPr id="5" name="TextBox 4"/>
        <xdr:cNvSpPr txBox="1"/>
      </xdr:nvSpPr>
      <xdr:spPr>
        <a:xfrm>
          <a:off x="485775" y="257317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10</xdr:row>
      <xdr:rowOff>0</xdr:rowOff>
    </xdr:from>
    <xdr:ext cx="189843" cy="264560"/>
    <xdr:sp macro="" textlink="">
      <xdr:nvSpPr>
        <xdr:cNvPr id="6" name="TextBox 5"/>
        <xdr:cNvSpPr txBox="1"/>
      </xdr:nvSpPr>
      <xdr:spPr>
        <a:xfrm>
          <a:off x="436245" y="200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9</xdr:row>
      <xdr:rowOff>195739</xdr:rowOff>
    </xdr:from>
    <xdr:ext cx="1059261" cy="264560"/>
    <xdr:sp macro="" textlink="">
      <xdr:nvSpPr>
        <xdr:cNvPr id="7" name="TextBox 6"/>
        <xdr:cNvSpPr txBox="1"/>
      </xdr:nvSpPr>
      <xdr:spPr>
        <a:xfrm>
          <a:off x="485775" y="197881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4</xdr:row>
      <xdr:rowOff>0</xdr:rowOff>
    </xdr:from>
    <xdr:ext cx="189843" cy="264560"/>
    <xdr:sp macro="" textlink="">
      <xdr:nvSpPr>
        <xdr:cNvPr id="8" name="TextBox 7"/>
        <xdr:cNvSpPr txBox="1"/>
      </xdr:nvSpPr>
      <xdr:spPr>
        <a:xfrm>
          <a:off x="436245" y="80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3</xdr:row>
      <xdr:rowOff>195739</xdr:rowOff>
    </xdr:from>
    <xdr:ext cx="1059261" cy="264560"/>
    <xdr:sp macro="" textlink="">
      <xdr:nvSpPr>
        <xdr:cNvPr id="9" name="TextBox 8"/>
        <xdr:cNvSpPr txBox="1"/>
      </xdr:nvSpPr>
      <xdr:spPr>
        <a:xfrm>
          <a:off x="485775" y="79009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4</xdr:row>
      <xdr:rowOff>0</xdr:rowOff>
    </xdr:from>
    <xdr:ext cx="189843" cy="264560"/>
    <xdr:sp macro="" textlink="">
      <xdr:nvSpPr>
        <xdr:cNvPr id="10" name="TextBox 9"/>
        <xdr:cNvSpPr txBox="1"/>
      </xdr:nvSpPr>
      <xdr:spPr>
        <a:xfrm>
          <a:off x="436245" y="80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3</xdr:row>
      <xdr:rowOff>195739</xdr:rowOff>
    </xdr:from>
    <xdr:ext cx="1059261" cy="264560"/>
    <xdr:sp macro="" textlink="">
      <xdr:nvSpPr>
        <xdr:cNvPr id="11" name="TextBox 10"/>
        <xdr:cNvSpPr txBox="1"/>
      </xdr:nvSpPr>
      <xdr:spPr>
        <a:xfrm>
          <a:off x="485775" y="79009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26</xdr:row>
      <xdr:rowOff>0</xdr:rowOff>
    </xdr:from>
    <xdr:ext cx="189843" cy="264560"/>
    <xdr:sp macro="" textlink="">
      <xdr:nvSpPr>
        <xdr:cNvPr id="12" name="TextBox 11"/>
        <xdr:cNvSpPr txBox="1"/>
      </xdr:nvSpPr>
      <xdr:spPr>
        <a:xfrm>
          <a:off x="436245" y="519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25</xdr:row>
      <xdr:rowOff>195739</xdr:rowOff>
    </xdr:from>
    <xdr:ext cx="1059261" cy="264560"/>
    <xdr:sp macro="" textlink="">
      <xdr:nvSpPr>
        <xdr:cNvPr id="13" name="TextBox 12"/>
        <xdr:cNvSpPr txBox="1"/>
      </xdr:nvSpPr>
      <xdr:spPr>
        <a:xfrm>
          <a:off x="485775" y="513349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29</xdr:row>
      <xdr:rowOff>0</xdr:rowOff>
    </xdr:from>
    <xdr:ext cx="189843" cy="264560"/>
    <xdr:sp macro="" textlink="">
      <xdr:nvSpPr>
        <xdr:cNvPr id="14" name="TextBox 13"/>
        <xdr:cNvSpPr txBox="1"/>
      </xdr:nvSpPr>
      <xdr:spPr>
        <a:xfrm>
          <a:off x="436245" y="579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28</xdr:row>
      <xdr:rowOff>195739</xdr:rowOff>
    </xdr:from>
    <xdr:ext cx="1059261" cy="264560"/>
    <xdr:sp macro="" textlink="">
      <xdr:nvSpPr>
        <xdr:cNvPr id="15" name="TextBox 14"/>
        <xdr:cNvSpPr txBox="1"/>
      </xdr:nvSpPr>
      <xdr:spPr>
        <a:xfrm>
          <a:off x="485775" y="572785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26</xdr:row>
      <xdr:rowOff>0</xdr:rowOff>
    </xdr:from>
    <xdr:ext cx="189843" cy="264560"/>
    <xdr:sp macro="" textlink="">
      <xdr:nvSpPr>
        <xdr:cNvPr id="16" name="TextBox 15"/>
        <xdr:cNvSpPr txBox="1"/>
      </xdr:nvSpPr>
      <xdr:spPr>
        <a:xfrm>
          <a:off x="436245" y="5191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25</xdr:row>
      <xdr:rowOff>195739</xdr:rowOff>
    </xdr:from>
    <xdr:ext cx="1059261" cy="264560"/>
    <xdr:sp macro="" textlink="">
      <xdr:nvSpPr>
        <xdr:cNvPr id="17" name="TextBox 16"/>
        <xdr:cNvSpPr txBox="1"/>
      </xdr:nvSpPr>
      <xdr:spPr>
        <a:xfrm>
          <a:off x="485775" y="513349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20</xdr:row>
      <xdr:rowOff>0</xdr:rowOff>
    </xdr:from>
    <xdr:ext cx="189843" cy="264560"/>
    <xdr:sp macro="" textlink="">
      <xdr:nvSpPr>
        <xdr:cNvPr id="18" name="TextBox 17"/>
        <xdr:cNvSpPr txBox="1"/>
      </xdr:nvSpPr>
      <xdr:spPr>
        <a:xfrm>
          <a:off x="436245" y="3990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19</xdr:row>
      <xdr:rowOff>195739</xdr:rowOff>
    </xdr:from>
    <xdr:ext cx="1059261" cy="264560"/>
    <xdr:sp macro="" textlink="">
      <xdr:nvSpPr>
        <xdr:cNvPr id="19" name="TextBox 18"/>
        <xdr:cNvSpPr txBox="1"/>
      </xdr:nvSpPr>
      <xdr:spPr>
        <a:xfrm>
          <a:off x="485775" y="394477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20</xdr:row>
      <xdr:rowOff>0</xdr:rowOff>
    </xdr:from>
    <xdr:ext cx="189843" cy="264560"/>
    <xdr:sp macro="" textlink="">
      <xdr:nvSpPr>
        <xdr:cNvPr id="20" name="TextBox 19"/>
        <xdr:cNvSpPr txBox="1"/>
      </xdr:nvSpPr>
      <xdr:spPr>
        <a:xfrm>
          <a:off x="436245" y="3990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19</xdr:row>
      <xdr:rowOff>195739</xdr:rowOff>
    </xdr:from>
    <xdr:ext cx="1059261" cy="264560"/>
    <xdr:sp macro="" textlink="">
      <xdr:nvSpPr>
        <xdr:cNvPr id="21" name="TextBox 20"/>
        <xdr:cNvSpPr txBox="1"/>
      </xdr:nvSpPr>
      <xdr:spPr>
        <a:xfrm>
          <a:off x="485775" y="394477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42</xdr:row>
      <xdr:rowOff>0</xdr:rowOff>
    </xdr:from>
    <xdr:ext cx="189843" cy="264560"/>
    <xdr:sp macro="" textlink="">
      <xdr:nvSpPr>
        <xdr:cNvPr id="22" name="TextBox 21"/>
        <xdr:cNvSpPr txBox="1"/>
      </xdr:nvSpPr>
      <xdr:spPr>
        <a:xfrm>
          <a:off x="436245" y="838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41</xdr:row>
      <xdr:rowOff>195739</xdr:rowOff>
    </xdr:from>
    <xdr:ext cx="1059261" cy="264560"/>
    <xdr:sp macro="" textlink="">
      <xdr:nvSpPr>
        <xdr:cNvPr id="23" name="TextBox 22"/>
        <xdr:cNvSpPr txBox="1"/>
      </xdr:nvSpPr>
      <xdr:spPr>
        <a:xfrm>
          <a:off x="485775" y="828817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45</xdr:row>
      <xdr:rowOff>0</xdr:rowOff>
    </xdr:from>
    <xdr:ext cx="189843" cy="264560"/>
    <xdr:sp macro="" textlink="">
      <xdr:nvSpPr>
        <xdr:cNvPr id="24" name="TextBox 23"/>
        <xdr:cNvSpPr txBox="1"/>
      </xdr:nvSpPr>
      <xdr:spPr>
        <a:xfrm>
          <a:off x="436245" y="898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44</xdr:row>
      <xdr:rowOff>195739</xdr:rowOff>
    </xdr:from>
    <xdr:ext cx="1059261" cy="264560"/>
    <xdr:sp macro="" textlink="">
      <xdr:nvSpPr>
        <xdr:cNvPr id="25" name="TextBox 24"/>
        <xdr:cNvSpPr txBox="1"/>
      </xdr:nvSpPr>
      <xdr:spPr>
        <a:xfrm>
          <a:off x="485775" y="888253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42</xdr:row>
      <xdr:rowOff>0</xdr:rowOff>
    </xdr:from>
    <xdr:ext cx="189843" cy="264560"/>
    <xdr:sp macro="" textlink="">
      <xdr:nvSpPr>
        <xdr:cNvPr id="26" name="TextBox 25"/>
        <xdr:cNvSpPr txBox="1"/>
      </xdr:nvSpPr>
      <xdr:spPr>
        <a:xfrm>
          <a:off x="436245" y="838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41</xdr:row>
      <xdr:rowOff>195739</xdr:rowOff>
    </xdr:from>
    <xdr:ext cx="1059261" cy="264560"/>
    <xdr:sp macro="" textlink="">
      <xdr:nvSpPr>
        <xdr:cNvPr id="27" name="TextBox 26"/>
        <xdr:cNvSpPr txBox="1"/>
      </xdr:nvSpPr>
      <xdr:spPr>
        <a:xfrm>
          <a:off x="485775" y="828817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36</xdr:row>
      <xdr:rowOff>0</xdr:rowOff>
    </xdr:from>
    <xdr:ext cx="189843" cy="264560"/>
    <xdr:sp macro="" textlink="">
      <xdr:nvSpPr>
        <xdr:cNvPr id="28" name="TextBox 27"/>
        <xdr:cNvSpPr txBox="1"/>
      </xdr:nvSpPr>
      <xdr:spPr>
        <a:xfrm>
          <a:off x="436245" y="718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35</xdr:row>
      <xdr:rowOff>195739</xdr:rowOff>
    </xdr:from>
    <xdr:ext cx="1059261" cy="264560"/>
    <xdr:sp macro="" textlink="">
      <xdr:nvSpPr>
        <xdr:cNvPr id="29" name="TextBox 28"/>
        <xdr:cNvSpPr txBox="1"/>
      </xdr:nvSpPr>
      <xdr:spPr>
        <a:xfrm>
          <a:off x="485775" y="709945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36</xdr:row>
      <xdr:rowOff>0</xdr:rowOff>
    </xdr:from>
    <xdr:ext cx="189843" cy="264560"/>
    <xdr:sp macro="" textlink="">
      <xdr:nvSpPr>
        <xdr:cNvPr id="30" name="TextBox 29"/>
        <xdr:cNvSpPr txBox="1"/>
      </xdr:nvSpPr>
      <xdr:spPr>
        <a:xfrm>
          <a:off x="436245" y="718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35</xdr:row>
      <xdr:rowOff>195739</xdr:rowOff>
    </xdr:from>
    <xdr:ext cx="1059261" cy="264560"/>
    <xdr:sp macro="" textlink="">
      <xdr:nvSpPr>
        <xdr:cNvPr id="31" name="TextBox 30"/>
        <xdr:cNvSpPr txBox="1"/>
      </xdr:nvSpPr>
      <xdr:spPr>
        <a:xfrm>
          <a:off x="485775" y="709945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58</xdr:row>
      <xdr:rowOff>0</xdr:rowOff>
    </xdr:from>
    <xdr:ext cx="189843" cy="264560"/>
    <xdr:sp macro="" textlink="">
      <xdr:nvSpPr>
        <xdr:cNvPr id="32" name="TextBox 31"/>
        <xdr:cNvSpPr txBox="1"/>
      </xdr:nvSpPr>
      <xdr:spPr>
        <a:xfrm>
          <a:off x="436245" y="1157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57</xdr:row>
      <xdr:rowOff>195739</xdr:rowOff>
    </xdr:from>
    <xdr:ext cx="1059261" cy="264560"/>
    <xdr:sp macro="" textlink="">
      <xdr:nvSpPr>
        <xdr:cNvPr id="33" name="TextBox 32"/>
        <xdr:cNvSpPr txBox="1"/>
      </xdr:nvSpPr>
      <xdr:spPr>
        <a:xfrm>
          <a:off x="485775" y="1144285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61</xdr:row>
      <xdr:rowOff>0</xdr:rowOff>
    </xdr:from>
    <xdr:ext cx="189843" cy="264560"/>
    <xdr:sp macro="" textlink="">
      <xdr:nvSpPr>
        <xdr:cNvPr id="34" name="TextBox 33"/>
        <xdr:cNvSpPr txBox="1"/>
      </xdr:nvSpPr>
      <xdr:spPr>
        <a:xfrm>
          <a:off x="436245" y="12172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60</xdr:row>
      <xdr:rowOff>195739</xdr:rowOff>
    </xdr:from>
    <xdr:ext cx="1059261" cy="264560"/>
    <xdr:sp macro="" textlink="">
      <xdr:nvSpPr>
        <xdr:cNvPr id="35" name="TextBox 34"/>
        <xdr:cNvSpPr txBox="1"/>
      </xdr:nvSpPr>
      <xdr:spPr>
        <a:xfrm>
          <a:off x="485775" y="1203721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58</xdr:row>
      <xdr:rowOff>0</xdr:rowOff>
    </xdr:from>
    <xdr:ext cx="189843" cy="264560"/>
    <xdr:sp macro="" textlink="">
      <xdr:nvSpPr>
        <xdr:cNvPr id="36" name="TextBox 35"/>
        <xdr:cNvSpPr txBox="1"/>
      </xdr:nvSpPr>
      <xdr:spPr>
        <a:xfrm>
          <a:off x="436245" y="1157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57</xdr:row>
      <xdr:rowOff>195739</xdr:rowOff>
    </xdr:from>
    <xdr:ext cx="1059261" cy="264560"/>
    <xdr:sp macro="" textlink="">
      <xdr:nvSpPr>
        <xdr:cNvPr id="37" name="TextBox 36"/>
        <xdr:cNvSpPr txBox="1"/>
      </xdr:nvSpPr>
      <xdr:spPr>
        <a:xfrm>
          <a:off x="485775" y="1144285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52</xdr:row>
      <xdr:rowOff>0</xdr:rowOff>
    </xdr:from>
    <xdr:ext cx="189843" cy="264560"/>
    <xdr:sp macro="" textlink="">
      <xdr:nvSpPr>
        <xdr:cNvPr id="38" name="TextBox 37"/>
        <xdr:cNvSpPr txBox="1"/>
      </xdr:nvSpPr>
      <xdr:spPr>
        <a:xfrm>
          <a:off x="436245" y="10372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51</xdr:row>
      <xdr:rowOff>195739</xdr:rowOff>
    </xdr:from>
    <xdr:ext cx="1059261" cy="264560"/>
    <xdr:sp macro="" textlink="">
      <xdr:nvSpPr>
        <xdr:cNvPr id="39" name="TextBox 38"/>
        <xdr:cNvSpPr txBox="1"/>
      </xdr:nvSpPr>
      <xdr:spPr>
        <a:xfrm>
          <a:off x="485775" y="1025413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52</xdr:row>
      <xdr:rowOff>0</xdr:rowOff>
    </xdr:from>
    <xdr:ext cx="189843" cy="264560"/>
    <xdr:sp macro="" textlink="">
      <xdr:nvSpPr>
        <xdr:cNvPr id="40" name="TextBox 39"/>
        <xdr:cNvSpPr txBox="1"/>
      </xdr:nvSpPr>
      <xdr:spPr>
        <a:xfrm>
          <a:off x="436245" y="10372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51</xdr:row>
      <xdr:rowOff>195739</xdr:rowOff>
    </xdr:from>
    <xdr:ext cx="1059261" cy="264560"/>
    <xdr:sp macro="" textlink="">
      <xdr:nvSpPr>
        <xdr:cNvPr id="41" name="TextBox 40"/>
        <xdr:cNvSpPr txBox="1"/>
      </xdr:nvSpPr>
      <xdr:spPr>
        <a:xfrm>
          <a:off x="485775" y="1025413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74</xdr:row>
      <xdr:rowOff>0</xdr:rowOff>
    </xdr:from>
    <xdr:ext cx="189843" cy="264560"/>
    <xdr:sp macro="" textlink="">
      <xdr:nvSpPr>
        <xdr:cNvPr id="42" name="TextBox 41"/>
        <xdr:cNvSpPr txBox="1"/>
      </xdr:nvSpPr>
      <xdr:spPr>
        <a:xfrm>
          <a:off x="436245" y="1476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73</xdr:row>
      <xdr:rowOff>195739</xdr:rowOff>
    </xdr:from>
    <xdr:ext cx="1059261" cy="264560"/>
    <xdr:sp macro="" textlink="">
      <xdr:nvSpPr>
        <xdr:cNvPr id="43" name="TextBox 42"/>
        <xdr:cNvSpPr txBox="1"/>
      </xdr:nvSpPr>
      <xdr:spPr>
        <a:xfrm>
          <a:off x="485775" y="1459753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77</xdr:row>
      <xdr:rowOff>0</xdr:rowOff>
    </xdr:from>
    <xdr:ext cx="189843" cy="264560"/>
    <xdr:sp macro="" textlink="">
      <xdr:nvSpPr>
        <xdr:cNvPr id="44" name="TextBox 43"/>
        <xdr:cNvSpPr txBox="1"/>
      </xdr:nvSpPr>
      <xdr:spPr>
        <a:xfrm>
          <a:off x="436245" y="15363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76</xdr:row>
      <xdr:rowOff>195739</xdr:rowOff>
    </xdr:from>
    <xdr:ext cx="1059261" cy="264560"/>
    <xdr:sp macro="" textlink="">
      <xdr:nvSpPr>
        <xdr:cNvPr id="45" name="TextBox 44"/>
        <xdr:cNvSpPr txBox="1"/>
      </xdr:nvSpPr>
      <xdr:spPr>
        <a:xfrm>
          <a:off x="485775" y="1519189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74</xdr:row>
      <xdr:rowOff>0</xdr:rowOff>
    </xdr:from>
    <xdr:ext cx="189843" cy="264560"/>
    <xdr:sp macro="" textlink="">
      <xdr:nvSpPr>
        <xdr:cNvPr id="46" name="TextBox 45"/>
        <xdr:cNvSpPr txBox="1"/>
      </xdr:nvSpPr>
      <xdr:spPr>
        <a:xfrm>
          <a:off x="436245" y="1476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73</xdr:row>
      <xdr:rowOff>195739</xdr:rowOff>
    </xdr:from>
    <xdr:ext cx="1059261" cy="264560"/>
    <xdr:sp macro="" textlink="">
      <xdr:nvSpPr>
        <xdr:cNvPr id="47" name="TextBox 46"/>
        <xdr:cNvSpPr txBox="1"/>
      </xdr:nvSpPr>
      <xdr:spPr>
        <a:xfrm>
          <a:off x="485775" y="1459753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68</xdr:row>
      <xdr:rowOff>0</xdr:rowOff>
    </xdr:from>
    <xdr:ext cx="189843" cy="264560"/>
    <xdr:sp macro="" textlink="">
      <xdr:nvSpPr>
        <xdr:cNvPr id="48" name="TextBox 47"/>
        <xdr:cNvSpPr txBox="1"/>
      </xdr:nvSpPr>
      <xdr:spPr>
        <a:xfrm>
          <a:off x="436245" y="1356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67</xdr:row>
      <xdr:rowOff>195739</xdr:rowOff>
    </xdr:from>
    <xdr:ext cx="1059261" cy="264560"/>
    <xdr:sp macro="" textlink="">
      <xdr:nvSpPr>
        <xdr:cNvPr id="49" name="TextBox 48"/>
        <xdr:cNvSpPr txBox="1"/>
      </xdr:nvSpPr>
      <xdr:spPr>
        <a:xfrm>
          <a:off x="485775" y="1340881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68</xdr:row>
      <xdr:rowOff>0</xdr:rowOff>
    </xdr:from>
    <xdr:ext cx="189843" cy="264560"/>
    <xdr:sp macro="" textlink="">
      <xdr:nvSpPr>
        <xdr:cNvPr id="50" name="TextBox 49"/>
        <xdr:cNvSpPr txBox="1"/>
      </xdr:nvSpPr>
      <xdr:spPr>
        <a:xfrm>
          <a:off x="436245" y="1356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67</xdr:row>
      <xdr:rowOff>195739</xdr:rowOff>
    </xdr:from>
    <xdr:ext cx="1059261" cy="264560"/>
    <xdr:sp macro="" textlink="">
      <xdr:nvSpPr>
        <xdr:cNvPr id="51" name="TextBox 50"/>
        <xdr:cNvSpPr txBox="1"/>
      </xdr:nvSpPr>
      <xdr:spPr>
        <a:xfrm>
          <a:off x="485775" y="1340881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90</xdr:row>
      <xdr:rowOff>0</xdr:rowOff>
    </xdr:from>
    <xdr:ext cx="189843" cy="264560"/>
    <xdr:sp macro="" textlink="">
      <xdr:nvSpPr>
        <xdr:cNvPr id="52" name="TextBox 51"/>
        <xdr:cNvSpPr txBox="1"/>
      </xdr:nvSpPr>
      <xdr:spPr>
        <a:xfrm>
          <a:off x="436245" y="1795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89</xdr:row>
      <xdr:rowOff>195739</xdr:rowOff>
    </xdr:from>
    <xdr:ext cx="1059261" cy="264560"/>
    <xdr:sp macro="" textlink="">
      <xdr:nvSpPr>
        <xdr:cNvPr id="53" name="TextBox 52"/>
        <xdr:cNvSpPr txBox="1"/>
      </xdr:nvSpPr>
      <xdr:spPr>
        <a:xfrm>
          <a:off x="485775" y="1775221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93</xdr:row>
      <xdr:rowOff>0</xdr:rowOff>
    </xdr:from>
    <xdr:ext cx="189843" cy="264560"/>
    <xdr:sp macro="" textlink="">
      <xdr:nvSpPr>
        <xdr:cNvPr id="54" name="TextBox 53"/>
        <xdr:cNvSpPr txBox="1"/>
      </xdr:nvSpPr>
      <xdr:spPr>
        <a:xfrm>
          <a:off x="436245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92</xdr:row>
      <xdr:rowOff>195739</xdr:rowOff>
    </xdr:from>
    <xdr:ext cx="1059261" cy="264560"/>
    <xdr:sp macro="" textlink="">
      <xdr:nvSpPr>
        <xdr:cNvPr id="55" name="TextBox 54"/>
        <xdr:cNvSpPr txBox="1"/>
      </xdr:nvSpPr>
      <xdr:spPr>
        <a:xfrm>
          <a:off x="485775" y="1834657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90</xdr:row>
      <xdr:rowOff>0</xdr:rowOff>
    </xdr:from>
    <xdr:ext cx="189843" cy="264560"/>
    <xdr:sp macro="" textlink="">
      <xdr:nvSpPr>
        <xdr:cNvPr id="56" name="TextBox 55"/>
        <xdr:cNvSpPr txBox="1"/>
      </xdr:nvSpPr>
      <xdr:spPr>
        <a:xfrm>
          <a:off x="436245" y="1795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89</xdr:row>
      <xdr:rowOff>195739</xdr:rowOff>
    </xdr:from>
    <xdr:ext cx="1059261" cy="264560"/>
    <xdr:sp macro="" textlink="">
      <xdr:nvSpPr>
        <xdr:cNvPr id="57" name="TextBox 56"/>
        <xdr:cNvSpPr txBox="1"/>
      </xdr:nvSpPr>
      <xdr:spPr>
        <a:xfrm>
          <a:off x="485775" y="1775221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84</xdr:row>
      <xdr:rowOff>0</xdr:rowOff>
    </xdr:from>
    <xdr:ext cx="189843" cy="264560"/>
    <xdr:sp macro="" textlink="">
      <xdr:nvSpPr>
        <xdr:cNvPr id="58" name="TextBox 57"/>
        <xdr:cNvSpPr txBox="1"/>
      </xdr:nvSpPr>
      <xdr:spPr>
        <a:xfrm>
          <a:off x="436245" y="16754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83</xdr:row>
      <xdr:rowOff>195739</xdr:rowOff>
    </xdr:from>
    <xdr:ext cx="1059261" cy="264560"/>
    <xdr:sp macro="" textlink="">
      <xdr:nvSpPr>
        <xdr:cNvPr id="59" name="TextBox 58"/>
        <xdr:cNvSpPr txBox="1"/>
      </xdr:nvSpPr>
      <xdr:spPr>
        <a:xfrm>
          <a:off x="485775" y="1656349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432435</xdr:colOff>
      <xdr:row>84</xdr:row>
      <xdr:rowOff>0</xdr:rowOff>
    </xdr:from>
    <xdr:ext cx="189843" cy="264560"/>
    <xdr:sp macro="" textlink="">
      <xdr:nvSpPr>
        <xdr:cNvPr id="60" name="TextBox 59"/>
        <xdr:cNvSpPr txBox="1"/>
      </xdr:nvSpPr>
      <xdr:spPr>
        <a:xfrm>
          <a:off x="436245" y="16754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0</xdr:col>
      <xdr:colOff>476250</xdr:colOff>
      <xdr:row>83</xdr:row>
      <xdr:rowOff>195739</xdr:rowOff>
    </xdr:from>
    <xdr:ext cx="1059261" cy="264560"/>
    <xdr:sp macro="" textlink="">
      <xdr:nvSpPr>
        <xdr:cNvPr id="61" name="TextBox 60"/>
        <xdr:cNvSpPr txBox="1"/>
      </xdr:nvSpPr>
      <xdr:spPr>
        <a:xfrm>
          <a:off x="485775" y="16563499"/>
          <a:ext cx="1069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R460"/>
  <sheetViews>
    <sheetView tabSelected="1" zoomScaleNormal="100" workbookViewId="0">
      <selection activeCell="G2" sqref="G2"/>
    </sheetView>
  </sheetViews>
  <sheetFormatPr defaultColWidth="12.7109375" defaultRowHeight="15" x14ac:dyDescent="0.25"/>
  <cols>
    <col min="1" max="1" width="9.85546875" style="116" customWidth="1"/>
    <col min="2" max="2" width="11.5703125" customWidth="1"/>
    <col min="3" max="3" width="34" customWidth="1"/>
    <col min="4" max="4" width="19.28515625" customWidth="1"/>
    <col min="5" max="5" width="14.5703125" customWidth="1"/>
    <col min="6" max="6" width="12.85546875" customWidth="1"/>
    <col min="7" max="7" width="15.140625" customWidth="1"/>
    <col min="8" max="8" width="13.5703125" customWidth="1"/>
    <col min="9" max="9" width="15.140625" customWidth="1"/>
    <col min="10" max="10" width="15.7109375" customWidth="1"/>
    <col min="11" max="12" width="12.7109375" customWidth="1"/>
  </cols>
  <sheetData>
    <row r="1" spans="1:18" s="116" customFormat="1" ht="25.9" customHeight="1" x14ac:dyDescent="0.35">
      <c r="A1"/>
      <c r="B1"/>
      <c r="C1" t="s">
        <v>616</v>
      </c>
      <c r="D1" t="s">
        <v>617</v>
      </c>
      <c r="E1" s="731"/>
    </row>
    <row r="2" spans="1:18" ht="21" customHeight="1" x14ac:dyDescent="0.35">
      <c r="B2" s="3"/>
      <c r="C2" s="248" t="s">
        <v>219</v>
      </c>
      <c r="D2" s="252" t="s">
        <v>617</v>
      </c>
      <c r="E2" s="3"/>
      <c r="F2" s="512"/>
      <c r="G2" s="2"/>
      <c r="H2" s="2"/>
      <c r="I2" s="2"/>
      <c r="J2" s="2"/>
    </row>
    <row r="3" spans="1:18" ht="21" customHeight="1" thickBot="1" x14ac:dyDescent="0.3">
      <c r="C3" t="s">
        <v>611</v>
      </c>
      <c r="D3" s="116" t="s">
        <v>617</v>
      </c>
      <c r="F3" s="68"/>
      <c r="G3" s="3"/>
      <c r="H3" s="3">
        <v>20.41</v>
      </c>
      <c r="I3" s="3"/>
      <c r="J3" s="3"/>
      <c r="K3" s="1"/>
      <c r="L3" s="1"/>
    </row>
    <row r="4" spans="1:18" ht="32.25" thickBot="1" x14ac:dyDescent="0.3">
      <c r="B4" s="26" t="s">
        <v>0</v>
      </c>
      <c r="C4" s="27" t="s">
        <v>1</v>
      </c>
      <c r="D4" s="150" t="s">
        <v>617</v>
      </c>
      <c r="E4" s="150" t="s">
        <v>3</v>
      </c>
      <c r="F4" s="150" t="s">
        <v>4</v>
      </c>
      <c r="G4" s="28" t="s">
        <v>5</v>
      </c>
      <c r="H4" s="28" t="s">
        <v>6</v>
      </c>
      <c r="I4" s="29" t="s">
        <v>7</v>
      </c>
      <c r="J4" s="30" t="s">
        <v>8</v>
      </c>
      <c r="K4" s="236"/>
      <c r="L4" s="1"/>
    </row>
    <row r="5" spans="1:18" ht="15.75" x14ac:dyDescent="0.25">
      <c r="A5" s="116">
        <v>2605</v>
      </c>
      <c r="B5" s="31">
        <v>4</v>
      </c>
      <c r="C5" s="32" t="s">
        <v>330</v>
      </c>
      <c r="D5" s="202">
        <v>24</v>
      </c>
      <c r="E5" s="435">
        <v>0.33048</v>
      </c>
      <c r="F5" s="24">
        <v>1.1080239999999999</v>
      </c>
      <c r="G5" s="441">
        <f t="shared" ref="G5:G29" si="0">ROUND(D5*E5*F5,2)</f>
        <v>8.7899999999999991</v>
      </c>
      <c r="H5" s="33">
        <v>0.2</v>
      </c>
      <c r="I5" s="442">
        <f>ROUND(G5*H5,2)</f>
        <v>1.76</v>
      </c>
      <c r="J5" s="443">
        <f>G5+I5</f>
        <v>10.549999999999999</v>
      </c>
      <c r="K5" s="236"/>
      <c r="L5" s="1"/>
    </row>
    <row r="6" spans="1:18" ht="15.75" x14ac:dyDescent="0.25">
      <c r="A6" s="116">
        <v>2705</v>
      </c>
      <c r="B6" s="24"/>
      <c r="C6" s="34" t="s">
        <v>9</v>
      </c>
      <c r="D6" s="36">
        <v>413</v>
      </c>
      <c r="E6" s="435">
        <v>0.33048</v>
      </c>
      <c r="F6" s="24">
        <v>1.1080239999999999</v>
      </c>
      <c r="G6" s="441">
        <f t="shared" si="0"/>
        <v>151.22999999999999</v>
      </c>
      <c r="H6" s="33">
        <v>0.2</v>
      </c>
      <c r="I6" s="442">
        <f>ROUND(G6*H6,2)</f>
        <v>30.25</v>
      </c>
      <c r="J6" s="443">
        <f t="shared" ref="J6:J74" si="1">G6+I6</f>
        <v>181.48</v>
      </c>
      <c r="K6" s="236"/>
      <c r="L6" s="1"/>
    </row>
    <row r="7" spans="1:18" ht="16.5" customHeight="1" x14ac:dyDescent="0.3">
      <c r="A7" s="175">
        <v>2605</v>
      </c>
      <c r="B7" s="24"/>
      <c r="C7" s="34" t="s">
        <v>117</v>
      </c>
      <c r="D7" s="226">
        <v>0</v>
      </c>
      <c r="E7" s="435">
        <v>0.33048</v>
      </c>
      <c r="F7" s="24">
        <v>1.1080239999999999</v>
      </c>
      <c r="G7" s="441">
        <f t="shared" si="0"/>
        <v>0</v>
      </c>
      <c r="H7" s="33">
        <v>0.2</v>
      </c>
      <c r="I7" s="442">
        <f>ROUND(G7*H7,2)</f>
        <v>0</v>
      </c>
      <c r="J7" s="505">
        <f>G7+I7</f>
        <v>0</v>
      </c>
      <c r="K7" s="236"/>
      <c r="L7" s="431"/>
      <c r="M7" s="432"/>
      <c r="N7" s="432"/>
      <c r="O7" s="432"/>
      <c r="P7" s="432"/>
      <c r="Q7" s="432"/>
      <c r="R7" s="433"/>
    </row>
    <row r="8" spans="1:18" s="116" customFormat="1" ht="16.5" customHeight="1" x14ac:dyDescent="0.3">
      <c r="A8" s="175">
        <v>2705</v>
      </c>
      <c r="B8" s="25"/>
      <c r="C8" s="37" t="s">
        <v>489</v>
      </c>
      <c r="D8" s="226">
        <v>0</v>
      </c>
      <c r="E8" s="435">
        <v>0.33048</v>
      </c>
      <c r="F8" s="24">
        <v>1.1080239999999999</v>
      </c>
      <c r="G8" s="441">
        <f t="shared" si="0"/>
        <v>0</v>
      </c>
      <c r="H8" s="33">
        <v>0.2</v>
      </c>
      <c r="I8" s="442">
        <f t="shared" ref="I8:I19" si="2">ROUND(G8*H8,2)</f>
        <v>0</v>
      </c>
      <c r="J8" s="505">
        <f>G8+I8</f>
        <v>0</v>
      </c>
      <c r="K8" s="236"/>
      <c r="L8" s="679"/>
      <c r="M8" s="174"/>
      <c r="N8" s="174"/>
      <c r="O8" s="174"/>
      <c r="P8" s="174"/>
      <c r="Q8" s="174"/>
      <c r="R8" s="174"/>
    </row>
    <row r="9" spans="1:18" ht="15.75" customHeight="1" x14ac:dyDescent="0.25">
      <c r="A9" s="175">
        <v>2706</v>
      </c>
      <c r="B9" s="25"/>
      <c r="C9" s="37" t="s">
        <v>105</v>
      </c>
      <c r="D9" s="36">
        <v>230</v>
      </c>
      <c r="E9" s="435">
        <v>0.27273999999999998</v>
      </c>
      <c r="F9" s="24">
        <v>1.1080239999999999</v>
      </c>
      <c r="G9" s="441">
        <f t="shared" si="0"/>
        <v>69.510000000000005</v>
      </c>
      <c r="H9" s="33">
        <v>0.2</v>
      </c>
      <c r="I9" s="442">
        <f t="shared" si="2"/>
        <v>13.9</v>
      </c>
      <c r="J9" s="443">
        <f t="shared" si="1"/>
        <v>83.410000000000011</v>
      </c>
      <c r="K9" s="236"/>
      <c r="L9" s="1"/>
    </row>
    <row r="10" spans="1:18" s="116" customFormat="1" ht="15.75" customHeight="1" x14ac:dyDescent="0.25">
      <c r="A10" s="175">
        <v>2705</v>
      </c>
      <c r="B10" s="25"/>
      <c r="C10" s="37" t="s">
        <v>342</v>
      </c>
      <c r="D10" s="36">
        <v>0</v>
      </c>
      <c r="E10" s="435">
        <v>0.33048</v>
      </c>
      <c r="F10" s="24">
        <v>1.1080239999999999</v>
      </c>
      <c r="G10" s="441">
        <f t="shared" si="0"/>
        <v>0</v>
      </c>
      <c r="H10" s="33">
        <v>0.2</v>
      </c>
      <c r="I10" s="442">
        <f t="shared" si="2"/>
        <v>0</v>
      </c>
      <c r="J10" s="443">
        <f>G10+I10</f>
        <v>0</v>
      </c>
      <c r="K10" s="236"/>
      <c r="L10" s="1"/>
    </row>
    <row r="11" spans="1:18" s="116" customFormat="1" ht="15.75" customHeight="1" x14ac:dyDescent="0.25">
      <c r="A11" s="175">
        <v>2705</v>
      </c>
      <c r="B11" s="25"/>
      <c r="C11" s="37" t="s">
        <v>367</v>
      </c>
      <c r="D11" s="36">
        <v>2996</v>
      </c>
      <c r="E11" s="435">
        <v>0.33048</v>
      </c>
      <c r="F11" s="24">
        <v>1.1080239999999999</v>
      </c>
      <c r="G11" s="441">
        <f t="shared" si="0"/>
        <v>1097.07</v>
      </c>
      <c r="H11" s="33">
        <v>0.2</v>
      </c>
      <c r="I11" s="442">
        <f t="shared" si="2"/>
        <v>219.41</v>
      </c>
      <c r="J11" s="505">
        <f>G11+I11</f>
        <v>1316.48</v>
      </c>
      <c r="K11" s="236"/>
      <c r="L11" s="1"/>
    </row>
    <row r="12" spans="1:18" ht="15.75" customHeight="1" x14ac:dyDescent="0.25">
      <c r="A12" s="175">
        <v>2705</v>
      </c>
      <c r="B12" s="24"/>
      <c r="C12" s="36" t="s">
        <v>44</v>
      </c>
      <c r="D12" s="36">
        <v>0</v>
      </c>
      <c r="E12" s="435">
        <v>0.33048</v>
      </c>
      <c r="F12" s="24">
        <v>1.1080239999999999</v>
      </c>
      <c r="G12" s="441">
        <f t="shared" si="0"/>
        <v>0</v>
      </c>
      <c r="H12" s="33">
        <v>0.2</v>
      </c>
      <c r="I12" s="442">
        <f t="shared" si="2"/>
        <v>0</v>
      </c>
      <c r="J12" s="443">
        <f>G12+I12</f>
        <v>0</v>
      </c>
      <c r="K12" s="236"/>
      <c r="L12" s="1"/>
    </row>
    <row r="13" spans="1:18" s="116" customFormat="1" ht="15.75" customHeight="1" x14ac:dyDescent="0.25">
      <c r="A13" s="175"/>
      <c r="B13" s="25"/>
      <c r="C13" s="37" t="s">
        <v>368</v>
      </c>
      <c r="D13" s="36">
        <v>5806</v>
      </c>
      <c r="E13" s="435">
        <v>0.33048</v>
      </c>
      <c r="F13" s="24">
        <v>1.1080239999999999</v>
      </c>
      <c r="G13" s="441">
        <f t="shared" si="0"/>
        <v>2126.04</v>
      </c>
      <c r="H13" s="33">
        <v>0.2</v>
      </c>
      <c r="I13" s="442">
        <f t="shared" si="2"/>
        <v>425.21</v>
      </c>
      <c r="J13" s="505">
        <f>G13+I13</f>
        <v>2551.25</v>
      </c>
      <c r="K13" s="236"/>
      <c r="L13" s="1"/>
    </row>
    <row r="14" spans="1:18" s="116" customFormat="1" ht="15.75" customHeight="1" x14ac:dyDescent="0.25">
      <c r="A14" s="175"/>
      <c r="B14" s="25"/>
      <c r="C14" s="36" t="s">
        <v>45</v>
      </c>
      <c r="D14" s="36">
        <v>0</v>
      </c>
      <c r="E14" s="436">
        <v>0.15176999999999999</v>
      </c>
      <c r="F14" s="24">
        <v>1.1080239999999999</v>
      </c>
      <c r="G14" s="441">
        <f t="shared" si="0"/>
        <v>0</v>
      </c>
      <c r="H14" s="33">
        <v>0.2</v>
      </c>
      <c r="I14" s="442">
        <f t="shared" si="2"/>
        <v>0</v>
      </c>
      <c r="J14" s="443">
        <f>G14+I14</f>
        <v>0</v>
      </c>
      <c r="K14" s="236"/>
      <c r="L14" s="1"/>
    </row>
    <row r="15" spans="1:18" ht="18" customHeight="1" x14ac:dyDescent="0.25">
      <c r="A15" s="175">
        <v>2605</v>
      </c>
      <c r="B15" s="25"/>
      <c r="C15" s="37" t="s">
        <v>292</v>
      </c>
      <c r="D15" s="203">
        <v>51</v>
      </c>
      <c r="E15" s="435">
        <v>0.33048</v>
      </c>
      <c r="F15" s="24">
        <v>1.1080239999999999</v>
      </c>
      <c r="G15" s="441">
        <f t="shared" si="0"/>
        <v>18.68</v>
      </c>
      <c r="H15" s="33">
        <v>0.2</v>
      </c>
      <c r="I15" s="442">
        <f t="shared" si="2"/>
        <v>3.74</v>
      </c>
      <c r="J15" s="443">
        <f t="shared" si="1"/>
        <v>22.42</v>
      </c>
      <c r="K15" s="236"/>
      <c r="L15" s="1"/>
    </row>
    <row r="16" spans="1:18" ht="17.25" customHeight="1" x14ac:dyDescent="0.25">
      <c r="A16" s="175">
        <v>2702</v>
      </c>
      <c r="B16" s="36"/>
      <c r="C16" s="36" t="s">
        <v>10</v>
      </c>
      <c r="D16" s="36">
        <v>0</v>
      </c>
      <c r="E16" s="435">
        <v>0.24295</v>
      </c>
      <c r="F16" s="24">
        <v>1.1080239999999999</v>
      </c>
      <c r="G16" s="441">
        <f t="shared" si="0"/>
        <v>0</v>
      </c>
      <c r="H16" s="249">
        <v>0.2</v>
      </c>
      <c r="I16" s="442">
        <f t="shared" si="2"/>
        <v>0</v>
      </c>
      <c r="J16" s="443">
        <f t="shared" si="1"/>
        <v>0</v>
      </c>
      <c r="K16" s="236"/>
      <c r="L16" s="1"/>
    </row>
    <row r="17" spans="1:12" ht="17.25" customHeight="1" x14ac:dyDescent="0.25">
      <c r="A17" s="175">
        <v>2605</v>
      </c>
      <c r="B17" s="24"/>
      <c r="C17" s="36" t="s">
        <v>154</v>
      </c>
      <c r="D17" s="36">
        <v>549</v>
      </c>
      <c r="E17" s="435">
        <v>0.33048</v>
      </c>
      <c r="F17" s="24">
        <v>1.1080239999999999</v>
      </c>
      <c r="G17" s="441">
        <f t="shared" si="0"/>
        <v>201.03</v>
      </c>
      <c r="H17" s="78">
        <v>0.2</v>
      </c>
      <c r="I17" s="442">
        <f t="shared" si="2"/>
        <v>40.21</v>
      </c>
      <c r="J17" s="443">
        <f t="shared" si="1"/>
        <v>241.24</v>
      </c>
      <c r="K17" s="236"/>
      <c r="L17" s="1"/>
    </row>
    <row r="18" spans="1:12" ht="17.25" customHeight="1" x14ac:dyDescent="0.25">
      <c r="A18" s="5" t="s">
        <v>202</v>
      </c>
      <c r="B18" s="24"/>
      <c r="C18" s="36" t="s">
        <v>155</v>
      </c>
      <c r="D18" s="36">
        <v>0</v>
      </c>
      <c r="E18" s="435">
        <v>0.33048</v>
      </c>
      <c r="F18" s="24">
        <v>1.1080239999999999</v>
      </c>
      <c r="G18" s="441">
        <f t="shared" si="0"/>
        <v>0</v>
      </c>
      <c r="H18" s="78">
        <v>0.2</v>
      </c>
      <c r="I18" s="442">
        <f t="shared" si="2"/>
        <v>0</v>
      </c>
      <c r="J18" s="443">
        <f t="shared" si="1"/>
        <v>0</v>
      </c>
      <c r="K18" s="236"/>
      <c r="L18" s="1"/>
    </row>
    <row r="19" spans="1:12" s="116" customFormat="1" ht="17.25" customHeight="1" x14ac:dyDescent="0.25">
      <c r="A19" s="5"/>
      <c r="B19" s="24"/>
      <c r="C19" s="36" t="s">
        <v>331</v>
      </c>
      <c r="D19" s="36">
        <v>1101</v>
      </c>
      <c r="E19" s="435">
        <v>0.33048</v>
      </c>
      <c r="F19" s="24">
        <v>1.1080239999999999</v>
      </c>
      <c r="G19" s="441">
        <f t="shared" si="0"/>
        <v>403.16</v>
      </c>
      <c r="H19" s="78">
        <v>0.2</v>
      </c>
      <c r="I19" s="442">
        <f t="shared" si="2"/>
        <v>80.63</v>
      </c>
      <c r="J19" s="443">
        <f t="shared" si="1"/>
        <v>483.79</v>
      </c>
      <c r="K19" s="236"/>
      <c r="L19" s="1"/>
    </row>
    <row r="20" spans="1:12" s="116" customFormat="1" ht="17.25" customHeight="1" x14ac:dyDescent="0.25">
      <c r="A20" s="5" t="s">
        <v>202</v>
      </c>
      <c r="B20" s="24"/>
      <c r="C20" s="36" t="s">
        <v>155</v>
      </c>
      <c r="D20" s="36">
        <v>0</v>
      </c>
      <c r="E20" s="435">
        <v>0.33048</v>
      </c>
      <c r="F20" s="24">
        <v>1.1080239999999999</v>
      </c>
      <c r="G20" s="441">
        <f t="shared" si="0"/>
        <v>0</v>
      </c>
      <c r="H20" s="78">
        <v>0.2</v>
      </c>
      <c r="I20" s="442">
        <f t="shared" ref="I20:I26" si="3">ROUND(G20*H20,2)</f>
        <v>0</v>
      </c>
      <c r="J20" s="443">
        <f t="shared" ref="J20:J26" si="4">G20+I20</f>
        <v>0</v>
      </c>
      <c r="K20" s="236"/>
      <c r="L20" s="1"/>
    </row>
    <row r="21" spans="1:12" s="116" customFormat="1" ht="17.25" customHeight="1" x14ac:dyDescent="0.25">
      <c r="A21" s="5"/>
      <c r="B21" s="24"/>
      <c r="C21" s="36" t="s">
        <v>332</v>
      </c>
      <c r="D21" s="36">
        <v>2316</v>
      </c>
      <c r="E21" s="435">
        <v>0.33048</v>
      </c>
      <c r="F21" s="24">
        <v>1.1080239999999999</v>
      </c>
      <c r="G21" s="441">
        <f t="shared" si="0"/>
        <v>848.07</v>
      </c>
      <c r="H21" s="78">
        <v>0.2</v>
      </c>
      <c r="I21" s="442">
        <f t="shared" si="3"/>
        <v>169.61</v>
      </c>
      <c r="J21" s="443">
        <f t="shared" si="4"/>
        <v>1017.6800000000001</v>
      </c>
      <c r="K21" s="236"/>
      <c r="L21" s="1"/>
    </row>
    <row r="22" spans="1:12" s="116" customFormat="1" ht="17.25" customHeight="1" x14ac:dyDescent="0.25">
      <c r="A22" s="5"/>
      <c r="B22" s="24"/>
      <c r="C22" s="36" t="s">
        <v>11</v>
      </c>
      <c r="D22" s="36">
        <v>96</v>
      </c>
      <c r="E22" s="435">
        <v>0.33048</v>
      </c>
      <c r="F22" s="24">
        <v>1.1080239999999999</v>
      </c>
      <c r="G22" s="441">
        <f t="shared" si="0"/>
        <v>35.15</v>
      </c>
      <c r="H22" s="33">
        <v>0.2</v>
      </c>
      <c r="I22" s="442">
        <f t="shared" si="3"/>
        <v>7.03</v>
      </c>
      <c r="J22" s="443">
        <f t="shared" si="4"/>
        <v>42.18</v>
      </c>
      <c r="K22" s="236"/>
      <c r="L22" s="1"/>
    </row>
    <row r="23" spans="1:12" s="116" customFormat="1" ht="17.25" customHeight="1" x14ac:dyDescent="0.25">
      <c r="A23" s="5">
        <v>2705</v>
      </c>
      <c r="B23" s="24"/>
      <c r="C23" s="36" t="s">
        <v>245</v>
      </c>
      <c r="D23" s="36">
        <v>141</v>
      </c>
      <c r="E23" s="435">
        <v>0.33048</v>
      </c>
      <c r="F23" s="24">
        <v>1.1080239999999999</v>
      </c>
      <c r="G23" s="441">
        <f t="shared" si="0"/>
        <v>51.63</v>
      </c>
      <c r="H23" s="33">
        <v>0.2</v>
      </c>
      <c r="I23" s="442">
        <f t="shared" si="3"/>
        <v>10.33</v>
      </c>
      <c r="J23" s="443">
        <f t="shared" si="4"/>
        <v>61.96</v>
      </c>
      <c r="K23" s="236"/>
      <c r="L23" s="1"/>
    </row>
    <row r="24" spans="1:12" s="116" customFormat="1" ht="17.25" customHeight="1" x14ac:dyDescent="0.25">
      <c r="A24" s="5"/>
      <c r="B24" s="24"/>
      <c r="C24" s="36" t="s">
        <v>44</v>
      </c>
      <c r="D24" s="36">
        <v>156</v>
      </c>
      <c r="E24" s="435">
        <v>0.33048</v>
      </c>
      <c r="F24" s="24">
        <v>1.1080239999999999</v>
      </c>
      <c r="G24" s="441">
        <f t="shared" si="0"/>
        <v>57.12</v>
      </c>
      <c r="H24" s="33">
        <v>0.2</v>
      </c>
      <c r="I24" s="442">
        <f t="shared" si="3"/>
        <v>11.42</v>
      </c>
      <c r="J24" s="443">
        <f t="shared" si="4"/>
        <v>68.539999999999992</v>
      </c>
      <c r="K24" s="236"/>
      <c r="L24" s="1"/>
    </row>
    <row r="25" spans="1:12" s="116" customFormat="1" ht="17.25" customHeight="1" x14ac:dyDescent="0.25">
      <c r="A25" s="5"/>
      <c r="B25" s="25"/>
      <c r="C25" s="36" t="s">
        <v>45</v>
      </c>
      <c r="D25" s="36">
        <v>1</v>
      </c>
      <c r="E25" s="436">
        <v>0.15176999999999999</v>
      </c>
      <c r="F25" s="24">
        <v>1.1080239999999999</v>
      </c>
      <c r="G25" s="441">
        <f t="shared" si="0"/>
        <v>0.17</v>
      </c>
      <c r="H25" s="33">
        <v>0.2</v>
      </c>
      <c r="I25" s="442">
        <f>ROUND(G25*H25,2)</f>
        <v>0.03</v>
      </c>
      <c r="J25" s="443">
        <f>G25+I25</f>
        <v>0.2</v>
      </c>
      <c r="K25" s="236"/>
      <c r="L25" s="1"/>
    </row>
    <row r="26" spans="1:12" s="116" customFormat="1" ht="17.25" customHeight="1" x14ac:dyDescent="0.25">
      <c r="A26" s="5"/>
      <c r="B26" s="24"/>
      <c r="C26" s="36" t="s">
        <v>333</v>
      </c>
      <c r="D26" s="36">
        <v>148</v>
      </c>
      <c r="E26" s="436">
        <v>0.33048</v>
      </c>
      <c r="F26" s="24">
        <v>1.1080239999999999</v>
      </c>
      <c r="G26" s="441">
        <f t="shared" si="0"/>
        <v>54.19</v>
      </c>
      <c r="H26" s="78">
        <v>0.2</v>
      </c>
      <c r="I26" s="442">
        <f t="shared" si="3"/>
        <v>10.84</v>
      </c>
      <c r="J26" s="443">
        <f t="shared" si="4"/>
        <v>65.03</v>
      </c>
      <c r="K26" s="236"/>
      <c r="L26" s="1"/>
    </row>
    <row r="27" spans="1:12" s="116" customFormat="1" ht="17.25" customHeight="1" x14ac:dyDescent="0.25">
      <c r="A27" s="347">
        <v>2705</v>
      </c>
      <c r="B27" s="24"/>
      <c r="C27" s="36" t="s">
        <v>256</v>
      </c>
      <c r="D27" s="36">
        <v>21</v>
      </c>
      <c r="E27" s="436">
        <v>0.33048</v>
      </c>
      <c r="F27" s="24">
        <v>1.1080239999999999</v>
      </c>
      <c r="G27" s="441">
        <f t="shared" si="0"/>
        <v>7.69</v>
      </c>
      <c r="H27" s="249">
        <v>0.2</v>
      </c>
      <c r="I27" s="442">
        <f>ROUND(G27*H27,2)</f>
        <v>1.54</v>
      </c>
      <c r="J27" s="443">
        <f t="shared" si="1"/>
        <v>9.23</v>
      </c>
      <c r="K27" s="236"/>
      <c r="L27" s="1"/>
    </row>
    <row r="28" spans="1:12" s="116" customFormat="1" ht="17.25" customHeight="1" x14ac:dyDescent="0.25">
      <c r="A28" s="347">
        <v>2705</v>
      </c>
      <c r="B28" s="36"/>
      <c r="C28" s="36" t="s">
        <v>296</v>
      </c>
      <c r="D28" s="36">
        <v>213</v>
      </c>
      <c r="E28" s="436">
        <v>0.33048</v>
      </c>
      <c r="F28" s="24">
        <v>1.1080239999999999</v>
      </c>
      <c r="G28" s="441">
        <f t="shared" si="0"/>
        <v>78</v>
      </c>
      <c r="H28" s="249">
        <v>0.2</v>
      </c>
      <c r="I28" s="442">
        <f>ROUND(G28*H28,2)</f>
        <v>15.6</v>
      </c>
      <c r="J28" s="443">
        <f t="shared" si="1"/>
        <v>93.6</v>
      </c>
      <c r="K28" s="236"/>
      <c r="L28" s="1"/>
    </row>
    <row r="29" spans="1:12" s="116" customFormat="1" ht="17.25" customHeight="1" x14ac:dyDescent="0.25">
      <c r="A29" s="347"/>
      <c r="B29" s="203"/>
      <c r="C29" s="203" t="s">
        <v>299</v>
      </c>
      <c r="D29" s="203">
        <v>64</v>
      </c>
      <c r="E29" s="436">
        <v>0.33048</v>
      </c>
      <c r="F29" s="24">
        <v>1.1080239999999999</v>
      </c>
      <c r="G29" s="441">
        <f t="shared" si="0"/>
        <v>23.44</v>
      </c>
      <c r="H29" s="249">
        <v>0.2</v>
      </c>
      <c r="I29" s="442">
        <f>ROUND(G29*H29,2)</f>
        <v>4.6900000000000004</v>
      </c>
      <c r="J29" s="443">
        <f>G29+I29</f>
        <v>28.130000000000003</v>
      </c>
      <c r="K29" s="236"/>
      <c r="L29" s="1"/>
    </row>
    <row r="30" spans="1:12" s="116" customFormat="1" ht="17.25" customHeight="1" thickBot="1" x14ac:dyDescent="0.3">
      <c r="A30" s="347">
        <v>2705</v>
      </c>
      <c r="B30" s="203"/>
      <c r="C30" s="36" t="s">
        <v>11</v>
      </c>
      <c r="D30" s="36">
        <v>103</v>
      </c>
      <c r="E30" s="436">
        <v>0.33048</v>
      </c>
      <c r="F30" s="24">
        <v>1.1080239999999999</v>
      </c>
      <c r="G30" s="441">
        <f>D30*E30*F30</f>
        <v>37.716516466559995</v>
      </c>
      <c r="H30" s="33">
        <v>0.2</v>
      </c>
      <c r="I30" s="442">
        <f>ROUND(G30*H30,2)</f>
        <v>7.54</v>
      </c>
      <c r="J30" s="443">
        <f>G30+I30</f>
        <v>45.256516466559994</v>
      </c>
      <c r="K30" s="236"/>
      <c r="L30" s="1"/>
    </row>
    <row r="31" spans="1:12" s="8" customFormat="1" ht="18.75" customHeight="1" thickBot="1" x14ac:dyDescent="0.3">
      <c r="B31" s="30"/>
      <c r="C31" s="30" t="s">
        <v>12</v>
      </c>
      <c r="D31" s="52" t="e">
        <f>SUM(D5:D30)+D3</f>
        <v>#VALUE!</v>
      </c>
      <c r="E31" s="208"/>
      <c r="F31" s="24"/>
      <c r="G31" s="438">
        <f>SUM(G5:G30)</f>
        <v>5268.6865164665587</v>
      </c>
      <c r="H31" s="94"/>
      <c r="I31" s="438">
        <f>SUM(I5:I30)</f>
        <v>1053.7399999999998</v>
      </c>
      <c r="J31" s="438">
        <f>SUM(J5:J30)</f>
        <v>6322.4265164665603</v>
      </c>
      <c r="K31" s="238"/>
      <c r="L31" s="7"/>
    </row>
    <row r="32" spans="1:12" ht="17.25" customHeight="1" x14ac:dyDescent="0.25">
      <c r="A32" s="116">
        <v>2706</v>
      </c>
      <c r="B32" s="24">
        <v>6</v>
      </c>
      <c r="C32" s="24" t="s">
        <v>129</v>
      </c>
      <c r="D32" s="36">
        <v>126</v>
      </c>
      <c r="E32" s="435">
        <v>0.27273999999999998</v>
      </c>
      <c r="F32" s="24">
        <v>1.1080239999999999</v>
      </c>
      <c r="G32" s="441">
        <f t="shared" ref="G32:G75" si="5">ROUND(D32*E32*F32,2)</f>
        <v>38.08</v>
      </c>
      <c r="H32" s="33">
        <v>0.2</v>
      </c>
      <c r="I32" s="442">
        <f>ROUND(G32*H32,2)</f>
        <v>7.62</v>
      </c>
      <c r="J32" s="443">
        <f t="shared" si="1"/>
        <v>45.699999999999996</v>
      </c>
      <c r="K32" s="236"/>
      <c r="L32" s="1"/>
    </row>
    <row r="33" spans="1:12" ht="15.75" x14ac:dyDescent="0.25">
      <c r="A33" s="116">
        <v>2605</v>
      </c>
      <c r="B33" s="24"/>
      <c r="C33" s="24" t="s">
        <v>13</v>
      </c>
      <c r="D33" s="36">
        <v>2676</v>
      </c>
      <c r="E33" s="435">
        <v>0.33048</v>
      </c>
      <c r="F33" s="24">
        <v>1.1080239999999999</v>
      </c>
      <c r="G33" s="441">
        <f t="shared" si="5"/>
        <v>979.9</v>
      </c>
      <c r="H33" s="33">
        <v>0.2</v>
      </c>
      <c r="I33" s="442">
        <f t="shared" ref="I33:I75" si="6">ROUND(G33*H33,2)</f>
        <v>195.98</v>
      </c>
      <c r="J33" s="443">
        <f t="shared" si="1"/>
        <v>1175.8799999999999</v>
      </c>
      <c r="K33" s="236"/>
      <c r="L33" s="1"/>
    </row>
    <row r="34" spans="1:12" s="116" customFormat="1" ht="15.75" x14ac:dyDescent="0.25">
      <c r="B34" s="205"/>
      <c r="C34" s="140" t="s">
        <v>264</v>
      </c>
      <c r="D34" s="82">
        <v>1189</v>
      </c>
      <c r="E34" s="435">
        <v>0.33048</v>
      </c>
      <c r="F34" s="24">
        <v>1.1080239999999999</v>
      </c>
      <c r="G34" s="468">
        <f t="shared" si="5"/>
        <v>435.39</v>
      </c>
      <c r="H34" s="83">
        <v>0.2</v>
      </c>
      <c r="I34" s="469">
        <f>ROUND(G34*H34,2)</f>
        <v>87.08</v>
      </c>
      <c r="J34" s="469">
        <f>G34+I34</f>
        <v>522.47</v>
      </c>
      <c r="K34" s="236"/>
      <c r="L34" s="1"/>
    </row>
    <row r="35" spans="1:12" ht="15.75" x14ac:dyDescent="0.25">
      <c r="A35" s="175">
        <v>2605</v>
      </c>
      <c r="B35" s="24" t="s">
        <v>84</v>
      </c>
      <c r="C35" s="24" t="s">
        <v>14</v>
      </c>
      <c r="D35" s="36">
        <v>268</v>
      </c>
      <c r="E35" s="435">
        <v>0.33048</v>
      </c>
      <c r="F35" s="24">
        <v>1.1080239999999999</v>
      </c>
      <c r="G35" s="441">
        <f t="shared" si="5"/>
        <v>98.14</v>
      </c>
      <c r="H35" s="33">
        <v>0.2</v>
      </c>
      <c r="I35" s="442">
        <f t="shared" si="6"/>
        <v>19.63</v>
      </c>
      <c r="J35" s="443">
        <f t="shared" si="1"/>
        <v>117.77</v>
      </c>
      <c r="K35" s="236"/>
      <c r="L35" s="1"/>
    </row>
    <row r="36" spans="1:12" s="116" customFormat="1" ht="15.75" x14ac:dyDescent="0.25">
      <c r="A36" s="116" t="s">
        <v>202</v>
      </c>
      <c r="B36" s="24"/>
      <c r="C36" s="36" t="s">
        <v>174</v>
      </c>
      <c r="D36" s="36">
        <v>0</v>
      </c>
      <c r="E36" s="435">
        <v>0.33048</v>
      </c>
      <c r="F36" s="24">
        <v>1.1080239999999999</v>
      </c>
      <c r="G36" s="441">
        <f t="shared" si="5"/>
        <v>0</v>
      </c>
      <c r="H36" s="33">
        <v>0.2</v>
      </c>
      <c r="I36" s="442">
        <f t="shared" si="6"/>
        <v>0</v>
      </c>
      <c r="J36" s="443">
        <f t="shared" si="1"/>
        <v>0</v>
      </c>
      <c r="K36" s="236"/>
      <c r="L36" s="1"/>
    </row>
    <row r="37" spans="1:12" ht="16.5" customHeight="1" x14ac:dyDescent="0.25">
      <c r="A37" s="175">
        <v>2605</v>
      </c>
      <c r="B37" s="24"/>
      <c r="C37" s="24" t="s">
        <v>599</v>
      </c>
      <c r="D37" s="36">
        <v>209</v>
      </c>
      <c r="E37" s="435">
        <v>0.33048</v>
      </c>
      <c r="F37" s="24">
        <v>1.1080239999999999</v>
      </c>
      <c r="G37" s="441">
        <f t="shared" si="5"/>
        <v>76.53</v>
      </c>
      <c r="H37" s="33">
        <v>0.2</v>
      </c>
      <c r="I37" s="442">
        <f t="shared" si="6"/>
        <v>15.31</v>
      </c>
      <c r="J37" s="443">
        <f t="shared" si="1"/>
        <v>91.84</v>
      </c>
      <c r="K37" s="236"/>
      <c r="L37" s="1"/>
    </row>
    <row r="38" spans="1:12" s="116" customFormat="1" ht="16.5" customHeight="1" x14ac:dyDescent="0.25">
      <c r="A38" s="175"/>
      <c r="B38" s="24"/>
      <c r="C38" s="24" t="s">
        <v>403</v>
      </c>
      <c r="D38" s="36">
        <v>0</v>
      </c>
      <c r="E38" s="435">
        <v>0.33048</v>
      </c>
      <c r="F38" s="24">
        <v>1.1080239999999999</v>
      </c>
      <c r="G38" s="441">
        <f t="shared" si="5"/>
        <v>0</v>
      </c>
      <c r="H38" s="33">
        <v>0.2</v>
      </c>
      <c r="I38" s="442">
        <f t="shared" si="6"/>
        <v>0</v>
      </c>
      <c r="J38" s="443">
        <f t="shared" si="1"/>
        <v>0</v>
      </c>
      <c r="K38" s="236"/>
      <c r="L38" s="1"/>
    </row>
    <row r="39" spans="1:12" ht="15.75" x14ac:dyDescent="0.25">
      <c r="A39" s="175">
        <v>902</v>
      </c>
      <c r="B39" s="24"/>
      <c r="C39" s="36" t="s">
        <v>402</v>
      </c>
      <c r="D39" s="36">
        <v>102</v>
      </c>
      <c r="E39" s="435">
        <v>0.33048</v>
      </c>
      <c r="F39" s="24">
        <v>1.1080239999999999</v>
      </c>
      <c r="G39" s="441">
        <f t="shared" si="5"/>
        <v>37.35</v>
      </c>
      <c r="H39" s="33">
        <v>0.2</v>
      </c>
      <c r="I39" s="442">
        <f t="shared" si="6"/>
        <v>7.47</v>
      </c>
      <c r="J39" s="443">
        <f t="shared" si="1"/>
        <v>44.82</v>
      </c>
      <c r="K39" s="237"/>
      <c r="L39" s="1"/>
    </row>
    <row r="40" spans="1:12" ht="15.75" x14ac:dyDescent="0.25">
      <c r="A40" s="175">
        <v>902</v>
      </c>
      <c r="B40" s="24"/>
      <c r="C40" s="34" t="s">
        <v>15</v>
      </c>
      <c r="D40" s="36">
        <v>0</v>
      </c>
      <c r="E40" s="435">
        <v>0.24295</v>
      </c>
      <c r="F40" s="24">
        <v>1.1080239999999999</v>
      </c>
      <c r="G40" s="441">
        <f t="shared" si="5"/>
        <v>0</v>
      </c>
      <c r="H40" s="33">
        <v>0.2</v>
      </c>
      <c r="I40" s="442">
        <f t="shared" si="6"/>
        <v>0</v>
      </c>
      <c r="J40" s="443">
        <f t="shared" si="1"/>
        <v>0</v>
      </c>
      <c r="K40" s="237"/>
      <c r="L40" s="1"/>
    </row>
    <row r="41" spans="1:12" ht="15.75" x14ac:dyDescent="0.25">
      <c r="A41" s="175">
        <v>2705</v>
      </c>
      <c r="B41" s="24"/>
      <c r="C41" s="34" t="s">
        <v>600</v>
      </c>
      <c r="D41" s="36">
        <v>239</v>
      </c>
      <c r="E41" s="435">
        <v>0.33048</v>
      </c>
      <c r="F41" s="24">
        <v>1.1080239999999999</v>
      </c>
      <c r="G41" s="441">
        <f t="shared" si="5"/>
        <v>87.52</v>
      </c>
      <c r="H41" s="33">
        <v>0.2</v>
      </c>
      <c r="I41" s="442">
        <f t="shared" si="6"/>
        <v>17.5</v>
      </c>
      <c r="J41" s="443">
        <f t="shared" si="1"/>
        <v>105.02</v>
      </c>
      <c r="K41" s="236"/>
      <c r="L41" s="1"/>
    </row>
    <row r="42" spans="1:12" ht="15.75" x14ac:dyDescent="0.25">
      <c r="A42" s="175">
        <v>2705</v>
      </c>
      <c r="B42" s="24"/>
      <c r="C42" s="34" t="s">
        <v>16</v>
      </c>
      <c r="D42" s="36">
        <v>44</v>
      </c>
      <c r="E42" s="435">
        <v>0.33048</v>
      </c>
      <c r="F42" s="24">
        <v>1.1080239999999999</v>
      </c>
      <c r="G42" s="441">
        <f t="shared" si="5"/>
        <v>16.11</v>
      </c>
      <c r="H42" s="33">
        <v>0.2</v>
      </c>
      <c r="I42" s="442">
        <f t="shared" si="6"/>
        <v>3.22</v>
      </c>
      <c r="J42" s="443">
        <f t="shared" si="1"/>
        <v>19.329999999999998</v>
      </c>
      <c r="K42" s="236"/>
      <c r="L42" s="1"/>
    </row>
    <row r="43" spans="1:12" ht="15.75" x14ac:dyDescent="0.25">
      <c r="A43" s="175">
        <v>2705</v>
      </c>
      <c r="B43" s="24"/>
      <c r="C43" s="34" t="s">
        <v>17</v>
      </c>
      <c r="D43" s="36">
        <v>171</v>
      </c>
      <c r="E43" s="435">
        <v>0.33048</v>
      </c>
      <c r="F43" s="24">
        <v>1.1080239999999999</v>
      </c>
      <c r="G43" s="441">
        <f t="shared" si="5"/>
        <v>62.62</v>
      </c>
      <c r="H43" s="33">
        <v>0.2</v>
      </c>
      <c r="I43" s="442">
        <f t="shared" si="6"/>
        <v>12.52</v>
      </c>
      <c r="J43" s="443">
        <f t="shared" si="1"/>
        <v>75.14</v>
      </c>
      <c r="K43" s="236"/>
      <c r="L43" s="1"/>
    </row>
    <row r="44" spans="1:12" ht="15.75" x14ac:dyDescent="0.25">
      <c r="B44" s="36"/>
      <c r="C44" s="36" t="s">
        <v>463</v>
      </c>
      <c r="D44" s="36">
        <v>9</v>
      </c>
      <c r="E44" s="435">
        <v>0.33048</v>
      </c>
      <c r="F44" s="24">
        <v>1.1080239999999999</v>
      </c>
      <c r="G44" s="441">
        <f t="shared" si="5"/>
        <v>3.3</v>
      </c>
      <c r="H44" s="249">
        <v>0.2</v>
      </c>
      <c r="I44" s="442">
        <f t="shared" si="6"/>
        <v>0.66</v>
      </c>
      <c r="J44" s="443">
        <f t="shared" si="1"/>
        <v>3.96</v>
      </c>
      <c r="K44" s="236"/>
      <c r="L44" s="1"/>
    </row>
    <row r="45" spans="1:12" s="116" customFormat="1" ht="15.75" x14ac:dyDescent="0.25">
      <c r="B45" s="31"/>
      <c r="C45" s="32" t="s">
        <v>334</v>
      </c>
      <c r="D45" s="202">
        <v>133</v>
      </c>
      <c r="E45" s="435">
        <v>0.33048</v>
      </c>
      <c r="F45" s="24">
        <v>1.1080239999999999</v>
      </c>
      <c r="G45" s="441">
        <f t="shared" si="5"/>
        <v>48.7</v>
      </c>
      <c r="H45" s="33">
        <v>0.2</v>
      </c>
      <c r="I45" s="442">
        <f>ROUND(G45*H45,2)</f>
        <v>9.74</v>
      </c>
      <c r="J45" s="443">
        <f>G45+I45</f>
        <v>58.440000000000005</v>
      </c>
      <c r="K45" s="236"/>
      <c r="L45" s="1"/>
    </row>
    <row r="46" spans="1:12" s="116" customFormat="1" ht="15.75" x14ac:dyDescent="0.25">
      <c r="B46" s="31"/>
      <c r="C46" s="32" t="s">
        <v>335</v>
      </c>
      <c r="D46" s="202">
        <v>1337</v>
      </c>
      <c r="E46" s="435">
        <v>0.33048</v>
      </c>
      <c r="F46" s="24">
        <v>1.1080239999999999</v>
      </c>
      <c r="G46" s="441">
        <f t="shared" si="5"/>
        <v>489.58</v>
      </c>
      <c r="H46" s="33">
        <v>0.2</v>
      </c>
      <c r="I46" s="442">
        <f>ROUND(G46*H46,2)</f>
        <v>97.92</v>
      </c>
      <c r="J46" s="443">
        <f>G46+I46</f>
        <v>587.5</v>
      </c>
      <c r="K46" s="236"/>
      <c r="L46" s="1"/>
    </row>
    <row r="47" spans="1:12" ht="15.75" x14ac:dyDescent="0.25">
      <c r="A47" s="116">
        <v>2705</v>
      </c>
      <c r="B47" s="24"/>
      <c r="C47" s="36" t="s">
        <v>336</v>
      </c>
      <c r="D47" s="36">
        <v>994</v>
      </c>
      <c r="E47" s="435">
        <v>0.33048</v>
      </c>
      <c r="F47" s="24">
        <v>1.1080239999999999</v>
      </c>
      <c r="G47" s="441">
        <f t="shared" si="5"/>
        <v>363.98</v>
      </c>
      <c r="H47" s="78">
        <v>0.2</v>
      </c>
      <c r="I47" s="442">
        <f t="shared" si="6"/>
        <v>72.8</v>
      </c>
      <c r="J47" s="443">
        <f>G47+I47</f>
        <v>436.78000000000003</v>
      </c>
      <c r="K47" s="237"/>
      <c r="L47" s="1"/>
    </row>
    <row r="48" spans="1:12" s="116" customFormat="1" ht="15.75" x14ac:dyDescent="0.25">
      <c r="A48" s="116">
        <v>1002</v>
      </c>
      <c r="B48" s="24"/>
      <c r="C48" s="36" t="s">
        <v>336</v>
      </c>
      <c r="D48" s="36">
        <v>0</v>
      </c>
      <c r="E48" s="435">
        <v>0.24295</v>
      </c>
      <c r="F48" s="24">
        <v>1.1080239999999999</v>
      </c>
      <c r="G48" s="441">
        <f t="shared" si="5"/>
        <v>0</v>
      </c>
      <c r="H48" s="78">
        <v>0.2</v>
      </c>
      <c r="I48" s="442">
        <f>ROUND(G48*H48,2)</f>
        <v>0</v>
      </c>
      <c r="J48" s="443">
        <f>G48+I48</f>
        <v>0</v>
      </c>
      <c r="K48" s="237"/>
      <c r="L48" s="1"/>
    </row>
    <row r="49" spans="1:12" s="116" customFormat="1" ht="15.75" x14ac:dyDescent="0.25">
      <c r="A49" s="116">
        <v>2705</v>
      </c>
      <c r="B49" s="25"/>
      <c r="C49" s="37" t="s">
        <v>179</v>
      </c>
      <c r="D49" s="203">
        <v>101</v>
      </c>
      <c r="E49" s="435">
        <v>0.33048</v>
      </c>
      <c r="F49" s="24">
        <v>1.1080239999999999</v>
      </c>
      <c r="G49" s="441">
        <f t="shared" si="5"/>
        <v>36.979999999999997</v>
      </c>
      <c r="H49" s="33">
        <v>0.2</v>
      </c>
      <c r="I49" s="442">
        <f t="shared" si="6"/>
        <v>7.4</v>
      </c>
      <c r="J49" s="443">
        <f t="shared" si="1"/>
        <v>44.379999999999995</v>
      </c>
      <c r="K49" s="236"/>
      <c r="L49" s="1"/>
    </row>
    <row r="50" spans="1:12" ht="15.75" x14ac:dyDescent="0.25">
      <c r="A50" s="116">
        <v>2705</v>
      </c>
      <c r="B50" s="25"/>
      <c r="C50" s="37" t="s">
        <v>111</v>
      </c>
      <c r="D50" s="203">
        <v>102</v>
      </c>
      <c r="E50" s="435">
        <v>0.33048</v>
      </c>
      <c r="F50" s="24">
        <v>1.1080239999999999</v>
      </c>
      <c r="G50" s="441">
        <f t="shared" si="5"/>
        <v>37.35</v>
      </c>
      <c r="H50" s="33">
        <v>0.2</v>
      </c>
      <c r="I50" s="442">
        <f t="shared" si="6"/>
        <v>7.47</v>
      </c>
      <c r="J50" s="443">
        <f t="shared" si="1"/>
        <v>44.82</v>
      </c>
      <c r="K50" s="236"/>
      <c r="L50" s="1"/>
    </row>
    <row r="51" spans="1:12" ht="15.75" x14ac:dyDescent="0.25">
      <c r="A51" s="116">
        <v>2705</v>
      </c>
      <c r="B51" s="25"/>
      <c r="C51" s="37" t="s">
        <v>100</v>
      </c>
      <c r="D51" s="203">
        <v>122</v>
      </c>
      <c r="E51" s="435">
        <v>0.33048</v>
      </c>
      <c r="F51" s="24">
        <v>1.1080239999999999</v>
      </c>
      <c r="G51" s="441">
        <f t="shared" si="5"/>
        <v>44.67</v>
      </c>
      <c r="H51" s="33">
        <v>0.2</v>
      </c>
      <c r="I51" s="442">
        <f t="shared" si="6"/>
        <v>8.93</v>
      </c>
      <c r="J51" s="443">
        <f t="shared" si="1"/>
        <v>53.6</v>
      </c>
      <c r="K51" s="236"/>
      <c r="L51" s="1"/>
    </row>
    <row r="52" spans="1:12" ht="15.75" x14ac:dyDescent="0.25">
      <c r="A52" s="116">
        <v>2705</v>
      </c>
      <c r="B52" s="24"/>
      <c r="C52" s="36" t="s">
        <v>337</v>
      </c>
      <c r="D52" s="36">
        <f>965+385</f>
        <v>1350</v>
      </c>
      <c r="E52" s="435">
        <v>0.33048</v>
      </c>
      <c r="F52" s="24">
        <v>1.1080239999999999</v>
      </c>
      <c r="G52" s="441">
        <f t="shared" si="5"/>
        <v>494.34</v>
      </c>
      <c r="H52" s="78">
        <v>0.2</v>
      </c>
      <c r="I52" s="442">
        <f>ROUND(G52*H52,2)</f>
        <v>98.87</v>
      </c>
      <c r="J52" s="443">
        <f t="shared" si="1"/>
        <v>593.21</v>
      </c>
      <c r="K52" s="236"/>
      <c r="L52" s="1"/>
    </row>
    <row r="53" spans="1:12" ht="15.75" x14ac:dyDescent="0.25">
      <c r="A53" s="116">
        <v>2705</v>
      </c>
      <c r="B53" s="25"/>
      <c r="C53" s="732" t="s">
        <v>130</v>
      </c>
      <c r="D53" s="733">
        <v>866</v>
      </c>
      <c r="E53" s="435">
        <v>0.33048</v>
      </c>
      <c r="F53" s="24">
        <v>1.1080239999999999</v>
      </c>
      <c r="G53" s="441">
        <f t="shared" si="5"/>
        <v>317.11</v>
      </c>
      <c r="H53" s="33">
        <v>0.2</v>
      </c>
      <c r="I53" s="442">
        <f t="shared" si="6"/>
        <v>63.42</v>
      </c>
      <c r="J53" s="443">
        <f t="shared" si="1"/>
        <v>380.53000000000003</v>
      </c>
      <c r="K53" s="236"/>
      <c r="L53" s="1"/>
    </row>
    <row r="54" spans="1:12" ht="15.75" x14ac:dyDescent="0.25">
      <c r="A54" s="116">
        <v>902</v>
      </c>
      <c r="B54" s="25"/>
      <c r="C54" s="37" t="s">
        <v>131</v>
      </c>
      <c r="D54" s="203">
        <v>563</v>
      </c>
      <c r="E54" s="435">
        <v>0.24295</v>
      </c>
      <c r="F54" s="24">
        <v>1.1080239999999999</v>
      </c>
      <c r="G54" s="441">
        <f t="shared" si="5"/>
        <v>151.56</v>
      </c>
      <c r="H54" s="33">
        <v>0.2</v>
      </c>
      <c r="I54" s="442">
        <f t="shared" si="6"/>
        <v>30.31</v>
      </c>
      <c r="J54" s="443">
        <f t="shared" si="1"/>
        <v>181.87</v>
      </c>
      <c r="K54" s="237"/>
      <c r="L54" s="1"/>
    </row>
    <row r="55" spans="1:12" s="116" customFormat="1" ht="15.75" x14ac:dyDescent="0.25">
      <c r="A55" s="116">
        <v>902</v>
      </c>
      <c r="B55" s="25"/>
      <c r="C55" s="37" t="s">
        <v>594</v>
      </c>
      <c r="D55" s="203">
        <v>1164</v>
      </c>
      <c r="E55" s="435">
        <v>0.24295</v>
      </c>
      <c r="F55" s="24">
        <v>1.1080239999999999</v>
      </c>
      <c r="G55" s="441">
        <f t="shared" si="5"/>
        <v>313.33999999999997</v>
      </c>
      <c r="H55" s="33">
        <v>0.2</v>
      </c>
      <c r="I55" s="442">
        <f>ROUND(G55*H55,2)</f>
        <v>62.67</v>
      </c>
      <c r="J55" s="443">
        <f>G55+I55</f>
        <v>376.01</v>
      </c>
      <c r="K55" s="237"/>
      <c r="L55" s="1"/>
    </row>
    <row r="56" spans="1:12" ht="15.75" x14ac:dyDescent="0.25">
      <c r="A56" s="116">
        <v>2705</v>
      </c>
      <c r="B56" s="25"/>
      <c r="C56" s="37" t="s">
        <v>173</v>
      </c>
      <c r="D56" s="203">
        <v>10</v>
      </c>
      <c r="E56" s="435">
        <v>0.33048</v>
      </c>
      <c r="F56" s="24">
        <v>1.1080239999999999</v>
      </c>
      <c r="G56" s="441">
        <f t="shared" si="5"/>
        <v>3.66</v>
      </c>
      <c r="H56" s="33">
        <v>0.2</v>
      </c>
      <c r="I56" s="442">
        <f t="shared" si="6"/>
        <v>0.73</v>
      </c>
      <c r="J56" s="443">
        <f t="shared" si="1"/>
        <v>4.3900000000000006</v>
      </c>
      <c r="K56" s="236"/>
      <c r="L56" s="1"/>
    </row>
    <row r="57" spans="1:12" ht="15.75" x14ac:dyDescent="0.25">
      <c r="A57" s="116">
        <v>2705</v>
      </c>
      <c r="B57" s="25"/>
      <c r="C57" s="37" t="s">
        <v>132</v>
      </c>
      <c r="D57" s="203">
        <v>0</v>
      </c>
      <c r="E57" s="435">
        <v>0.33048</v>
      </c>
      <c r="F57" s="24">
        <v>1.1080239999999999</v>
      </c>
      <c r="G57" s="441">
        <f t="shared" si="5"/>
        <v>0</v>
      </c>
      <c r="H57" s="33">
        <v>0.2</v>
      </c>
      <c r="I57" s="442">
        <f t="shared" si="6"/>
        <v>0</v>
      </c>
      <c r="J57" s="443">
        <f t="shared" si="1"/>
        <v>0</v>
      </c>
      <c r="K57" s="236"/>
      <c r="L57" s="1"/>
    </row>
    <row r="58" spans="1:12" ht="15.75" x14ac:dyDescent="0.25">
      <c r="A58" s="116">
        <v>2705</v>
      </c>
      <c r="B58" s="25"/>
      <c r="C58" s="37" t="s">
        <v>19</v>
      </c>
      <c r="D58" s="203">
        <v>119</v>
      </c>
      <c r="E58" s="435">
        <v>0.33048</v>
      </c>
      <c r="F58" s="24">
        <v>1.1080239999999999</v>
      </c>
      <c r="G58" s="441">
        <f t="shared" si="5"/>
        <v>43.58</v>
      </c>
      <c r="H58" s="78">
        <v>0.2</v>
      </c>
      <c r="I58" s="442">
        <f t="shared" si="6"/>
        <v>8.7200000000000006</v>
      </c>
      <c r="J58" s="443">
        <f t="shared" si="1"/>
        <v>52.3</v>
      </c>
      <c r="K58" s="236"/>
      <c r="L58" s="1"/>
    </row>
    <row r="59" spans="1:12" ht="15.75" x14ac:dyDescent="0.25">
      <c r="A59" s="116">
        <v>902</v>
      </c>
      <c r="B59" s="25"/>
      <c r="C59" s="37" t="s">
        <v>138</v>
      </c>
      <c r="D59" s="203">
        <v>267</v>
      </c>
      <c r="E59" s="435">
        <v>0.24295</v>
      </c>
      <c r="F59" s="24">
        <v>1.1080239999999999</v>
      </c>
      <c r="G59" s="441">
        <f t="shared" si="5"/>
        <v>71.87</v>
      </c>
      <c r="H59" s="78">
        <v>0.2</v>
      </c>
      <c r="I59" s="442">
        <f t="shared" si="6"/>
        <v>14.37</v>
      </c>
      <c r="J59" s="443">
        <f t="shared" si="1"/>
        <v>86.240000000000009</v>
      </c>
      <c r="K59" s="237"/>
      <c r="L59" s="1"/>
    </row>
    <row r="60" spans="1:12" ht="15.75" x14ac:dyDescent="0.25">
      <c r="A60" s="116">
        <v>2705</v>
      </c>
      <c r="B60" s="25"/>
      <c r="C60" s="37" t="s">
        <v>139</v>
      </c>
      <c r="D60" s="203">
        <v>110</v>
      </c>
      <c r="E60" s="435">
        <v>0.33048</v>
      </c>
      <c r="F60" s="24">
        <v>1.1080239999999999</v>
      </c>
      <c r="G60" s="441">
        <f t="shared" si="5"/>
        <v>40.28</v>
      </c>
      <c r="H60" s="78">
        <v>0.2</v>
      </c>
      <c r="I60" s="442">
        <f t="shared" si="6"/>
        <v>8.06</v>
      </c>
      <c r="J60" s="443">
        <f t="shared" si="1"/>
        <v>48.34</v>
      </c>
      <c r="K60" s="236"/>
      <c r="L60" s="1"/>
    </row>
    <row r="61" spans="1:12" s="116" customFormat="1" ht="15.75" x14ac:dyDescent="0.25">
      <c r="A61" s="116">
        <v>2705</v>
      </c>
      <c r="B61" s="25"/>
      <c r="C61" s="37" t="s">
        <v>379</v>
      </c>
      <c r="D61" s="203">
        <v>453</v>
      </c>
      <c r="E61" s="435">
        <v>0.33048</v>
      </c>
      <c r="F61" s="24">
        <v>1.1080239999999999</v>
      </c>
      <c r="G61" s="441">
        <f t="shared" si="5"/>
        <v>165.88</v>
      </c>
      <c r="H61" s="78">
        <v>0.2</v>
      </c>
      <c r="I61" s="442">
        <f t="shared" si="6"/>
        <v>33.18</v>
      </c>
      <c r="J61" s="443">
        <f t="shared" si="1"/>
        <v>199.06</v>
      </c>
      <c r="K61" s="236"/>
      <c r="L61" s="1"/>
    </row>
    <row r="62" spans="1:12" s="116" customFormat="1" ht="15.75" x14ac:dyDescent="0.25">
      <c r="A62" s="116">
        <v>2705</v>
      </c>
      <c r="B62" s="25"/>
      <c r="C62" s="37" t="s">
        <v>595</v>
      </c>
      <c r="D62" s="203">
        <v>14</v>
      </c>
      <c r="E62" s="435">
        <v>0.33048</v>
      </c>
      <c r="F62" s="24">
        <v>1.1080239999999999</v>
      </c>
      <c r="G62" s="441">
        <f t="shared" si="5"/>
        <v>5.13</v>
      </c>
      <c r="H62" s="78">
        <v>0.2</v>
      </c>
      <c r="I62" s="442">
        <f>ROUND(G62*H62,2)</f>
        <v>1.03</v>
      </c>
      <c r="J62" s="443">
        <f>G62+I62</f>
        <v>6.16</v>
      </c>
      <c r="K62" s="236"/>
      <c r="L62" s="1"/>
    </row>
    <row r="63" spans="1:12" ht="15.75" x14ac:dyDescent="0.25">
      <c r="A63" s="116">
        <v>2605</v>
      </c>
      <c r="B63" s="25"/>
      <c r="C63" s="37" t="s">
        <v>140</v>
      </c>
      <c r="D63" s="203">
        <v>140</v>
      </c>
      <c r="E63" s="435">
        <v>0.33048</v>
      </c>
      <c r="F63" s="24">
        <v>1.1080239999999999</v>
      </c>
      <c r="G63" s="441">
        <f t="shared" si="5"/>
        <v>51.27</v>
      </c>
      <c r="H63" s="78">
        <v>0.2</v>
      </c>
      <c r="I63" s="442">
        <f t="shared" si="6"/>
        <v>10.25</v>
      </c>
      <c r="J63" s="443">
        <f t="shared" si="1"/>
        <v>61.52</v>
      </c>
      <c r="K63" s="236"/>
      <c r="L63" s="1"/>
    </row>
    <row r="64" spans="1:12" ht="15.75" x14ac:dyDescent="0.25">
      <c r="A64" s="116">
        <v>2705</v>
      </c>
      <c r="B64" s="24"/>
      <c r="C64" s="36" t="s">
        <v>133</v>
      </c>
      <c r="D64" s="36">
        <v>26</v>
      </c>
      <c r="E64" s="435">
        <v>0.33048</v>
      </c>
      <c r="F64" s="24">
        <v>1.1080239999999999</v>
      </c>
      <c r="G64" s="441">
        <f t="shared" si="5"/>
        <v>9.52</v>
      </c>
      <c r="H64" s="78">
        <v>0.2</v>
      </c>
      <c r="I64" s="442">
        <f t="shared" si="6"/>
        <v>1.9</v>
      </c>
      <c r="J64" s="443">
        <f t="shared" si="1"/>
        <v>11.42</v>
      </c>
      <c r="K64" s="236"/>
      <c r="L64" s="1"/>
    </row>
    <row r="65" spans="1:12" ht="15.75" x14ac:dyDescent="0.25">
      <c r="A65" s="116">
        <v>902</v>
      </c>
      <c r="B65" s="24"/>
      <c r="C65" s="36" t="s">
        <v>156</v>
      </c>
      <c r="D65" s="36">
        <v>701</v>
      </c>
      <c r="E65" s="435">
        <v>0.33048</v>
      </c>
      <c r="F65" s="24">
        <v>1.1080239999999999</v>
      </c>
      <c r="G65" s="441">
        <f t="shared" si="5"/>
        <v>256.69</v>
      </c>
      <c r="H65" s="78">
        <v>0.2</v>
      </c>
      <c r="I65" s="442">
        <f t="shared" si="6"/>
        <v>51.34</v>
      </c>
      <c r="J65" s="443">
        <f t="shared" si="1"/>
        <v>308.02999999999997</v>
      </c>
      <c r="K65" s="237"/>
      <c r="L65" s="1"/>
    </row>
    <row r="66" spans="1:12" s="116" customFormat="1" ht="15.75" x14ac:dyDescent="0.25">
      <c r="A66" s="116">
        <v>2705</v>
      </c>
      <c r="B66" s="24"/>
      <c r="C66" s="36" t="s">
        <v>166</v>
      </c>
      <c r="D66" s="36">
        <v>174</v>
      </c>
      <c r="E66" s="435">
        <v>0.33048</v>
      </c>
      <c r="F66" s="24">
        <v>1.1080239999999999</v>
      </c>
      <c r="G66" s="441">
        <f t="shared" si="5"/>
        <v>63.72</v>
      </c>
      <c r="H66" s="78">
        <v>0.2</v>
      </c>
      <c r="I66" s="442">
        <f t="shared" si="6"/>
        <v>12.74</v>
      </c>
      <c r="J66" s="443">
        <f t="shared" si="1"/>
        <v>76.459999999999994</v>
      </c>
      <c r="K66" s="236"/>
      <c r="L66" s="1"/>
    </row>
    <row r="67" spans="1:12" s="116" customFormat="1" ht="15.75" x14ac:dyDescent="0.25">
      <c r="A67" s="116">
        <v>2705</v>
      </c>
      <c r="B67" s="25"/>
      <c r="C67" s="219" t="s">
        <v>194</v>
      </c>
      <c r="D67" s="203">
        <f>198+40</f>
        <v>238</v>
      </c>
      <c r="E67" s="435">
        <v>0.33048</v>
      </c>
      <c r="F67" s="24">
        <v>1.1080239999999999</v>
      </c>
      <c r="G67" s="441">
        <f t="shared" si="5"/>
        <v>87.15</v>
      </c>
      <c r="H67" s="78">
        <v>0.2</v>
      </c>
      <c r="I67" s="442">
        <f t="shared" si="6"/>
        <v>17.43</v>
      </c>
      <c r="J67" s="443">
        <f t="shared" si="1"/>
        <v>104.58000000000001</v>
      </c>
      <c r="K67" s="236"/>
      <c r="L67" s="1"/>
    </row>
    <row r="68" spans="1:12" s="116" customFormat="1" ht="15.75" x14ac:dyDescent="0.25">
      <c r="A68" s="116">
        <v>2705</v>
      </c>
      <c r="B68" s="25"/>
      <c r="C68" s="219" t="s">
        <v>495</v>
      </c>
      <c r="D68" s="36">
        <v>53</v>
      </c>
      <c r="E68" s="435">
        <v>0.33048</v>
      </c>
      <c r="F68" s="24">
        <v>1.1080239999999999</v>
      </c>
      <c r="G68" s="441">
        <f t="shared" si="5"/>
        <v>19.41</v>
      </c>
      <c r="H68" s="78">
        <v>0.2</v>
      </c>
      <c r="I68" s="442">
        <f>ROUND(G68*H68,2)</f>
        <v>3.88</v>
      </c>
      <c r="J68" s="443">
        <f>G68+I68</f>
        <v>23.29</v>
      </c>
      <c r="K68" s="236"/>
      <c r="L68" s="1"/>
    </row>
    <row r="69" spans="1:12" s="116" customFormat="1" ht="15.75" x14ac:dyDescent="0.25">
      <c r="B69" s="25"/>
      <c r="C69" s="219" t="s">
        <v>415</v>
      </c>
      <c r="D69" s="36">
        <v>69</v>
      </c>
      <c r="E69" s="435">
        <v>0.33048</v>
      </c>
      <c r="F69" s="24">
        <v>1.1080239999999999</v>
      </c>
      <c r="G69" s="441">
        <f t="shared" si="5"/>
        <v>25.27</v>
      </c>
      <c r="H69" s="78">
        <v>0.2</v>
      </c>
      <c r="I69" s="442">
        <f>ROUND(G69*H69,2)</f>
        <v>5.05</v>
      </c>
      <c r="J69" s="443">
        <f>G69+I69</f>
        <v>30.32</v>
      </c>
      <c r="K69" s="236"/>
      <c r="L69" s="1"/>
    </row>
    <row r="70" spans="1:12" s="116" customFormat="1" ht="15.75" x14ac:dyDescent="0.25">
      <c r="A70" s="116">
        <v>2705</v>
      </c>
      <c r="B70" s="24"/>
      <c r="C70" s="592" t="s">
        <v>502</v>
      </c>
      <c r="D70" s="36">
        <v>71</v>
      </c>
      <c r="E70" s="435">
        <v>0.33048</v>
      </c>
      <c r="F70" s="24">
        <v>1.1080239999999999</v>
      </c>
      <c r="G70" s="441">
        <f t="shared" si="5"/>
        <v>26</v>
      </c>
      <c r="H70" s="78">
        <v>0.2</v>
      </c>
      <c r="I70" s="442">
        <f>ROUND(G70*H70,2)</f>
        <v>5.2</v>
      </c>
      <c r="J70" s="443">
        <f>G70+I70</f>
        <v>31.2</v>
      </c>
      <c r="K70" s="236"/>
      <c r="L70" s="1"/>
    </row>
    <row r="71" spans="1:12" s="116" customFormat="1" ht="15.75" x14ac:dyDescent="0.25">
      <c r="A71" s="116">
        <v>2705</v>
      </c>
      <c r="B71" s="24"/>
      <c r="C71" s="592" t="s">
        <v>445</v>
      </c>
      <c r="D71" s="36">
        <v>1450</v>
      </c>
      <c r="E71" s="435">
        <v>0.33048</v>
      </c>
      <c r="F71" s="24">
        <v>1.1080239999999999</v>
      </c>
      <c r="G71" s="441">
        <f t="shared" si="5"/>
        <v>530.96</v>
      </c>
      <c r="H71" s="78">
        <v>0.2</v>
      </c>
      <c r="I71" s="442">
        <f>ROUND(G71*H71,2)</f>
        <v>106.19</v>
      </c>
      <c r="J71" s="443">
        <f>G71+I71</f>
        <v>637.15000000000009</v>
      </c>
      <c r="K71" s="236"/>
      <c r="L71" s="1"/>
    </row>
    <row r="72" spans="1:12" s="116" customFormat="1" ht="15.75" x14ac:dyDescent="0.25">
      <c r="A72" s="116">
        <v>905</v>
      </c>
      <c r="B72" s="25"/>
      <c r="C72" s="219" t="s">
        <v>316</v>
      </c>
      <c r="D72" s="203">
        <v>469</v>
      </c>
      <c r="E72" s="435">
        <v>0.33048</v>
      </c>
      <c r="F72" s="24">
        <v>1.1080239999999999</v>
      </c>
      <c r="G72" s="441">
        <f t="shared" si="5"/>
        <v>171.74</v>
      </c>
      <c r="H72" s="78">
        <v>0.2</v>
      </c>
      <c r="I72" s="442">
        <f t="shared" si="6"/>
        <v>34.35</v>
      </c>
      <c r="J72" s="443">
        <f t="shared" si="1"/>
        <v>206.09</v>
      </c>
      <c r="K72" s="236"/>
      <c r="L72" s="1"/>
    </row>
    <row r="73" spans="1:12" s="116" customFormat="1" ht="15.75" x14ac:dyDescent="0.25">
      <c r="A73" s="116">
        <v>2705</v>
      </c>
      <c r="B73" s="24"/>
      <c r="C73" s="592" t="s">
        <v>268</v>
      </c>
      <c r="D73" s="36">
        <v>174</v>
      </c>
      <c r="E73" s="435">
        <v>0.33048</v>
      </c>
      <c r="F73" s="24">
        <v>1.1080239999999999</v>
      </c>
      <c r="G73" s="441">
        <f t="shared" si="5"/>
        <v>63.72</v>
      </c>
      <c r="H73" s="78">
        <v>0.2</v>
      </c>
      <c r="I73" s="442">
        <f t="shared" si="6"/>
        <v>12.74</v>
      </c>
      <c r="J73" s="443">
        <f t="shared" si="1"/>
        <v>76.459999999999994</v>
      </c>
      <c r="K73" s="236"/>
      <c r="L73" s="1"/>
    </row>
    <row r="74" spans="1:12" s="116" customFormat="1" ht="15.75" x14ac:dyDescent="0.25">
      <c r="B74" s="24"/>
      <c r="C74" s="592" t="s">
        <v>516</v>
      </c>
      <c r="D74" s="36">
        <v>0</v>
      </c>
      <c r="E74" s="435">
        <v>0.33048</v>
      </c>
      <c r="F74" s="24">
        <v>1.1080239999999999</v>
      </c>
      <c r="G74" s="441">
        <f t="shared" si="5"/>
        <v>0</v>
      </c>
      <c r="H74" s="78">
        <v>0.2</v>
      </c>
      <c r="I74" s="442">
        <f t="shared" si="6"/>
        <v>0</v>
      </c>
      <c r="J74" s="443">
        <f t="shared" si="1"/>
        <v>0</v>
      </c>
      <c r="K74" s="236"/>
      <c r="L74" s="1"/>
    </row>
    <row r="75" spans="1:12" s="116" customFormat="1" ht="16.5" thickBot="1" x14ac:dyDescent="0.3">
      <c r="A75" s="116">
        <v>2705</v>
      </c>
      <c r="B75" s="24"/>
      <c r="C75" s="36" t="s">
        <v>213</v>
      </c>
      <c r="D75" s="36">
        <v>166</v>
      </c>
      <c r="E75" s="435">
        <v>0.33048</v>
      </c>
      <c r="F75" s="24">
        <v>1.1080239999999999</v>
      </c>
      <c r="G75" s="441">
        <f t="shared" si="5"/>
        <v>60.79</v>
      </c>
      <c r="H75" s="78">
        <v>0.2</v>
      </c>
      <c r="I75" s="442">
        <f t="shared" si="6"/>
        <v>12.16</v>
      </c>
      <c r="J75" s="443">
        <f>G75+I75</f>
        <v>72.95</v>
      </c>
      <c r="K75" s="237"/>
      <c r="L75" s="1"/>
    </row>
    <row r="76" spans="1:12" s="8" customFormat="1" ht="21" customHeight="1" thickBot="1" x14ac:dyDescent="0.3">
      <c r="B76" s="700"/>
      <c r="C76" s="701" t="s">
        <v>12</v>
      </c>
      <c r="D76" s="702">
        <f>SUM(D32:D75)</f>
        <v>16469</v>
      </c>
      <c r="E76" s="220"/>
      <c r="F76" s="24"/>
      <c r="G76" s="502">
        <f>SUM(G32:G75)</f>
        <v>5829.1900000000005</v>
      </c>
      <c r="H76" s="439"/>
      <c r="I76" s="502">
        <f>SUM(I32:I75)</f>
        <v>1165.8399999999997</v>
      </c>
      <c r="J76" s="503">
        <f>SUM(J32:J75)</f>
        <v>6995.0300000000007</v>
      </c>
      <c r="K76" s="238"/>
      <c r="L76" s="7"/>
    </row>
    <row r="77" spans="1:12" ht="15.75" x14ac:dyDescent="0.25">
      <c r="A77" s="175">
        <v>2705</v>
      </c>
      <c r="B77" s="31">
        <v>7</v>
      </c>
      <c r="C77" s="32" t="s">
        <v>20</v>
      </c>
      <c r="D77" s="202">
        <v>161</v>
      </c>
      <c r="E77" s="435">
        <v>0.33048</v>
      </c>
      <c r="F77" s="24">
        <v>1.1080239999999999</v>
      </c>
      <c r="G77" s="441">
        <f t="shared" ref="G77:G108" si="7">ROUND(D77*E77*F77,2)</f>
        <v>58.95</v>
      </c>
      <c r="H77" s="33">
        <v>0.2</v>
      </c>
      <c r="I77" s="442">
        <f>ROUND(G77*H77,2)</f>
        <v>11.79</v>
      </c>
      <c r="J77" s="443">
        <f t="shared" ref="J77:J108" si="8">G77+I77</f>
        <v>70.740000000000009</v>
      </c>
      <c r="K77" s="236"/>
      <c r="L77" s="1"/>
    </row>
    <row r="78" spans="1:12" ht="15.75" x14ac:dyDescent="0.25">
      <c r="A78" s="175">
        <v>2705</v>
      </c>
      <c r="B78" s="24"/>
      <c r="C78" s="34" t="s">
        <v>106</v>
      </c>
      <c r="D78" s="36">
        <v>32</v>
      </c>
      <c r="E78" s="435">
        <v>0.33048</v>
      </c>
      <c r="F78" s="24">
        <v>1.1080239999999999</v>
      </c>
      <c r="G78" s="441">
        <f t="shared" si="7"/>
        <v>11.72</v>
      </c>
      <c r="H78" s="33">
        <v>0.2</v>
      </c>
      <c r="I78" s="442">
        <f t="shared" ref="I78:I108" si="9">ROUND(G78*H78,2)</f>
        <v>2.34</v>
      </c>
      <c r="J78" s="443">
        <f t="shared" si="8"/>
        <v>14.06</v>
      </c>
      <c r="K78" s="236"/>
      <c r="L78" s="1"/>
    </row>
    <row r="79" spans="1:12" ht="15.75" x14ac:dyDescent="0.25">
      <c r="A79" s="116" t="s">
        <v>205</v>
      </c>
      <c r="B79" s="24"/>
      <c r="C79" s="36" t="s">
        <v>44</v>
      </c>
      <c r="D79" s="36">
        <v>6</v>
      </c>
      <c r="E79" s="435">
        <v>0.33048</v>
      </c>
      <c r="F79" s="24">
        <v>1.1080239999999999</v>
      </c>
      <c r="G79" s="441">
        <f t="shared" si="7"/>
        <v>2.2000000000000002</v>
      </c>
      <c r="H79" s="33">
        <v>0.2</v>
      </c>
      <c r="I79" s="442">
        <f t="shared" si="9"/>
        <v>0.44</v>
      </c>
      <c r="J79" s="443">
        <f t="shared" si="8"/>
        <v>2.64</v>
      </c>
      <c r="K79" s="236"/>
      <c r="L79" s="1"/>
    </row>
    <row r="80" spans="1:12" ht="15.75" x14ac:dyDescent="0.25">
      <c r="A80" s="116" t="s">
        <v>204</v>
      </c>
      <c r="B80" s="24"/>
      <c r="C80" s="36" t="s">
        <v>45</v>
      </c>
      <c r="D80" s="36">
        <v>0</v>
      </c>
      <c r="E80" s="436">
        <v>0.15176999999999999</v>
      </c>
      <c r="F80" s="24">
        <v>1.1080239999999999</v>
      </c>
      <c r="G80" s="441">
        <f t="shared" si="7"/>
        <v>0</v>
      </c>
      <c r="H80" s="33">
        <v>0.2</v>
      </c>
      <c r="I80" s="442">
        <f t="shared" si="9"/>
        <v>0</v>
      </c>
      <c r="J80" s="443">
        <f t="shared" si="8"/>
        <v>0</v>
      </c>
      <c r="K80" s="236"/>
      <c r="L80" s="1"/>
    </row>
    <row r="81" spans="1:12" ht="15.75" x14ac:dyDescent="0.25">
      <c r="A81" s="116">
        <v>2705</v>
      </c>
      <c r="B81" s="24"/>
      <c r="C81" s="37" t="s">
        <v>21</v>
      </c>
      <c r="D81" s="203">
        <v>157</v>
      </c>
      <c r="E81" s="435">
        <v>0.33048</v>
      </c>
      <c r="F81" s="24">
        <v>1.1080239999999999</v>
      </c>
      <c r="G81" s="441">
        <f t="shared" si="7"/>
        <v>57.49</v>
      </c>
      <c r="H81" s="33">
        <v>0.2</v>
      </c>
      <c r="I81" s="442">
        <f t="shared" si="9"/>
        <v>11.5</v>
      </c>
      <c r="J81" s="443">
        <f t="shared" si="8"/>
        <v>68.990000000000009</v>
      </c>
      <c r="K81" s="236"/>
      <c r="L81" s="1"/>
    </row>
    <row r="82" spans="1:12" ht="15.75" x14ac:dyDescent="0.25">
      <c r="A82" s="116">
        <v>2705</v>
      </c>
      <c r="B82" s="24"/>
      <c r="C82" s="34" t="s">
        <v>134</v>
      </c>
      <c r="D82" s="36">
        <v>90</v>
      </c>
      <c r="E82" s="435">
        <v>0.33048</v>
      </c>
      <c r="F82" s="24">
        <v>1.1080239999999999</v>
      </c>
      <c r="G82" s="441">
        <f t="shared" si="7"/>
        <v>32.96</v>
      </c>
      <c r="H82" s="33">
        <v>0.2</v>
      </c>
      <c r="I82" s="442">
        <f t="shared" si="9"/>
        <v>6.59</v>
      </c>
      <c r="J82" s="443">
        <f t="shared" si="8"/>
        <v>39.549999999999997</v>
      </c>
      <c r="K82" s="236"/>
      <c r="L82" s="1"/>
    </row>
    <row r="83" spans="1:12" ht="15.75" x14ac:dyDescent="0.25">
      <c r="A83" s="116">
        <v>902</v>
      </c>
      <c r="B83" s="24"/>
      <c r="C83" s="34" t="s">
        <v>22</v>
      </c>
      <c r="D83" s="36">
        <v>260</v>
      </c>
      <c r="E83" s="435">
        <v>0.24295</v>
      </c>
      <c r="F83" s="24">
        <v>1.1080239999999999</v>
      </c>
      <c r="G83" s="441">
        <f t="shared" si="7"/>
        <v>69.989999999999995</v>
      </c>
      <c r="H83" s="33">
        <v>0.2</v>
      </c>
      <c r="I83" s="442">
        <f t="shared" si="9"/>
        <v>14</v>
      </c>
      <c r="J83" s="443">
        <f t="shared" si="8"/>
        <v>83.99</v>
      </c>
      <c r="K83" s="236"/>
      <c r="L83" s="1"/>
    </row>
    <row r="84" spans="1:12" ht="15.75" x14ac:dyDescent="0.25">
      <c r="A84" s="116" t="s">
        <v>202</v>
      </c>
      <c r="B84" s="24"/>
      <c r="C84" s="36" t="s">
        <v>11</v>
      </c>
      <c r="D84" s="36">
        <v>41</v>
      </c>
      <c r="E84" s="436">
        <v>0.33048</v>
      </c>
      <c r="F84" s="24">
        <v>1.1080239999999999</v>
      </c>
      <c r="G84" s="441">
        <f t="shared" si="7"/>
        <v>15.01</v>
      </c>
      <c r="H84" s="33">
        <v>0.2</v>
      </c>
      <c r="I84" s="442">
        <f t="shared" si="9"/>
        <v>3</v>
      </c>
      <c r="J84" s="443">
        <f t="shared" si="8"/>
        <v>18.009999999999998</v>
      </c>
      <c r="K84" s="236"/>
      <c r="L84" s="1"/>
    </row>
    <row r="85" spans="1:12" ht="15.75" x14ac:dyDescent="0.25">
      <c r="A85" s="116">
        <v>2605</v>
      </c>
      <c r="B85" s="24"/>
      <c r="C85" s="34" t="s">
        <v>496</v>
      </c>
      <c r="D85" s="36">
        <v>181</v>
      </c>
      <c r="E85" s="436">
        <v>0.33048</v>
      </c>
      <c r="F85" s="24">
        <v>1.1080239999999999</v>
      </c>
      <c r="G85" s="441">
        <f t="shared" si="7"/>
        <v>66.28</v>
      </c>
      <c r="H85" s="33">
        <v>0.2</v>
      </c>
      <c r="I85" s="442">
        <f t="shared" si="9"/>
        <v>13.26</v>
      </c>
      <c r="J85" s="443">
        <f t="shared" si="8"/>
        <v>79.540000000000006</v>
      </c>
      <c r="K85" s="236"/>
      <c r="L85" s="1"/>
    </row>
    <row r="86" spans="1:12" ht="15.75" x14ac:dyDescent="0.25">
      <c r="A86" s="116">
        <v>2705</v>
      </c>
      <c r="B86" s="36"/>
      <c r="C86" s="34" t="s">
        <v>311</v>
      </c>
      <c r="D86" s="36">
        <v>158</v>
      </c>
      <c r="E86" s="436">
        <v>0.33048</v>
      </c>
      <c r="F86" s="24">
        <v>1.1080239999999999</v>
      </c>
      <c r="G86" s="441">
        <f t="shared" si="7"/>
        <v>57.86</v>
      </c>
      <c r="H86" s="270">
        <v>0.2</v>
      </c>
      <c r="I86" s="442">
        <f t="shared" si="9"/>
        <v>11.57</v>
      </c>
      <c r="J86" s="443">
        <f t="shared" si="8"/>
        <v>69.430000000000007</v>
      </c>
      <c r="K86" s="750"/>
      <c r="L86" s="751"/>
    </row>
    <row r="87" spans="1:12" s="116" customFormat="1" ht="15.75" x14ac:dyDescent="0.25">
      <c r="B87" s="36"/>
      <c r="C87" s="36" t="s">
        <v>44</v>
      </c>
      <c r="D87" s="36">
        <v>0</v>
      </c>
      <c r="E87" s="436">
        <v>0.33048</v>
      </c>
      <c r="F87" s="24">
        <v>1.1080239999999999</v>
      </c>
      <c r="G87" s="441">
        <f t="shared" si="7"/>
        <v>0</v>
      </c>
      <c r="H87" s="33">
        <v>0.2</v>
      </c>
      <c r="I87" s="442">
        <f>ROUND(G87*H87,2)</f>
        <v>0</v>
      </c>
      <c r="J87" s="443">
        <f>G87+I87</f>
        <v>0</v>
      </c>
      <c r="K87" s="705"/>
      <c r="L87" s="704"/>
    </row>
    <row r="88" spans="1:12" s="116" customFormat="1" ht="15.75" x14ac:dyDescent="0.25">
      <c r="A88" s="116">
        <v>2705</v>
      </c>
      <c r="B88" s="24"/>
      <c r="C88" s="34" t="s">
        <v>195</v>
      </c>
      <c r="D88" s="36">
        <v>284</v>
      </c>
      <c r="E88" s="436">
        <v>0.33048</v>
      </c>
      <c r="F88" s="24">
        <v>1.1080239999999999</v>
      </c>
      <c r="G88" s="441">
        <f t="shared" si="7"/>
        <v>104</v>
      </c>
      <c r="H88" s="33">
        <v>0.2</v>
      </c>
      <c r="I88" s="442">
        <f t="shared" si="9"/>
        <v>20.8</v>
      </c>
      <c r="J88" s="443">
        <f t="shared" si="8"/>
        <v>124.8</v>
      </c>
      <c r="K88" s="236"/>
      <c r="L88" s="1"/>
    </row>
    <row r="89" spans="1:12" ht="15.75" x14ac:dyDescent="0.25">
      <c r="A89" s="116">
        <v>2705</v>
      </c>
      <c r="B89" s="25"/>
      <c r="C89" s="37" t="s">
        <v>369</v>
      </c>
      <c r="D89" s="36">
        <v>0</v>
      </c>
      <c r="E89" s="436">
        <v>0.33048</v>
      </c>
      <c r="F89" s="24">
        <v>1.1080239999999999</v>
      </c>
      <c r="G89" s="441">
        <f t="shared" si="7"/>
        <v>0</v>
      </c>
      <c r="H89" s="33">
        <v>0.2</v>
      </c>
      <c r="I89" s="442">
        <f t="shared" si="9"/>
        <v>0</v>
      </c>
      <c r="J89" s="505">
        <f t="shared" si="8"/>
        <v>0</v>
      </c>
      <c r="K89" s="236"/>
      <c r="L89" s="1"/>
    </row>
    <row r="90" spans="1:12" s="116" customFormat="1" ht="15.75" x14ac:dyDescent="0.25">
      <c r="B90" s="25"/>
      <c r="C90" s="36" t="s">
        <v>44</v>
      </c>
      <c r="D90" s="36">
        <v>0</v>
      </c>
      <c r="E90" s="436">
        <v>0.33048</v>
      </c>
      <c r="F90" s="24">
        <v>1.1080239999999999</v>
      </c>
      <c r="G90" s="441">
        <f t="shared" si="7"/>
        <v>0</v>
      </c>
      <c r="H90" s="33">
        <v>0.2</v>
      </c>
      <c r="I90" s="442">
        <f>ROUND(G90*H90,2)</f>
        <v>0</v>
      </c>
      <c r="J90" s="443">
        <f>G90+I90</f>
        <v>0</v>
      </c>
      <c r="K90" s="236"/>
      <c r="L90" s="1"/>
    </row>
    <row r="91" spans="1:12" s="116" customFormat="1" ht="15.75" x14ac:dyDescent="0.25">
      <c r="B91" s="25"/>
      <c r="C91" s="36" t="s">
        <v>45</v>
      </c>
      <c r="D91" s="36">
        <v>0</v>
      </c>
      <c r="E91" s="436">
        <v>0.15176999999999999</v>
      </c>
      <c r="F91" s="24">
        <v>1.1080239999999999</v>
      </c>
      <c r="G91" s="441">
        <f t="shared" si="7"/>
        <v>0</v>
      </c>
      <c r="H91" s="33">
        <v>0.2</v>
      </c>
      <c r="I91" s="442">
        <f>ROUND(G91*H91,2)</f>
        <v>0</v>
      </c>
      <c r="J91" s="443">
        <f>G91+I91</f>
        <v>0</v>
      </c>
      <c r="K91" s="236"/>
      <c r="L91" s="1"/>
    </row>
    <row r="92" spans="1:12" ht="15.75" x14ac:dyDescent="0.25">
      <c r="A92" s="116">
        <v>2705</v>
      </c>
      <c r="B92" s="25"/>
      <c r="C92" s="37" t="s">
        <v>321</v>
      </c>
      <c r="D92" s="36">
        <v>196</v>
      </c>
      <c r="E92" s="435">
        <v>0.33048</v>
      </c>
      <c r="F92" s="24">
        <v>1.1080239999999999</v>
      </c>
      <c r="G92" s="441">
        <f t="shared" si="7"/>
        <v>71.77</v>
      </c>
      <c r="H92" s="33">
        <v>0.2</v>
      </c>
      <c r="I92" s="442">
        <f t="shared" si="9"/>
        <v>14.35</v>
      </c>
      <c r="J92" s="443">
        <f t="shared" si="8"/>
        <v>86.11999999999999</v>
      </c>
      <c r="K92" s="236"/>
      <c r="L92" s="1"/>
    </row>
    <row r="93" spans="1:12" ht="15.75" x14ac:dyDescent="0.25">
      <c r="A93" s="116">
        <v>2706</v>
      </c>
      <c r="B93" s="25"/>
      <c r="C93" s="37" t="s">
        <v>88</v>
      </c>
      <c r="D93" s="203">
        <v>0</v>
      </c>
      <c r="E93" s="435">
        <v>0.27273999999999998</v>
      </c>
      <c r="F93" s="24">
        <v>1.1080239999999999</v>
      </c>
      <c r="G93" s="441">
        <f t="shared" si="7"/>
        <v>0</v>
      </c>
      <c r="H93" s="33">
        <v>0.2</v>
      </c>
      <c r="I93" s="442">
        <f t="shared" si="9"/>
        <v>0</v>
      </c>
      <c r="J93" s="443">
        <f t="shared" si="8"/>
        <v>0</v>
      </c>
      <c r="K93" s="236"/>
      <c r="L93" s="1"/>
    </row>
    <row r="94" spans="1:12" ht="15.75" x14ac:dyDescent="0.25">
      <c r="A94" s="116">
        <v>2706</v>
      </c>
      <c r="B94" s="25"/>
      <c r="C94" s="37" t="s">
        <v>135</v>
      </c>
      <c r="D94" s="203">
        <v>0</v>
      </c>
      <c r="E94" s="435">
        <v>0.27273999999999998</v>
      </c>
      <c r="F94" s="24">
        <v>1.1080239999999999</v>
      </c>
      <c r="G94" s="441">
        <f t="shared" si="7"/>
        <v>0</v>
      </c>
      <c r="H94" s="33">
        <v>0.2</v>
      </c>
      <c r="I94" s="442">
        <f t="shared" si="9"/>
        <v>0</v>
      </c>
      <c r="J94" s="443">
        <f t="shared" si="8"/>
        <v>0</v>
      </c>
      <c r="K94" s="236"/>
      <c r="L94" s="1"/>
    </row>
    <row r="95" spans="1:12" ht="15.75" x14ac:dyDescent="0.25">
      <c r="A95" s="116" t="s">
        <v>206</v>
      </c>
      <c r="B95" s="25"/>
      <c r="C95" s="37" t="s">
        <v>141</v>
      </c>
      <c r="D95" s="203">
        <v>60</v>
      </c>
      <c r="E95" s="435">
        <v>0.27273999999999998</v>
      </c>
      <c r="F95" s="24">
        <v>1.1080239999999999</v>
      </c>
      <c r="G95" s="441">
        <f t="shared" si="7"/>
        <v>18.13</v>
      </c>
      <c r="H95" s="33">
        <v>0.2</v>
      </c>
      <c r="I95" s="442">
        <f t="shared" si="9"/>
        <v>3.63</v>
      </c>
      <c r="J95" s="443">
        <f t="shared" si="8"/>
        <v>21.759999999999998</v>
      </c>
      <c r="K95" s="236"/>
      <c r="L95" s="1"/>
    </row>
    <row r="96" spans="1:12" ht="15.75" x14ac:dyDescent="0.25">
      <c r="A96" s="116" t="s">
        <v>206</v>
      </c>
      <c r="B96" s="25"/>
      <c r="C96" s="37" t="s">
        <v>162</v>
      </c>
      <c r="D96" s="203">
        <v>28</v>
      </c>
      <c r="E96" s="435">
        <v>0.27273999999999998</v>
      </c>
      <c r="F96" s="24">
        <v>1.1080239999999999</v>
      </c>
      <c r="G96" s="441">
        <f t="shared" si="7"/>
        <v>8.4600000000000009</v>
      </c>
      <c r="H96" s="33">
        <v>0.2</v>
      </c>
      <c r="I96" s="442">
        <f t="shared" si="9"/>
        <v>1.69</v>
      </c>
      <c r="J96" s="443">
        <f t="shared" si="8"/>
        <v>10.15</v>
      </c>
      <c r="K96" s="236"/>
      <c r="L96" s="1"/>
    </row>
    <row r="97" spans="1:12" s="116" customFormat="1" ht="15.75" x14ac:dyDescent="0.25">
      <c r="B97" s="25"/>
      <c r="C97" s="37" t="s">
        <v>385</v>
      </c>
      <c r="D97" s="260">
        <v>9</v>
      </c>
      <c r="E97" s="435">
        <v>0.33048</v>
      </c>
      <c r="F97" s="24">
        <v>1.1080239999999999</v>
      </c>
      <c r="G97" s="441">
        <f t="shared" si="7"/>
        <v>3.3</v>
      </c>
      <c r="H97" s="78">
        <v>0.2</v>
      </c>
      <c r="I97" s="442">
        <f>ROUND(G97*H97,2)</f>
        <v>0.66</v>
      </c>
      <c r="J97" s="443">
        <f>G97+I97</f>
        <v>3.96</v>
      </c>
      <c r="K97" s="236"/>
      <c r="L97" s="1"/>
    </row>
    <row r="98" spans="1:12" ht="15.75" x14ac:dyDescent="0.25">
      <c r="A98" s="116">
        <v>902</v>
      </c>
      <c r="B98" s="24"/>
      <c r="C98" s="36" t="s">
        <v>492</v>
      </c>
      <c r="D98" s="36">
        <v>185</v>
      </c>
      <c r="E98" s="435">
        <v>0.24295</v>
      </c>
      <c r="F98" s="24">
        <v>1.1080239999999999</v>
      </c>
      <c r="G98" s="441">
        <f t="shared" si="7"/>
        <v>49.8</v>
      </c>
      <c r="H98" s="78">
        <v>0.2</v>
      </c>
      <c r="I98" s="442">
        <f t="shared" si="9"/>
        <v>9.9600000000000009</v>
      </c>
      <c r="J98" s="443">
        <f t="shared" si="8"/>
        <v>59.76</v>
      </c>
      <c r="K98" s="237"/>
      <c r="L98" s="1"/>
    </row>
    <row r="99" spans="1:12" s="116" customFormat="1" ht="15.75" x14ac:dyDescent="0.25">
      <c r="A99" s="116">
        <v>2705</v>
      </c>
      <c r="B99" s="24"/>
      <c r="C99" s="36" t="s">
        <v>503</v>
      </c>
      <c r="D99" s="260">
        <v>95</v>
      </c>
      <c r="E99" s="435">
        <v>0.33048</v>
      </c>
      <c r="F99" s="24">
        <v>1.1080239999999999</v>
      </c>
      <c r="G99" s="441">
        <f t="shared" si="7"/>
        <v>34.79</v>
      </c>
      <c r="H99" s="78">
        <v>0.2</v>
      </c>
      <c r="I99" s="442">
        <f>ROUND(G99*H99,2)</f>
        <v>6.96</v>
      </c>
      <c r="J99" s="443">
        <f>G99+I99</f>
        <v>41.75</v>
      </c>
      <c r="K99" s="236"/>
      <c r="L99" s="1"/>
    </row>
    <row r="100" spans="1:12" s="116" customFormat="1" ht="15.75" x14ac:dyDescent="0.25">
      <c r="A100" s="116">
        <v>2705</v>
      </c>
      <c r="B100" s="24"/>
      <c r="C100" s="36" t="s">
        <v>308</v>
      </c>
      <c r="D100" s="260">
        <v>1408</v>
      </c>
      <c r="E100" s="435">
        <v>0.33048</v>
      </c>
      <c r="F100" s="24">
        <v>1.1080239999999999</v>
      </c>
      <c r="G100" s="441">
        <f t="shared" si="7"/>
        <v>515.58000000000004</v>
      </c>
      <c r="H100" s="78">
        <v>0.2</v>
      </c>
      <c r="I100" s="442">
        <f t="shared" si="9"/>
        <v>103.12</v>
      </c>
      <c r="J100" s="443">
        <f t="shared" si="8"/>
        <v>618.70000000000005</v>
      </c>
      <c r="K100" s="236"/>
      <c r="L100" s="1"/>
    </row>
    <row r="101" spans="1:12" s="116" customFormat="1" ht="15.75" x14ac:dyDescent="0.25">
      <c r="A101" s="116" t="s">
        <v>205</v>
      </c>
      <c r="B101" s="24"/>
      <c r="C101" s="36" t="s">
        <v>158</v>
      </c>
      <c r="D101" s="36">
        <v>0</v>
      </c>
      <c r="E101" s="435">
        <v>0.33048</v>
      </c>
      <c r="F101" s="24">
        <v>1.1080239999999999</v>
      </c>
      <c r="G101" s="441">
        <f t="shared" si="7"/>
        <v>0</v>
      </c>
      <c r="H101" s="78">
        <v>0.2</v>
      </c>
      <c r="I101" s="442">
        <f t="shared" si="9"/>
        <v>0</v>
      </c>
      <c r="J101" s="443">
        <f t="shared" si="8"/>
        <v>0</v>
      </c>
      <c r="K101" s="236"/>
      <c r="L101" s="1"/>
    </row>
    <row r="102" spans="1:12" ht="15.75" x14ac:dyDescent="0.25">
      <c r="A102" s="116">
        <v>2605</v>
      </c>
      <c r="B102" s="24"/>
      <c r="C102" s="36" t="s">
        <v>157</v>
      </c>
      <c r="D102" s="36">
        <v>18</v>
      </c>
      <c r="E102" s="435">
        <v>0.33048</v>
      </c>
      <c r="F102" s="24">
        <v>1.1080239999999999</v>
      </c>
      <c r="G102" s="441">
        <f t="shared" si="7"/>
        <v>6.59</v>
      </c>
      <c r="H102" s="78">
        <v>0.2</v>
      </c>
      <c r="I102" s="442">
        <f t="shared" si="9"/>
        <v>1.32</v>
      </c>
      <c r="J102" s="443">
        <f t="shared" si="8"/>
        <v>7.91</v>
      </c>
      <c r="K102" s="236"/>
      <c r="L102" s="1"/>
    </row>
    <row r="103" spans="1:12" ht="15.75" x14ac:dyDescent="0.25">
      <c r="A103" s="116" t="s">
        <v>202</v>
      </c>
      <c r="B103" s="24"/>
      <c r="C103" s="36" t="s">
        <v>226</v>
      </c>
      <c r="D103" s="36">
        <v>32</v>
      </c>
      <c r="E103" s="435">
        <v>0.33048</v>
      </c>
      <c r="F103" s="24">
        <v>1.1080239999999999</v>
      </c>
      <c r="G103" s="441">
        <f t="shared" si="7"/>
        <v>11.72</v>
      </c>
      <c r="H103" s="78">
        <v>0.2</v>
      </c>
      <c r="I103" s="442">
        <f t="shared" si="9"/>
        <v>2.34</v>
      </c>
      <c r="J103" s="443">
        <f t="shared" si="8"/>
        <v>14.06</v>
      </c>
      <c r="K103" s="236"/>
      <c r="L103" s="1"/>
    </row>
    <row r="104" spans="1:12" s="116" customFormat="1" ht="18" customHeight="1" x14ac:dyDescent="0.25">
      <c r="A104" s="116">
        <v>2605</v>
      </c>
      <c r="B104" s="24"/>
      <c r="C104" s="36" t="s">
        <v>377</v>
      </c>
      <c r="D104" s="36">
        <v>270</v>
      </c>
      <c r="E104" s="435">
        <v>0.33048</v>
      </c>
      <c r="F104" s="24">
        <v>1.1080239999999999</v>
      </c>
      <c r="G104" s="441">
        <f t="shared" si="7"/>
        <v>98.87</v>
      </c>
      <c r="H104" s="78">
        <v>0.2</v>
      </c>
      <c r="I104" s="442">
        <f t="shared" si="9"/>
        <v>19.77</v>
      </c>
      <c r="J104" s="443">
        <f t="shared" si="8"/>
        <v>118.64</v>
      </c>
      <c r="K104" s="236"/>
      <c r="L104" s="1"/>
    </row>
    <row r="105" spans="1:12" s="116" customFormat="1" ht="15.75" x14ac:dyDescent="0.25">
      <c r="A105" s="175">
        <v>2705</v>
      </c>
      <c r="B105" s="24"/>
      <c r="C105" s="36" t="s">
        <v>226</v>
      </c>
      <c r="D105" s="36">
        <v>0</v>
      </c>
      <c r="E105" s="435">
        <v>0.33048</v>
      </c>
      <c r="F105" s="24">
        <v>1.1080239999999999</v>
      </c>
      <c r="G105" s="441">
        <f t="shared" si="7"/>
        <v>0</v>
      </c>
      <c r="H105" s="78">
        <v>0.2</v>
      </c>
      <c r="I105" s="442">
        <f t="shared" si="9"/>
        <v>0</v>
      </c>
      <c r="J105" s="443">
        <f t="shared" si="8"/>
        <v>0</v>
      </c>
      <c r="K105" s="236"/>
      <c r="L105" s="1"/>
    </row>
    <row r="106" spans="1:12" s="116" customFormat="1" ht="15.75" x14ac:dyDescent="0.25">
      <c r="A106" s="175"/>
      <c r="B106" s="25"/>
      <c r="C106" s="36" t="s">
        <v>388</v>
      </c>
      <c r="D106" s="36">
        <v>0</v>
      </c>
      <c r="E106" s="436">
        <v>0.15176999999999999</v>
      </c>
      <c r="F106" s="24">
        <v>1.1080239999999999</v>
      </c>
      <c r="G106" s="441">
        <f t="shared" si="7"/>
        <v>0</v>
      </c>
      <c r="H106" s="33">
        <v>0.2</v>
      </c>
      <c r="I106" s="442">
        <f>ROUND(G106*H106,2)</f>
        <v>0</v>
      </c>
      <c r="J106" s="443">
        <f>G106+I106</f>
        <v>0</v>
      </c>
      <c r="K106" s="236"/>
      <c r="L106" s="1"/>
    </row>
    <row r="107" spans="1:12" s="116" customFormat="1" ht="15.75" x14ac:dyDescent="0.25">
      <c r="A107" s="175">
        <v>2705</v>
      </c>
      <c r="B107" s="25"/>
      <c r="C107" s="203" t="s">
        <v>224</v>
      </c>
      <c r="D107" s="203">
        <v>343</v>
      </c>
      <c r="E107" s="435">
        <v>0.33048</v>
      </c>
      <c r="F107" s="24">
        <v>1.1080239999999999</v>
      </c>
      <c r="G107" s="441">
        <f t="shared" si="7"/>
        <v>125.6</v>
      </c>
      <c r="H107" s="78">
        <v>0.2</v>
      </c>
      <c r="I107" s="442">
        <f t="shared" si="9"/>
        <v>25.12</v>
      </c>
      <c r="J107" s="443">
        <f t="shared" si="8"/>
        <v>150.72</v>
      </c>
      <c r="K107" s="236"/>
      <c r="L107" s="1"/>
    </row>
    <row r="108" spans="1:12" s="116" customFormat="1" ht="16.5" thickBot="1" x14ac:dyDescent="0.3">
      <c r="A108" s="175" t="s">
        <v>218</v>
      </c>
      <c r="B108" s="25"/>
      <c r="C108" s="36" t="s">
        <v>225</v>
      </c>
      <c r="D108" s="203">
        <v>0</v>
      </c>
      <c r="E108" s="435">
        <v>0.33048</v>
      </c>
      <c r="F108" s="24">
        <v>1.1080239999999999</v>
      </c>
      <c r="G108" s="441">
        <f t="shared" si="7"/>
        <v>0</v>
      </c>
      <c r="H108" s="78">
        <v>0.2</v>
      </c>
      <c r="I108" s="442">
        <f t="shared" si="9"/>
        <v>0</v>
      </c>
      <c r="J108" s="443">
        <f t="shared" si="8"/>
        <v>0</v>
      </c>
      <c r="K108" s="236"/>
      <c r="L108" s="1"/>
    </row>
    <row r="109" spans="1:12" s="8" customFormat="1" ht="20.25" customHeight="1" thickBot="1" x14ac:dyDescent="0.3">
      <c r="B109" s="41"/>
      <c r="C109" s="28" t="s">
        <v>56</v>
      </c>
      <c r="D109" s="349">
        <f>SUM(D77:D108)</f>
        <v>4014</v>
      </c>
      <c r="E109" s="220"/>
      <c r="F109" s="24"/>
      <c r="G109" s="439">
        <f>SUM(G77:G108)</f>
        <v>1421.0699999999997</v>
      </c>
      <c r="H109" s="439"/>
      <c r="I109" s="439">
        <f>SUM(I77:I108)</f>
        <v>284.20999999999998</v>
      </c>
      <c r="J109" s="440">
        <f>SUM(J77:J108)</f>
        <v>1705.2800000000002</v>
      </c>
      <c r="K109" s="238"/>
      <c r="L109" s="7"/>
    </row>
    <row r="110" spans="1:12" ht="16.5" customHeight="1" x14ac:dyDescent="0.25">
      <c r="A110" s="116">
        <v>2706</v>
      </c>
      <c r="B110" s="202">
        <v>12</v>
      </c>
      <c r="C110" s="35" t="s">
        <v>493</v>
      </c>
      <c r="D110" s="225">
        <v>62</v>
      </c>
      <c r="E110" s="435">
        <v>0.27273999999999998</v>
      </c>
      <c r="F110" s="24">
        <v>1.1080239999999999</v>
      </c>
      <c r="G110" s="441">
        <f t="shared" ref="G110:G121" si="10">ROUND(D110*E110*F110,2)</f>
        <v>18.739999999999998</v>
      </c>
      <c r="H110" s="33">
        <v>0.2</v>
      </c>
      <c r="I110" s="442">
        <f t="shared" ref="I110:I121" si="11">ROUND(G110*H110,2)</f>
        <v>3.75</v>
      </c>
      <c r="J110" s="443">
        <f t="shared" ref="J110:J121" si="12">G110+I110</f>
        <v>22.49</v>
      </c>
      <c r="K110" s="236"/>
      <c r="L110" s="1"/>
    </row>
    <row r="111" spans="1:12" s="116" customFormat="1" ht="15.75" x14ac:dyDescent="0.25">
      <c r="A111" s="175">
        <v>2705</v>
      </c>
      <c r="B111" s="24"/>
      <c r="C111" s="34" t="s">
        <v>24</v>
      </c>
      <c r="D111" s="36">
        <v>6</v>
      </c>
      <c r="E111" s="435">
        <v>0.33048</v>
      </c>
      <c r="F111" s="24">
        <v>1.1080239999999999</v>
      </c>
      <c r="G111" s="441">
        <f t="shared" si="10"/>
        <v>2.2000000000000002</v>
      </c>
      <c r="H111" s="33">
        <v>0.2</v>
      </c>
      <c r="I111" s="442">
        <f>ROUND(G111*H111,2)</f>
        <v>0.44</v>
      </c>
      <c r="J111" s="443">
        <f>G111+I111</f>
        <v>2.64</v>
      </c>
      <c r="K111" s="236"/>
      <c r="L111" s="1"/>
    </row>
    <row r="112" spans="1:12" ht="15.75" x14ac:dyDescent="0.25">
      <c r="A112" s="175">
        <v>2705</v>
      </c>
      <c r="B112" s="24"/>
      <c r="C112" s="34" t="s">
        <v>582</v>
      </c>
      <c r="D112" s="36">
        <v>0</v>
      </c>
      <c r="E112" s="435">
        <v>0.33048</v>
      </c>
      <c r="F112" s="24">
        <v>1.1080239999999999</v>
      </c>
      <c r="G112" s="441">
        <f t="shared" si="10"/>
        <v>0</v>
      </c>
      <c r="H112" s="33">
        <v>0.2</v>
      </c>
      <c r="I112" s="442">
        <f t="shared" si="11"/>
        <v>0</v>
      </c>
      <c r="J112" s="443">
        <f t="shared" si="12"/>
        <v>0</v>
      </c>
      <c r="K112" s="236"/>
      <c r="L112" s="1"/>
    </row>
    <row r="113" spans="1:12" s="116" customFormat="1" ht="15.75" x14ac:dyDescent="0.25">
      <c r="A113" s="175" t="s">
        <v>204</v>
      </c>
      <c r="B113" s="25"/>
      <c r="C113" s="36" t="s">
        <v>388</v>
      </c>
      <c r="D113" s="36">
        <v>0</v>
      </c>
      <c r="E113" s="436">
        <v>0.15176999999999999</v>
      </c>
      <c r="F113" s="24">
        <v>1.1080239999999999</v>
      </c>
      <c r="G113" s="441">
        <f t="shared" si="10"/>
        <v>0</v>
      </c>
      <c r="H113" s="33">
        <v>0.2</v>
      </c>
      <c r="I113" s="442">
        <f>ROUND(G113*H113,2)</f>
        <v>0</v>
      </c>
      <c r="J113" s="443">
        <f>G113+I113</f>
        <v>0</v>
      </c>
      <c r="K113" s="236"/>
      <c r="L113" s="1"/>
    </row>
    <row r="114" spans="1:12" ht="15.75" x14ac:dyDescent="0.25">
      <c r="A114" s="175">
        <v>2602</v>
      </c>
      <c r="B114" s="24"/>
      <c r="C114" s="34" t="s">
        <v>25</v>
      </c>
      <c r="D114" s="36">
        <v>0</v>
      </c>
      <c r="E114" s="435">
        <v>0.24295</v>
      </c>
      <c r="F114" s="24">
        <v>1.1080239999999999</v>
      </c>
      <c r="G114" s="441">
        <f t="shared" si="10"/>
        <v>0</v>
      </c>
      <c r="H114" s="33">
        <v>0.2</v>
      </c>
      <c r="I114" s="442">
        <f t="shared" si="11"/>
        <v>0</v>
      </c>
      <c r="J114" s="443">
        <f t="shared" si="12"/>
        <v>0</v>
      </c>
      <c r="K114" s="236"/>
      <c r="L114" s="1"/>
    </row>
    <row r="115" spans="1:12" ht="15.75" x14ac:dyDescent="0.25">
      <c r="A115" s="175">
        <v>2605</v>
      </c>
      <c r="B115" s="24"/>
      <c r="C115" s="34" t="s">
        <v>54</v>
      </c>
      <c r="D115" s="36">
        <v>898</v>
      </c>
      <c r="E115" s="435">
        <v>0.33048</v>
      </c>
      <c r="F115" s="24">
        <v>1.1080239999999999</v>
      </c>
      <c r="G115" s="441">
        <f t="shared" si="10"/>
        <v>328.83</v>
      </c>
      <c r="H115" s="33">
        <v>0.2</v>
      </c>
      <c r="I115" s="442">
        <f t="shared" si="11"/>
        <v>65.77</v>
      </c>
      <c r="J115" s="443">
        <f t="shared" si="12"/>
        <v>394.59999999999997</v>
      </c>
      <c r="K115" s="236"/>
      <c r="L115" s="1"/>
    </row>
    <row r="116" spans="1:12" ht="15.75" x14ac:dyDescent="0.25">
      <c r="A116" s="175">
        <v>2605</v>
      </c>
      <c r="B116" s="24"/>
      <c r="C116" s="34" t="s">
        <v>26</v>
      </c>
      <c r="D116" s="36">
        <v>72</v>
      </c>
      <c r="E116" s="435">
        <v>0.33048</v>
      </c>
      <c r="F116" s="24">
        <v>1.1080239999999999</v>
      </c>
      <c r="G116" s="441">
        <f t="shared" si="10"/>
        <v>26.36</v>
      </c>
      <c r="H116" s="33">
        <v>0.2</v>
      </c>
      <c r="I116" s="442">
        <f t="shared" si="11"/>
        <v>5.27</v>
      </c>
      <c r="J116" s="443">
        <f t="shared" si="12"/>
        <v>31.63</v>
      </c>
      <c r="K116" s="236"/>
      <c r="L116" s="1"/>
    </row>
    <row r="117" spans="1:12" s="116" customFormat="1" ht="15.75" x14ac:dyDescent="0.25">
      <c r="A117" s="116">
        <v>2705</v>
      </c>
      <c r="B117" s="24"/>
      <c r="C117" s="36" t="s">
        <v>555</v>
      </c>
      <c r="D117" s="36">
        <v>9</v>
      </c>
      <c r="E117" s="435">
        <v>0.33048</v>
      </c>
      <c r="F117" s="24">
        <v>1.1080239999999999</v>
      </c>
      <c r="G117" s="441">
        <f t="shared" si="10"/>
        <v>3.3</v>
      </c>
      <c r="H117" s="45">
        <v>0.2</v>
      </c>
      <c r="I117" s="442">
        <f>ROUND(G117*H117,2)</f>
        <v>0.66</v>
      </c>
      <c r="J117" s="443">
        <f>G117+I117</f>
        <v>3.96</v>
      </c>
      <c r="K117" s="236"/>
      <c r="L117" s="1"/>
    </row>
    <row r="118" spans="1:12" s="116" customFormat="1" ht="15.75" x14ac:dyDescent="0.25">
      <c r="A118" s="175">
        <v>2705</v>
      </c>
      <c r="B118" s="24"/>
      <c r="C118" s="36" t="s">
        <v>226</v>
      </c>
      <c r="D118" s="36">
        <v>0</v>
      </c>
      <c r="E118" s="435">
        <v>0.33048</v>
      </c>
      <c r="F118" s="24">
        <v>1.1080239999999999</v>
      </c>
      <c r="G118" s="441">
        <f t="shared" si="10"/>
        <v>0</v>
      </c>
      <c r="H118" s="78">
        <v>0.2</v>
      </c>
      <c r="I118" s="442">
        <f>ROUND(G118*H118,2)</f>
        <v>0</v>
      </c>
      <c r="J118" s="443">
        <f>G118+I118</f>
        <v>0</v>
      </c>
      <c r="K118" s="236"/>
      <c r="L118" s="1"/>
    </row>
    <row r="119" spans="1:12" ht="15.75" x14ac:dyDescent="0.25">
      <c r="A119" s="116">
        <v>2605</v>
      </c>
      <c r="B119" s="24"/>
      <c r="C119" s="34" t="s">
        <v>135</v>
      </c>
      <c r="D119" s="36">
        <v>0</v>
      </c>
      <c r="E119" s="435">
        <v>0.33048</v>
      </c>
      <c r="F119" s="24">
        <v>1.1080239999999999</v>
      </c>
      <c r="G119" s="441">
        <f t="shared" si="10"/>
        <v>0</v>
      </c>
      <c r="H119" s="33">
        <v>0.2</v>
      </c>
      <c r="I119" s="442">
        <f t="shared" si="11"/>
        <v>0</v>
      </c>
      <c r="J119" s="443">
        <f t="shared" si="12"/>
        <v>0</v>
      </c>
      <c r="K119" s="236"/>
      <c r="L119" s="1"/>
    </row>
    <row r="120" spans="1:12" s="116" customFormat="1" ht="15.75" x14ac:dyDescent="0.25">
      <c r="A120" s="344">
        <v>2706</v>
      </c>
      <c r="B120" s="203"/>
      <c r="C120" s="37" t="s">
        <v>235</v>
      </c>
      <c r="D120" s="203">
        <f>360+192+1072</f>
        <v>1624</v>
      </c>
      <c r="E120" s="435">
        <v>0.27273999999999998</v>
      </c>
      <c r="F120" s="24">
        <v>1.1080239999999999</v>
      </c>
      <c r="G120" s="441">
        <f t="shared" si="10"/>
        <v>490.78</v>
      </c>
      <c r="H120" s="270">
        <v>0.2</v>
      </c>
      <c r="I120" s="442">
        <f t="shared" si="11"/>
        <v>98.16</v>
      </c>
      <c r="J120" s="443">
        <f t="shared" si="12"/>
        <v>588.93999999999994</v>
      </c>
      <c r="K120" s="237"/>
      <c r="L120" s="1"/>
    </row>
    <row r="121" spans="1:12" ht="16.5" thickBot="1" x14ac:dyDescent="0.3">
      <c r="A121" s="116">
        <v>2705</v>
      </c>
      <c r="B121" s="24"/>
      <c r="C121" s="36" t="s">
        <v>86</v>
      </c>
      <c r="D121" s="36">
        <v>24</v>
      </c>
      <c r="E121" s="435">
        <v>0.33048</v>
      </c>
      <c r="F121" s="24">
        <v>1.1080239999999999</v>
      </c>
      <c r="G121" s="441">
        <f t="shared" si="10"/>
        <v>8.7899999999999991</v>
      </c>
      <c r="H121" s="45">
        <v>0.2</v>
      </c>
      <c r="I121" s="442">
        <f t="shared" si="11"/>
        <v>1.76</v>
      </c>
      <c r="J121" s="443">
        <f t="shared" si="12"/>
        <v>10.549999999999999</v>
      </c>
      <c r="K121" s="236"/>
      <c r="L121" s="1"/>
    </row>
    <row r="122" spans="1:12" s="8" customFormat="1" ht="16.5" thickBot="1" x14ac:dyDescent="0.3">
      <c r="B122" s="30"/>
      <c r="C122" s="43" t="s">
        <v>56</v>
      </c>
      <c r="D122" s="352">
        <f>SUM(D110:D121)</f>
        <v>2695</v>
      </c>
      <c r="E122" s="435"/>
      <c r="F122" s="24"/>
      <c r="G122" s="438">
        <f>SUM(G110:G121)</f>
        <v>879</v>
      </c>
      <c r="H122" s="444"/>
      <c r="I122" s="438">
        <f>SUM(I110:I121)</f>
        <v>175.80999999999997</v>
      </c>
      <c r="J122" s="438">
        <f>SUM(J110:J121)</f>
        <v>1054.8099999999997</v>
      </c>
      <c r="K122" s="238"/>
      <c r="L122" s="7"/>
    </row>
    <row r="123" spans="1:12" ht="15.75" x14ac:dyDescent="0.25">
      <c r="A123" s="175">
        <v>2605</v>
      </c>
      <c r="B123" s="31">
        <v>14</v>
      </c>
      <c r="C123" s="39" t="s">
        <v>27</v>
      </c>
      <c r="D123" s="202">
        <v>102</v>
      </c>
      <c r="E123" s="435">
        <v>0.33048</v>
      </c>
      <c r="F123" s="24">
        <v>1.1080239999999999</v>
      </c>
      <c r="G123" s="441">
        <f t="shared" ref="G123:G142" si="13">ROUND(D123*E123*F123,2)</f>
        <v>37.35</v>
      </c>
      <c r="H123" s="33">
        <v>0.2</v>
      </c>
      <c r="I123" s="442">
        <f>ROUND(G123*H123,2)</f>
        <v>7.47</v>
      </c>
      <c r="J123" s="443">
        <f t="shared" ref="J123:J142" si="14">G123+I123</f>
        <v>44.82</v>
      </c>
      <c r="K123" s="236"/>
      <c r="L123" s="1"/>
    </row>
    <row r="124" spans="1:12" ht="15.75" x14ac:dyDescent="0.25">
      <c r="A124" s="175">
        <v>2605</v>
      </c>
      <c r="B124" s="24"/>
      <c r="C124" s="42" t="s">
        <v>28</v>
      </c>
      <c r="D124" s="36">
        <v>100</v>
      </c>
      <c r="E124" s="435">
        <v>0.33048</v>
      </c>
      <c r="F124" s="24">
        <v>1.1080239999999999</v>
      </c>
      <c r="G124" s="441">
        <f t="shared" si="13"/>
        <v>36.619999999999997</v>
      </c>
      <c r="H124" s="33">
        <v>0.2</v>
      </c>
      <c r="I124" s="442">
        <f t="shared" ref="I124:I142" si="15">ROUND(G124*H124,2)</f>
        <v>7.32</v>
      </c>
      <c r="J124" s="443">
        <f t="shared" si="14"/>
        <v>43.94</v>
      </c>
      <c r="K124" s="236"/>
      <c r="L124" s="1"/>
    </row>
    <row r="125" spans="1:12" s="116" customFormat="1" ht="15.75" x14ac:dyDescent="0.25">
      <c r="A125" s="116" t="s">
        <v>202</v>
      </c>
      <c r="B125" s="24"/>
      <c r="C125" s="36" t="s">
        <v>44</v>
      </c>
      <c r="D125" s="36">
        <v>0</v>
      </c>
      <c r="E125" s="435">
        <v>0.33048</v>
      </c>
      <c r="F125" s="24">
        <v>1.1080239999999999</v>
      </c>
      <c r="G125" s="441">
        <f t="shared" si="13"/>
        <v>0</v>
      </c>
      <c r="H125" s="33">
        <v>0.2</v>
      </c>
      <c r="I125" s="442">
        <f t="shared" si="15"/>
        <v>0</v>
      </c>
      <c r="J125" s="443">
        <f t="shared" si="14"/>
        <v>0</v>
      </c>
      <c r="K125" s="236"/>
      <c r="L125" s="1"/>
    </row>
    <row r="126" spans="1:12" ht="15.75" x14ac:dyDescent="0.25">
      <c r="A126" s="116">
        <v>2605</v>
      </c>
      <c r="B126" s="24"/>
      <c r="C126" s="42" t="s">
        <v>29</v>
      </c>
      <c r="D126" s="36">
        <v>59</v>
      </c>
      <c r="E126" s="435">
        <v>0.33048</v>
      </c>
      <c r="F126" s="24">
        <v>1.1080239999999999</v>
      </c>
      <c r="G126" s="441">
        <f t="shared" si="13"/>
        <v>21.6</v>
      </c>
      <c r="H126" s="33">
        <v>0.2</v>
      </c>
      <c r="I126" s="442">
        <f t="shared" si="15"/>
        <v>4.32</v>
      </c>
      <c r="J126" s="443">
        <f t="shared" si="14"/>
        <v>25.92</v>
      </c>
      <c r="K126" s="236"/>
      <c r="L126" s="1"/>
    </row>
    <row r="127" spans="1:12" ht="15.75" x14ac:dyDescent="0.25">
      <c r="A127" s="175">
        <v>2705</v>
      </c>
      <c r="B127" s="24"/>
      <c r="C127" s="42" t="s">
        <v>30</v>
      </c>
      <c r="D127" s="36">
        <v>92</v>
      </c>
      <c r="E127" s="435">
        <v>0.33048</v>
      </c>
      <c r="F127" s="24">
        <v>1.1080239999999999</v>
      </c>
      <c r="G127" s="441">
        <f t="shared" si="13"/>
        <v>33.69</v>
      </c>
      <c r="H127" s="33">
        <v>0.2</v>
      </c>
      <c r="I127" s="442">
        <f t="shared" si="15"/>
        <v>6.74</v>
      </c>
      <c r="J127" s="443">
        <f t="shared" si="14"/>
        <v>40.43</v>
      </c>
      <c r="K127" s="236"/>
      <c r="L127" s="1"/>
    </row>
    <row r="128" spans="1:12" ht="15.75" x14ac:dyDescent="0.25">
      <c r="A128" s="175">
        <v>2705</v>
      </c>
      <c r="B128" s="24"/>
      <c r="C128" s="42" t="s">
        <v>108</v>
      </c>
      <c r="D128" s="36">
        <v>302</v>
      </c>
      <c r="E128" s="435">
        <v>0.33048</v>
      </c>
      <c r="F128" s="24">
        <v>1.1080239999999999</v>
      </c>
      <c r="G128" s="441">
        <f t="shared" si="13"/>
        <v>110.59</v>
      </c>
      <c r="H128" s="33">
        <v>0.2</v>
      </c>
      <c r="I128" s="442">
        <f t="shared" si="15"/>
        <v>22.12</v>
      </c>
      <c r="J128" s="443">
        <f t="shared" si="14"/>
        <v>132.71</v>
      </c>
      <c r="K128" s="236"/>
      <c r="L128" s="1"/>
    </row>
    <row r="129" spans="1:12" ht="15.75" x14ac:dyDescent="0.25">
      <c r="A129" s="175">
        <v>2605</v>
      </c>
      <c r="B129" s="24"/>
      <c r="C129" s="42" t="s">
        <v>107</v>
      </c>
      <c r="D129" s="36">
        <v>46</v>
      </c>
      <c r="E129" s="435">
        <v>0.33048</v>
      </c>
      <c r="F129" s="24">
        <v>1.1080239999999999</v>
      </c>
      <c r="G129" s="441">
        <f t="shared" si="13"/>
        <v>16.84</v>
      </c>
      <c r="H129" s="33">
        <v>0.2</v>
      </c>
      <c r="I129" s="442">
        <f t="shared" si="15"/>
        <v>3.37</v>
      </c>
      <c r="J129" s="443">
        <f t="shared" si="14"/>
        <v>20.21</v>
      </c>
      <c r="K129" s="236"/>
      <c r="L129" s="1"/>
    </row>
    <row r="130" spans="1:12" ht="15.75" x14ac:dyDescent="0.25">
      <c r="A130" s="175">
        <v>2605</v>
      </c>
      <c r="B130" s="24"/>
      <c r="C130" s="34" t="s">
        <v>31</v>
      </c>
      <c r="D130" s="36">
        <v>194</v>
      </c>
      <c r="E130" s="435">
        <v>0.33048</v>
      </c>
      <c r="F130" s="24">
        <v>1.1080239999999999</v>
      </c>
      <c r="G130" s="441">
        <f t="shared" si="13"/>
        <v>71.040000000000006</v>
      </c>
      <c r="H130" s="33">
        <v>0.2</v>
      </c>
      <c r="I130" s="442">
        <f t="shared" si="15"/>
        <v>14.21</v>
      </c>
      <c r="J130" s="443">
        <f t="shared" si="14"/>
        <v>85.25</v>
      </c>
      <c r="K130" s="236"/>
      <c r="L130" s="1"/>
    </row>
    <row r="131" spans="1:12" s="116" customFormat="1" ht="15.75" x14ac:dyDescent="0.25">
      <c r="A131" s="175"/>
      <c r="B131" s="24"/>
      <c r="C131" s="34" t="s">
        <v>450</v>
      </c>
      <c r="D131" s="36">
        <v>0</v>
      </c>
      <c r="E131" s="435">
        <v>0.33048</v>
      </c>
      <c r="F131" s="24">
        <v>1.1080239999999999</v>
      </c>
      <c r="G131" s="441">
        <f t="shared" si="13"/>
        <v>0</v>
      </c>
      <c r="H131" s="33">
        <v>0.2</v>
      </c>
      <c r="I131" s="442">
        <f t="shared" si="15"/>
        <v>0</v>
      </c>
      <c r="J131" s="443">
        <f t="shared" si="14"/>
        <v>0</v>
      </c>
      <c r="K131" s="236"/>
      <c r="L131" s="1"/>
    </row>
    <row r="132" spans="1:12" s="116" customFormat="1" ht="15.75" x14ac:dyDescent="0.25">
      <c r="A132" s="175"/>
      <c r="B132" s="24"/>
      <c r="C132" s="34" t="s">
        <v>341</v>
      </c>
      <c r="D132" s="36">
        <v>0</v>
      </c>
      <c r="E132" s="435">
        <v>0.33048</v>
      </c>
      <c r="F132" s="24">
        <v>1.1080239999999999</v>
      </c>
      <c r="G132" s="441">
        <f t="shared" si="13"/>
        <v>0</v>
      </c>
      <c r="H132" s="33">
        <v>0.2</v>
      </c>
      <c r="I132" s="442">
        <f t="shared" si="15"/>
        <v>0</v>
      </c>
      <c r="J132" s="443">
        <f t="shared" si="14"/>
        <v>0</v>
      </c>
      <c r="K132" s="236"/>
      <c r="L132" s="1"/>
    </row>
    <row r="133" spans="1:12" ht="15.75" x14ac:dyDescent="0.25">
      <c r="A133" s="175">
        <v>2705</v>
      </c>
      <c r="B133" s="24"/>
      <c r="C133" s="34" t="s">
        <v>32</v>
      </c>
      <c r="D133" s="36">
        <v>10</v>
      </c>
      <c r="E133" s="435">
        <v>0.33048</v>
      </c>
      <c r="F133" s="24">
        <v>1.1080239999999999</v>
      </c>
      <c r="G133" s="441">
        <f t="shared" si="13"/>
        <v>3.66</v>
      </c>
      <c r="H133" s="33">
        <v>0.2</v>
      </c>
      <c r="I133" s="442">
        <f t="shared" si="15"/>
        <v>0.73</v>
      </c>
      <c r="J133" s="443">
        <f t="shared" si="14"/>
        <v>4.3900000000000006</v>
      </c>
      <c r="K133" s="236"/>
      <c r="L133" s="1"/>
    </row>
    <row r="134" spans="1:12" s="116" customFormat="1" ht="18.75" customHeight="1" x14ac:dyDescent="0.25">
      <c r="A134" s="175">
        <v>2705</v>
      </c>
      <c r="B134" s="24"/>
      <c r="C134" s="203" t="s">
        <v>344</v>
      </c>
      <c r="D134" s="203">
        <v>38</v>
      </c>
      <c r="E134" s="435">
        <v>0.33048</v>
      </c>
      <c r="F134" s="24">
        <v>1.1080239999999999</v>
      </c>
      <c r="G134" s="441">
        <f t="shared" si="13"/>
        <v>13.91</v>
      </c>
      <c r="H134" s="78">
        <v>0.2</v>
      </c>
      <c r="I134" s="442">
        <f t="shared" ref="I134:I139" si="16">ROUND(G134*H134,2)</f>
        <v>2.78</v>
      </c>
      <c r="J134" s="443">
        <f t="shared" ref="J134:J139" si="17">G134+I134</f>
        <v>16.690000000000001</v>
      </c>
      <c r="K134" s="236"/>
      <c r="L134" s="1"/>
    </row>
    <row r="135" spans="1:12" s="116" customFormat="1" ht="18.75" customHeight="1" x14ac:dyDescent="0.25">
      <c r="A135" s="175"/>
      <c r="B135" s="24"/>
      <c r="C135" s="203" t="s">
        <v>417</v>
      </c>
      <c r="D135" s="203">
        <v>116</v>
      </c>
      <c r="E135" s="435">
        <v>0.33048</v>
      </c>
      <c r="F135" s="24">
        <v>1.1080239999999999</v>
      </c>
      <c r="G135" s="441">
        <f t="shared" si="13"/>
        <v>42.48</v>
      </c>
      <c r="H135" s="78">
        <v>0.2</v>
      </c>
      <c r="I135" s="442">
        <f t="shared" si="16"/>
        <v>8.5</v>
      </c>
      <c r="J135" s="443">
        <f t="shared" si="17"/>
        <v>50.98</v>
      </c>
      <c r="K135" s="236"/>
      <c r="L135" s="1"/>
    </row>
    <row r="136" spans="1:12" s="116" customFormat="1" ht="18.75" customHeight="1" x14ac:dyDescent="0.25">
      <c r="A136" s="175"/>
      <c r="B136" s="24"/>
      <c r="C136" s="203" t="s">
        <v>467</v>
      </c>
      <c r="D136" s="203">
        <v>23</v>
      </c>
      <c r="E136" s="435">
        <v>0.33048</v>
      </c>
      <c r="F136" s="24">
        <v>1.1080239999999999</v>
      </c>
      <c r="G136" s="441">
        <f t="shared" si="13"/>
        <v>8.42</v>
      </c>
      <c r="H136" s="78">
        <v>0.2</v>
      </c>
      <c r="I136" s="442">
        <f t="shared" si="16"/>
        <v>1.68</v>
      </c>
      <c r="J136" s="443">
        <f t="shared" si="17"/>
        <v>10.1</v>
      </c>
      <c r="K136" s="236"/>
      <c r="L136" s="1"/>
    </row>
    <row r="137" spans="1:12" s="116" customFormat="1" ht="18.75" customHeight="1" x14ac:dyDescent="0.25">
      <c r="A137" s="175">
        <v>2705</v>
      </c>
      <c r="B137" s="24"/>
      <c r="C137" s="203" t="s">
        <v>504</v>
      </c>
      <c r="D137" s="203">
        <v>0</v>
      </c>
      <c r="E137" s="435">
        <v>0.33048</v>
      </c>
      <c r="F137" s="24">
        <v>1.1080239999999999</v>
      </c>
      <c r="G137" s="441">
        <f t="shared" si="13"/>
        <v>0</v>
      </c>
      <c r="H137" s="78">
        <v>0.2</v>
      </c>
      <c r="I137" s="442">
        <f t="shared" si="16"/>
        <v>0</v>
      </c>
      <c r="J137" s="443">
        <f t="shared" si="17"/>
        <v>0</v>
      </c>
      <c r="K137" s="236"/>
      <c r="L137" s="1"/>
    </row>
    <row r="138" spans="1:12" s="116" customFormat="1" ht="18.75" customHeight="1" x14ac:dyDescent="0.25">
      <c r="A138" s="175">
        <v>2705</v>
      </c>
      <c r="B138" s="24"/>
      <c r="C138" s="203" t="s">
        <v>505</v>
      </c>
      <c r="D138" s="203">
        <v>157</v>
      </c>
      <c r="E138" s="435">
        <v>0.33048</v>
      </c>
      <c r="F138" s="24">
        <v>1.1080239999999999</v>
      </c>
      <c r="G138" s="441">
        <f t="shared" si="13"/>
        <v>57.49</v>
      </c>
      <c r="H138" s="78">
        <v>0.2</v>
      </c>
      <c r="I138" s="442">
        <f t="shared" si="16"/>
        <v>11.5</v>
      </c>
      <c r="J138" s="443">
        <f t="shared" si="17"/>
        <v>68.990000000000009</v>
      </c>
      <c r="K138" s="236"/>
      <c r="L138" s="1"/>
    </row>
    <row r="139" spans="1:12" s="116" customFormat="1" ht="18.75" customHeight="1" x14ac:dyDescent="0.25">
      <c r="A139" s="175"/>
      <c r="B139" s="24"/>
      <c r="C139" s="203" t="s">
        <v>389</v>
      </c>
      <c r="D139" s="203">
        <v>139</v>
      </c>
      <c r="E139" s="435">
        <v>0.33048</v>
      </c>
      <c r="F139" s="24">
        <v>1.1080239999999999</v>
      </c>
      <c r="G139" s="441">
        <f t="shared" si="13"/>
        <v>50.9</v>
      </c>
      <c r="H139" s="78">
        <v>0.2</v>
      </c>
      <c r="I139" s="442">
        <f t="shared" si="16"/>
        <v>10.18</v>
      </c>
      <c r="J139" s="443">
        <f t="shared" si="17"/>
        <v>61.08</v>
      </c>
      <c r="K139" s="236"/>
      <c r="L139" s="1"/>
    </row>
    <row r="140" spans="1:12" s="116" customFormat="1" ht="18.75" customHeight="1" x14ac:dyDescent="0.25">
      <c r="A140" s="175">
        <v>2705</v>
      </c>
      <c r="B140" s="24"/>
      <c r="C140" s="203" t="s">
        <v>304</v>
      </c>
      <c r="D140" s="203">
        <v>0</v>
      </c>
      <c r="E140" s="435">
        <v>0.33048</v>
      </c>
      <c r="F140" s="24">
        <v>1.1080239999999999</v>
      </c>
      <c r="G140" s="441">
        <f t="shared" si="13"/>
        <v>0</v>
      </c>
      <c r="H140" s="78">
        <v>0.2</v>
      </c>
      <c r="I140" s="442">
        <f t="shared" si="15"/>
        <v>0</v>
      </c>
      <c r="J140" s="443">
        <f t="shared" si="14"/>
        <v>0</v>
      </c>
      <c r="K140" s="236"/>
      <c r="L140" s="1"/>
    </row>
    <row r="141" spans="1:12" ht="15.75" x14ac:dyDescent="0.25">
      <c r="A141" s="175">
        <v>2705</v>
      </c>
      <c r="B141" s="24"/>
      <c r="C141" s="36" t="s">
        <v>343</v>
      </c>
      <c r="D141" s="36">
        <v>112</v>
      </c>
      <c r="E141" s="435">
        <v>0.33048</v>
      </c>
      <c r="F141" s="24">
        <v>1.1080239999999999</v>
      </c>
      <c r="G141" s="441">
        <f t="shared" si="13"/>
        <v>41.01</v>
      </c>
      <c r="H141" s="78">
        <v>0.2</v>
      </c>
      <c r="I141" s="442">
        <f t="shared" si="15"/>
        <v>8.1999999999999993</v>
      </c>
      <c r="J141" s="443">
        <f t="shared" si="14"/>
        <v>49.209999999999994</v>
      </c>
      <c r="K141" s="236"/>
      <c r="L141" s="1"/>
    </row>
    <row r="142" spans="1:12" s="116" customFormat="1" ht="16.5" thickBot="1" x14ac:dyDescent="0.3">
      <c r="A142" s="175">
        <v>2705</v>
      </c>
      <c r="B142" s="25"/>
      <c r="C142" s="203" t="s">
        <v>227</v>
      </c>
      <c r="D142" s="203">
        <v>29</v>
      </c>
      <c r="E142" s="435">
        <v>0.33048</v>
      </c>
      <c r="F142" s="24">
        <v>1.1080239999999999</v>
      </c>
      <c r="G142" s="441">
        <f t="shared" si="13"/>
        <v>10.62</v>
      </c>
      <c r="H142" s="78">
        <v>0.2</v>
      </c>
      <c r="I142" s="442">
        <f t="shared" si="15"/>
        <v>2.12</v>
      </c>
      <c r="J142" s="443">
        <f t="shared" si="14"/>
        <v>12.739999999999998</v>
      </c>
      <c r="K142" s="236"/>
      <c r="L142" s="1"/>
    </row>
    <row r="143" spans="1:12" s="8" customFormat="1" ht="16.5" thickBot="1" x14ac:dyDescent="0.3">
      <c r="B143" s="41"/>
      <c r="C143" s="28" t="s">
        <v>56</v>
      </c>
      <c r="D143" s="350">
        <f>SUM(D123:D142)</f>
        <v>1519</v>
      </c>
      <c r="E143" s="221"/>
      <c r="F143" s="24"/>
      <c r="G143" s="445">
        <f>SUM(G123:G142)</f>
        <v>556.22000000000014</v>
      </c>
      <c r="H143" s="439"/>
      <c r="I143" s="439">
        <f>SUM(I123:I142)</f>
        <v>111.24000000000002</v>
      </c>
      <c r="J143" s="440">
        <f>SUM(J123:J142)</f>
        <v>667.46000000000015</v>
      </c>
      <c r="K143" s="238"/>
      <c r="L143" s="7"/>
    </row>
    <row r="144" spans="1:12" s="8" customFormat="1" ht="15.75" x14ac:dyDescent="0.25">
      <c r="A144" s="8">
        <v>2705</v>
      </c>
      <c r="B144" s="31">
        <v>17</v>
      </c>
      <c r="C144" s="44" t="s">
        <v>34</v>
      </c>
      <c r="D144" s="227">
        <v>0</v>
      </c>
      <c r="E144" s="435">
        <v>0.33048</v>
      </c>
      <c r="F144" s="24">
        <v>1.1080239999999999</v>
      </c>
      <c r="G144" s="441">
        <f t="shared" ref="G144:G154" si="18">ROUND(D144*E144*F144,2)</f>
        <v>0</v>
      </c>
      <c r="H144" s="33">
        <v>0.2</v>
      </c>
      <c r="I144" s="442">
        <f t="shared" ref="I144:I154" si="19">ROUND(G144*H144,2)</f>
        <v>0</v>
      </c>
      <c r="J144" s="443">
        <f t="shared" ref="J144:J154" si="20">G144+I144</f>
        <v>0</v>
      </c>
      <c r="K144" s="238"/>
      <c r="L144" s="7"/>
    </row>
    <row r="145" spans="1:12" ht="15.75" x14ac:dyDescent="0.25">
      <c r="A145" s="116">
        <v>2605</v>
      </c>
      <c r="B145" s="24"/>
      <c r="C145" s="24" t="s">
        <v>401</v>
      </c>
      <c r="D145" s="36">
        <v>237</v>
      </c>
      <c r="E145" s="435">
        <v>0.33048</v>
      </c>
      <c r="F145" s="24">
        <v>1.1080239999999999</v>
      </c>
      <c r="G145" s="441">
        <f t="shared" si="18"/>
        <v>86.78</v>
      </c>
      <c r="H145" s="78">
        <v>0.2</v>
      </c>
      <c r="I145" s="442">
        <f t="shared" si="19"/>
        <v>17.36</v>
      </c>
      <c r="J145" s="443">
        <f t="shared" si="20"/>
        <v>104.14</v>
      </c>
      <c r="K145" s="236"/>
      <c r="L145" s="1"/>
    </row>
    <row r="146" spans="1:12" s="116" customFormat="1" ht="15.75" x14ac:dyDescent="0.25">
      <c r="B146" s="24"/>
      <c r="C146" s="203" t="s">
        <v>44</v>
      </c>
      <c r="D146" s="203">
        <v>2</v>
      </c>
      <c r="E146" s="435">
        <v>0.33048</v>
      </c>
      <c r="F146" s="24">
        <v>1.1080239999999999</v>
      </c>
      <c r="G146" s="441">
        <f t="shared" si="18"/>
        <v>0.73</v>
      </c>
      <c r="H146" s="84">
        <v>0.2</v>
      </c>
      <c r="I146" s="442">
        <f>ROUND(G146*H146,2)</f>
        <v>0.15</v>
      </c>
      <c r="J146" s="443">
        <f>G146+I146</f>
        <v>0.88</v>
      </c>
      <c r="K146" s="236"/>
      <c r="L146" s="1"/>
    </row>
    <row r="147" spans="1:12" s="116" customFormat="1" ht="15.75" x14ac:dyDescent="0.25">
      <c r="A147" s="116" t="s">
        <v>204</v>
      </c>
      <c r="B147" s="25"/>
      <c r="C147" s="37" t="s">
        <v>11</v>
      </c>
      <c r="D147" s="203">
        <v>172</v>
      </c>
      <c r="E147" s="436">
        <v>0.15176999999999999</v>
      </c>
      <c r="F147" s="24">
        <v>1.1080239999999999</v>
      </c>
      <c r="G147" s="441">
        <f t="shared" si="18"/>
        <v>28.92</v>
      </c>
      <c r="H147" s="33">
        <v>0.2</v>
      </c>
      <c r="I147" s="442">
        <f>ROUND(G147*H147,2)</f>
        <v>5.78</v>
      </c>
      <c r="J147" s="443">
        <f>G147+I147</f>
        <v>34.700000000000003</v>
      </c>
      <c r="K147" s="236"/>
      <c r="L147" s="1"/>
    </row>
    <row r="148" spans="1:12" s="116" customFormat="1" ht="15.75" x14ac:dyDescent="0.25">
      <c r="B148" s="24"/>
      <c r="C148" s="24" t="s">
        <v>338</v>
      </c>
      <c r="D148" s="36">
        <v>1605</v>
      </c>
      <c r="E148" s="435">
        <v>0.33048</v>
      </c>
      <c r="F148" s="24">
        <v>1.1080239999999999</v>
      </c>
      <c r="G148" s="441">
        <f t="shared" si="18"/>
        <v>587.72</v>
      </c>
      <c r="H148" s="78">
        <v>0.2</v>
      </c>
      <c r="I148" s="442">
        <f>ROUND(G148*H148,2)</f>
        <v>117.54</v>
      </c>
      <c r="J148" s="443">
        <f>G148+I148</f>
        <v>705.26</v>
      </c>
      <c r="K148" s="236"/>
      <c r="L148" s="1"/>
    </row>
    <row r="149" spans="1:12" s="116" customFormat="1" ht="15.75" x14ac:dyDescent="0.25">
      <c r="B149" s="24"/>
      <c r="C149" s="24" t="s">
        <v>323</v>
      </c>
      <c r="D149" s="36">
        <v>9</v>
      </c>
      <c r="E149" s="435">
        <v>0.33048</v>
      </c>
      <c r="F149" s="24">
        <v>1.1080239999999999</v>
      </c>
      <c r="G149" s="441">
        <f t="shared" si="18"/>
        <v>3.3</v>
      </c>
      <c r="H149" s="78">
        <v>0.2</v>
      </c>
      <c r="I149" s="442">
        <f>ROUND(G149*H149,2)</f>
        <v>0.66</v>
      </c>
      <c r="J149" s="443">
        <f>G149+I149</f>
        <v>3.96</v>
      </c>
      <c r="K149" s="236"/>
      <c r="L149" s="1"/>
    </row>
    <row r="150" spans="1:12" s="116" customFormat="1" ht="15.75" x14ac:dyDescent="0.25">
      <c r="B150" s="24"/>
      <c r="C150" s="24" t="s">
        <v>312</v>
      </c>
      <c r="D150" s="36">
        <v>236</v>
      </c>
      <c r="E150" s="435">
        <v>0.33048</v>
      </c>
      <c r="F150" s="24">
        <v>1.1080239999999999</v>
      </c>
      <c r="G150" s="441">
        <f t="shared" si="18"/>
        <v>86.42</v>
      </c>
      <c r="H150" s="78">
        <v>0.2</v>
      </c>
      <c r="I150" s="442">
        <f t="shared" si="19"/>
        <v>17.28</v>
      </c>
      <c r="J150" s="443">
        <f t="shared" si="20"/>
        <v>103.7</v>
      </c>
      <c r="K150" s="236"/>
      <c r="L150" s="1"/>
    </row>
    <row r="151" spans="1:12" s="116" customFormat="1" ht="15.75" x14ac:dyDescent="0.25">
      <c r="B151" s="24"/>
      <c r="C151" s="203" t="s">
        <v>44</v>
      </c>
      <c r="D151" s="203">
        <v>0</v>
      </c>
      <c r="E151" s="435">
        <v>0.33048</v>
      </c>
      <c r="F151" s="24">
        <v>1.1080239999999999</v>
      </c>
      <c r="G151" s="441">
        <f t="shared" si="18"/>
        <v>0</v>
      </c>
      <c r="H151" s="84">
        <v>0.2</v>
      </c>
      <c r="I151" s="442">
        <f>ROUND(G151*H151,2)</f>
        <v>0</v>
      </c>
      <c r="J151" s="443">
        <f>G151+I151</f>
        <v>0</v>
      </c>
      <c r="K151" s="236"/>
      <c r="L151" s="1"/>
    </row>
    <row r="152" spans="1:12" ht="15.75" x14ac:dyDescent="0.25">
      <c r="A152" s="116">
        <v>2705</v>
      </c>
      <c r="B152" s="24"/>
      <c r="C152" s="24" t="s">
        <v>159</v>
      </c>
      <c r="D152" s="36">
        <f>1624+4741</f>
        <v>6365</v>
      </c>
      <c r="E152" s="435">
        <v>0.33048</v>
      </c>
      <c r="F152" s="24">
        <v>1.1080239999999999</v>
      </c>
      <c r="G152" s="441">
        <f t="shared" si="18"/>
        <v>2330.73</v>
      </c>
      <c r="H152" s="78">
        <v>0.2</v>
      </c>
      <c r="I152" s="442">
        <f t="shared" si="19"/>
        <v>466.15</v>
      </c>
      <c r="J152" s="443">
        <f t="shared" si="20"/>
        <v>2796.88</v>
      </c>
      <c r="K152" s="236"/>
      <c r="L152" s="1"/>
    </row>
    <row r="153" spans="1:12" s="116" customFormat="1" ht="15.75" x14ac:dyDescent="0.25">
      <c r="B153" s="25"/>
      <c r="C153" s="203" t="s">
        <v>44</v>
      </c>
      <c r="D153" s="203">
        <v>0</v>
      </c>
      <c r="E153" s="435">
        <v>0.33048</v>
      </c>
      <c r="F153" s="24">
        <v>1.1080239999999999</v>
      </c>
      <c r="G153" s="441">
        <f t="shared" si="18"/>
        <v>0</v>
      </c>
      <c r="H153" s="84">
        <v>0.2</v>
      </c>
      <c r="I153" s="442">
        <f t="shared" si="19"/>
        <v>0</v>
      </c>
      <c r="J153" s="443">
        <f t="shared" si="20"/>
        <v>0</v>
      </c>
      <c r="K153" s="236"/>
      <c r="L153" s="1"/>
    </row>
    <row r="154" spans="1:12" ht="16.5" thickBot="1" x14ac:dyDescent="0.3">
      <c r="A154" s="175">
        <v>2705</v>
      </c>
      <c r="B154" s="25"/>
      <c r="C154" s="25" t="s">
        <v>506</v>
      </c>
      <c r="D154" s="203">
        <v>50</v>
      </c>
      <c r="E154" s="435">
        <v>0.33048</v>
      </c>
      <c r="F154" s="24">
        <v>1.1080239999999999</v>
      </c>
      <c r="G154" s="441">
        <f t="shared" si="18"/>
        <v>18.309999999999999</v>
      </c>
      <c r="H154" s="84">
        <v>0.2</v>
      </c>
      <c r="I154" s="442">
        <f t="shared" si="19"/>
        <v>3.66</v>
      </c>
      <c r="J154" s="443">
        <f t="shared" si="20"/>
        <v>21.97</v>
      </c>
      <c r="K154" s="236"/>
      <c r="L154" s="1"/>
    </row>
    <row r="155" spans="1:12" s="8" customFormat="1" ht="16.5" thickBot="1" x14ac:dyDescent="0.3">
      <c r="B155" s="30"/>
      <c r="C155" s="41" t="s">
        <v>56</v>
      </c>
      <c r="D155" s="351">
        <f>SUM(D144:D154)</f>
        <v>8676</v>
      </c>
      <c r="E155" s="220"/>
      <c r="F155" s="24"/>
      <c r="G155" s="438">
        <f>SUM(G144:G154)</f>
        <v>3142.91</v>
      </c>
      <c r="H155" s="446"/>
      <c r="I155" s="438">
        <f>SUM(I144:I154)</f>
        <v>628.57999999999993</v>
      </c>
      <c r="J155" s="438">
        <f>SUM(J144:J154)</f>
        <v>3771.4900000000002</v>
      </c>
      <c r="K155" s="238"/>
      <c r="L155" s="7"/>
    </row>
    <row r="156" spans="1:12" ht="19.5" customHeight="1" x14ac:dyDescent="0.25">
      <c r="A156" s="175">
        <v>2702</v>
      </c>
      <c r="B156" s="31">
        <v>20</v>
      </c>
      <c r="C156" s="202" t="s">
        <v>33</v>
      </c>
      <c r="D156" s="85">
        <f>1630+3460</f>
        <v>5090</v>
      </c>
      <c r="E156" s="435">
        <v>0.24295</v>
      </c>
      <c r="F156" s="24">
        <v>1.1080239999999999</v>
      </c>
      <c r="G156" s="441">
        <f>ROUND(D156*E156*F156,2)</f>
        <v>1370.2</v>
      </c>
      <c r="H156" s="33">
        <v>0.2</v>
      </c>
      <c r="I156" s="442">
        <f>ROUND(G156*H156,2)</f>
        <v>274.04000000000002</v>
      </c>
      <c r="J156" s="443">
        <f>G156+I156</f>
        <v>1644.24</v>
      </c>
      <c r="K156" s="236"/>
      <c r="L156" s="1"/>
    </row>
    <row r="157" spans="1:12" ht="18" customHeight="1" x14ac:dyDescent="0.25">
      <c r="A157" s="175">
        <v>2605</v>
      </c>
      <c r="B157" s="24"/>
      <c r="C157" s="24" t="s">
        <v>125</v>
      </c>
      <c r="D157" s="228">
        <v>331</v>
      </c>
      <c r="E157" s="435">
        <v>0.33048</v>
      </c>
      <c r="F157" s="24">
        <v>1.1080239999999999</v>
      </c>
      <c r="G157" s="441">
        <f>ROUND(D157*E157*F157,2)</f>
        <v>121.21</v>
      </c>
      <c r="H157" s="78">
        <v>0.2</v>
      </c>
      <c r="I157" s="442">
        <f>ROUND(G157*H157,2)</f>
        <v>24.24</v>
      </c>
      <c r="J157" s="443">
        <f>G157+I157</f>
        <v>145.44999999999999</v>
      </c>
      <c r="K157" s="236"/>
      <c r="L157" s="1"/>
    </row>
    <row r="158" spans="1:12" ht="18" customHeight="1" x14ac:dyDescent="0.25">
      <c r="A158" s="175">
        <v>2705</v>
      </c>
      <c r="B158" s="24"/>
      <c r="C158" s="24" t="s">
        <v>288</v>
      </c>
      <c r="D158" s="228" t="s">
        <v>601</v>
      </c>
      <c r="E158" s="435">
        <v>0.33048</v>
      </c>
      <c r="F158" s="24">
        <v>1.1080239999999999</v>
      </c>
      <c r="G158" s="441" t="e">
        <f>ROUND(D158*E158*F158,2)</f>
        <v>#VALUE!</v>
      </c>
      <c r="H158" s="78">
        <v>0.2</v>
      </c>
      <c r="I158" s="442" t="e">
        <f>ROUND(G158*H158,2)</f>
        <v>#VALUE!</v>
      </c>
      <c r="J158" s="443" t="e">
        <f>G158+I158</f>
        <v>#VALUE!</v>
      </c>
      <c r="K158" s="236"/>
      <c r="L158" s="1"/>
    </row>
    <row r="159" spans="1:12" ht="18" customHeight="1" thickBot="1" x14ac:dyDescent="0.3">
      <c r="A159" s="116" t="s">
        <v>205</v>
      </c>
      <c r="B159" s="25"/>
      <c r="C159" s="25" t="s">
        <v>143</v>
      </c>
      <c r="D159" s="46" t="s">
        <v>601</v>
      </c>
      <c r="E159" s="435">
        <v>0.33048</v>
      </c>
      <c r="F159" s="24">
        <v>1.1080239999999999</v>
      </c>
      <c r="G159" s="441" t="e">
        <f>ROUND(D159*E159*F159,2)</f>
        <v>#VALUE!</v>
      </c>
      <c r="H159" s="84">
        <v>0.2</v>
      </c>
      <c r="I159" s="442" t="e">
        <f>ROUND(G159*H159,2)</f>
        <v>#VALUE!</v>
      </c>
      <c r="J159" s="443" t="e">
        <f>G159+I159</f>
        <v>#VALUE!</v>
      </c>
      <c r="K159" s="236"/>
      <c r="L159" s="1"/>
    </row>
    <row r="160" spans="1:12" s="8" customFormat="1" ht="16.5" thickBot="1" x14ac:dyDescent="0.3">
      <c r="B160" s="30"/>
      <c r="C160" s="208" t="s">
        <v>56</v>
      </c>
      <c r="D160" s="350">
        <f>SUM(D156:D159)</f>
        <v>5421</v>
      </c>
      <c r="E160" s="221"/>
      <c r="F160" s="24"/>
      <c r="G160" s="438" t="e">
        <f>SUM(G156:G159)</f>
        <v>#VALUE!</v>
      </c>
      <c r="H160" s="446"/>
      <c r="I160" s="438" t="e">
        <f>SUM(I156:I159)</f>
        <v>#VALUE!</v>
      </c>
      <c r="J160" s="438" t="e">
        <f>SUM(J156:J159)</f>
        <v>#VALUE!</v>
      </c>
      <c r="K160" s="238"/>
      <c r="L160" s="7"/>
    </row>
    <row r="161" spans="1:12" ht="15.75" x14ac:dyDescent="0.25">
      <c r="A161" s="175">
        <v>2705</v>
      </c>
      <c r="B161" s="31">
        <v>21</v>
      </c>
      <c r="C161" s="32" t="s">
        <v>35</v>
      </c>
      <c r="D161" s="202">
        <v>4</v>
      </c>
      <c r="E161" s="435">
        <v>0.33048</v>
      </c>
      <c r="F161" s="24">
        <v>1.1080239999999999</v>
      </c>
      <c r="G161" s="441">
        <f t="shared" ref="G161:G184" si="21">ROUND(D161*E161*F161,2)</f>
        <v>1.46</v>
      </c>
      <c r="H161" s="33">
        <v>0.2</v>
      </c>
      <c r="I161" s="442">
        <f>ROUND(G161*H161,2)</f>
        <v>0.28999999999999998</v>
      </c>
      <c r="J161" s="443">
        <f t="shared" ref="J161:J184" si="22">G161+I161</f>
        <v>1.75</v>
      </c>
      <c r="K161" s="236"/>
      <c r="L161" s="1"/>
    </row>
    <row r="162" spans="1:12" ht="15.75" x14ac:dyDescent="0.25">
      <c r="A162" s="175">
        <v>2705</v>
      </c>
      <c r="B162" s="24"/>
      <c r="C162" s="34" t="s">
        <v>390</v>
      </c>
      <c r="D162" s="36">
        <v>167</v>
      </c>
      <c r="E162" s="435">
        <v>0.33048</v>
      </c>
      <c r="F162" s="24">
        <v>1.1080239999999999</v>
      </c>
      <c r="G162" s="441">
        <f t="shared" si="21"/>
        <v>61.15</v>
      </c>
      <c r="H162" s="33">
        <v>0.2</v>
      </c>
      <c r="I162" s="442">
        <f t="shared" ref="I162:I184" si="23">ROUND(G162*H162,2)</f>
        <v>12.23</v>
      </c>
      <c r="J162" s="443">
        <f t="shared" si="22"/>
        <v>73.38</v>
      </c>
      <c r="K162" s="236"/>
      <c r="L162" s="1"/>
    </row>
    <row r="163" spans="1:12" ht="15.75" x14ac:dyDescent="0.25">
      <c r="A163" s="175">
        <v>2605</v>
      </c>
      <c r="B163" s="24"/>
      <c r="C163" s="34" t="s">
        <v>494</v>
      </c>
      <c r="D163" s="36">
        <v>40</v>
      </c>
      <c r="E163" s="435">
        <v>0.33048</v>
      </c>
      <c r="F163" s="24">
        <v>1.1080239999999999</v>
      </c>
      <c r="G163" s="441">
        <f t="shared" si="21"/>
        <v>14.65</v>
      </c>
      <c r="H163" s="33">
        <v>0.2</v>
      </c>
      <c r="I163" s="442">
        <f t="shared" si="23"/>
        <v>2.93</v>
      </c>
      <c r="J163" s="443">
        <f t="shared" si="22"/>
        <v>17.580000000000002</v>
      </c>
      <c r="K163" s="236"/>
      <c r="L163" s="1"/>
    </row>
    <row r="164" spans="1:12" ht="15.75" x14ac:dyDescent="0.25">
      <c r="A164" s="175">
        <v>2705</v>
      </c>
      <c r="B164" s="24"/>
      <c r="C164" s="34" t="s">
        <v>36</v>
      </c>
      <c r="D164" s="36">
        <v>0</v>
      </c>
      <c r="E164" s="435">
        <v>0.33048</v>
      </c>
      <c r="F164" s="24">
        <v>1.1080239999999999</v>
      </c>
      <c r="G164" s="441">
        <f t="shared" si="21"/>
        <v>0</v>
      </c>
      <c r="H164" s="33">
        <v>0.2</v>
      </c>
      <c r="I164" s="442">
        <f t="shared" si="23"/>
        <v>0</v>
      </c>
      <c r="J164" s="443">
        <f t="shared" si="22"/>
        <v>0</v>
      </c>
      <c r="K164" s="236"/>
      <c r="L164" s="1"/>
    </row>
    <row r="165" spans="1:12" ht="15.75" x14ac:dyDescent="0.25">
      <c r="A165" s="175">
        <v>2706</v>
      </c>
      <c r="B165" s="24"/>
      <c r="C165" s="34" t="s">
        <v>386</v>
      </c>
      <c r="D165" s="36">
        <v>12</v>
      </c>
      <c r="E165" s="435">
        <v>0.27273999999999998</v>
      </c>
      <c r="F165" s="24">
        <v>1.1080239999999999</v>
      </c>
      <c r="G165" s="441">
        <f t="shared" si="21"/>
        <v>3.63</v>
      </c>
      <c r="H165" s="33">
        <v>0.2</v>
      </c>
      <c r="I165" s="442">
        <f t="shared" si="23"/>
        <v>0.73</v>
      </c>
      <c r="J165" s="443">
        <f t="shared" si="22"/>
        <v>4.3599999999999994</v>
      </c>
      <c r="K165" s="236"/>
      <c r="L165" s="1"/>
    </row>
    <row r="166" spans="1:12" ht="15.75" x14ac:dyDescent="0.25">
      <c r="A166" s="175">
        <v>2706</v>
      </c>
      <c r="B166" s="24"/>
      <c r="C166" s="37" t="s">
        <v>135</v>
      </c>
      <c r="D166" s="203">
        <v>239</v>
      </c>
      <c r="E166" s="435">
        <v>0.27273999999999998</v>
      </c>
      <c r="F166" s="24">
        <v>1.1080239999999999</v>
      </c>
      <c r="G166" s="441">
        <f t="shared" si="21"/>
        <v>72.23</v>
      </c>
      <c r="H166" s="33">
        <v>0.2</v>
      </c>
      <c r="I166" s="442">
        <f t="shared" si="23"/>
        <v>14.45</v>
      </c>
      <c r="J166" s="443">
        <f t="shared" si="22"/>
        <v>86.68</v>
      </c>
      <c r="K166" s="236"/>
      <c r="L166" s="1"/>
    </row>
    <row r="167" spans="1:12" ht="15.75" x14ac:dyDescent="0.25">
      <c r="A167" s="175">
        <v>902</v>
      </c>
      <c r="B167" s="24"/>
      <c r="C167" s="37" t="s">
        <v>55</v>
      </c>
      <c r="D167" s="203">
        <v>0</v>
      </c>
      <c r="E167" s="435">
        <v>0.24295</v>
      </c>
      <c r="F167" s="24">
        <v>1.1080239999999999</v>
      </c>
      <c r="G167" s="441">
        <f t="shared" si="21"/>
        <v>0</v>
      </c>
      <c r="H167" s="33">
        <v>0.2</v>
      </c>
      <c r="I167" s="442">
        <f t="shared" si="23"/>
        <v>0</v>
      </c>
      <c r="J167" s="443">
        <f t="shared" si="22"/>
        <v>0</v>
      </c>
      <c r="K167" s="237"/>
      <c r="L167" s="1"/>
    </row>
    <row r="168" spans="1:12" ht="15.75" x14ac:dyDescent="0.25">
      <c r="A168" s="175">
        <v>2705</v>
      </c>
      <c r="B168" s="24"/>
      <c r="C168" s="37" t="s">
        <v>83</v>
      </c>
      <c r="D168" s="203">
        <v>0</v>
      </c>
      <c r="E168" s="435">
        <v>0.33048</v>
      </c>
      <c r="F168" s="24">
        <v>1.1080239999999999</v>
      </c>
      <c r="G168" s="441">
        <f t="shared" si="21"/>
        <v>0</v>
      </c>
      <c r="H168" s="33">
        <v>0.2</v>
      </c>
      <c r="I168" s="442">
        <f t="shared" si="23"/>
        <v>0</v>
      </c>
      <c r="J168" s="443">
        <f t="shared" si="22"/>
        <v>0</v>
      </c>
      <c r="K168" s="236"/>
      <c r="L168" s="1"/>
    </row>
    <row r="169" spans="1:12" ht="15.75" x14ac:dyDescent="0.25">
      <c r="A169" s="175">
        <v>2705</v>
      </c>
      <c r="B169" s="24"/>
      <c r="C169" s="37" t="s">
        <v>309</v>
      </c>
      <c r="D169" s="203">
        <v>56</v>
      </c>
      <c r="E169" s="435">
        <v>0.33048</v>
      </c>
      <c r="F169" s="24">
        <v>1.1080239999999999</v>
      </c>
      <c r="G169" s="441">
        <f t="shared" si="21"/>
        <v>20.51</v>
      </c>
      <c r="H169" s="33">
        <v>0.2</v>
      </c>
      <c r="I169" s="442">
        <f t="shared" si="23"/>
        <v>4.0999999999999996</v>
      </c>
      <c r="J169" s="443">
        <f t="shared" si="22"/>
        <v>24.61</v>
      </c>
      <c r="K169" s="236"/>
      <c r="L169" s="1"/>
    </row>
    <row r="170" spans="1:12" s="116" customFormat="1" ht="15.75" x14ac:dyDescent="0.25">
      <c r="A170" s="116">
        <v>2705</v>
      </c>
      <c r="B170" s="25"/>
      <c r="C170" s="37" t="s">
        <v>178</v>
      </c>
      <c r="D170" s="203">
        <v>0</v>
      </c>
      <c r="E170" s="435">
        <v>0.33048</v>
      </c>
      <c r="F170" s="24">
        <v>1.1080239999999999</v>
      </c>
      <c r="G170" s="441">
        <f t="shared" si="21"/>
        <v>0</v>
      </c>
      <c r="H170" s="33">
        <v>0.2</v>
      </c>
      <c r="I170" s="442">
        <f t="shared" si="23"/>
        <v>0</v>
      </c>
      <c r="J170" s="443">
        <f t="shared" si="22"/>
        <v>0</v>
      </c>
      <c r="K170" s="236"/>
      <c r="L170" s="1"/>
    </row>
    <row r="171" spans="1:12" ht="15.75" x14ac:dyDescent="0.25">
      <c r="A171" s="116">
        <v>2705</v>
      </c>
      <c r="B171" s="25"/>
      <c r="C171" s="37" t="s">
        <v>136</v>
      </c>
      <c r="D171" s="203">
        <v>0</v>
      </c>
      <c r="E171" s="435">
        <v>0.33048</v>
      </c>
      <c r="F171" s="24">
        <v>1.1080239999999999</v>
      </c>
      <c r="G171" s="441">
        <f t="shared" si="21"/>
        <v>0</v>
      </c>
      <c r="H171" s="33">
        <v>0.2</v>
      </c>
      <c r="I171" s="442">
        <f t="shared" si="23"/>
        <v>0</v>
      </c>
      <c r="J171" s="443">
        <f t="shared" si="22"/>
        <v>0</v>
      </c>
      <c r="K171" s="236"/>
      <c r="L171" s="1"/>
    </row>
    <row r="172" spans="1:12" ht="15.75" x14ac:dyDescent="0.25">
      <c r="A172" s="116" t="s">
        <v>205</v>
      </c>
      <c r="B172" s="25"/>
      <c r="C172" s="36" t="s">
        <v>11</v>
      </c>
      <c r="D172" s="36">
        <v>0</v>
      </c>
      <c r="E172" s="435">
        <v>0.33048</v>
      </c>
      <c r="F172" s="24">
        <v>1.1080239999999999</v>
      </c>
      <c r="G172" s="441">
        <f t="shared" si="21"/>
        <v>0</v>
      </c>
      <c r="H172" s="33">
        <v>0.2</v>
      </c>
      <c r="I172" s="442">
        <f t="shared" si="23"/>
        <v>0</v>
      </c>
      <c r="J172" s="443">
        <f t="shared" si="22"/>
        <v>0</v>
      </c>
      <c r="K172" s="236"/>
      <c r="L172" s="1"/>
    </row>
    <row r="173" spans="1:12" s="116" customFormat="1" ht="15.75" x14ac:dyDescent="0.25">
      <c r="A173" s="116">
        <v>902</v>
      </c>
      <c r="B173" s="25"/>
      <c r="C173" s="37" t="s">
        <v>187</v>
      </c>
      <c r="D173" s="203">
        <v>0</v>
      </c>
      <c r="E173" s="435">
        <v>0.24295</v>
      </c>
      <c r="F173" s="24">
        <v>1.1080239999999999</v>
      </c>
      <c r="G173" s="441">
        <f t="shared" si="21"/>
        <v>0</v>
      </c>
      <c r="H173" s="33">
        <v>0.2</v>
      </c>
      <c r="I173" s="442">
        <f t="shared" si="23"/>
        <v>0</v>
      </c>
      <c r="J173" s="443">
        <f t="shared" si="22"/>
        <v>0</v>
      </c>
      <c r="K173" s="236"/>
      <c r="L173" s="1"/>
    </row>
    <row r="174" spans="1:12" s="116" customFormat="1" ht="15.75" x14ac:dyDescent="0.25">
      <c r="A174" s="116">
        <v>2705</v>
      </c>
      <c r="B174" s="25"/>
      <c r="C174" s="37" t="s">
        <v>229</v>
      </c>
      <c r="D174" s="203">
        <v>3</v>
      </c>
      <c r="E174" s="435">
        <v>0.33048</v>
      </c>
      <c r="F174" s="24">
        <v>1.1080239999999999</v>
      </c>
      <c r="G174" s="441">
        <f t="shared" si="21"/>
        <v>1.1000000000000001</v>
      </c>
      <c r="H174" s="33">
        <v>0.2</v>
      </c>
      <c r="I174" s="442">
        <f t="shared" si="23"/>
        <v>0.22</v>
      </c>
      <c r="J174" s="443">
        <f t="shared" si="22"/>
        <v>1.32</v>
      </c>
      <c r="K174" s="236"/>
      <c r="L174" s="1"/>
    </row>
    <row r="175" spans="1:12" s="116" customFormat="1" ht="15.75" x14ac:dyDescent="0.25">
      <c r="A175" s="116">
        <v>2705</v>
      </c>
      <c r="B175" s="25"/>
      <c r="C175" s="37" t="s">
        <v>175</v>
      </c>
      <c r="D175" s="203">
        <v>135</v>
      </c>
      <c r="E175" s="435">
        <v>0.33048</v>
      </c>
      <c r="F175" s="24">
        <v>1.1080239999999999</v>
      </c>
      <c r="G175" s="441">
        <f t="shared" si="21"/>
        <v>49.43</v>
      </c>
      <c r="H175" s="33">
        <v>0.2</v>
      </c>
      <c r="I175" s="442">
        <f t="shared" si="23"/>
        <v>9.89</v>
      </c>
      <c r="J175" s="443">
        <f t="shared" si="22"/>
        <v>59.32</v>
      </c>
      <c r="K175" s="236"/>
      <c r="L175" s="1"/>
    </row>
    <row r="176" spans="1:12" ht="15.75" x14ac:dyDescent="0.25">
      <c r="A176" s="116">
        <v>2605</v>
      </c>
      <c r="B176" s="24"/>
      <c r="C176" s="36" t="s">
        <v>37</v>
      </c>
      <c r="D176" s="36">
        <v>18</v>
      </c>
      <c r="E176" s="435">
        <v>0.33048</v>
      </c>
      <c r="F176" s="24">
        <v>1.1080239999999999</v>
      </c>
      <c r="G176" s="441">
        <f t="shared" si="21"/>
        <v>6.59</v>
      </c>
      <c r="H176" s="78">
        <v>0.2</v>
      </c>
      <c r="I176" s="442">
        <f t="shared" si="23"/>
        <v>1.32</v>
      </c>
      <c r="J176" s="443">
        <f t="shared" si="22"/>
        <v>7.91</v>
      </c>
      <c r="K176" s="236"/>
      <c r="L176" s="1"/>
    </row>
    <row r="177" spans="1:12" ht="15.75" x14ac:dyDescent="0.25">
      <c r="A177" s="116">
        <v>2605</v>
      </c>
      <c r="B177" s="24"/>
      <c r="C177" s="36" t="s">
        <v>160</v>
      </c>
      <c r="D177" s="36">
        <v>51</v>
      </c>
      <c r="E177" s="435">
        <v>0.33048</v>
      </c>
      <c r="F177" s="24">
        <v>1.1080239999999999</v>
      </c>
      <c r="G177" s="441">
        <f t="shared" si="21"/>
        <v>18.68</v>
      </c>
      <c r="H177" s="78">
        <v>0.2</v>
      </c>
      <c r="I177" s="442">
        <f t="shared" si="23"/>
        <v>3.74</v>
      </c>
      <c r="J177" s="443">
        <f t="shared" si="22"/>
        <v>22.42</v>
      </c>
      <c r="K177" s="236"/>
      <c r="L177" s="1"/>
    </row>
    <row r="178" spans="1:12" s="116" customFormat="1" ht="15.75" x14ac:dyDescent="0.25">
      <c r="A178" s="116" t="s">
        <v>206</v>
      </c>
      <c r="B178" s="25"/>
      <c r="C178" s="140" t="s">
        <v>198</v>
      </c>
      <c r="D178" s="82">
        <v>10</v>
      </c>
      <c r="E178" s="437">
        <v>0.27273999999999998</v>
      </c>
      <c r="F178" s="24">
        <v>1.1080239999999999</v>
      </c>
      <c r="G178" s="441">
        <f t="shared" si="21"/>
        <v>3.02</v>
      </c>
      <c r="H178" s="218">
        <v>0.2</v>
      </c>
      <c r="I178" s="442">
        <f t="shared" si="23"/>
        <v>0.6</v>
      </c>
      <c r="J178" s="443">
        <f t="shared" si="22"/>
        <v>3.62</v>
      </c>
      <c r="K178" s="236"/>
      <c r="L178" s="1"/>
    </row>
    <row r="179" spans="1:12" s="116" customFormat="1" ht="15.75" x14ac:dyDescent="0.25">
      <c r="A179" s="116">
        <v>2705</v>
      </c>
      <c r="B179" s="24"/>
      <c r="C179" s="36" t="s">
        <v>561</v>
      </c>
      <c r="D179" s="36">
        <v>10</v>
      </c>
      <c r="E179" s="435">
        <v>0.33048</v>
      </c>
      <c r="F179" s="24">
        <v>1.1080239999999999</v>
      </c>
      <c r="G179" s="441">
        <f t="shared" si="21"/>
        <v>3.66</v>
      </c>
      <c r="H179" s="78">
        <v>0.2</v>
      </c>
      <c r="I179" s="442">
        <f>ROUND(G179*H179,2)</f>
        <v>0.73</v>
      </c>
      <c r="J179" s="443">
        <f>G179+I179</f>
        <v>4.3900000000000006</v>
      </c>
      <c r="K179" s="236"/>
      <c r="L179" s="1"/>
    </row>
    <row r="180" spans="1:12" s="116" customFormat="1" ht="15.75" x14ac:dyDescent="0.25">
      <c r="A180" s="116">
        <v>2705</v>
      </c>
      <c r="B180" s="24"/>
      <c r="C180" s="36" t="s">
        <v>167</v>
      </c>
      <c r="D180" s="36">
        <v>68</v>
      </c>
      <c r="E180" s="435">
        <v>0.33048</v>
      </c>
      <c r="F180" s="24">
        <v>1.1080239999999999</v>
      </c>
      <c r="G180" s="441">
        <f t="shared" si="21"/>
        <v>24.9</v>
      </c>
      <c r="H180" s="78">
        <v>0.2</v>
      </c>
      <c r="I180" s="442">
        <f t="shared" si="23"/>
        <v>4.9800000000000004</v>
      </c>
      <c r="J180" s="443">
        <f t="shared" si="22"/>
        <v>29.88</v>
      </c>
      <c r="K180" s="236"/>
      <c r="L180" s="1"/>
    </row>
    <row r="181" spans="1:12" s="116" customFormat="1" ht="15.75" x14ac:dyDescent="0.25">
      <c r="A181" s="116">
        <v>2605</v>
      </c>
      <c r="B181" s="24"/>
      <c r="C181" s="36" t="s">
        <v>497</v>
      </c>
      <c r="D181" s="36">
        <v>18</v>
      </c>
      <c r="E181" s="435">
        <v>0.33048</v>
      </c>
      <c r="F181" s="24">
        <v>1.1080239999999999</v>
      </c>
      <c r="G181" s="441">
        <f t="shared" si="21"/>
        <v>6.59</v>
      </c>
      <c r="H181" s="78">
        <v>0.2</v>
      </c>
      <c r="I181" s="442">
        <f>ROUND(G181*H181,2)</f>
        <v>1.32</v>
      </c>
      <c r="J181" s="443">
        <f>G181+I181</f>
        <v>7.91</v>
      </c>
      <c r="K181" s="236"/>
      <c r="L181" s="1"/>
    </row>
    <row r="182" spans="1:12" s="116" customFormat="1" ht="15.75" x14ac:dyDescent="0.25">
      <c r="A182" s="116">
        <v>2705</v>
      </c>
      <c r="B182" s="24"/>
      <c r="C182" s="36" t="s">
        <v>200</v>
      </c>
      <c r="D182" s="36">
        <v>2</v>
      </c>
      <c r="E182" s="435">
        <v>0.33048</v>
      </c>
      <c r="F182" s="24">
        <v>1.1080239999999999</v>
      </c>
      <c r="G182" s="441">
        <f t="shared" si="21"/>
        <v>0.73</v>
      </c>
      <c r="H182" s="78">
        <v>0.2</v>
      </c>
      <c r="I182" s="442">
        <f t="shared" si="23"/>
        <v>0.15</v>
      </c>
      <c r="J182" s="443">
        <f t="shared" si="22"/>
        <v>0.88</v>
      </c>
      <c r="K182" s="236"/>
      <c r="L182" s="1"/>
    </row>
    <row r="183" spans="1:12" s="116" customFormat="1" ht="15.75" x14ac:dyDescent="0.25">
      <c r="A183" s="116">
        <v>2605</v>
      </c>
      <c r="B183" s="25"/>
      <c r="C183" s="203" t="s">
        <v>214</v>
      </c>
      <c r="D183" s="203">
        <v>12</v>
      </c>
      <c r="E183" s="435">
        <v>0.33048</v>
      </c>
      <c r="F183" s="24">
        <v>1.1080239999999999</v>
      </c>
      <c r="G183" s="441">
        <f t="shared" si="21"/>
        <v>4.3899999999999997</v>
      </c>
      <c r="H183" s="84">
        <v>0.2</v>
      </c>
      <c r="I183" s="442">
        <f>ROUND(G183*H183,2)</f>
        <v>0.88</v>
      </c>
      <c r="J183" s="443">
        <f>G183+I183</f>
        <v>5.27</v>
      </c>
      <c r="K183" s="236"/>
      <c r="L183" s="1"/>
    </row>
    <row r="184" spans="1:12" s="116" customFormat="1" ht="16.5" thickBot="1" x14ac:dyDescent="0.3">
      <c r="A184" s="116" t="s">
        <v>205</v>
      </c>
      <c r="B184" s="25"/>
      <c r="C184" s="36" t="s">
        <v>11</v>
      </c>
      <c r="D184" s="203">
        <v>0</v>
      </c>
      <c r="E184" s="435">
        <v>0.33048</v>
      </c>
      <c r="F184" s="24">
        <v>1.1080239999999999</v>
      </c>
      <c r="G184" s="441">
        <f t="shared" si="21"/>
        <v>0</v>
      </c>
      <c r="H184" s="84">
        <v>0.2</v>
      </c>
      <c r="I184" s="442">
        <f t="shared" si="23"/>
        <v>0</v>
      </c>
      <c r="J184" s="443">
        <f t="shared" si="22"/>
        <v>0</v>
      </c>
      <c r="K184" s="236"/>
      <c r="L184" s="1"/>
    </row>
    <row r="185" spans="1:12" s="8" customFormat="1" ht="16.5" thickBot="1" x14ac:dyDescent="0.3">
      <c r="B185" s="30"/>
      <c r="C185" s="209" t="s">
        <v>56</v>
      </c>
      <c r="D185" s="351">
        <f>SUM(D161:D184)</f>
        <v>845</v>
      </c>
      <c r="E185" s="220"/>
      <c r="F185" s="24"/>
      <c r="G185" s="445">
        <f>SUM(G161:G184)</f>
        <v>292.71999999999997</v>
      </c>
      <c r="H185" s="439"/>
      <c r="I185" s="445">
        <f>SUM(I161:I184)</f>
        <v>58.559999999999995</v>
      </c>
      <c r="J185" s="444">
        <f>SUM(J161:J184)</f>
        <v>351.28000000000003</v>
      </c>
      <c r="K185" s="238"/>
      <c r="L185" s="7"/>
    </row>
    <row r="186" spans="1:12" ht="15.75" x14ac:dyDescent="0.25">
      <c r="A186" s="175"/>
      <c r="B186" s="31">
        <v>22</v>
      </c>
      <c r="C186" s="32"/>
      <c r="D186" s="202"/>
      <c r="E186" s="435">
        <v>0.33048</v>
      </c>
      <c r="F186" s="24">
        <v>1.1080239999999999</v>
      </c>
      <c r="G186" s="441">
        <f t="shared" ref="G186:G192" si="24">ROUND(D186*E186*F186,2)</f>
        <v>0</v>
      </c>
      <c r="H186" s="33">
        <v>0.2</v>
      </c>
      <c r="I186" s="442">
        <f t="shared" ref="I186:I192" si="25">ROUND(G186*H186,2)</f>
        <v>0</v>
      </c>
      <c r="J186" s="443">
        <f t="shared" ref="J186:J192" si="26">G186+I186</f>
        <v>0</v>
      </c>
      <c r="K186" s="236"/>
      <c r="L186" s="1"/>
    </row>
    <row r="187" spans="1:12" s="116" customFormat="1" ht="15.75" x14ac:dyDescent="0.25">
      <c r="A187" s="175"/>
      <c r="B187" s="31"/>
      <c r="C187" s="32" t="s">
        <v>317</v>
      </c>
      <c r="D187" s="202">
        <v>167</v>
      </c>
      <c r="E187" s="435">
        <v>0.33048</v>
      </c>
      <c r="F187" s="24">
        <v>1.1080239999999999</v>
      </c>
      <c r="G187" s="441">
        <f t="shared" si="24"/>
        <v>61.15</v>
      </c>
      <c r="H187" s="33">
        <v>0.2</v>
      </c>
      <c r="I187" s="442">
        <f t="shared" si="25"/>
        <v>12.23</v>
      </c>
      <c r="J187" s="443">
        <f t="shared" si="26"/>
        <v>73.38</v>
      </c>
      <c r="K187" s="236"/>
      <c r="L187" s="1"/>
    </row>
    <row r="188" spans="1:12" s="116" customFormat="1" ht="15.75" x14ac:dyDescent="0.25">
      <c r="A188" s="175"/>
      <c r="B188" s="31"/>
      <c r="C188" s="36" t="s">
        <v>44</v>
      </c>
      <c r="D188" s="36">
        <v>2</v>
      </c>
      <c r="E188" s="435">
        <v>0.33048</v>
      </c>
      <c r="F188" s="24">
        <v>1.1080239999999999</v>
      </c>
      <c r="G188" s="441">
        <f t="shared" si="24"/>
        <v>0.73</v>
      </c>
      <c r="H188" s="78">
        <v>0.2</v>
      </c>
      <c r="I188" s="442">
        <f t="shared" si="25"/>
        <v>0.15</v>
      </c>
      <c r="J188" s="443">
        <f t="shared" si="26"/>
        <v>0.88</v>
      </c>
      <c r="K188" s="236"/>
      <c r="L188" s="1"/>
    </row>
    <row r="189" spans="1:12" s="116" customFormat="1" ht="15.75" x14ac:dyDescent="0.25">
      <c r="A189" s="175"/>
      <c r="B189" s="31"/>
      <c r="C189" s="32" t="s">
        <v>381</v>
      </c>
      <c r="D189" s="202">
        <v>31</v>
      </c>
      <c r="E189" s="435">
        <v>0.33048</v>
      </c>
      <c r="F189" s="24">
        <v>1.1080239999999999</v>
      </c>
      <c r="G189" s="441">
        <f t="shared" si="24"/>
        <v>11.35</v>
      </c>
      <c r="H189" s="33">
        <v>0.2</v>
      </c>
      <c r="I189" s="442">
        <f>ROUND(G189*H189,2)</f>
        <v>2.27</v>
      </c>
      <c r="J189" s="443">
        <f>G189+I189</f>
        <v>13.62</v>
      </c>
      <c r="K189" s="236"/>
      <c r="L189" s="1"/>
    </row>
    <row r="190" spans="1:12" s="116" customFormat="1" ht="15.75" x14ac:dyDescent="0.25">
      <c r="A190" s="175"/>
      <c r="B190" s="31"/>
      <c r="C190" s="36" t="s">
        <v>44</v>
      </c>
      <c r="D190" s="36">
        <v>0</v>
      </c>
      <c r="E190" s="435">
        <v>0.33048</v>
      </c>
      <c r="F190" s="24">
        <v>1.1080239999999999</v>
      </c>
      <c r="G190" s="441">
        <f t="shared" si="24"/>
        <v>0</v>
      </c>
      <c r="H190" s="78">
        <v>0.2</v>
      </c>
      <c r="I190" s="442">
        <f>ROUND(G190*H190,2)</f>
        <v>0</v>
      </c>
      <c r="J190" s="443">
        <f>G190+I190</f>
        <v>0</v>
      </c>
      <c r="K190" s="236"/>
      <c r="L190" s="1"/>
    </row>
    <row r="191" spans="1:12" s="116" customFormat="1" ht="15.75" x14ac:dyDescent="0.25">
      <c r="A191" s="175"/>
      <c r="B191" s="31"/>
      <c r="C191" s="32" t="s">
        <v>398</v>
      </c>
      <c r="D191" s="202">
        <v>77</v>
      </c>
      <c r="E191" s="706">
        <v>0.17416999999999999</v>
      </c>
      <c r="F191" s="24">
        <v>1</v>
      </c>
      <c r="G191" s="441">
        <f t="shared" si="24"/>
        <v>13.41</v>
      </c>
      <c r="H191" s="33">
        <v>0.2</v>
      </c>
      <c r="I191" s="442">
        <f>ROUND(G191*H191,2)</f>
        <v>2.68</v>
      </c>
      <c r="J191" s="443">
        <f>G191+I191</f>
        <v>16.09</v>
      </c>
      <c r="K191" s="236"/>
      <c r="L191" s="1"/>
    </row>
    <row r="192" spans="1:12" ht="16.5" thickBot="1" x14ac:dyDescent="0.3">
      <c r="A192" s="175">
        <v>2706</v>
      </c>
      <c r="B192" s="25"/>
      <c r="C192" s="46" t="s">
        <v>23</v>
      </c>
      <c r="D192" s="46">
        <v>31</v>
      </c>
      <c r="E192" s="437">
        <v>0.27273999999999998</v>
      </c>
      <c r="F192" s="24">
        <v>1.1080239999999999</v>
      </c>
      <c r="G192" s="441">
        <f t="shared" si="24"/>
        <v>9.3699999999999992</v>
      </c>
      <c r="H192" s="84">
        <v>0.2</v>
      </c>
      <c r="I192" s="442">
        <f t="shared" si="25"/>
        <v>1.87</v>
      </c>
      <c r="J192" s="443">
        <f t="shared" si="26"/>
        <v>11.239999999999998</v>
      </c>
      <c r="K192" s="236"/>
      <c r="L192" s="1"/>
    </row>
    <row r="193" spans="1:12" ht="16.5" thickBot="1" x14ac:dyDescent="0.3">
      <c r="B193" s="41"/>
      <c r="C193" s="207" t="s">
        <v>56</v>
      </c>
      <c r="D193" s="351">
        <f>SUM(D186:D192)</f>
        <v>308</v>
      </c>
      <c r="E193" s="150"/>
      <c r="F193" s="24"/>
      <c r="G193" s="447">
        <f>SUM(G186:G192)</f>
        <v>96.009999999999991</v>
      </c>
      <c r="H193" s="448"/>
      <c r="I193" s="449">
        <f>SUM(I186:I192)</f>
        <v>19.200000000000003</v>
      </c>
      <c r="J193" s="450">
        <f>SUM(J186:J192)</f>
        <v>115.21</v>
      </c>
      <c r="K193" s="236"/>
      <c r="L193" s="1"/>
    </row>
    <row r="194" spans="1:12" ht="15.75" x14ac:dyDescent="0.25">
      <c r="B194" s="31">
        <v>23</v>
      </c>
      <c r="C194" s="85" t="s">
        <v>135</v>
      </c>
      <c r="D194" s="202">
        <v>29</v>
      </c>
      <c r="E194" s="435">
        <v>0.27273999999999998</v>
      </c>
      <c r="F194" s="24">
        <v>1.1080239999999999</v>
      </c>
      <c r="G194" s="441">
        <f>ROUND(D194*E194*F194,2)</f>
        <v>8.76</v>
      </c>
      <c r="H194" s="33">
        <v>0.2</v>
      </c>
      <c r="I194" s="442">
        <f>ROUND(G194*H194,2)</f>
        <v>1.75</v>
      </c>
      <c r="J194" s="443">
        <f>G194+I194</f>
        <v>10.51</v>
      </c>
      <c r="K194" s="236"/>
      <c r="L194" s="1"/>
    </row>
    <row r="195" spans="1:12" s="116" customFormat="1" ht="15.75" x14ac:dyDescent="0.25">
      <c r="A195" s="116">
        <v>2605</v>
      </c>
      <c r="B195" s="24"/>
      <c r="C195" s="203" t="s">
        <v>421</v>
      </c>
      <c r="D195" s="203">
        <v>0</v>
      </c>
      <c r="E195" s="435">
        <v>0.33048</v>
      </c>
      <c r="F195" s="24">
        <v>1.1080239999999999</v>
      </c>
      <c r="G195" s="441">
        <f>ROUND(D195*E195*F195,2)</f>
        <v>0</v>
      </c>
      <c r="H195" s="84">
        <v>0.2</v>
      </c>
      <c r="I195" s="442">
        <f>ROUND(G195*H195,2)</f>
        <v>0</v>
      </c>
      <c r="J195" s="443">
        <f>G195+I195</f>
        <v>0</v>
      </c>
      <c r="K195" s="236"/>
      <c r="L195" s="1"/>
    </row>
    <row r="196" spans="1:12" s="116" customFormat="1" ht="15.75" x14ac:dyDescent="0.25">
      <c r="B196" s="24"/>
      <c r="C196" s="46" t="s">
        <v>310</v>
      </c>
      <c r="D196" s="229">
        <v>10176</v>
      </c>
      <c r="E196" s="435">
        <v>0.33048</v>
      </c>
      <c r="F196" s="24">
        <v>1.1080239999999999</v>
      </c>
      <c r="G196" s="441">
        <f>ROUND(D196*E196*F196,2)</f>
        <v>3726.25</v>
      </c>
      <c r="H196" s="33">
        <v>0.2</v>
      </c>
      <c r="I196" s="442">
        <f>ROUND(G196*H196,2)</f>
        <v>745.25</v>
      </c>
      <c r="J196" s="443">
        <f>G196+I196</f>
        <v>4471.5</v>
      </c>
      <c r="K196" s="236"/>
      <c r="L196" s="1"/>
    </row>
    <row r="197" spans="1:12" s="116" customFormat="1" ht="15.75" x14ac:dyDescent="0.25">
      <c r="B197" s="24"/>
      <c r="C197" s="36" t="s">
        <v>44</v>
      </c>
      <c r="D197" s="36">
        <v>411</v>
      </c>
      <c r="E197" s="435">
        <v>0.33048</v>
      </c>
      <c r="F197" s="24">
        <v>1.1080239999999999</v>
      </c>
      <c r="G197" s="441">
        <f>ROUND(D197*E197*F197,2)</f>
        <v>150.5</v>
      </c>
      <c r="H197" s="78">
        <v>0.2</v>
      </c>
      <c r="I197" s="442">
        <f>ROUND(G197*H197,2)</f>
        <v>30.1</v>
      </c>
      <c r="J197" s="443">
        <f>G197+I197</f>
        <v>180.6</v>
      </c>
      <c r="K197" s="236"/>
      <c r="L197" s="1"/>
    </row>
    <row r="198" spans="1:12" ht="16.5" thickBot="1" x14ac:dyDescent="0.3">
      <c r="B198" s="24"/>
      <c r="C198" s="36" t="s">
        <v>45</v>
      </c>
      <c r="D198" s="36">
        <v>11</v>
      </c>
      <c r="E198" s="435">
        <v>0.15176999999999999</v>
      </c>
      <c r="F198" s="24">
        <v>1.1080239999999999</v>
      </c>
      <c r="G198" s="441">
        <f>ROUND(D198*E198*F198,2)</f>
        <v>1.85</v>
      </c>
      <c r="H198" s="78">
        <v>0.2</v>
      </c>
      <c r="I198" s="442">
        <f>ROUND(G198*H198,2)</f>
        <v>0.37</v>
      </c>
      <c r="J198" s="443">
        <f>G198+I198</f>
        <v>2.2200000000000002</v>
      </c>
      <c r="K198" s="236"/>
      <c r="L198" s="1"/>
    </row>
    <row r="199" spans="1:12" s="8" customFormat="1" ht="16.5" thickBot="1" x14ac:dyDescent="0.3">
      <c r="B199" s="700"/>
      <c r="C199" s="38" t="s">
        <v>56</v>
      </c>
      <c r="D199" s="352">
        <f>D194+D195+D196+D197+D198</f>
        <v>10627</v>
      </c>
      <c r="E199" s="220"/>
      <c r="F199" s="198"/>
      <c r="G199" s="447">
        <f>SUM(G194:G198)</f>
        <v>3887.36</v>
      </c>
      <c r="H199" s="451"/>
      <c r="I199" s="449">
        <f>SUM(I194:I198)</f>
        <v>777.47</v>
      </c>
      <c r="J199" s="452">
        <f>SUM(J194:J198)</f>
        <v>4664.8300000000008</v>
      </c>
      <c r="K199" s="238"/>
      <c r="L199" s="7"/>
    </row>
    <row r="200" spans="1:12" s="8" customFormat="1" ht="19.5" customHeight="1" x14ac:dyDescent="0.25">
      <c r="B200" s="47"/>
      <c r="C200" s="48"/>
      <c r="D200" s="230" t="e">
        <f>D31+D76+D109+D122+D143+D155+D160+D185+D193+D199</f>
        <v>#VALUE!</v>
      </c>
      <c r="E200" s="48"/>
      <c r="F200" s="48"/>
      <c r="G200" s="453" t="e">
        <f>G31+G76+G109+G122+G143+G155+G160+G185+G193+G199</f>
        <v>#VALUE!</v>
      </c>
      <c r="H200" s="453"/>
      <c r="I200" s="453" t="e">
        <f>I31+I76+I109+I122+I143+I155+I160+I185+I193+I199</f>
        <v>#VALUE!</v>
      </c>
      <c r="J200" s="453" t="e">
        <f>J31+J76+J109+J122+J143+J155+J160+J185+J193+J199</f>
        <v>#VALUE!</v>
      </c>
      <c r="K200" s="7"/>
      <c r="L200" s="7"/>
    </row>
    <row r="201" spans="1:12" ht="15.75" x14ac:dyDescent="0.25">
      <c r="B201" s="87"/>
      <c r="C201" s="51" t="s">
        <v>605</v>
      </c>
      <c r="D201" s="118" t="s">
        <v>606</v>
      </c>
      <c r="F201" s="88"/>
      <c r="G201" s="118"/>
      <c r="H201" s="49"/>
      <c r="I201" s="49"/>
      <c r="J201" s="49"/>
      <c r="K201" s="1"/>
      <c r="L201" s="1"/>
    </row>
    <row r="202" spans="1:12" s="116" customFormat="1" ht="15.75" x14ac:dyDescent="0.25">
      <c r="B202" s="49"/>
      <c r="C202" s="50"/>
      <c r="D202" s="50"/>
      <c r="E202" s="50"/>
      <c r="F202" s="50"/>
      <c r="G202" s="50"/>
      <c r="H202" s="50"/>
      <c r="I202" s="50"/>
      <c r="J202" s="49"/>
      <c r="K202" s="1"/>
      <c r="L202" s="1"/>
    </row>
    <row r="203" spans="1:12" ht="15.75" x14ac:dyDescent="0.25">
      <c r="B203" s="87"/>
      <c r="C203" s="51"/>
      <c r="D203" s="23"/>
      <c r="E203" s="118"/>
      <c r="F203" s="88"/>
      <c r="G203" s="89"/>
      <c r="H203" s="89"/>
      <c r="I203" s="89"/>
      <c r="J203" s="89"/>
      <c r="K203" s="116"/>
      <c r="L203" s="116"/>
    </row>
    <row r="204" spans="1:12" s="116" customFormat="1" ht="15.75" x14ac:dyDescent="0.25">
      <c r="B204" s="87"/>
      <c r="C204" s="51"/>
      <c r="D204" s="23"/>
      <c r="E204" s="118"/>
      <c r="F204" s="88"/>
      <c r="G204" s="89"/>
      <c r="H204" s="89"/>
      <c r="I204" s="89"/>
      <c r="J204" s="89"/>
    </row>
    <row r="205" spans="1:12" s="116" customFormat="1" ht="15.75" x14ac:dyDescent="0.25">
      <c r="B205" s="87"/>
      <c r="C205" s="51"/>
      <c r="D205" s="23"/>
      <c r="E205" s="118"/>
      <c r="F205" s="88"/>
      <c r="G205" s="89"/>
      <c r="H205" s="89"/>
      <c r="I205" s="89"/>
      <c r="J205" s="89"/>
    </row>
    <row r="206" spans="1:12" ht="20.25" customHeight="1" x14ac:dyDescent="0.3">
      <c r="B206" s="267" t="s">
        <v>53</v>
      </c>
      <c r="C206" s="759" t="s">
        <v>607</v>
      </c>
      <c r="D206" s="759"/>
      <c r="E206" s="759"/>
      <c r="F206" s="759"/>
      <c r="G206" s="650"/>
      <c r="H206" s="650"/>
      <c r="I206" s="650"/>
      <c r="J206" s="129"/>
    </row>
    <row r="207" spans="1:12" ht="15.75" x14ac:dyDescent="0.25">
      <c r="B207" s="129"/>
      <c r="C207" s="145"/>
      <c r="D207" s="145"/>
      <c r="E207" s="129"/>
      <c r="F207" s="129"/>
      <c r="G207" s="129"/>
      <c r="H207" s="129"/>
      <c r="I207" s="129"/>
      <c r="J207" s="129"/>
    </row>
    <row r="208" spans="1:12" ht="16.5" thickBot="1" x14ac:dyDescent="0.3">
      <c r="B208" s="129"/>
      <c r="C208" s="129" t="s">
        <v>123</v>
      </c>
      <c r="D208" s="129"/>
      <c r="E208" s="129"/>
      <c r="F208" s="129"/>
      <c r="G208" s="129"/>
      <c r="H208" s="129"/>
      <c r="I208" s="129"/>
      <c r="J208" s="129"/>
    </row>
    <row r="209" spans="1:11" ht="32.25" thickBot="1" x14ac:dyDescent="0.3">
      <c r="B209" s="130" t="s">
        <v>0</v>
      </c>
      <c r="C209" s="131" t="s">
        <v>121</v>
      </c>
      <c r="D209" s="151" t="s">
        <v>2</v>
      </c>
      <c r="E209" s="151" t="s">
        <v>3</v>
      </c>
      <c r="F209" s="151" t="s">
        <v>4</v>
      </c>
      <c r="G209" s="132" t="s">
        <v>5</v>
      </c>
      <c r="H209" s="132" t="s">
        <v>6</v>
      </c>
      <c r="I209" s="133" t="s">
        <v>7</v>
      </c>
      <c r="J209" s="125" t="s">
        <v>8</v>
      </c>
      <c r="K209" s="575"/>
    </row>
    <row r="210" spans="1:11" ht="15.75" x14ac:dyDescent="0.25">
      <c r="A210" s="116">
        <v>2605</v>
      </c>
      <c r="B210" s="134">
        <v>4</v>
      </c>
      <c r="C210" s="135"/>
      <c r="D210" s="193"/>
      <c r="E210" s="435">
        <v>0.33048</v>
      </c>
      <c r="F210" s="24">
        <v>1.1080239999999999</v>
      </c>
      <c r="G210" s="454">
        <f t="shared" ref="G210:G222" si="27">ROUND(D210*E210*F210,2)</f>
        <v>0</v>
      </c>
      <c r="H210" s="137">
        <v>0.2</v>
      </c>
      <c r="I210" s="456">
        <f>ROUND(G210*H210,2)</f>
        <v>0</v>
      </c>
      <c r="J210" s="457">
        <f>G210+I210</f>
        <v>0</v>
      </c>
      <c r="K210" s="728"/>
    </row>
    <row r="211" spans="1:11" ht="15.75" x14ac:dyDescent="0.25">
      <c r="B211" s="136">
        <v>6</v>
      </c>
      <c r="C211" s="138" t="s">
        <v>265</v>
      </c>
      <c r="D211" s="140">
        <v>0</v>
      </c>
      <c r="E211" s="435">
        <v>0.33048</v>
      </c>
      <c r="F211" s="24">
        <v>1.1080239999999999</v>
      </c>
      <c r="G211" s="454">
        <f t="shared" si="27"/>
        <v>0</v>
      </c>
      <c r="H211" s="137">
        <v>0.2</v>
      </c>
      <c r="I211" s="456">
        <f t="shared" ref="I211:I221" si="28">ROUND(G211*H211,2)</f>
        <v>0</v>
      </c>
      <c r="J211" s="457">
        <f t="shared" ref="J211:J222" si="29">G211+I211</f>
        <v>0</v>
      </c>
    </row>
    <row r="212" spans="1:11" ht="15.75" x14ac:dyDescent="0.25">
      <c r="B212" s="136">
        <v>7</v>
      </c>
      <c r="C212" s="138"/>
      <c r="D212" s="140"/>
      <c r="E212" s="435">
        <v>0.33048</v>
      </c>
      <c r="F212" s="24">
        <v>1.1080239999999999</v>
      </c>
      <c r="G212" s="454">
        <f t="shared" si="27"/>
        <v>0</v>
      </c>
      <c r="H212" s="137"/>
      <c r="I212" s="456">
        <f t="shared" si="28"/>
        <v>0</v>
      </c>
      <c r="J212" s="457">
        <f t="shared" si="29"/>
        <v>0</v>
      </c>
      <c r="K212" s="728"/>
    </row>
    <row r="213" spans="1:11" ht="15.75" x14ac:dyDescent="0.25">
      <c r="A213" s="116">
        <v>902</v>
      </c>
      <c r="B213" s="136">
        <v>12</v>
      </c>
      <c r="C213" s="139" t="s">
        <v>118</v>
      </c>
      <c r="D213" s="140">
        <v>105</v>
      </c>
      <c r="E213" s="435">
        <v>0.33048</v>
      </c>
      <c r="F213" s="24">
        <v>1.1080239999999999</v>
      </c>
      <c r="G213" s="454">
        <f t="shared" si="27"/>
        <v>38.450000000000003</v>
      </c>
      <c r="H213" s="137">
        <v>0.2</v>
      </c>
      <c r="I213" s="456">
        <f t="shared" si="28"/>
        <v>7.69</v>
      </c>
      <c r="J213" s="457">
        <f t="shared" si="29"/>
        <v>46.14</v>
      </c>
    </row>
    <row r="214" spans="1:11" ht="15.75" x14ac:dyDescent="0.25">
      <c r="B214" s="136">
        <v>14</v>
      </c>
      <c r="C214" s="203" t="s">
        <v>329</v>
      </c>
      <c r="D214" s="143">
        <v>0</v>
      </c>
      <c r="E214" s="435">
        <v>0.33048</v>
      </c>
      <c r="F214" s="24">
        <v>1.1080239999999999</v>
      </c>
      <c r="G214" s="441">
        <f t="shared" si="27"/>
        <v>0</v>
      </c>
      <c r="H214" s="78">
        <v>0.2</v>
      </c>
      <c r="I214" s="442">
        <f t="shared" si="28"/>
        <v>0</v>
      </c>
      <c r="J214" s="443">
        <f t="shared" si="29"/>
        <v>0</v>
      </c>
    </row>
    <row r="215" spans="1:11" ht="15.75" x14ac:dyDescent="0.25">
      <c r="A215" s="116">
        <v>2605</v>
      </c>
      <c r="B215" s="141">
        <v>15</v>
      </c>
      <c r="C215" s="142" t="s">
        <v>397</v>
      </c>
      <c r="D215" s="140">
        <v>144</v>
      </c>
      <c r="E215" s="435">
        <v>0.33048</v>
      </c>
      <c r="F215" s="24">
        <v>1.1080239999999999</v>
      </c>
      <c r="G215" s="454">
        <f t="shared" si="27"/>
        <v>52.73</v>
      </c>
      <c r="H215" s="137">
        <v>0.2</v>
      </c>
      <c r="I215" s="456">
        <f t="shared" si="28"/>
        <v>10.55</v>
      </c>
      <c r="J215" s="457">
        <f t="shared" si="29"/>
        <v>63.28</v>
      </c>
    </row>
    <row r="216" spans="1:11" s="116" customFormat="1" ht="15.75" x14ac:dyDescent="0.25">
      <c r="B216" s="141"/>
      <c r="C216" s="143" t="s">
        <v>397</v>
      </c>
      <c r="D216" s="143">
        <v>0</v>
      </c>
      <c r="E216" s="435">
        <v>0.33048</v>
      </c>
      <c r="F216" s="24">
        <v>1.1080239999999999</v>
      </c>
      <c r="G216" s="454">
        <f t="shared" si="27"/>
        <v>0</v>
      </c>
      <c r="H216" s="137">
        <v>0.2</v>
      </c>
      <c r="I216" s="456">
        <f>G216*H216</f>
        <v>0</v>
      </c>
      <c r="J216" s="457">
        <f>G216+I216</f>
        <v>0</v>
      </c>
    </row>
    <row r="217" spans="1:11" ht="15.75" x14ac:dyDescent="0.25">
      <c r="A217" s="116">
        <v>2602</v>
      </c>
      <c r="B217" s="141">
        <v>17</v>
      </c>
      <c r="C217" s="142" t="s">
        <v>119</v>
      </c>
      <c r="D217" s="140">
        <v>131</v>
      </c>
      <c r="E217" s="435">
        <v>0.33048</v>
      </c>
      <c r="F217" s="24">
        <v>1.1080239999999999</v>
      </c>
      <c r="G217" s="454">
        <f t="shared" si="27"/>
        <v>47.97</v>
      </c>
      <c r="H217" s="137">
        <v>0.2</v>
      </c>
      <c r="I217" s="456">
        <f t="shared" si="28"/>
        <v>9.59</v>
      </c>
      <c r="J217" s="457">
        <f t="shared" si="29"/>
        <v>57.56</v>
      </c>
      <c r="K217" s="113"/>
    </row>
    <row r="218" spans="1:11" ht="15.75" x14ac:dyDescent="0.25">
      <c r="A218" s="116">
        <v>902</v>
      </c>
      <c r="B218" s="141">
        <v>20</v>
      </c>
      <c r="C218" s="142" t="s">
        <v>120</v>
      </c>
      <c r="D218" s="140">
        <v>160</v>
      </c>
      <c r="E218" s="435">
        <v>0.33048</v>
      </c>
      <c r="F218" s="24">
        <v>1.1080239999999999</v>
      </c>
      <c r="G218" s="454">
        <f t="shared" si="27"/>
        <v>58.59</v>
      </c>
      <c r="H218" s="137">
        <v>0.2</v>
      </c>
      <c r="I218" s="456">
        <f t="shared" si="28"/>
        <v>11.72</v>
      </c>
      <c r="J218" s="457">
        <f t="shared" si="29"/>
        <v>70.31</v>
      </c>
    </row>
    <row r="219" spans="1:11" ht="15.75" x14ac:dyDescent="0.25">
      <c r="A219" s="116">
        <v>2605</v>
      </c>
      <c r="B219" s="141">
        <v>21</v>
      </c>
      <c r="C219" s="142"/>
      <c r="D219" s="143"/>
      <c r="E219" s="435">
        <v>0.33048</v>
      </c>
      <c r="F219" s="24">
        <v>1.1080239999999999</v>
      </c>
      <c r="G219" s="454">
        <f t="shared" si="27"/>
        <v>0</v>
      </c>
      <c r="H219" s="137">
        <v>0.2</v>
      </c>
      <c r="I219" s="456">
        <f t="shared" si="28"/>
        <v>0</v>
      </c>
      <c r="J219" s="457">
        <f t="shared" si="29"/>
        <v>0</v>
      </c>
      <c r="K219" s="728"/>
    </row>
    <row r="220" spans="1:11" ht="15.75" x14ac:dyDescent="0.25">
      <c r="A220" s="116">
        <v>2605</v>
      </c>
      <c r="B220" s="141">
        <v>22</v>
      </c>
      <c r="C220" s="142" t="s">
        <v>121</v>
      </c>
      <c r="D220" s="143">
        <v>8</v>
      </c>
      <c r="E220" s="435">
        <v>0.33048</v>
      </c>
      <c r="F220" s="24">
        <v>1.1080239999999999</v>
      </c>
      <c r="G220" s="454">
        <f t="shared" si="27"/>
        <v>2.93</v>
      </c>
      <c r="H220" s="137">
        <v>0.2</v>
      </c>
      <c r="I220" s="456">
        <f t="shared" si="28"/>
        <v>0.59</v>
      </c>
      <c r="J220" s="457">
        <f t="shared" si="29"/>
        <v>3.52</v>
      </c>
    </row>
    <row r="221" spans="1:11" ht="15.75" x14ac:dyDescent="0.25">
      <c r="A221" s="116">
        <v>902</v>
      </c>
      <c r="B221" s="141">
        <v>20</v>
      </c>
      <c r="C221" s="142" t="s">
        <v>122</v>
      </c>
      <c r="D221" s="143">
        <v>163</v>
      </c>
      <c r="E221" s="435">
        <v>0.33048</v>
      </c>
      <c r="F221" s="24">
        <v>1.1080239999999999</v>
      </c>
      <c r="G221" s="454">
        <f t="shared" si="27"/>
        <v>59.69</v>
      </c>
      <c r="H221" s="144">
        <v>0.2</v>
      </c>
      <c r="I221" s="456">
        <f t="shared" si="28"/>
        <v>11.94</v>
      </c>
      <c r="J221" s="457">
        <f t="shared" si="29"/>
        <v>71.63</v>
      </c>
    </row>
    <row r="222" spans="1:11" s="116" customFormat="1" ht="16.5" thickBot="1" x14ac:dyDescent="0.3">
      <c r="B222" s="141"/>
      <c r="C222" s="143"/>
      <c r="D222" s="143"/>
      <c r="E222" s="435"/>
      <c r="F222" s="24">
        <v>1.1080239999999999</v>
      </c>
      <c r="G222" s="454">
        <f t="shared" si="27"/>
        <v>0</v>
      </c>
      <c r="H222" s="144"/>
      <c r="I222" s="456">
        <f>G222*H222</f>
        <v>0</v>
      </c>
      <c r="J222" s="457">
        <f t="shared" si="29"/>
        <v>0</v>
      </c>
    </row>
    <row r="223" spans="1:11" ht="19.5" customHeight="1" thickBot="1" x14ac:dyDescent="0.3">
      <c r="B223" s="125"/>
      <c r="C223" s="125" t="s">
        <v>12</v>
      </c>
      <c r="D223" s="353">
        <f>SUM(D210:D222)</f>
        <v>711</v>
      </c>
      <c r="E223" s="126"/>
      <c r="F223" s="127"/>
      <c r="G223" s="455">
        <f>SUM(G210:G222)</f>
        <v>260.36</v>
      </c>
      <c r="H223" s="455"/>
      <c r="I223" s="455">
        <f>SUM(I210:I222)</f>
        <v>52.080000000000005</v>
      </c>
      <c r="J223" s="455">
        <f>SUM(J210:J222)</f>
        <v>312.44000000000005</v>
      </c>
    </row>
    <row r="224" spans="1:11" ht="15.75" x14ac:dyDescent="0.25">
      <c r="B224" s="87"/>
      <c r="C224" s="87"/>
      <c r="D224" s="48"/>
      <c r="E224" s="88"/>
      <c r="F224" s="88"/>
      <c r="G224" s="89"/>
      <c r="H224" s="89"/>
      <c r="I224" s="89"/>
      <c r="J224" s="89"/>
    </row>
    <row r="225" spans="1:11" ht="15.75" x14ac:dyDescent="0.25">
      <c r="B225" s="123" t="s">
        <v>605</v>
      </c>
      <c r="C225" s="124"/>
      <c r="D225" s="119" t="s">
        <v>609</v>
      </c>
      <c r="E225" s="88"/>
      <c r="F225" s="88"/>
      <c r="G225" s="89"/>
      <c r="H225" s="89"/>
      <c r="I225" s="89"/>
      <c r="J225" s="89"/>
    </row>
    <row r="226" spans="1:11" ht="20.25" customHeight="1" x14ac:dyDescent="0.25">
      <c r="B226" s="87"/>
      <c r="C226" s="87"/>
      <c r="D226" s="48"/>
      <c r="E226" s="88"/>
      <c r="F226" s="88"/>
      <c r="G226" s="89"/>
      <c r="H226" s="89"/>
      <c r="I226" s="89"/>
      <c r="J226" s="89"/>
    </row>
    <row r="227" spans="1:11" s="116" customFormat="1" ht="0.75" customHeight="1" x14ac:dyDescent="0.25">
      <c r="B227" s="87"/>
      <c r="C227" s="87"/>
      <c r="D227" s="48"/>
      <c r="E227" s="88"/>
      <c r="F227" s="88"/>
      <c r="G227" s="89"/>
      <c r="H227" s="89"/>
      <c r="I227" s="89"/>
      <c r="J227" s="89"/>
    </row>
    <row r="228" spans="1:11" s="116" customFormat="1" ht="20.25" customHeight="1" x14ac:dyDescent="0.3">
      <c r="B228" s="261" t="s">
        <v>53</v>
      </c>
      <c r="C228" s="752" t="s">
        <v>608</v>
      </c>
      <c r="D228" s="752"/>
      <c r="E228" s="752"/>
      <c r="F228" s="752"/>
      <c r="G228" s="752"/>
      <c r="H228" s="752"/>
      <c r="I228" s="752"/>
      <c r="J228" s="261"/>
      <c r="K228" s="111"/>
    </row>
    <row r="229" spans="1:11" s="116" customFormat="1" ht="45.75" customHeight="1" x14ac:dyDescent="0.3">
      <c r="B229" s="261"/>
      <c r="C229" s="262" t="s">
        <v>217</v>
      </c>
      <c r="D229" s="263"/>
      <c r="E229" s="261"/>
      <c r="F229" s="129" t="s">
        <v>252</v>
      </c>
      <c r="G229" s="261"/>
      <c r="H229" s="261"/>
      <c r="I229" s="261"/>
      <c r="J229" s="261"/>
      <c r="K229" s="111"/>
    </row>
    <row r="230" spans="1:11" s="116" customFormat="1" x14ac:dyDescent="0.25">
      <c r="B230" s="261"/>
      <c r="C230" s="264"/>
      <c r="D230" s="264"/>
      <c r="E230" s="261"/>
      <c r="F230" s="261"/>
      <c r="G230" s="261"/>
      <c r="H230" s="261"/>
      <c r="I230" s="261"/>
      <c r="J230" s="261"/>
      <c r="K230" s="111"/>
    </row>
    <row r="231" spans="1:11" s="116" customFormat="1" ht="16.5" thickBot="1" x14ac:dyDescent="0.3">
      <c r="B231" s="261"/>
      <c r="C231" s="129" t="s">
        <v>124</v>
      </c>
      <c r="D231" s="261"/>
      <c r="E231" s="261"/>
      <c r="F231" s="261"/>
      <c r="G231" s="261"/>
      <c r="H231" s="261"/>
      <c r="I231" s="261"/>
      <c r="J231" s="261"/>
      <c r="K231" s="111"/>
    </row>
    <row r="232" spans="1:11" s="116" customFormat="1" ht="32.25" thickBot="1" x14ac:dyDescent="0.3">
      <c r="B232" s="130" t="s">
        <v>0</v>
      </c>
      <c r="C232" s="131" t="s">
        <v>1</v>
      </c>
      <c r="D232" s="151" t="s">
        <v>2</v>
      </c>
      <c r="E232" s="151" t="s">
        <v>3</v>
      </c>
      <c r="F232" s="151" t="s">
        <v>4</v>
      </c>
      <c r="G232" s="132" t="s">
        <v>5</v>
      </c>
      <c r="H232" s="132" t="s">
        <v>6</v>
      </c>
      <c r="I232" s="133" t="s">
        <v>7</v>
      </c>
      <c r="J232" s="125" t="s">
        <v>8</v>
      </c>
      <c r="K232" s="111"/>
    </row>
    <row r="233" spans="1:11" s="116" customFormat="1" ht="15.75" x14ac:dyDescent="0.25">
      <c r="A233" s="116">
        <v>2605</v>
      </c>
      <c r="B233" s="136"/>
      <c r="C233" s="138" t="s">
        <v>177</v>
      </c>
      <c r="D233" s="140">
        <v>119</v>
      </c>
      <c r="E233" s="435">
        <v>0.33048</v>
      </c>
      <c r="F233" s="24">
        <v>1.1080239999999999</v>
      </c>
      <c r="G233" s="454">
        <f>ROUND(D233*E233*F233,2)</f>
        <v>43.58</v>
      </c>
      <c r="H233" s="137">
        <v>0.2</v>
      </c>
      <c r="I233" s="456">
        <f>ROUND(G233*H233,2)</f>
        <v>8.7200000000000006</v>
      </c>
      <c r="J233" s="457">
        <f>G233+I233</f>
        <v>52.3</v>
      </c>
      <c r="K233" s="111"/>
    </row>
    <row r="234" spans="1:11" s="116" customFormat="1" ht="15.75" x14ac:dyDescent="0.25">
      <c r="B234" s="136"/>
      <c r="C234" s="138"/>
      <c r="D234" s="140"/>
      <c r="E234" s="375"/>
      <c r="F234" s="136"/>
      <c r="G234" s="454"/>
      <c r="H234" s="137"/>
      <c r="I234" s="456"/>
      <c r="J234" s="457"/>
      <c r="K234" s="111"/>
    </row>
    <row r="235" spans="1:11" s="116" customFormat="1" ht="15.75" x14ac:dyDescent="0.25">
      <c r="B235" s="136"/>
      <c r="C235" s="138"/>
      <c r="D235" s="140"/>
      <c r="E235" s="134"/>
      <c r="F235" s="136"/>
      <c r="G235" s="454"/>
      <c r="H235" s="137"/>
      <c r="I235" s="456"/>
      <c r="J235" s="457"/>
      <c r="K235" s="111"/>
    </row>
    <row r="236" spans="1:11" s="116" customFormat="1" ht="16.5" thickBot="1" x14ac:dyDescent="0.3">
      <c r="B236" s="141"/>
      <c r="C236" s="142"/>
      <c r="D236" s="143"/>
      <c r="E236" s="265"/>
      <c r="F236" s="141"/>
      <c r="G236" s="458"/>
      <c r="H236" s="266"/>
      <c r="I236" s="459"/>
      <c r="J236" s="460"/>
      <c r="K236" s="111"/>
    </row>
    <row r="237" spans="1:11" s="116" customFormat="1" ht="16.5" thickBot="1" x14ac:dyDescent="0.3">
      <c r="B237" s="125"/>
      <c r="C237" s="125" t="s">
        <v>12</v>
      </c>
      <c r="D237" s="353">
        <f>SUM(D233:D236)</f>
        <v>119</v>
      </c>
      <c r="E237" s="126"/>
      <c r="F237" s="127"/>
      <c r="G237" s="455">
        <f>SUM(G233:G236)</f>
        <v>43.58</v>
      </c>
      <c r="H237" s="128"/>
      <c r="I237" s="455">
        <f>SUM(I233:I236)</f>
        <v>8.7200000000000006</v>
      </c>
      <c r="J237" s="455">
        <f>SUM(J233:J236)</f>
        <v>52.3</v>
      </c>
      <c r="K237" s="111"/>
    </row>
    <row r="238" spans="1:11" ht="15.75" x14ac:dyDescent="0.25">
      <c r="B238" s="124"/>
      <c r="C238" s="124"/>
      <c r="D238" s="124"/>
      <c r="E238" s="267"/>
      <c r="F238" s="267"/>
      <c r="G238" s="268"/>
      <c r="H238" s="268"/>
      <c r="I238" s="268"/>
      <c r="J238" s="268"/>
      <c r="K238" s="111"/>
    </row>
    <row r="239" spans="1:11" ht="22.15" customHeight="1" x14ac:dyDescent="0.25">
      <c r="B239" s="757" t="s">
        <v>610</v>
      </c>
      <c r="C239" s="757"/>
      <c r="D239" s="757" t="s">
        <v>609</v>
      </c>
      <c r="E239" s="757"/>
      <c r="F239" s="267"/>
      <c r="G239" s="268"/>
      <c r="H239" s="268"/>
      <c r="I239" s="268"/>
      <c r="J239" s="268"/>
      <c r="K239" s="111"/>
    </row>
    <row r="240" spans="1:11" s="116" customFormat="1" ht="15.75" x14ac:dyDescent="0.25">
      <c r="B240" s="124"/>
      <c r="C240" s="269"/>
      <c r="D240" s="269"/>
      <c r="E240" s="267"/>
      <c r="F240" s="267"/>
      <c r="G240" s="268"/>
      <c r="H240" s="268"/>
      <c r="I240" s="268"/>
      <c r="J240" s="268"/>
      <c r="K240" s="111"/>
    </row>
    <row r="241" spans="1:11" s="116" customFormat="1" ht="15.75" x14ac:dyDescent="0.25">
      <c r="B241" s="87"/>
      <c r="C241" s="146"/>
      <c r="D241" s="146"/>
      <c r="E241" s="88"/>
      <c r="F241" s="88"/>
      <c r="G241" s="89"/>
      <c r="H241" s="89"/>
      <c r="I241" s="89"/>
      <c r="J241" s="89"/>
    </row>
    <row r="242" spans="1:11" s="116" customFormat="1" ht="15.75" x14ac:dyDescent="0.25">
      <c r="B242" s="87"/>
      <c r="C242" s="146"/>
      <c r="D242" s="146"/>
      <c r="E242" s="88"/>
      <c r="F242" s="88"/>
      <c r="G242" s="89"/>
      <c r="H242" s="89"/>
      <c r="I242" s="89"/>
      <c r="J242" s="89"/>
    </row>
    <row r="243" spans="1:11" s="116" customFormat="1" ht="15.75" x14ac:dyDescent="0.25">
      <c r="B243" s="87"/>
      <c r="C243" s="146"/>
      <c r="D243" s="146"/>
      <c r="E243" s="88"/>
      <c r="F243" s="88"/>
      <c r="G243" s="89"/>
      <c r="H243" s="89"/>
      <c r="I243" s="89"/>
      <c r="J243" s="89"/>
    </row>
    <row r="244" spans="1:11" ht="20.25" customHeight="1" x14ac:dyDescent="0.3">
      <c r="B244" s="3" t="s">
        <v>53</v>
      </c>
      <c r="C244" s="756" t="s">
        <v>521</v>
      </c>
      <c r="D244" s="756"/>
      <c r="E244" s="756"/>
      <c r="F244" s="756"/>
      <c r="G244" s="756"/>
      <c r="H244" s="756"/>
      <c r="I244" s="756"/>
      <c r="J244" s="3"/>
      <c r="K244" s="116"/>
    </row>
    <row r="245" spans="1:11" ht="18" x14ac:dyDescent="0.25">
      <c r="B245" s="3"/>
      <c r="C245" s="754" t="s">
        <v>272</v>
      </c>
      <c r="D245" s="754"/>
      <c r="E245" s="3"/>
      <c r="F245" s="68"/>
      <c r="G245" s="3"/>
      <c r="H245" s="3"/>
      <c r="I245" s="3"/>
      <c r="J245" s="3"/>
      <c r="K245" s="116"/>
    </row>
    <row r="246" spans="1:11" x14ac:dyDescent="0.25">
      <c r="B246" s="3"/>
      <c r="C246" s="4"/>
      <c r="D246" s="4"/>
      <c r="E246" s="3"/>
      <c r="F246" s="3"/>
      <c r="G246" s="3"/>
      <c r="H246" s="3"/>
      <c r="I246" s="3">
        <v>20.41</v>
      </c>
      <c r="J246" s="3"/>
      <c r="K246" s="116"/>
    </row>
    <row r="247" spans="1:11" ht="16.5" thickBot="1" x14ac:dyDescent="0.3">
      <c r="B247" s="3"/>
      <c r="C247" s="68" t="s">
        <v>124</v>
      </c>
      <c r="D247" s="3"/>
      <c r="E247" s="3"/>
      <c r="F247" s="3"/>
      <c r="G247" s="3"/>
      <c r="H247" s="3"/>
      <c r="I247" s="3"/>
      <c r="J247" s="3"/>
      <c r="K247" s="3" t="s">
        <v>266</v>
      </c>
    </row>
    <row r="248" spans="1:11" ht="32.25" thickBot="1" x14ac:dyDescent="0.3">
      <c r="B248" s="26" t="s">
        <v>0</v>
      </c>
      <c r="C248" s="27" t="s">
        <v>1</v>
      </c>
      <c r="D248" s="151" t="s">
        <v>2</v>
      </c>
      <c r="E248" s="150" t="s">
        <v>3</v>
      </c>
      <c r="F248" s="150" t="s">
        <v>4</v>
      </c>
      <c r="G248" s="28" t="s">
        <v>5</v>
      </c>
      <c r="H248" s="28" t="s">
        <v>6</v>
      </c>
      <c r="I248" s="29" t="s">
        <v>7</v>
      </c>
      <c r="J248" s="30" t="s">
        <v>8</v>
      </c>
      <c r="K248" s="116"/>
    </row>
    <row r="249" spans="1:11" ht="15.75" x14ac:dyDescent="0.25">
      <c r="A249" s="116">
        <v>1002</v>
      </c>
      <c r="B249" s="24"/>
      <c r="C249" s="34" t="s">
        <v>404</v>
      </c>
      <c r="D249" s="36"/>
      <c r="E249" s="435">
        <v>0.23974999999999999</v>
      </c>
      <c r="F249" s="24">
        <v>0.99980800000000003</v>
      </c>
      <c r="G249" s="441">
        <f t="shared" ref="G249:G254" si="30">ROUND(D249*E249*F249,2)</f>
        <v>0</v>
      </c>
      <c r="H249" s="33">
        <v>0.2</v>
      </c>
      <c r="I249" s="442">
        <f t="shared" ref="I249:I254" si="31">ROUND(G249*H249,2)</f>
        <v>0</v>
      </c>
      <c r="J249" s="443">
        <f t="shared" ref="J249:J254" si="32">G249+I249</f>
        <v>0</v>
      </c>
      <c r="K249" s="116"/>
    </row>
    <row r="250" spans="1:11" ht="15.75" x14ac:dyDescent="0.25">
      <c r="A250" s="116">
        <v>1002</v>
      </c>
      <c r="B250" s="24"/>
      <c r="C250" s="34" t="s">
        <v>120</v>
      </c>
      <c r="D250" s="36"/>
      <c r="E250" s="435">
        <v>0.23974999999999999</v>
      </c>
      <c r="F250" s="24">
        <v>0.99980800000000003</v>
      </c>
      <c r="G250" s="441">
        <f t="shared" si="30"/>
        <v>0</v>
      </c>
      <c r="H250" s="33">
        <v>0.2</v>
      </c>
      <c r="I250" s="442">
        <f t="shared" si="31"/>
        <v>0</v>
      </c>
      <c r="J250" s="443">
        <f t="shared" si="32"/>
        <v>0</v>
      </c>
      <c r="K250" s="116"/>
    </row>
    <row r="251" spans="1:11" ht="15.75" x14ac:dyDescent="0.25">
      <c r="A251" s="116">
        <v>1002</v>
      </c>
      <c r="B251" s="24"/>
      <c r="C251" s="34" t="s">
        <v>405</v>
      </c>
      <c r="D251" s="36"/>
      <c r="E251" s="435">
        <v>0.23974999999999999</v>
      </c>
      <c r="F251" s="24">
        <v>0.99980800000000003</v>
      </c>
      <c r="G251" s="441">
        <f t="shared" si="30"/>
        <v>0</v>
      </c>
      <c r="H251" s="33">
        <v>0.2</v>
      </c>
      <c r="I251" s="442">
        <f t="shared" si="31"/>
        <v>0</v>
      </c>
      <c r="J251" s="443">
        <f t="shared" si="32"/>
        <v>0</v>
      </c>
    </row>
    <row r="252" spans="1:11" ht="15.75" x14ac:dyDescent="0.25">
      <c r="A252" s="113">
        <v>1002</v>
      </c>
      <c r="B252" s="36"/>
      <c r="C252" s="34" t="s">
        <v>297</v>
      </c>
      <c r="D252" s="36"/>
      <c r="E252" s="435">
        <v>0.23974999999999999</v>
      </c>
      <c r="F252" s="24">
        <v>0.99980800000000003</v>
      </c>
      <c r="G252" s="441">
        <f t="shared" si="30"/>
        <v>0</v>
      </c>
      <c r="H252" s="270">
        <v>0.2</v>
      </c>
      <c r="I252" s="442">
        <f t="shared" si="31"/>
        <v>0</v>
      </c>
      <c r="J252" s="443">
        <f t="shared" si="32"/>
        <v>0</v>
      </c>
      <c r="K252" s="113"/>
    </row>
    <row r="253" spans="1:11" ht="15.75" x14ac:dyDescent="0.25">
      <c r="A253" s="116">
        <v>1002</v>
      </c>
      <c r="B253" s="25"/>
      <c r="C253" s="37" t="s">
        <v>118</v>
      </c>
      <c r="D253" s="36"/>
      <c r="E253" s="435">
        <v>0.23974999999999999</v>
      </c>
      <c r="F253" s="24">
        <v>0.99980800000000003</v>
      </c>
      <c r="G253" s="441">
        <f t="shared" si="30"/>
        <v>0</v>
      </c>
      <c r="H253" s="33">
        <v>0.2</v>
      </c>
      <c r="I253" s="442">
        <f t="shared" si="31"/>
        <v>0</v>
      </c>
      <c r="J253" s="443">
        <f t="shared" si="32"/>
        <v>0</v>
      </c>
    </row>
    <row r="254" spans="1:11" ht="18.75" customHeight="1" thickBot="1" x14ac:dyDescent="0.3">
      <c r="A254" s="116">
        <v>1002</v>
      </c>
      <c r="B254" s="25"/>
      <c r="C254" s="37" t="s">
        <v>287</v>
      </c>
      <c r="D254" s="203"/>
      <c r="E254" s="435">
        <v>0.23974999999999999</v>
      </c>
      <c r="F254" s="24">
        <v>0.99980800000000003</v>
      </c>
      <c r="G254" s="441">
        <f t="shared" si="30"/>
        <v>0</v>
      </c>
      <c r="H254" s="45">
        <v>0.2</v>
      </c>
      <c r="I254" s="442">
        <f t="shared" si="31"/>
        <v>0</v>
      </c>
      <c r="J254" s="443">
        <f t="shared" si="32"/>
        <v>0</v>
      </c>
    </row>
    <row r="255" spans="1:11" ht="16.5" thickBot="1" x14ac:dyDescent="0.3">
      <c r="B255" s="30"/>
      <c r="C255" s="30" t="s">
        <v>12</v>
      </c>
      <c r="D255" s="348">
        <f>SUM(D249:D254)</f>
        <v>0</v>
      </c>
      <c r="E255" s="86"/>
      <c r="F255" s="198"/>
      <c r="G255" s="438">
        <f>SUM(G249:G254)</f>
        <v>0</v>
      </c>
      <c r="H255" s="94"/>
      <c r="I255" s="438">
        <f>SUM(I249:I254)</f>
        <v>0</v>
      </c>
      <c r="J255" s="438">
        <f>SUM(J249:J254)</f>
        <v>0</v>
      </c>
    </row>
    <row r="256" spans="1:11" ht="15.75" x14ac:dyDescent="0.25">
      <c r="B256" s="87"/>
      <c r="C256" s="87"/>
      <c r="D256" s="231"/>
      <c r="E256" s="88"/>
      <c r="F256" s="88"/>
      <c r="G256" s="89"/>
      <c r="H256" s="89"/>
      <c r="I256" s="89"/>
      <c r="J256" s="89"/>
    </row>
    <row r="257" spans="2:10" ht="31.5" customHeight="1" x14ac:dyDescent="0.25">
      <c r="B257" s="87"/>
      <c r="C257" s="744" t="s">
        <v>255</v>
      </c>
      <c r="D257" s="744"/>
      <c r="E257" s="88"/>
      <c r="F257" s="88"/>
      <c r="G257" s="89"/>
      <c r="H257" s="89"/>
      <c r="I257" s="89"/>
      <c r="J257" s="89"/>
    </row>
    <row r="258" spans="2:10" ht="15.75" x14ac:dyDescent="0.25">
      <c r="B258" s="87"/>
      <c r="C258" s="87"/>
      <c r="D258" s="48"/>
      <c r="E258" s="88"/>
      <c r="F258" s="88"/>
      <c r="G258" s="89"/>
      <c r="H258" s="89"/>
      <c r="I258" s="89"/>
      <c r="J258" s="89"/>
    </row>
    <row r="259" spans="2:10" s="116" customFormat="1" ht="15.75" x14ac:dyDescent="0.25">
      <c r="B259" s="87"/>
      <c r="C259" s="87"/>
      <c r="D259" s="48"/>
      <c r="E259" s="88"/>
      <c r="F259" s="88"/>
      <c r="G259" s="89"/>
      <c r="H259" s="89"/>
      <c r="I259" s="89"/>
      <c r="J259" s="89"/>
    </row>
    <row r="260" spans="2:10" s="116" customFormat="1" ht="15.75" x14ac:dyDescent="0.25">
      <c r="B260" s="87"/>
      <c r="C260" s="87"/>
      <c r="D260" s="48"/>
      <c r="E260" s="88"/>
      <c r="F260" s="88"/>
      <c r="G260" s="89"/>
      <c r="H260" s="89"/>
      <c r="I260" s="89"/>
      <c r="J260" s="89"/>
    </row>
    <row r="261" spans="2:10" s="116" customFormat="1" ht="15.75" x14ac:dyDescent="0.25">
      <c r="B261" s="87"/>
      <c r="C261" s="87"/>
      <c r="D261" s="48"/>
      <c r="E261" s="88"/>
      <c r="F261" s="88"/>
      <c r="G261" s="89"/>
      <c r="H261" s="89"/>
      <c r="I261" s="89"/>
      <c r="J261" s="89"/>
    </row>
    <row r="262" spans="2:10" s="116" customFormat="1" ht="18.75" x14ac:dyDescent="0.3">
      <c r="B262" s="148"/>
      <c r="C262" s="148"/>
      <c r="D262" s="148"/>
      <c r="E262" s="148"/>
      <c r="F262" s="148"/>
      <c r="G262" s="148"/>
      <c r="H262" s="148"/>
      <c r="J262" s="89"/>
    </row>
    <row r="263" spans="2:10" s="116" customFormat="1" ht="18.75" x14ac:dyDescent="0.3">
      <c r="B263" s="743"/>
      <c r="C263" s="743"/>
      <c r="D263" s="48"/>
      <c r="E263" s="88"/>
      <c r="F263" s="88"/>
      <c r="G263" s="745" t="s">
        <v>366</v>
      </c>
      <c r="H263" s="746"/>
      <c r="I263" s="745"/>
      <c r="J263" s="89"/>
    </row>
    <row r="264" spans="2:10" ht="23.25" customHeight="1" thickBot="1" x14ac:dyDescent="0.35">
      <c r="B264" s="223"/>
      <c r="C264" s="743" t="s">
        <v>507</v>
      </c>
      <c r="D264" s="743"/>
      <c r="E264" s="88"/>
      <c r="F264" s="88"/>
      <c r="G264" s="89"/>
      <c r="H264" s="89"/>
      <c r="I264" s="89"/>
      <c r="J264" s="89"/>
    </row>
    <row r="265" spans="2:10" s="116" customFormat="1" ht="32.25" customHeight="1" thickBot="1" x14ac:dyDescent="0.3">
      <c r="B265" s="26" t="s">
        <v>0</v>
      </c>
      <c r="C265" s="27" t="s">
        <v>1</v>
      </c>
      <c r="D265" s="151" t="s">
        <v>2</v>
      </c>
      <c r="E265" s="150"/>
      <c r="F265" s="150"/>
      <c r="G265" s="28" t="s">
        <v>5</v>
      </c>
      <c r="H265" s="28" t="s">
        <v>6</v>
      </c>
      <c r="I265" s="29" t="s">
        <v>7</v>
      </c>
      <c r="J265" s="30" t="s">
        <v>8</v>
      </c>
    </row>
    <row r="266" spans="2:10" s="116" customFormat="1" ht="20.25" customHeight="1" x14ac:dyDescent="0.25">
      <c r="B266" s="24"/>
      <c r="C266" s="37" t="s">
        <v>105</v>
      </c>
      <c r="D266" s="36">
        <v>365</v>
      </c>
      <c r="E266" s="435">
        <v>0.31990000000000002</v>
      </c>
      <c r="F266" s="24">
        <v>0.96382199999999996</v>
      </c>
      <c r="G266" s="441">
        <f>ROUND(D266*E266*F266,2)</f>
        <v>112.54</v>
      </c>
      <c r="H266" s="33">
        <v>0.2</v>
      </c>
      <c r="I266" s="442">
        <f>ROUND(G266*H266,2)</f>
        <v>22.51</v>
      </c>
      <c r="J266" s="443">
        <f>G266+I266</f>
        <v>135.05000000000001</v>
      </c>
    </row>
    <row r="267" spans="2:10" s="116" customFormat="1" ht="20.25" customHeight="1" x14ac:dyDescent="0.25">
      <c r="B267" s="36"/>
      <c r="C267" s="36" t="s">
        <v>508</v>
      </c>
      <c r="D267" s="36"/>
      <c r="E267" s="436"/>
      <c r="F267" s="24"/>
      <c r="G267" s="441"/>
      <c r="H267" s="78"/>
      <c r="I267" s="442"/>
      <c r="J267" s="443"/>
    </row>
    <row r="268" spans="2:10" s="116" customFormat="1" ht="20.25" customHeight="1" x14ac:dyDescent="0.25">
      <c r="B268" s="25"/>
      <c r="C268" s="37"/>
      <c r="D268" s="203"/>
      <c r="E268" s="435"/>
      <c r="F268" s="24"/>
      <c r="G268" s="441"/>
      <c r="H268" s="33"/>
      <c r="I268" s="442"/>
      <c r="J268" s="443"/>
    </row>
    <row r="269" spans="2:10" ht="18.75" customHeight="1" thickBot="1" x14ac:dyDescent="0.3">
      <c r="B269" s="25"/>
      <c r="C269" s="36"/>
      <c r="D269" s="203"/>
      <c r="E269" s="202"/>
      <c r="F269" s="24"/>
      <c r="G269" s="532"/>
      <c r="H269" s="45"/>
      <c r="I269" s="533"/>
      <c r="J269" s="534"/>
    </row>
    <row r="270" spans="2:10" ht="16.5" thickBot="1" x14ac:dyDescent="0.3">
      <c r="B270" s="30"/>
      <c r="C270" s="30" t="s">
        <v>12</v>
      </c>
      <c r="D270" s="348">
        <f>SUM(D266:D269)</f>
        <v>365</v>
      </c>
      <c r="E270" s="86"/>
      <c r="F270" s="198"/>
      <c r="G270" s="438">
        <f>SUM(G266:G269)</f>
        <v>112.54</v>
      </c>
      <c r="H270" s="94"/>
      <c r="I270" s="438">
        <f>SUM(I266:I269)</f>
        <v>22.51</v>
      </c>
      <c r="J270" s="438">
        <f>SUM(J266:J269)</f>
        <v>135.05000000000001</v>
      </c>
    </row>
    <row r="271" spans="2:10" ht="15.75" x14ac:dyDescent="0.25">
      <c r="B271" s="88"/>
      <c r="C271" s="100"/>
      <c r="D271" s="100"/>
      <c r="E271" s="88"/>
      <c r="F271" s="88"/>
      <c r="G271" s="101"/>
      <c r="H271" s="102"/>
      <c r="I271" s="103"/>
      <c r="J271" s="89"/>
    </row>
    <row r="272" spans="2:10" s="116" customFormat="1" ht="15.75" x14ac:dyDescent="0.25">
      <c r="B272" s="88"/>
      <c r="C272" s="100"/>
      <c r="D272" s="100"/>
      <c r="E272" s="88"/>
      <c r="F272" s="88"/>
      <c r="G272" s="101"/>
      <c r="H272" s="102"/>
      <c r="I272" s="103"/>
      <c r="J272" s="89"/>
    </row>
    <row r="273" spans="2:10" s="116" customFormat="1" ht="15.75" x14ac:dyDescent="0.25">
      <c r="B273" s="88"/>
      <c r="C273" s="100"/>
      <c r="D273" s="100"/>
      <c r="E273" s="88"/>
      <c r="F273" s="88"/>
      <c r="G273" s="101"/>
      <c r="H273" s="102"/>
      <c r="I273" s="103"/>
      <c r="J273" s="89"/>
    </row>
    <row r="274" spans="2:10" s="116" customFormat="1" ht="15.75" x14ac:dyDescent="0.25">
      <c r="B274" s="88"/>
      <c r="C274" s="100"/>
      <c r="D274" s="100"/>
      <c r="E274" s="88"/>
      <c r="F274" s="88"/>
      <c r="G274" s="101"/>
      <c r="H274" s="102"/>
      <c r="I274" s="103"/>
      <c r="J274" s="89"/>
    </row>
    <row r="275" spans="2:10" s="116" customFormat="1" ht="15.75" x14ac:dyDescent="0.25">
      <c r="B275" s="88"/>
      <c r="C275" s="744" t="s">
        <v>255</v>
      </c>
      <c r="D275" s="744"/>
      <c r="E275" s="88"/>
      <c r="F275" s="88"/>
      <c r="G275" s="101"/>
      <c r="H275" s="102"/>
      <c r="I275" s="103"/>
      <c r="J275" s="89"/>
    </row>
    <row r="276" spans="2:10" s="116" customFormat="1" ht="15.75" x14ac:dyDescent="0.25">
      <c r="B276" s="88"/>
      <c r="C276" s="100"/>
      <c r="D276" s="100"/>
      <c r="E276" s="88"/>
      <c r="F276" s="88"/>
      <c r="G276" s="101"/>
      <c r="H276" s="102"/>
      <c r="I276" s="103"/>
      <c r="J276" s="89"/>
    </row>
    <row r="277" spans="2:10" ht="15.75" x14ac:dyDescent="0.25">
      <c r="B277" s="173"/>
      <c r="C277" s="87"/>
      <c r="D277" s="168"/>
      <c r="E277" s="169"/>
      <c r="F277" s="169"/>
      <c r="G277" s="169"/>
      <c r="H277" s="169"/>
      <c r="I277" s="87"/>
      <c r="J277" s="87"/>
    </row>
    <row r="278" spans="2:10" ht="15.75" x14ac:dyDescent="0.25">
      <c r="B278" s="88"/>
      <c r="C278" s="100"/>
      <c r="D278" s="170"/>
      <c r="E278" s="171"/>
      <c r="F278" s="172"/>
      <c r="G278" s="171"/>
      <c r="H278" s="171"/>
      <c r="I278" s="103"/>
      <c r="J278" s="103"/>
    </row>
    <row r="279" spans="2:10" ht="15.75" x14ac:dyDescent="0.25">
      <c r="B279" s="88"/>
      <c r="C279" s="100"/>
      <c r="D279" s="170"/>
      <c r="E279" s="171"/>
      <c r="F279" s="172"/>
      <c r="G279" s="171"/>
      <c r="H279" s="171"/>
      <c r="I279" s="103"/>
      <c r="J279" s="103"/>
    </row>
    <row r="280" spans="2:10" s="116" customFormat="1" ht="18.75" x14ac:dyDescent="0.3">
      <c r="B280" s="574"/>
      <c r="C280" s="753"/>
      <c r="D280" s="753"/>
      <c r="E280" s="100"/>
      <c r="F280" s="100"/>
      <c r="G280" s="573"/>
      <c r="H280" s="573"/>
      <c r="I280" s="573"/>
      <c r="J280" s="573"/>
    </row>
    <row r="281" spans="2:10" ht="15.75" x14ac:dyDescent="0.25">
      <c r="B281" s="100"/>
      <c r="C281" s="96"/>
      <c r="D281" s="575"/>
      <c r="E281" s="96"/>
      <c r="F281" s="96"/>
      <c r="G281" s="96"/>
      <c r="H281" s="96"/>
      <c r="I281" s="96"/>
      <c r="J281" s="96"/>
    </row>
    <row r="282" spans="2:10" ht="15.75" x14ac:dyDescent="0.25">
      <c r="B282" s="100"/>
      <c r="C282" s="100"/>
      <c r="D282" s="100"/>
      <c r="E282" s="576"/>
      <c r="F282" s="100"/>
      <c r="G282" s="577"/>
      <c r="H282" s="578"/>
      <c r="I282" s="579"/>
      <c r="J282" s="579"/>
    </row>
    <row r="283" spans="2:10" ht="15.75" x14ac:dyDescent="0.25">
      <c r="B283" s="100"/>
      <c r="C283" s="100"/>
      <c r="D283" s="100"/>
      <c r="E283" s="100"/>
      <c r="F283" s="100"/>
      <c r="G283" s="577"/>
      <c r="H283" s="578"/>
      <c r="I283" s="579"/>
      <c r="J283" s="579"/>
    </row>
    <row r="284" spans="2:10" ht="15.75" x14ac:dyDescent="0.25">
      <c r="B284" s="100"/>
      <c r="C284" s="100"/>
      <c r="D284" s="100"/>
      <c r="E284" s="100"/>
      <c r="F284" s="100"/>
      <c r="G284" s="577"/>
      <c r="H284" s="578"/>
      <c r="I284" s="579"/>
      <c r="J284" s="579"/>
    </row>
    <row r="285" spans="2:10" ht="15.75" x14ac:dyDescent="0.25">
      <c r="B285" s="100"/>
      <c r="C285" s="100"/>
      <c r="D285" s="100"/>
      <c r="E285" s="100"/>
      <c r="F285" s="100"/>
      <c r="G285" s="577"/>
      <c r="H285" s="578"/>
      <c r="I285" s="579"/>
      <c r="J285" s="579"/>
    </row>
    <row r="286" spans="2:10" ht="15.75" x14ac:dyDescent="0.25">
      <c r="B286" s="96"/>
      <c r="C286" s="96"/>
      <c r="D286" s="231"/>
      <c r="E286" s="100"/>
      <c r="F286" s="100"/>
      <c r="G286" s="580"/>
      <c r="H286" s="573"/>
      <c r="I286" s="580"/>
      <c r="J286" s="580"/>
    </row>
    <row r="287" spans="2:10" ht="15.75" x14ac:dyDescent="0.25">
      <c r="B287" s="88"/>
      <c r="C287" s="100"/>
      <c r="D287" s="100"/>
      <c r="E287" s="88"/>
      <c r="F287" s="88"/>
      <c r="G287" s="101"/>
      <c r="H287" s="102"/>
      <c r="I287" s="103"/>
      <c r="J287" s="89"/>
    </row>
    <row r="288" spans="2:10" ht="15.75" x14ac:dyDescent="0.25">
      <c r="B288" s="88"/>
      <c r="C288" s="100"/>
      <c r="D288" s="100"/>
      <c r="E288" s="88"/>
      <c r="F288" s="88"/>
      <c r="G288" s="101"/>
      <c r="H288" s="102"/>
      <c r="I288" s="103"/>
      <c r="J288" s="89"/>
    </row>
    <row r="289" spans="2:10" ht="15.75" x14ac:dyDescent="0.25">
      <c r="B289" s="88"/>
      <c r="C289" s="100"/>
      <c r="D289" s="100"/>
      <c r="E289" s="88"/>
      <c r="F289" s="88"/>
      <c r="G289" s="101"/>
      <c r="H289" s="102"/>
      <c r="I289" s="103"/>
      <c r="J289" s="89"/>
    </row>
    <row r="290" spans="2:10" ht="15.75" x14ac:dyDescent="0.25">
      <c r="B290" s="88"/>
      <c r="C290" s="100"/>
      <c r="D290" s="100"/>
      <c r="E290" s="88"/>
      <c r="F290" s="88"/>
      <c r="G290" s="101"/>
      <c r="H290" s="102"/>
      <c r="I290" s="103"/>
      <c r="J290" s="89"/>
    </row>
    <row r="291" spans="2:10" ht="15.75" customHeight="1" x14ac:dyDescent="0.3">
      <c r="B291" s="148"/>
      <c r="C291" s="148"/>
      <c r="D291" s="148"/>
      <c r="E291" s="148"/>
      <c r="F291" s="148"/>
      <c r="G291" s="148"/>
      <c r="H291" s="148"/>
      <c r="I291" s="116"/>
      <c r="J291" s="89"/>
    </row>
    <row r="292" spans="2:10" ht="15.75" customHeight="1" x14ac:dyDescent="0.3">
      <c r="B292" s="743"/>
      <c r="C292" s="743"/>
      <c r="D292" s="48"/>
      <c r="E292" s="88"/>
      <c r="F292" s="88"/>
      <c r="G292" s="745" t="s">
        <v>366</v>
      </c>
      <c r="H292" s="746"/>
      <c r="I292" s="745"/>
      <c r="J292" s="89"/>
    </row>
    <row r="293" spans="2:10" ht="19.5" thickBot="1" x14ac:dyDescent="0.35">
      <c r="B293" s="683"/>
      <c r="C293" s="743" t="s">
        <v>507</v>
      </c>
      <c r="D293" s="743"/>
      <c r="E293" s="88"/>
      <c r="F293" s="88"/>
      <c r="G293" s="89"/>
      <c r="H293" s="89"/>
      <c r="I293" s="89"/>
      <c r="J293" s="89"/>
    </row>
    <row r="294" spans="2:10" ht="32.25" thickBot="1" x14ac:dyDescent="0.3">
      <c r="B294" s="26" t="s">
        <v>0</v>
      </c>
      <c r="C294" s="27" t="s">
        <v>1</v>
      </c>
      <c r="D294" s="151" t="s">
        <v>2</v>
      </c>
      <c r="E294" s="150"/>
      <c r="F294" s="150"/>
      <c r="G294" s="28" t="s">
        <v>5</v>
      </c>
      <c r="H294" s="28" t="s">
        <v>6</v>
      </c>
      <c r="I294" s="29" t="s">
        <v>7</v>
      </c>
      <c r="J294" s="30" t="s">
        <v>8</v>
      </c>
    </row>
    <row r="295" spans="2:10" ht="15.75" x14ac:dyDescent="0.25">
      <c r="B295" s="24"/>
      <c r="C295" s="37" t="s">
        <v>105</v>
      </c>
      <c r="D295" s="36">
        <v>365</v>
      </c>
      <c r="E295" s="435">
        <v>0.31990000000000002</v>
      </c>
      <c r="F295" s="24">
        <v>0.96382199999999996</v>
      </c>
      <c r="G295" s="441">
        <f>ROUND(D295*E295*F295,2)</f>
        <v>112.54</v>
      </c>
      <c r="H295" s="33">
        <v>0.2</v>
      </c>
      <c r="I295" s="442">
        <f>ROUND(G295*H295,2)</f>
        <v>22.51</v>
      </c>
      <c r="J295" s="443">
        <f>G295+I295</f>
        <v>135.05000000000001</v>
      </c>
    </row>
    <row r="296" spans="2:10" ht="15.75" x14ac:dyDescent="0.25">
      <c r="B296" s="36"/>
      <c r="C296" s="36" t="s">
        <v>508</v>
      </c>
      <c r="D296" s="36"/>
      <c r="E296" s="436"/>
      <c r="F296" s="24"/>
      <c r="G296" s="441"/>
      <c r="H296" s="78"/>
      <c r="I296" s="442"/>
      <c r="J296" s="443"/>
    </row>
    <row r="297" spans="2:10" ht="15.75" x14ac:dyDescent="0.25">
      <c r="B297" s="25"/>
      <c r="C297" s="37"/>
      <c r="D297" s="203"/>
      <c r="E297" s="435"/>
      <c r="F297" s="24"/>
      <c r="G297" s="441"/>
      <c r="H297" s="33"/>
      <c r="I297" s="442"/>
      <c r="J297" s="443"/>
    </row>
    <row r="298" spans="2:10" ht="26.25" customHeight="1" thickBot="1" x14ac:dyDescent="0.3">
      <c r="B298" s="25"/>
      <c r="C298" s="36"/>
      <c r="D298" s="203"/>
      <c r="E298" s="202"/>
      <c r="F298" s="24"/>
      <c r="G298" s="532"/>
      <c r="H298" s="45"/>
      <c r="I298" s="533"/>
      <c r="J298" s="534"/>
    </row>
    <row r="299" spans="2:10" ht="16.5" thickBot="1" x14ac:dyDescent="0.3">
      <c r="B299" s="30"/>
      <c r="C299" s="30" t="s">
        <v>12</v>
      </c>
      <c r="D299" s="348">
        <f>SUM(D295:D298)</f>
        <v>365</v>
      </c>
      <c r="E299" s="86"/>
      <c r="F299" s="198"/>
      <c r="G299" s="438">
        <f>SUM(G295:G298)</f>
        <v>112.54</v>
      </c>
      <c r="H299" s="94"/>
      <c r="I299" s="438">
        <f>SUM(I295:I298)</f>
        <v>22.51</v>
      </c>
      <c r="J299" s="438">
        <f>SUM(J295:J298)</f>
        <v>135.05000000000001</v>
      </c>
    </row>
    <row r="300" spans="2:10" ht="15.75" x14ac:dyDescent="0.25">
      <c r="B300" s="88"/>
      <c r="C300" s="100"/>
      <c r="D300" s="100"/>
      <c r="E300" s="88"/>
      <c r="F300" s="88"/>
      <c r="G300" s="101"/>
      <c r="H300" s="102"/>
      <c r="I300" s="103"/>
      <c r="J300" s="89"/>
    </row>
    <row r="301" spans="2:10" ht="15.75" x14ac:dyDescent="0.25">
      <c r="B301" s="88"/>
      <c r="C301" s="100"/>
      <c r="D301" s="100"/>
      <c r="E301" s="88"/>
      <c r="F301" s="88"/>
      <c r="G301" s="101"/>
      <c r="H301" s="102"/>
      <c r="I301" s="103"/>
      <c r="J301" s="89"/>
    </row>
    <row r="302" spans="2:10" s="116" customFormat="1" ht="15.75" x14ac:dyDescent="0.25">
      <c r="B302" s="88"/>
      <c r="C302" s="100"/>
      <c r="D302" s="100"/>
      <c r="E302" s="88"/>
      <c r="F302" s="88"/>
      <c r="G302" s="101"/>
      <c r="H302" s="102"/>
      <c r="I302" s="103"/>
      <c r="J302" s="89"/>
    </row>
    <row r="303" spans="2:10" s="116" customFormat="1" ht="15.75" customHeight="1" x14ac:dyDescent="0.25">
      <c r="B303" s="88"/>
      <c r="C303" s="100"/>
      <c r="D303" s="100"/>
      <c r="E303" s="88"/>
      <c r="F303" s="88"/>
      <c r="G303" s="101"/>
      <c r="H303" s="102"/>
      <c r="I303" s="103"/>
      <c r="J303" s="89"/>
    </row>
    <row r="304" spans="2:10" ht="15.75" customHeight="1" x14ac:dyDescent="0.25">
      <c r="B304" s="88"/>
      <c r="C304" s="744" t="s">
        <v>255</v>
      </c>
      <c r="D304" s="744"/>
      <c r="E304" s="88"/>
      <c r="F304" s="88"/>
      <c r="G304" s="101"/>
      <c r="H304" s="102"/>
      <c r="I304" s="103"/>
      <c r="J304" s="89"/>
    </row>
    <row r="305" spans="2:10" ht="15.75" x14ac:dyDescent="0.25">
      <c r="B305" s="88"/>
      <c r="C305" s="100"/>
      <c r="D305" s="100"/>
      <c r="E305" s="88"/>
      <c r="F305" s="88"/>
      <c r="G305" s="101"/>
      <c r="H305" s="102"/>
      <c r="I305" s="103"/>
      <c r="J305" s="89"/>
    </row>
    <row r="306" spans="2:10" ht="15.75" x14ac:dyDescent="0.25">
      <c r="B306" s="173"/>
      <c r="C306" s="87"/>
      <c r="D306" s="589"/>
      <c r="E306" s="169"/>
      <c r="F306" s="169"/>
      <c r="G306" s="169"/>
      <c r="H306" s="169"/>
      <c r="I306" s="87"/>
      <c r="J306" s="87"/>
    </row>
    <row r="307" spans="2:10" ht="30.75" customHeight="1" x14ac:dyDescent="0.25">
      <c r="B307" s="88"/>
      <c r="C307" s="100"/>
      <c r="D307" s="170"/>
      <c r="E307" s="171"/>
      <c r="F307" s="172"/>
      <c r="G307" s="171"/>
      <c r="H307" s="171"/>
      <c r="I307" s="103"/>
      <c r="J307" s="103"/>
    </row>
    <row r="308" spans="2:10" ht="18.75" x14ac:dyDescent="0.3">
      <c r="B308" s="743" t="s">
        <v>293</v>
      </c>
      <c r="C308" s="743"/>
      <c r="D308" s="48"/>
      <c r="E308" s="88"/>
      <c r="F308" s="88"/>
      <c r="G308" s="89"/>
      <c r="H308" s="89"/>
      <c r="I308" s="174"/>
    </row>
    <row r="309" spans="2:10" ht="18.75" x14ac:dyDescent="0.3">
      <c r="B309" s="504"/>
      <c r="C309" s="504"/>
      <c r="D309" s="48"/>
      <c r="E309" s="88"/>
      <c r="F309" s="88"/>
      <c r="G309" s="89"/>
      <c r="H309" s="89"/>
      <c r="I309" s="174"/>
    </row>
    <row r="310" spans="2:10" ht="15.75" x14ac:dyDescent="0.25">
      <c r="B310" s="213" t="s">
        <v>191</v>
      </c>
      <c r="C310" s="214" t="s">
        <v>1</v>
      </c>
      <c r="D310" s="176" t="s">
        <v>284</v>
      </c>
      <c r="E310" s="360" t="s">
        <v>5</v>
      </c>
      <c r="F310" s="360" t="s">
        <v>184</v>
      </c>
      <c r="G310" s="360" t="s">
        <v>185</v>
      </c>
      <c r="H310" s="360" t="s">
        <v>186</v>
      </c>
      <c r="I310" s="174"/>
    </row>
    <row r="311" spans="2:10" ht="15.75" x14ac:dyDescent="0.25">
      <c r="B311" s="213"/>
      <c r="C311" s="214" t="s">
        <v>295</v>
      </c>
      <c r="D311" s="176"/>
      <c r="E311" s="360"/>
      <c r="F311" s="360"/>
      <c r="G311" s="360"/>
      <c r="H311" s="360"/>
      <c r="I311" s="174"/>
    </row>
    <row r="312" spans="2:10" ht="15.75" x14ac:dyDescent="0.25">
      <c r="B312" s="176"/>
      <c r="C312" s="364" t="s">
        <v>294</v>
      </c>
      <c r="D312" s="177"/>
      <c r="E312" s="506">
        <v>778.96</v>
      </c>
      <c r="F312" s="178">
        <v>0.2</v>
      </c>
      <c r="G312" s="506">
        <f>E312*F312</f>
        <v>155.79200000000003</v>
      </c>
      <c r="H312" s="506">
        <f>G312+E312</f>
        <v>934.75200000000007</v>
      </c>
      <c r="I312" s="174"/>
    </row>
    <row r="313" spans="2:10" ht="15.75" x14ac:dyDescent="0.25">
      <c r="B313" s="215"/>
      <c r="C313" s="214"/>
      <c r="D313" s="177"/>
      <c r="E313" s="506"/>
      <c r="F313" s="178"/>
      <c r="G313" s="506"/>
      <c r="H313" s="506"/>
      <c r="I313" s="174"/>
    </row>
    <row r="314" spans="2:10" ht="15.75" x14ac:dyDescent="0.25">
      <c r="B314" s="215"/>
      <c r="C314" s="214" t="s">
        <v>192</v>
      </c>
      <c r="D314" s="177"/>
      <c r="E314" s="507">
        <f>SUM(E312:E313)</f>
        <v>778.96</v>
      </c>
      <c r="F314" s="177"/>
      <c r="G314" s="507">
        <f>SUM(G312:G313)</f>
        <v>155.79200000000003</v>
      </c>
      <c r="H314" s="507">
        <f>SUM(H312:H313)</f>
        <v>934.75200000000007</v>
      </c>
      <c r="I314" s="174"/>
    </row>
    <row r="315" spans="2:10" ht="15.75" x14ac:dyDescent="0.25">
      <c r="B315" s="216"/>
      <c r="C315" s="216"/>
      <c r="D315" s="216"/>
      <c r="E315" s="216"/>
      <c r="F315" s="216"/>
      <c r="G315" s="216"/>
      <c r="H315" s="216"/>
      <c r="I315" s="174"/>
    </row>
    <row r="316" spans="2:10" ht="15.75" x14ac:dyDescent="0.25">
      <c r="B316" s="179"/>
      <c r="C316" s="179"/>
      <c r="D316" s="179"/>
      <c r="E316" s="216"/>
      <c r="F316" s="216"/>
      <c r="G316" s="216"/>
      <c r="H316" s="216"/>
      <c r="I316" s="174"/>
    </row>
    <row r="317" spans="2:10" ht="15.75" x14ac:dyDescent="0.25">
      <c r="B317" s="179" t="s">
        <v>89</v>
      </c>
      <c r="C317" s="179"/>
      <c r="D317" s="179" t="s">
        <v>285</v>
      </c>
      <c r="E317" s="87"/>
      <c r="F317" s="87"/>
      <c r="G317" s="89"/>
      <c r="H317" s="97"/>
      <c r="I317" s="174"/>
    </row>
    <row r="318" spans="2:10" ht="18.75" x14ac:dyDescent="0.3">
      <c r="B318" s="755"/>
      <c r="C318" s="755"/>
      <c r="D318" s="48"/>
      <c r="E318" s="88"/>
      <c r="F318" s="88"/>
      <c r="G318" s="89"/>
      <c r="H318" s="89"/>
      <c r="I318" s="174"/>
    </row>
    <row r="319" spans="2:10" ht="18.75" x14ac:dyDescent="0.3">
      <c r="B319" s="311"/>
      <c r="C319" s="311"/>
      <c r="D319" s="48"/>
      <c r="E319" s="88"/>
      <c r="F319" s="88"/>
      <c r="G319" s="89"/>
      <c r="H319" s="89"/>
      <c r="I319" s="174"/>
    </row>
    <row r="320" spans="2:10" ht="15.75" x14ac:dyDescent="0.25">
      <c r="B320" s="308"/>
      <c r="C320" s="309"/>
      <c r="D320" s="168"/>
      <c r="E320" s="169"/>
      <c r="F320" s="169"/>
      <c r="G320" s="169"/>
      <c r="H320" s="169"/>
      <c r="I320" s="174"/>
    </row>
    <row r="321" spans="2:9" ht="15.75" x14ac:dyDescent="0.25">
      <c r="B321" s="308"/>
      <c r="C321" s="309"/>
      <c r="D321" s="168"/>
      <c r="E321" s="169"/>
      <c r="F321" s="169"/>
      <c r="G321" s="169"/>
      <c r="H321" s="169"/>
      <c r="I321" s="174"/>
    </row>
    <row r="322" spans="2:9" ht="18.75" x14ac:dyDescent="0.3">
      <c r="B322" s="758" t="s">
        <v>236</v>
      </c>
      <c r="C322" s="758"/>
      <c r="D322" s="758"/>
      <c r="E322" s="758"/>
      <c r="F322" s="758"/>
      <c r="G322" s="758"/>
      <c r="H322" s="758"/>
      <c r="I322" s="174"/>
    </row>
    <row r="323" spans="2:9" ht="18.75" x14ac:dyDescent="0.3">
      <c r="B323" s="329"/>
      <c r="C323" s="329"/>
      <c r="D323" s="48"/>
      <c r="E323" s="88"/>
      <c r="F323" s="88"/>
      <c r="G323" s="89"/>
      <c r="H323" s="89"/>
      <c r="I323" s="174"/>
    </row>
    <row r="324" spans="2:9" ht="15.75" x14ac:dyDescent="0.25">
      <c r="B324" s="213" t="s">
        <v>191</v>
      </c>
      <c r="C324" s="214" t="s">
        <v>1</v>
      </c>
      <c r="D324" s="176" t="s">
        <v>183</v>
      </c>
      <c r="E324" s="332" t="s">
        <v>5</v>
      </c>
      <c r="F324" s="332" t="s">
        <v>184</v>
      </c>
      <c r="G324" s="332" t="s">
        <v>185</v>
      </c>
      <c r="H324" s="332" t="s">
        <v>186</v>
      </c>
      <c r="I324" s="174"/>
    </row>
    <row r="325" spans="2:9" ht="15.75" x14ac:dyDescent="0.25">
      <c r="B325" s="213"/>
      <c r="C325" s="214"/>
      <c r="D325" s="176"/>
      <c r="E325" s="332"/>
      <c r="F325" s="332"/>
      <c r="G325" s="332"/>
      <c r="H325" s="332"/>
      <c r="I325" s="174"/>
    </row>
    <row r="326" spans="2:9" ht="15.75" x14ac:dyDescent="0.25">
      <c r="B326" s="176">
        <v>21</v>
      </c>
      <c r="C326" s="251" t="s">
        <v>241</v>
      </c>
      <c r="D326" s="333" t="s">
        <v>240</v>
      </c>
      <c r="E326" s="331">
        <v>230259</v>
      </c>
      <c r="F326" s="178">
        <v>0.2</v>
      </c>
      <c r="G326" s="331">
        <f>E326*F326</f>
        <v>46051.8</v>
      </c>
      <c r="H326" s="331">
        <f>G326+E326</f>
        <v>276310.8</v>
      </c>
      <c r="I326" s="174"/>
    </row>
    <row r="327" spans="2:9" ht="15.75" x14ac:dyDescent="0.25">
      <c r="B327" s="176"/>
      <c r="C327" s="251"/>
      <c r="D327" s="177"/>
      <c r="E327" s="331"/>
      <c r="F327" s="178"/>
      <c r="G327" s="331"/>
      <c r="H327" s="331"/>
      <c r="I327" s="174"/>
    </row>
    <row r="328" spans="2:9" ht="15.75" x14ac:dyDescent="0.25">
      <c r="B328" s="176">
        <v>14</v>
      </c>
      <c r="C328" s="251" t="s">
        <v>243</v>
      </c>
      <c r="D328" s="333" t="s">
        <v>242</v>
      </c>
      <c r="E328" s="331">
        <v>2074584</v>
      </c>
      <c r="F328" s="178">
        <v>0.2</v>
      </c>
      <c r="G328" s="331">
        <f>E328*F328</f>
        <v>414916.80000000005</v>
      </c>
      <c r="H328" s="331">
        <f>G328+E328</f>
        <v>2489500.7999999998</v>
      </c>
      <c r="I328" s="174"/>
    </row>
    <row r="329" spans="2:9" ht="15.75" x14ac:dyDescent="0.25">
      <c r="B329" s="215"/>
      <c r="C329" s="214"/>
      <c r="D329" s="177"/>
      <c r="E329" s="331"/>
      <c r="F329" s="178"/>
      <c r="G329" s="331"/>
      <c r="H329" s="331"/>
      <c r="I329" s="174"/>
    </row>
    <row r="330" spans="2:9" ht="15.75" x14ac:dyDescent="0.25">
      <c r="B330" s="215"/>
      <c r="C330" s="214" t="s">
        <v>192</v>
      </c>
      <c r="D330" s="177"/>
      <c r="E330" s="330">
        <f>SUM(E326:E329)</f>
        <v>2304843</v>
      </c>
      <c r="F330" s="177"/>
      <c r="G330" s="330">
        <f>SUM(G326:G329)</f>
        <v>460968.60000000003</v>
      </c>
      <c r="H330" s="330">
        <f>SUM(H326:H329)</f>
        <v>2765811.5999999996</v>
      </c>
      <c r="I330" s="174"/>
    </row>
    <row r="331" spans="2:9" ht="15.75" x14ac:dyDescent="0.25">
      <c r="B331" s="216"/>
      <c r="C331" s="216"/>
      <c r="D331" s="216"/>
      <c r="E331" s="216"/>
      <c r="F331" s="216"/>
      <c r="G331" s="216"/>
      <c r="H331" s="216"/>
      <c r="I331" s="174"/>
    </row>
    <row r="332" spans="2:9" ht="15.75" x14ac:dyDescent="0.25">
      <c r="B332" s="179"/>
      <c r="C332" s="179"/>
      <c r="D332" s="179"/>
      <c r="E332" s="216"/>
      <c r="F332" s="216"/>
      <c r="G332" s="216"/>
      <c r="H332" s="216"/>
      <c r="I332" s="174"/>
    </row>
    <row r="333" spans="2:9" ht="15.75" x14ac:dyDescent="0.25">
      <c r="B333" s="179" t="s">
        <v>89</v>
      </c>
      <c r="C333" s="179"/>
      <c r="D333" s="179" t="s">
        <v>176</v>
      </c>
      <c r="E333" s="87"/>
      <c r="F333" s="87"/>
      <c r="G333" s="89"/>
      <c r="H333" s="97"/>
      <c r="I333" s="174"/>
    </row>
    <row r="334" spans="2:9" ht="15.75" x14ac:dyDescent="0.25">
      <c r="B334" s="88"/>
      <c r="C334" s="100"/>
      <c r="D334" s="100"/>
      <c r="E334" s="88"/>
      <c r="F334" s="88"/>
      <c r="G334" s="101"/>
      <c r="H334" s="102"/>
      <c r="I334" s="174"/>
    </row>
    <row r="335" spans="2:9" ht="15.75" x14ac:dyDescent="0.25">
      <c r="B335" s="88"/>
      <c r="C335" s="100"/>
      <c r="D335" s="100"/>
      <c r="E335" s="88"/>
      <c r="F335" s="88"/>
      <c r="G335" s="101"/>
      <c r="H335" s="102"/>
      <c r="I335" s="174"/>
    </row>
    <row r="336" spans="2:9" ht="15.75" x14ac:dyDescent="0.25">
      <c r="B336" s="88"/>
      <c r="C336" s="100"/>
      <c r="D336" s="100"/>
      <c r="E336" s="101"/>
      <c r="F336" s="102"/>
      <c r="G336" s="103"/>
      <c r="H336" s="103"/>
      <c r="I336" s="174"/>
    </row>
    <row r="337" spans="2:10" ht="15.75" x14ac:dyDescent="0.25">
      <c r="B337" s="88"/>
      <c r="C337" s="100"/>
      <c r="D337" s="88"/>
      <c r="E337" s="101"/>
      <c r="F337" s="102"/>
      <c r="G337" s="103"/>
      <c r="H337" s="103"/>
      <c r="I337" s="174"/>
    </row>
    <row r="338" spans="2:10" s="116" customFormat="1" ht="15.75" x14ac:dyDescent="0.25">
      <c r="B338" s="87"/>
      <c r="C338" s="96"/>
      <c r="D338" s="87"/>
      <c r="E338" s="89"/>
      <c r="F338" s="97"/>
      <c r="G338" s="98"/>
      <c r="H338" s="98"/>
      <c r="I338" s="174"/>
    </row>
    <row r="339" spans="2:10" s="116" customFormat="1" ht="15.75" x14ac:dyDescent="0.25">
      <c r="B339" s="312"/>
      <c r="C339" s="313"/>
      <c r="D339" s="312"/>
      <c r="E339" s="314"/>
      <c r="F339" s="315"/>
      <c r="G339" s="314"/>
      <c r="H339" s="314"/>
      <c r="I339" s="174"/>
    </row>
    <row r="340" spans="2:10" s="116" customFormat="1" ht="18.75" x14ac:dyDescent="0.3">
      <c r="B340" s="743"/>
      <c r="C340" s="743"/>
      <c r="D340" s="48"/>
      <c r="E340" s="88"/>
      <c r="F340" s="88"/>
      <c r="G340" s="745" t="s">
        <v>357</v>
      </c>
      <c r="H340" s="746"/>
      <c r="I340" s="745"/>
      <c r="J340" s="89"/>
    </row>
    <row r="341" spans="2:10" ht="19.5" thickBot="1" x14ac:dyDescent="0.35">
      <c r="B341" s="685"/>
      <c r="C341" s="743" t="s">
        <v>512</v>
      </c>
      <c r="D341" s="743"/>
      <c r="E341" s="88"/>
      <c r="F341" s="88"/>
      <c r="G341" s="89"/>
      <c r="H341" s="89"/>
      <c r="I341" s="89"/>
      <c r="J341" s="89"/>
    </row>
    <row r="342" spans="2:10" ht="31.5" x14ac:dyDescent="0.25">
      <c r="B342" s="692" t="s">
        <v>0</v>
      </c>
      <c r="C342" s="693" t="s">
        <v>1</v>
      </c>
      <c r="D342" s="694" t="s">
        <v>2</v>
      </c>
      <c r="E342" s="695" t="s">
        <v>517</v>
      </c>
      <c r="F342" s="695" t="s">
        <v>518</v>
      </c>
      <c r="G342" s="696" t="s">
        <v>5</v>
      </c>
      <c r="H342" s="696" t="s">
        <v>6</v>
      </c>
      <c r="I342" s="697" t="s">
        <v>7</v>
      </c>
      <c r="J342" s="698" t="s">
        <v>8</v>
      </c>
    </row>
    <row r="343" spans="2:10" s="116" customFormat="1" ht="15.75" x14ac:dyDescent="0.25">
      <c r="B343" s="699">
        <v>43435</v>
      </c>
      <c r="C343" s="36" t="s">
        <v>411</v>
      </c>
      <c r="D343" s="36">
        <v>-296</v>
      </c>
      <c r="E343" s="436">
        <v>4.4290000000000003E-2</v>
      </c>
      <c r="F343" s="24">
        <v>1.0565119999999999</v>
      </c>
      <c r="G343" s="690">
        <f t="shared" ref="G343:G354" si="33">ROUND(D343*E343*F343,2)</f>
        <v>-13.85</v>
      </c>
      <c r="H343" s="78">
        <v>0.2</v>
      </c>
      <c r="I343" s="691">
        <f>ROUND(G343*H343,2)</f>
        <v>-2.77</v>
      </c>
      <c r="J343" s="691">
        <f>G343+I343</f>
        <v>-16.62</v>
      </c>
    </row>
    <row r="344" spans="2:10" ht="15.75" x14ac:dyDescent="0.25">
      <c r="B344" s="699">
        <v>43466</v>
      </c>
      <c r="C344" s="36"/>
      <c r="D344" s="36">
        <v>-634</v>
      </c>
      <c r="E344" s="436">
        <v>4.6780000000000002E-2</v>
      </c>
      <c r="F344" s="24">
        <v>0.99980800000000003</v>
      </c>
      <c r="G344" s="690">
        <f t="shared" si="33"/>
        <v>-29.65</v>
      </c>
      <c r="H344" s="78">
        <v>0.2</v>
      </c>
      <c r="I344" s="691">
        <f>ROUND(G344*H344,2)</f>
        <v>-5.93</v>
      </c>
      <c r="J344" s="691">
        <f>G344+I344</f>
        <v>-35.58</v>
      </c>
    </row>
    <row r="345" spans="2:10" ht="15.75" x14ac:dyDescent="0.25">
      <c r="B345" s="699">
        <v>43497</v>
      </c>
      <c r="C345" s="36"/>
      <c r="D345" s="36">
        <v>-392</v>
      </c>
      <c r="E345" s="436">
        <v>4.6780000000000002E-2</v>
      </c>
      <c r="F345" s="24">
        <v>0.993448</v>
      </c>
      <c r="G345" s="690">
        <f t="shared" si="33"/>
        <v>-18.22</v>
      </c>
      <c r="H345" s="78">
        <v>0.2</v>
      </c>
      <c r="I345" s="691">
        <f t="shared" ref="I345:I354" si="34">ROUND(G345*H345,2)</f>
        <v>-3.64</v>
      </c>
      <c r="J345" s="691">
        <f t="shared" ref="J345:J354" si="35">G345+I345</f>
        <v>-21.86</v>
      </c>
    </row>
    <row r="346" spans="2:10" ht="15.75" x14ac:dyDescent="0.25">
      <c r="B346" s="699">
        <v>43525</v>
      </c>
      <c r="C346" s="37"/>
      <c r="D346" s="203">
        <v>-224</v>
      </c>
      <c r="E346" s="435">
        <v>4.6780000000000002E-2</v>
      </c>
      <c r="F346" s="24">
        <v>0.99025200000000002</v>
      </c>
      <c r="G346" s="441">
        <f t="shared" si="33"/>
        <v>-10.38</v>
      </c>
      <c r="H346" s="33">
        <v>0.2</v>
      </c>
      <c r="I346" s="442">
        <f t="shared" si="34"/>
        <v>-2.08</v>
      </c>
      <c r="J346" s="443">
        <f t="shared" si="35"/>
        <v>-12.46</v>
      </c>
    </row>
    <row r="347" spans="2:10" s="116" customFormat="1" ht="15.75" x14ac:dyDescent="0.25">
      <c r="B347" s="699">
        <v>43556</v>
      </c>
      <c r="C347" s="37"/>
      <c r="D347" s="203">
        <v>-253</v>
      </c>
      <c r="E347" s="435">
        <v>4.6780000000000002E-2</v>
      </c>
      <c r="F347" s="24">
        <v>0.98398799999999997</v>
      </c>
      <c r="G347" s="441">
        <f t="shared" si="33"/>
        <v>-11.65</v>
      </c>
      <c r="H347" s="33">
        <v>0.2</v>
      </c>
      <c r="I347" s="442">
        <f t="shared" si="34"/>
        <v>-2.33</v>
      </c>
      <c r="J347" s="443">
        <f t="shared" si="35"/>
        <v>-13.98</v>
      </c>
    </row>
    <row r="348" spans="2:10" s="116" customFormat="1" ht="15.75" x14ac:dyDescent="0.25">
      <c r="B348" s="699">
        <v>43586</v>
      </c>
      <c r="C348" s="37"/>
      <c r="D348" s="203">
        <v>-230</v>
      </c>
      <c r="E348" s="435">
        <v>4.6780000000000002E-2</v>
      </c>
      <c r="F348" s="24">
        <v>0.97964200000000001</v>
      </c>
      <c r="G348" s="441">
        <f t="shared" si="33"/>
        <v>-10.54</v>
      </c>
      <c r="H348" s="33">
        <v>0.2</v>
      </c>
      <c r="I348" s="442">
        <f t="shared" si="34"/>
        <v>-2.11</v>
      </c>
      <c r="J348" s="443">
        <f t="shared" si="35"/>
        <v>-12.649999999999999</v>
      </c>
    </row>
    <row r="349" spans="2:10" s="116" customFormat="1" ht="15.75" x14ac:dyDescent="0.25">
      <c r="B349" s="699">
        <v>43617</v>
      </c>
      <c r="C349" s="37"/>
      <c r="D349" s="203">
        <v>-194</v>
      </c>
      <c r="E349" s="435">
        <v>4.6780000000000002E-2</v>
      </c>
      <c r="F349" s="24">
        <v>0.96302299999999996</v>
      </c>
      <c r="G349" s="441">
        <f t="shared" si="33"/>
        <v>-8.74</v>
      </c>
      <c r="H349" s="33">
        <v>0.2</v>
      </c>
      <c r="I349" s="442">
        <f t="shared" si="34"/>
        <v>-1.75</v>
      </c>
      <c r="J349" s="443">
        <f t="shared" si="35"/>
        <v>-10.49</v>
      </c>
    </row>
    <row r="350" spans="2:10" s="116" customFormat="1" ht="15.75" x14ac:dyDescent="0.25">
      <c r="B350" s="699">
        <v>43647</v>
      </c>
      <c r="C350" s="37"/>
      <c r="D350" s="203">
        <v>-143</v>
      </c>
      <c r="E350" s="435">
        <v>4.6780000000000002E-2</v>
      </c>
      <c r="F350" s="24">
        <v>0.96030700000000002</v>
      </c>
      <c r="G350" s="441">
        <f t="shared" si="33"/>
        <v>-6.42</v>
      </c>
      <c r="H350" s="33">
        <v>0.2</v>
      </c>
      <c r="I350" s="442">
        <f t="shared" si="34"/>
        <v>-1.28</v>
      </c>
      <c r="J350" s="443">
        <f t="shared" si="35"/>
        <v>-7.7</v>
      </c>
    </row>
    <row r="351" spans="2:10" s="116" customFormat="1" ht="15.75" x14ac:dyDescent="0.25">
      <c r="B351" s="699">
        <v>43678</v>
      </c>
      <c r="C351" s="37"/>
      <c r="D351" s="203">
        <v>-216</v>
      </c>
      <c r="E351" s="435">
        <v>4.6780000000000002E-2</v>
      </c>
      <c r="F351" s="24">
        <v>0.98050499999999996</v>
      </c>
      <c r="G351" s="441">
        <f t="shared" si="33"/>
        <v>-9.91</v>
      </c>
      <c r="H351" s="33">
        <v>0.2</v>
      </c>
      <c r="I351" s="442">
        <f t="shared" si="34"/>
        <v>-1.98</v>
      </c>
      <c r="J351" s="443">
        <f t="shared" si="35"/>
        <v>-11.89</v>
      </c>
    </row>
    <row r="352" spans="2:10" s="116" customFormat="1" ht="18" customHeight="1" x14ac:dyDescent="0.25">
      <c r="B352" s="699">
        <v>43709</v>
      </c>
      <c r="C352" s="37"/>
      <c r="D352" s="203">
        <v>-248</v>
      </c>
      <c r="E352" s="435">
        <v>4.6780000000000002E-2</v>
      </c>
      <c r="F352" s="24">
        <v>0.97293099999999999</v>
      </c>
      <c r="G352" s="441">
        <f t="shared" si="33"/>
        <v>-11.29</v>
      </c>
      <c r="H352" s="33">
        <v>0.2</v>
      </c>
      <c r="I352" s="442">
        <f t="shared" si="34"/>
        <v>-2.2599999999999998</v>
      </c>
      <c r="J352" s="443">
        <f t="shared" si="35"/>
        <v>-13.549999999999999</v>
      </c>
    </row>
    <row r="353" spans="2:10" s="116" customFormat="1" ht="15.75" x14ac:dyDescent="0.25">
      <c r="B353" s="699">
        <v>43739</v>
      </c>
      <c r="C353" s="37"/>
      <c r="D353" s="203">
        <v>-469</v>
      </c>
      <c r="E353" s="435">
        <v>4.6780000000000002E-2</v>
      </c>
      <c r="F353" s="24">
        <v>0.96657099999999996</v>
      </c>
      <c r="G353" s="441">
        <f t="shared" si="33"/>
        <v>-21.21</v>
      </c>
      <c r="H353" s="33">
        <v>0.2</v>
      </c>
      <c r="I353" s="442">
        <f t="shared" si="34"/>
        <v>-4.24</v>
      </c>
      <c r="J353" s="443">
        <f t="shared" si="35"/>
        <v>-25.450000000000003</v>
      </c>
    </row>
    <row r="354" spans="2:10" s="116" customFormat="1" ht="15.75" x14ac:dyDescent="0.25">
      <c r="B354" s="699">
        <v>43770</v>
      </c>
      <c r="C354" s="37"/>
      <c r="D354" s="203">
        <v>-402</v>
      </c>
      <c r="E354" s="435">
        <v>4.6780000000000002E-2</v>
      </c>
      <c r="F354" s="24">
        <v>0.98389300000000002</v>
      </c>
      <c r="G354" s="441">
        <f t="shared" si="33"/>
        <v>-18.5</v>
      </c>
      <c r="H354" s="33">
        <v>0.2</v>
      </c>
      <c r="I354" s="442">
        <f t="shared" si="34"/>
        <v>-3.7</v>
      </c>
      <c r="J354" s="443">
        <f t="shared" si="35"/>
        <v>-22.2</v>
      </c>
    </row>
    <row r="355" spans="2:10" ht="16.5" thickBot="1" x14ac:dyDescent="0.3">
      <c r="B355" s="687"/>
      <c r="C355" s="36"/>
      <c r="D355" s="203"/>
      <c r="E355" s="202"/>
      <c r="F355" s="24"/>
      <c r="G355" s="690"/>
      <c r="H355" s="78"/>
      <c r="I355" s="691"/>
      <c r="J355" s="691"/>
    </row>
    <row r="356" spans="2:10" ht="16.5" thickBot="1" x14ac:dyDescent="0.3">
      <c r="B356" s="30"/>
      <c r="C356" s="30" t="s">
        <v>12</v>
      </c>
      <c r="D356" s="348">
        <f>SUM(D343:D355)</f>
        <v>-3701</v>
      </c>
      <c r="E356" s="86"/>
      <c r="F356" s="198"/>
      <c r="G356" s="688">
        <f>SUM(G343:G355)</f>
        <v>-170.35999999999999</v>
      </c>
      <c r="H356" s="689"/>
      <c r="I356" s="688">
        <f>SUM(I343:I355)</f>
        <v>-34.070000000000007</v>
      </c>
      <c r="J356" s="688">
        <f>SUM(J343:J355)</f>
        <v>-204.43</v>
      </c>
    </row>
    <row r="357" spans="2:10" ht="15.75" x14ac:dyDescent="0.25">
      <c r="B357" s="88"/>
      <c r="C357" s="100"/>
      <c r="D357" s="100"/>
      <c r="E357" s="88"/>
      <c r="F357" s="88"/>
      <c r="G357" s="101"/>
      <c r="H357" s="102"/>
      <c r="I357" s="103"/>
      <c r="J357" s="89"/>
    </row>
    <row r="358" spans="2:10" ht="48" customHeight="1" x14ac:dyDescent="0.25">
      <c r="B358" s="88"/>
      <c r="C358" s="748" t="s">
        <v>519</v>
      </c>
      <c r="D358" s="748"/>
      <c r="E358" s="748"/>
      <c r="F358" s="748"/>
      <c r="G358" s="748"/>
      <c r="H358" s="748"/>
      <c r="I358" s="748"/>
      <c r="J358" s="89"/>
    </row>
    <row r="359" spans="2:10" ht="15.75" x14ac:dyDescent="0.25">
      <c r="B359" s="88"/>
      <c r="C359" s="744"/>
      <c r="D359" s="744"/>
      <c r="E359" s="744"/>
      <c r="F359" s="88"/>
      <c r="G359" s="101"/>
      <c r="H359" s="102"/>
      <c r="I359" s="103"/>
      <c r="J359" s="89"/>
    </row>
    <row r="360" spans="2:10" ht="15.75" x14ac:dyDescent="0.25">
      <c r="B360" s="88"/>
      <c r="C360" s="100"/>
      <c r="D360" s="100"/>
      <c r="E360" s="88"/>
      <c r="F360" s="88"/>
      <c r="G360" s="101"/>
      <c r="H360" s="102"/>
      <c r="I360" s="103"/>
      <c r="J360" s="89"/>
    </row>
    <row r="361" spans="2:10" ht="15.75" x14ac:dyDescent="0.25">
      <c r="B361" s="88"/>
      <c r="C361" s="744"/>
      <c r="D361" s="744"/>
      <c r="E361" s="744"/>
      <c r="F361" s="88"/>
      <c r="G361" s="101"/>
      <c r="H361" s="102"/>
      <c r="I361" s="103"/>
      <c r="J361" s="89"/>
    </row>
    <row r="362" spans="2:10" ht="15.75" x14ac:dyDescent="0.25">
      <c r="B362" s="747" t="s">
        <v>520</v>
      </c>
      <c r="C362" s="747"/>
      <c r="D362" s="747"/>
      <c r="E362" s="747"/>
      <c r="F362" s="747"/>
      <c r="G362" s="747"/>
      <c r="H362" s="747"/>
      <c r="I362" s="174"/>
    </row>
    <row r="363" spans="2:10" s="116" customFormat="1" ht="18.75" customHeight="1" x14ac:dyDescent="0.25">
      <c r="B363" s="749" t="s">
        <v>255</v>
      </c>
      <c r="C363" s="749"/>
      <c r="D363" s="749"/>
      <c r="E363" s="749"/>
      <c r="F363" s="749"/>
      <c r="G363" s="749"/>
      <c r="H363" s="749"/>
      <c r="I363" s="174"/>
    </row>
    <row r="364" spans="2:10" s="116" customFormat="1" ht="18.75" x14ac:dyDescent="0.3">
      <c r="B364" s="703"/>
      <c r="C364" s="703"/>
      <c r="D364" s="703"/>
      <c r="E364" s="703"/>
      <c r="F364" s="703"/>
      <c r="G364" s="703"/>
      <c r="H364" s="703"/>
      <c r="I364" s="174"/>
    </row>
    <row r="365" spans="2:10" s="116" customFormat="1" ht="18.75" x14ac:dyDescent="0.3">
      <c r="B365" s="703"/>
      <c r="C365" s="703"/>
      <c r="D365" s="703"/>
      <c r="E365" s="703"/>
      <c r="F365" s="703"/>
      <c r="G365" s="703"/>
      <c r="H365" s="703"/>
      <c r="I365" s="174"/>
    </row>
    <row r="366" spans="2:10" ht="18.75" x14ac:dyDescent="0.3">
      <c r="B366" s="311"/>
      <c r="C366" s="744"/>
      <c r="D366" s="744"/>
      <c r="E366" s="744"/>
      <c r="F366" s="88"/>
      <c r="G366" s="89"/>
      <c r="H366" s="89"/>
      <c r="I366" s="174"/>
    </row>
    <row r="367" spans="2:10" ht="18.75" x14ac:dyDescent="0.3">
      <c r="B367" s="743"/>
      <c r="C367" s="743"/>
      <c r="D367" s="48"/>
      <c r="E367" s="88"/>
      <c r="F367" s="88"/>
      <c r="G367" s="745" t="s">
        <v>366</v>
      </c>
      <c r="H367" s="746"/>
      <c r="I367" s="745"/>
      <c r="J367" s="89"/>
    </row>
    <row r="368" spans="2:10" ht="19.5" thickBot="1" x14ac:dyDescent="0.35">
      <c r="B368" s="686">
        <v>2018</v>
      </c>
      <c r="C368" s="743" t="s">
        <v>512</v>
      </c>
      <c r="D368" s="743"/>
      <c r="E368" s="88"/>
      <c r="F368" s="88"/>
      <c r="G368" s="89"/>
      <c r="H368" s="89"/>
      <c r="I368" s="89"/>
      <c r="J368" s="89"/>
    </row>
    <row r="369" spans="2:10" ht="32.25" thickBot="1" x14ac:dyDescent="0.3">
      <c r="B369" s="26" t="s">
        <v>0</v>
      </c>
      <c r="C369" s="27" t="s">
        <v>1</v>
      </c>
      <c r="D369" s="151" t="s">
        <v>2</v>
      </c>
      <c r="E369" s="150"/>
      <c r="F369" s="150"/>
      <c r="G369" s="28" t="s">
        <v>5</v>
      </c>
      <c r="H369" s="28" t="s">
        <v>6</v>
      </c>
      <c r="I369" s="29" t="s">
        <v>7</v>
      </c>
      <c r="J369" s="30" t="s">
        <v>8</v>
      </c>
    </row>
    <row r="370" spans="2:10" ht="15.75" x14ac:dyDescent="0.25">
      <c r="B370" s="687" t="s">
        <v>509</v>
      </c>
      <c r="C370" s="37" t="s">
        <v>411</v>
      </c>
      <c r="D370" s="36"/>
      <c r="E370" s="435">
        <v>4.6780000000000002E-2</v>
      </c>
      <c r="F370" s="24">
        <v>0.99980800000000003</v>
      </c>
      <c r="G370" s="441">
        <f t="shared" ref="G370:G380" si="36">ROUND(D370*E370*F370,2)</f>
        <v>0</v>
      </c>
      <c r="H370" s="33">
        <v>0.2</v>
      </c>
      <c r="I370" s="442">
        <f>ROUND(G370*H370,2)</f>
        <v>0</v>
      </c>
      <c r="J370" s="443">
        <f>G370+I370</f>
        <v>0</v>
      </c>
    </row>
    <row r="371" spans="2:10" ht="15.75" x14ac:dyDescent="0.25">
      <c r="B371" s="687" t="s">
        <v>510</v>
      </c>
      <c r="C371" s="36"/>
      <c r="D371" s="36"/>
      <c r="E371" s="435">
        <v>4.6780000000000002E-2</v>
      </c>
      <c r="F371" s="24">
        <v>0.993448</v>
      </c>
      <c r="G371" s="441">
        <f t="shared" si="36"/>
        <v>0</v>
      </c>
      <c r="H371" s="33">
        <v>0.2</v>
      </c>
      <c r="I371" s="442">
        <f t="shared" ref="I371:I380" si="37">ROUND(G371*H371,2)</f>
        <v>0</v>
      </c>
      <c r="J371" s="443">
        <f t="shared" ref="J371:J380" si="38">G371+I371</f>
        <v>0</v>
      </c>
    </row>
    <row r="372" spans="2:10" ht="15.75" x14ac:dyDescent="0.25">
      <c r="B372" s="687" t="s">
        <v>511</v>
      </c>
      <c r="C372" s="37"/>
      <c r="D372" s="203"/>
      <c r="E372" s="435">
        <v>4.6780000000000002E-2</v>
      </c>
      <c r="F372" s="24">
        <v>0.99025200000000002</v>
      </c>
      <c r="G372" s="441">
        <f t="shared" si="36"/>
        <v>0</v>
      </c>
      <c r="H372" s="33">
        <v>0.2</v>
      </c>
      <c r="I372" s="442">
        <f t="shared" si="37"/>
        <v>0</v>
      </c>
      <c r="J372" s="443">
        <f t="shared" si="38"/>
        <v>0</v>
      </c>
    </row>
    <row r="373" spans="2:10" ht="15.75" x14ac:dyDescent="0.25">
      <c r="B373" s="687" t="s">
        <v>513</v>
      </c>
      <c r="C373" s="37"/>
      <c r="D373" s="203"/>
      <c r="E373" s="435">
        <v>4.6780000000000002E-2</v>
      </c>
      <c r="F373" s="24">
        <v>0.98398799999999997</v>
      </c>
      <c r="G373" s="441">
        <f t="shared" si="36"/>
        <v>0</v>
      </c>
      <c r="H373" s="33">
        <v>0.2</v>
      </c>
      <c r="I373" s="442">
        <f t="shared" si="37"/>
        <v>0</v>
      </c>
      <c r="J373" s="443">
        <f t="shared" si="38"/>
        <v>0</v>
      </c>
    </row>
    <row r="374" spans="2:10" ht="15.75" x14ac:dyDescent="0.25">
      <c r="B374" s="687"/>
      <c r="C374" s="37"/>
      <c r="D374" s="203"/>
      <c r="E374" s="435">
        <v>4.6780000000000002E-2</v>
      </c>
      <c r="F374" s="24">
        <v>0.97964200000000001</v>
      </c>
      <c r="G374" s="441">
        <f t="shared" si="36"/>
        <v>0</v>
      </c>
      <c r="H374" s="33">
        <v>0.2</v>
      </c>
      <c r="I374" s="442">
        <f t="shared" si="37"/>
        <v>0</v>
      </c>
      <c r="J374" s="443">
        <f t="shared" si="38"/>
        <v>0</v>
      </c>
    </row>
    <row r="375" spans="2:10" ht="15.75" x14ac:dyDescent="0.25">
      <c r="B375" s="687"/>
      <c r="C375" s="37"/>
      <c r="D375" s="203"/>
      <c r="E375" s="435">
        <v>4.6780000000000002E-2</v>
      </c>
      <c r="F375" s="24">
        <v>0.96302299999999996</v>
      </c>
      <c r="G375" s="441">
        <f t="shared" si="36"/>
        <v>0</v>
      </c>
      <c r="H375" s="33">
        <v>0.2</v>
      </c>
      <c r="I375" s="442">
        <f t="shared" si="37"/>
        <v>0</v>
      </c>
      <c r="J375" s="443">
        <f t="shared" si="38"/>
        <v>0</v>
      </c>
    </row>
    <row r="376" spans="2:10" ht="15.75" x14ac:dyDescent="0.25">
      <c r="B376" s="687"/>
      <c r="C376" s="37"/>
      <c r="D376" s="203"/>
      <c r="E376" s="435">
        <v>4.6780000000000002E-2</v>
      </c>
      <c r="F376" s="24">
        <v>0.96030700000000002</v>
      </c>
      <c r="G376" s="441">
        <f t="shared" si="36"/>
        <v>0</v>
      </c>
      <c r="H376" s="33">
        <v>0.2</v>
      </c>
      <c r="I376" s="442">
        <f t="shared" si="37"/>
        <v>0</v>
      </c>
      <c r="J376" s="443">
        <f t="shared" si="38"/>
        <v>0</v>
      </c>
    </row>
    <row r="377" spans="2:10" ht="15.75" x14ac:dyDescent="0.25">
      <c r="B377" s="687"/>
      <c r="C377" s="37"/>
      <c r="D377" s="203"/>
      <c r="E377" s="435">
        <v>4.6780000000000002E-2</v>
      </c>
      <c r="F377" s="24">
        <v>0.98050499999999996</v>
      </c>
      <c r="G377" s="441">
        <f t="shared" si="36"/>
        <v>0</v>
      </c>
      <c r="H377" s="33">
        <v>0.2</v>
      </c>
      <c r="I377" s="442">
        <f t="shared" si="37"/>
        <v>0</v>
      </c>
      <c r="J377" s="443">
        <f t="shared" si="38"/>
        <v>0</v>
      </c>
    </row>
    <row r="378" spans="2:10" ht="15.75" x14ac:dyDescent="0.25">
      <c r="B378" s="687"/>
      <c r="C378" s="37"/>
      <c r="D378" s="203"/>
      <c r="E378" s="435">
        <v>4.6780000000000002E-2</v>
      </c>
      <c r="F378" s="24">
        <v>0.97293099999999999</v>
      </c>
      <c r="G378" s="441">
        <f t="shared" si="36"/>
        <v>0</v>
      </c>
      <c r="H378" s="33">
        <v>0.2</v>
      </c>
      <c r="I378" s="442">
        <f t="shared" si="37"/>
        <v>0</v>
      </c>
      <c r="J378" s="443">
        <f t="shared" si="38"/>
        <v>0</v>
      </c>
    </row>
    <row r="379" spans="2:10" ht="15.75" x14ac:dyDescent="0.25">
      <c r="B379" s="687"/>
      <c r="C379" s="37"/>
      <c r="D379" s="203"/>
      <c r="E379" s="435">
        <v>4.6780000000000002E-2</v>
      </c>
      <c r="F379" s="24">
        <v>0.96657099999999996</v>
      </c>
      <c r="G379" s="441">
        <f t="shared" si="36"/>
        <v>0</v>
      </c>
      <c r="H379" s="33">
        <v>0.2</v>
      </c>
      <c r="I379" s="442">
        <f t="shared" si="37"/>
        <v>0</v>
      </c>
      <c r="J379" s="443">
        <f t="shared" si="38"/>
        <v>0</v>
      </c>
    </row>
    <row r="380" spans="2:10" ht="15.75" x14ac:dyDescent="0.25">
      <c r="B380" s="687"/>
      <c r="C380" s="37"/>
      <c r="D380" s="203"/>
      <c r="E380" s="435">
        <v>4.6780000000000002E-2</v>
      </c>
      <c r="F380" s="24">
        <v>0.98389300000000002</v>
      </c>
      <c r="G380" s="441">
        <f t="shared" si="36"/>
        <v>0</v>
      </c>
      <c r="H380" s="33">
        <v>0.2</v>
      </c>
      <c r="I380" s="442">
        <f t="shared" si="37"/>
        <v>0</v>
      </c>
      <c r="J380" s="443">
        <f t="shared" si="38"/>
        <v>0</v>
      </c>
    </row>
    <row r="381" spans="2:10" ht="16.5" thickBot="1" x14ac:dyDescent="0.3">
      <c r="B381" s="687"/>
      <c r="C381" s="36"/>
      <c r="D381" s="203"/>
      <c r="E381" s="202"/>
      <c r="F381" s="24"/>
      <c r="G381" s="690"/>
      <c r="H381" s="78"/>
      <c r="I381" s="691"/>
      <c r="J381" s="691"/>
    </row>
    <row r="382" spans="2:10" ht="16.5" thickBot="1" x14ac:dyDescent="0.3">
      <c r="B382" s="30"/>
      <c r="C382" s="30" t="s">
        <v>12</v>
      </c>
      <c r="D382" s="348">
        <f>SUM(D370:D381)</f>
        <v>0</v>
      </c>
      <c r="E382" s="86"/>
      <c r="F382" s="198"/>
      <c r="G382" s="688">
        <f>SUM(G370:G381)</f>
        <v>0</v>
      </c>
      <c r="H382" s="689"/>
      <c r="I382" s="688">
        <f>SUM(I370:I381)</f>
        <v>0</v>
      </c>
      <c r="J382" s="688">
        <f>SUM(J370:J381)</f>
        <v>0</v>
      </c>
    </row>
    <row r="383" spans="2:10" ht="15.75" x14ac:dyDescent="0.25">
      <c r="B383" s="88"/>
      <c r="C383" s="100"/>
      <c r="D383" s="100"/>
      <c r="E383" s="88"/>
      <c r="F383" s="88"/>
      <c r="G383" s="101"/>
      <c r="H383" s="102"/>
      <c r="I383" s="103"/>
      <c r="J383" s="89"/>
    </row>
    <row r="384" spans="2:10" x14ac:dyDescent="0.25">
      <c r="B384" s="174"/>
      <c r="C384" s="174"/>
      <c r="D384" s="174"/>
      <c r="E384" s="174"/>
      <c r="F384" s="174"/>
      <c r="G384" s="174"/>
      <c r="H384" s="174"/>
      <c r="I384" s="174"/>
    </row>
    <row r="385" spans="2:9" x14ac:dyDescent="0.25">
      <c r="B385" s="174"/>
      <c r="C385" s="174"/>
      <c r="D385" s="174"/>
      <c r="E385" s="174"/>
      <c r="F385" s="174"/>
      <c r="G385" s="174"/>
      <c r="H385" s="174"/>
      <c r="I385" s="174"/>
    </row>
    <row r="386" spans="2:9" x14ac:dyDescent="0.25">
      <c r="B386" s="174"/>
      <c r="C386" s="174"/>
      <c r="D386" s="174"/>
      <c r="E386" s="174"/>
      <c r="F386" s="174"/>
      <c r="G386" s="174"/>
      <c r="H386" s="174"/>
      <c r="I386" s="174"/>
    </row>
    <row r="387" spans="2:9" x14ac:dyDescent="0.25">
      <c r="B387" s="174"/>
      <c r="C387" s="174"/>
      <c r="D387" s="174"/>
      <c r="E387" s="174"/>
      <c r="F387" s="174"/>
      <c r="G387" s="174"/>
      <c r="H387" s="174"/>
      <c r="I387" s="174"/>
    </row>
    <row r="388" spans="2:9" x14ac:dyDescent="0.25">
      <c r="B388" s="174"/>
      <c r="C388" s="174"/>
      <c r="D388" s="174"/>
      <c r="E388" s="174"/>
      <c r="F388" s="174"/>
      <c r="G388" s="174"/>
      <c r="H388" s="174"/>
      <c r="I388" s="174"/>
    </row>
    <row r="460" spans="2:10" ht="15.75" x14ac:dyDescent="0.25">
      <c r="B460" s="23"/>
      <c r="C460" s="50"/>
      <c r="D460" s="50"/>
      <c r="E460" s="50"/>
      <c r="F460" s="50"/>
      <c r="G460" s="50"/>
      <c r="H460" s="50"/>
      <c r="I460" s="50"/>
      <c r="J460" s="49"/>
    </row>
  </sheetData>
  <mergeCells count="32">
    <mergeCell ref="C359:E359"/>
    <mergeCell ref="K86:L86"/>
    <mergeCell ref="C228:I228"/>
    <mergeCell ref="B292:C292"/>
    <mergeCell ref="C280:D280"/>
    <mergeCell ref="C245:D245"/>
    <mergeCell ref="B263:C263"/>
    <mergeCell ref="C264:D264"/>
    <mergeCell ref="C341:D341"/>
    <mergeCell ref="B318:C318"/>
    <mergeCell ref="C244:I244"/>
    <mergeCell ref="D239:E239"/>
    <mergeCell ref="B239:C239"/>
    <mergeCell ref="G263:I263"/>
    <mergeCell ref="B322:H322"/>
    <mergeCell ref="C206:F206"/>
    <mergeCell ref="C368:D368"/>
    <mergeCell ref="C257:D257"/>
    <mergeCell ref="G292:I292"/>
    <mergeCell ref="B308:C308"/>
    <mergeCell ref="G340:I340"/>
    <mergeCell ref="C275:D275"/>
    <mergeCell ref="B362:H362"/>
    <mergeCell ref="C293:D293"/>
    <mergeCell ref="C304:D304"/>
    <mergeCell ref="B340:C340"/>
    <mergeCell ref="C358:I358"/>
    <mergeCell ref="C361:E361"/>
    <mergeCell ref="B367:C367"/>
    <mergeCell ref="G367:I367"/>
    <mergeCell ref="C366:E366"/>
    <mergeCell ref="B363:H363"/>
  </mergeCells>
  <phoneticPr fontId="30" type="noConversion"/>
  <pageMargins left="0.25" right="0.25" top="0.75" bottom="0.75" header="0.3" footer="0.3"/>
  <pageSetup paperSize="9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3"/>
  <sheetViews>
    <sheetView workbookViewId="0">
      <selection activeCell="E10" sqref="E10"/>
    </sheetView>
  </sheetViews>
  <sheetFormatPr defaultRowHeight="15" x14ac:dyDescent="0.25"/>
  <cols>
    <col min="3" max="3" width="21.5703125" customWidth="1"/>
    <col min="4" max="4" width="20.42578125" customWidth="1"/>
    <col min="5" max="5" width="23.28515625" customWidth="1"/>
    <col min="6" max="6" width="18.140625" customWidth="1"/>
    <col min="7" max="7" width="22.28515625" customWidth="1"/>
  </cols>
  <sheetData>
    <row r="2" spans="3:7" s="116" customFormat="1" ht="18.75" x14ac:dyDescent="0.3">
      <c r="C2" s="787" t="s">
        <v>439</v>
      </c>
      <c r="D2" s="787"/>
      <c r="E2" s="787"/>
      <c r="F2" s="787"/>
      <c r="G2" s="366"/>
    </row>
    <row r="3" spans="3:7" ht="18.75" x14ac:dyDescent="0.3">
      <c r="C3" s="366"/>
      <c r="D3" s="366"/>
      <c r="E3" s="366"/>
      <c r="F3" s="366"/>
      <c r="G3" s="366"/>
    </row>
    <row r="4" spans="3:7" ht="37.5" x14ac:dyDescent="0.3">
      <c r="C4" s="368"/>
      <c r="D4" s="633" t="s">
        <v>430</v>
      </c>
      <c r="E4" s="633" t="s">
        <v>431</v>
      </c>
      <c r="F4" s="634" t="s">
        <v>432</v>
      </c>
      <c r="G4" s="634" t="s">
        <v>438</v>
      </c>
    </row>
    <row r="5" spans="3:7" s="116" customFormat="1" ht="18.75" x14ac:dyDescent="0.3">
      <c r="C5" s="368" t="s">
        <v>437</v>
      </c>
      <c r="D5" s="637">
        <v>20638.68</v>
      </c>
      <c r="E5" s="638"/>
      <c r="F5" s="635"/>
      <c r="G5" s="526">
        <f>SUM(D5:F5)</f>
        <v>20638.68</v>
      </c>
    </row>
    <row r="6" spans="3:7" ht="18.75" x14ac:dyDescent="0.3">
      <c r="C6" s="368" t="s">
        <v>429</v>
      </c>
      <c r="D6" s="526">
        <v>15216.92</v>
      </c>
      <c r="E6" s="526">
        <v>5975.79</v>
      </c>
      <c r="F6" s="526"/>
      <c r="G6" s="526">
        <f>D6+E6+F6</f>
        <v>21192.71</v>
      </c>
    </row>
    <row r="7" spans="3:7" ht="18.75" x14ac:dyDescent="0.3">
      <c r="C7" s="368" t="s">
        <v>433</v>
      </c>
      <c r="D7" s="526">
        <v>16362.44</v>
      </c>
      <c r="E7" s="526">
        <v>8451.9500000000007</v>
      </c>
      <c r="F7" s="526"/>
      <c r="G7" s="526">
        <f>D7+E7</f>
        <v>24814.39</v>
      </c>
    </row>
    <row r="8" spans="3:7" ht="18.75" x14ac:dyDescent="0.3">
      <c r="C8" s="368" t="s">
        <v>434</v>
      </c>
      <c r="D8" s="526">
        <v>17605.46</v>
      </c>
      <c r="E8" s="526">
        <v>9617.7900000000009</v>
      </c>
      <c r="F8" s="526">
        <v>254.78</v>
      </c>
      <c r="G8" s="526">
        <f>D8+E8+F8</f>
        <v>27478.03</v>
      </c>
    </row>
    <row r="9" spans="3:7" ht="18.75" x14ac:dyDescent="0.3">
      <c r="C9" s="368" t="s">
        <v>435</v>
      </c>
      <c r="D9" s="526">
        <v>17229.599999999999</v>
      </c>
      <c r="E9" s="526">
        <v>9984.01</v>
      </c>
      <c r="F9" s="526">
        <v>397.02</v>
      </c>
      <c r="G9" s="526">
        <f>D9+E9+F9</f>
        <v>27610.63</v>
      </c>
    </row>
    <row r="10" spans="3:7" ht="18.75" x14ac:dyDescent="0.3">
      <c r="C10" s="634" t="s">
        <v>52</v>
      </c>
      <c r="D10" s="635">
        <f>SUM(D5:D9)</f>
        <v>87053.1</v>
      </c>
      <c r="E10" s="635">
        <f>SUM(E6:E9)</f>
        <v>34029.54</v>
      </c>
      <c r="F10" s="635">
        <f>SUM(F8:F9)</f>
        <v>651.79999999999995</v>
      </c>
      <c r="G10" s="635">
        <f>G5+G6+G7+G8+G9</f>
        <v>121734.44</v>
      </c>
    </row>
    <row r="11" spans="3:7" ht="18.75" x14ac:dyDescent="0.3">
      <c r="C11" s="366"/>
      <c r="D11" s="366"/>
      <c r="E11" s="366"/>
      <c r="F11" s="366"/>
      <c r="G11" s="366"/>
    </row>
    <row r="12" spans="3:7" ht="18.75" x14ac:dyDescent="0.3">
      <c r="C12" s="366"/>
      <c r="D12" s="366"/>
      <c r="E12" s="366"/>
      <c r="F12" s="366"/>
      <c r="G12" s="366"/>
    </row>
    <row r="13" spans="3:7" ht="18.75" x14ac:dyDescent="0.3">
      <c r="C13" s="636" t="s">
        <v>436</v>
      </c>
      <c r="D13" s="366"/>
      <c r="E13" s="366"/>
      <c r="F13" s="366"/>
      <c r="G13" s="366"/>
    </row>
  </sheetData>
  <mergeCells count="1">
    <mergeCell ref="C2:F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352"/>
  <sheetViews>
    <sheetView topLeftCell="A7" zoomScaleNormal="100" workbookViewId="0">
      <selection activeCell="B26" sqref="B26"/>
    </sheetView>
  </sheetViews>
  <sheetFormatPr defaultRowHeight="15" x14ac:dyDescent="0.25"/>
  <cols>
    <col min="1" max="1" width="9.140625" style="116"/>
    <col min="2" max="2" width="15.42578125" style="116" customWidth="1"/>
    <col min="3" max="3" width="25.42578125" style="116" customWidth="1"/>
    <col min="4" max="4" width="14.28515625" style="5" customWidth="1"/>
    <col min="5" max="5" width="10.85546875" style="5" customWidth="1"/>
    <col min="6" max="6" width="12.42578125" style="5" customWidth="1"/>
    <col min="7" max="7" width="19.28515625" style="5" customWidth="1"/>
    <col min="8" max="8" width="7.42578125" style="5" customWidth="1"/>
    <col min="9" max="9" width="20.7109375" style="5" customWidth="1"/>
    <col min="10" max="10" width="20.5703125" style="5" customWidth="1"/>
    <col min="11" max="11" width="14.140625" style="116" customWidth="1"/>
    <col min="12" max="12" width="17.140625" style="116" customWidth="1"/>
    <col min="13" max="13" width="16.7109375" style="116" customWidth="1"/>
    <col min="14" max="14" width="29.85546875" style="116" customWidth="1"/>
    <col min="15" max="15" width="15" style="116" customWidth="1"/>
    <col min="16" max="16" width="14.140625" style="116" customWidth="1"/>
    <col min="17" max="17" width="14" style="116" customWidth="1"/>
    <col min="18" max="18" width="15.42578125" style="116" customWidth="1"/>
    <col min="19" max="20" width="13" style="116" customWidth="1"/>
    <col min="21" max="21" width="15.7109375" style="116" customWidth="1"/>
    <col min="22" max="16384" width="9.140625" style="116"/>
  </cols>
  <sheetData>
    <row r="1" spans="1:21" ht="15.75" x14ac:dyDescent="0.25">
      <c r="B1" s="80" t="s">
        <v>93</v>
      </c>
      <c r="C1" s="112" t="s">
        <v>607</v>
      </c>
      <c r="D1" s="112"/>
      <c r="E1" s="112"/>
      <c r="F1" s="112"/>
      <c r="G1" s="112"/>
      <c r="H1" s="112"/>
      <c r="I1" s="112"/>
      <c r="J1" s="81"/>
      <c r="K1" s="23"/>
    </row>
    <row r="2" spans="1:21" ht="15.75" customHeight="1" x14ac:dyDescent="0.25">
      <c r="B2" s="80"/>
      <c r="C2" s="112"/>
      <c r="D2" s="232"/>
      <c r="E2" s="81"/>
      <c r="F2" s="88"/>
      <c r="G2" s="81"/>
      <c r="H2" s="81"/>
      <c r="I2" s="81"/>
      <c r="J2" s="81">
        <v>20.41</v>
      </c>
      <c r="K2" s="23"/>
      <c r="N2" s="116">
        <v>20.399999999999999</v>
      </c>
    </row>
    <row r="3" spans="1:21" ht="19.5" thickBot="1" x14ac:dyDescent="0.35">
      <c r="B3" s="762"/>
      <c r="C3" s="763"/>
      <c r="D3" s="233" t="s">
        <v>38</v>
      </c>
      <c r="E3" s="81"/>
      <c r="F3" s="81"/>
      <c r="G3" s="81"/>
      <c r="H3" s="81"/>
      <c r="I3" s="81"/>
      <c r="J3" s="81" t="s">
        <v>144</v>
      </c>
      <c r="K3" s="23"/>
      <c r="M3" s="274"/>
      <c r="N3" s="274"/>
      <c r="O3" s="275" t="s">
        <v>38</v>
      </c>
      <c r="P3" s="275"/>
      <c r="Q3" s="275"/>
      <c r="R3" s="275"/>
      <c r="S3" s="275"/>
      <c r="T3" s="275"/>
      <c r="U3" s="275" t="s">
        <v>115</v>
      </c>
    </row>
    <row r="4" spans="1:21" ht="27.75" thickBot="1" x14ac:dyDescent="0.35">
      <c r="B4" s="180" t="s">
        <v>0</v>
      </c>
      <c r="C4" s="40" t="s">
        <v>1</v>
      </c>
      <c r="D4" s="182" t="s">
        <v>2</v>
      </c>
      <c r="E4" s="182" t="s">
        <v>3</v>
      </c>
      <c r="F4" s="182" t="s">
        <v>4</v>
      </c>
      <c r="G4" s="181" t="s">
        <v>5</v>
      </c>
      <c r="H4" s="190" t="s">
        <v>6</v>
      </c>
      <c r="I4" s="181" t="s">
        <v>7</v>
      </c>
      <c r="J4" s="181" t="s">
        <v>8</v>
      </c>
      <c r="K4" s="79" t="s">
        <v>426</v>
      </c>
      <c r="M4" s="276" t="s">
        <v>0</v>
      </c>
      <c r="N4" s="277" t="s">
        <v>1</v>
      </c>
      <c r="O4" s="278" t="s">
        <v>2</v>
      </c>
      <c r="P4" s="279" t="s">
        <v>3</v>
      </c>
      <c r="Q4" s="279" t="s">
        <v>4</v>
      </c>
      <c r="R4" s="279" t="s">
        <v>5</v>
      </c>
      <c r="S4" s="279" t="s">
        <v>6</v>
      </c>
      <c r="T4" s="280" t="s">
        <v>7</v>
      </c>
      <c r="U4" s="281" t="s">
        <v>8</v>
      </c>
    </row>
    <row r="5" spans="1:21" ht="18" customHeight="1" x14ac:dyDescent="0.3">
      <c r="A5" s="113">
        <v>2705</v>
      </c>
      <c r="B5" s="187">
        <v>4</v>
      </c>
      <c r="C5" s="140" t="s">
        <v>286</v>
      </c>
      <c r="D5" s="82">
        <v>0</v>
      </c>
      <c r="E5" s="435">
        <v>0.33048</v>
      </c>
      <c r="F5" s="36">
        <v>1.1080239999999999</v>
      </c>
      <c r="G5" s="651">
        <f>ROUND(D5*E5*F5,2)</f>
        <v>0</v>
      </c>
      <c r="H5" s="153">
        <v>0.2</v>
      </c>
      <c r="I5" s="599">
        <f>ROUND(G5*H5,2)</f>
        <v>0</v>
      </c>
      <c r="J5" s="599">
        <f>G5+I5</f>
        <v>0</v>
      </c>
      <c r="K5" s="79">
        <v>590594329</v>
      </c>
      <c r="M5" s="282" t="s">
        <v>232</v>
      </c>
      <c r="N5" s="283"/>
      <c r="O5" s="283"/>
      <c r="P5" s="283"/>
      <c r="Q5" s="283"/>
      <c r="R5" s="517"/>
      <c r="S5" s="83">
        <v>0.2</v>
      </c>
      <c r="T5" s="517"/>
      <c r="U5" s="517"/>
    </row>
    <row r="6" spans="1:21" ht="18" customHeight="1" x14ac:dyDescent="0.3">
      <c r="A6" s="113">
        <v>2602</v>
      </c>
      <c r="B6" s="187"/>
      <c r="C6" s="140" t="s">
        <v>92</v>
      </c>
      <c r="D6" s="82">
        <v>58</v>
      </c>
      <c r="E6" s="435">
        <v>0.24295</v>
      </c>
      <c r="F6" s="36">
        <v>1.1080239999999999</v>
      </c>
      <c r="G6" s="651">
        <f t="shared" ref="G6:G35" si="0">ROUND(D6*E6*F6,2)</f>
        <v>15.61</v>
      </c>
      <c r="H6" s="153">
        <v>0.2</v>
      </c>
      <c r="I6" s="599">
        <f t="shared" ref="I6:I35" si="1">ROUND(G6*H6,2)</f>
        <v>3.12</v>
      </c>
      <c r="J6" s="599">
        <f t="shared" ref="J6:J35" si="2">G6+I6</f>
        <v>18.73</v>
      </c>
      <c r="K6" s="79">
        <v>500175824</v>
      </c>
      <c r="M6" s="286"/>
      <c r="N6" s="283"/>
      <c r="O6" s="283"/>
      <c r="P6" s="283"/>
      <c r="Q6" s="283"/>
      <c r="R6" s="517"/>
      <c r="S6" s="83"/>
      <c r="T6" s="517"/>
      <c r="U6" s="517"/>
    </row>
    <row r="7" spans="1:21" ht="18" customHeight="1" x14ac:dyDescent="0.3">
      <c r="A7" s="175">
        <v>2705</v>
      </c>
      <c r="B7" s="334"/>
      <c r="C7" s="140" t="s">
        <v>590</v>
      </c>
      <c r="D7" s="82">
        <v>0</v>
      </c>
      <c r="E7" s="435">
        <v>0.33048</v>
      </c>
      <c r="F7" s="36">
        <v>1.1080239999999999</v>
      </c>
      <c r="G7" s="651">
        <f t="shared" si="0"/>
        <v>0</v>
      </c>
      <c r="H7" s="153">
        <v>0.2</v>
      </c>
      <c r="I7" s="599">
        <f t="shared" si="1"/>
        <v>0</v>
      </c>
      <c r="J7" s="599">
        <f t="shared" si="2"/>
        <v>0</v>
      </c>
      <c r="K7" s="79">
        <v>590800298</v>
      </c>
      <c r="M7" s="286"/>
      <c r="N7" s="283"/>
      <c r="O7" s="298"/>
      <c r="P7" s="286"/>
      <c r="Q7" s="24"/>
      <c r="R7" s="518"/>
      <c r="S7" s="83"/>
      <c r="T7" s="518"/>
      <c r="U7" s="518"/>
    </row>
    <row r="8" spans="1:21" ht="18" customHeight="1" x14ac:dyDescent="0.3">
      <c r="A8" s="175">
        <v>2705</v>
      </c>
      <c r="B8" s="334"/>
      <c r="C8" s="140" t="s">
        <v>267</v>
      </c>
      <c r="D8" s="82">
        <v>242</v>
      </c>
      <c r="E8" s="435">
        <v>0.33048</v>
      </c>
      <c r="F8" s="36">
        <v>1.1080239999999999</v>
      </c>
      <c r="G8" s="651">
        <f t="shared" si="0"/>
        <v>88.62</v>
      </c>
      <c r="H8" s="153">
        <v>0.2</v>
      </c>
      <c r="I8" s="599">
        <f t="shared" si="1"/>
        <v>17.72</v>
      </c>
      <c r="J8" s="599">
        <f t="shared" si="2"/>
        <v>106.34</v>
      </c>
      <c r="K8" s="79">
        <v>590004205</v>
      </c>
      <c r="M8" s="286"/>
      <c r="N8" s="283" t="str">
        <f>C8</f>
        <v>Автофан</v>
      </c>
      <c r="O8" s="283">
        <f t="shared" ref="O8:U8" si="3">D8</f>
        <v>242</v>
      </c>
      <c r="P8" s="283">
        <f t="shared" si="3"/>
        <v>0.33048</v>
      </c>
      <c r="Q8" s="283">
        <f t="shared" si="3"/>
        <v>1.1080239999999999</v>
      </c>
      <c r="R8" s="517">
        <f t="shared" si="3"/>
        <v>88.62</v>
      </c>
      <c r="S8" s="83">
        <v>0.2</v>
      </c>
      <c r="T8" s="517">
        <f t="shared" si="3"/>
        <v>17.72</v>
      </c>
      <c r="U8" s="517">
        <f t="shared" si="3"/>
        <v>106.34</v>
      </c>
    </row>
    <row r="9" spans="1:21" ht="18" customHeight="1" x14ac:dyDescent="0.3">
      <c r="A9" s="175">
        <v>1002</v>
      </c>
      <c r="B9" s="183"/>
      <c r="C9" s="140" t="s">
        <v>412</v>
      </c>
      <c r="D9" s="82">
        <v>0</v>
      </c>
      <c r="E9" s="435">
        <v>0.24295</v>
      </c>
      <c r="F9" s="36">
        <v>1.1080239999999999</v>
      </c>
      <c r="G9" s="651">
        <f t="shared" si="0"/>
        <v>0</v>
      </c>
      <c r="H9" s="153">
        <v>0.2</v>
      </c>
      <c r="I9" s="599">
        <f t="shared" si="1"/>
        <v>0</v>
      </c>
      <c r="J9" s="599">
        <f t="shared" si="2"/>
        <v>0</v>
      </c>
      <c r="K9" s="79">
        <v>691837115</v>
      </c>
      <c r="M9" s="286"/>
      <c r="N9" s="283"/>
      <c r="O9" s="297"/>
      <c r="P9" s="283"/>
      <c r="Q9" s="24"/>
      <c r="R9" s="517"/>
      <c r="S9" s="83"/>
      <c r="T9" s="517"/>
      <c r="U9" s="517"/>
    </row>
    <row r="10" spans="1:21" ht="17.25" customHeight="1" x14ac:dyDescent="0.3">
      <c r="A10" s="175">
        <v>2705</v>
      </c>
      <c r="B10" s="600"/>
      <c r="C10" s="140" t="s">
        <v>340</v>
      </c>
      <c r="D10" s="82">
        <v>0</v>
      </c>
      <c r="E10" s="435">
        <v>0.33048</v>
      </c>
      <c r="F10" s="36">
        <v>1.1080239999999999</v>
      </c>
      <c r="G10" s="651">
        <f t="shared" si="0"/>
        <v>0</v>
      </c>
      <c r="H10" s="153">
        <v>0.2</v>
      </c>
      <c r="I10" s="599">
        <f t="shared" si="1"/>
        <v>0</v>
      </c>
      <c r="J10" s="599">
        <f t="shared" si="2"/>
        <v>0</v>
      </c>
      <c r="K10" s="79">
        <v>500470566</v>
      </c>
      <c r="M10" s="286"/>
      <c r="N10" s="283" t="str">
        <f t="shared" ref="N10:R15" si="4">C10</f>
        <v>ИП Енза</v>
      </c>
      <c r="O10" s="283">
        <f t="shared" si="4"/>
        <v>0</v>
      </c>
      <c r="P10" s="283">
        <f t="shared" si="4"/>
        <v>0.33048</v>
      </c>
      <c r="Q10" s="283">
        <f t="shared" si="4"/>
        <v>1.1080239999999999</v>
      </c>
      <c r="R10" s="517">
        <f t="shared" si="4"/>
        <v>0</v>
      </c>
      <c r="S10" s="83">
        <v>0.2</v>
      </c>
      <c r="T10" s="517">
        <f t="shared" ref="T10:U15" si="5">I10</f>
        <v>0</v>
      </c>
      <c r="U10" s="517">
        <f t="shared" si="5"/>
        <v>0</v>
      </c>
    </row>
    <row r="11" spans="1:21" ht="17.25" customHeight="1" x14ac:dyDescent="0.3">
      <c r="A11" s="175">
        <v>2705</v>
      </c>
      <c r="B11" s="187"/>
      <c r="C11" s="140" t="s">
        <v>327</v>
      </c>
      <c r="D11" s="82">
        <v>0</v>
      </c>
      <c r="E11" s="435">
        <v>0.33048</v>
      </c>
      <c r="F11" s="36">
        <v>1.1080239999999999</v>
      </c>
      <c r="G11" s="651">
        <f t="shared" si="0"/>
        <v>0</v>
      </c>
      <c r="H11" s="153">
        <v>0.2</v>
      </c>
      <c r="I11" s="599">
        <f t="shared" si="1"/>
        <v>0</v>
      </c>
      <c r="J11" s="599">
        <f t="shared" si="2"/>
        <v>0</v>
      </c>
      <c r="K11" s="79">
        <v>590719156</v>
      </c>
      <c r="M11" s="286"/>
      <c r="N11" s="283" t="str">
        <f t="shared" si="4"/>
        <v>"Лидер Стандарт"</v>
      </c>
      <c r="O11" s="297">
        <f t="shared" si="4"/>
        <v>0</v>
      </c>
      <c r="P11" s="542">
        <f t="shared" si="4"/>
        <v>0.33048</v>
      </c>
      <c r="Q11" s="542">
        <f t="shared" si="4"/>
        <v>1.1080239999999999</v>
      </c>
      <c r="R11" s="542">
        <f t="shared" si="4"/>
        <v>0</v>
      </c>
      <c r="S11" s="83">
        <v>0.2</v>
      </c>
      <c r="T11" s="542">
        <f t="shared" si="5"/>
        <v>0</v>
      </c>
      <c r="U11" s="542">
        <f t="shared" si="5"/>
        <v>0</v>
      </c>
    </row>
    <row r="12" spans="1:21" ht="17.25" customHeight="1" x14ac:dyDescent="0.3">
      <c r="A12" s="175" t="s">
        <v>487</v>
      </c>
      <c r="B12" s="25" t="s">
        <v>573</v>
      </c>
      <c r="C12" s="681" t="s">
        <v>488</v>
      </c>
      <c r="D12" s="226">
        <v>0</v>
      </c>
      <c r="E12" s="435">
        <v>0.15842000000000001</v>
      </c>
      <c r="F12" s="24">
        <v>1</v>
      </c>
      <c r="G12" s="441">
        <f t="shared" si="0"/>
        <v>0</v>
      </c>
      <c r="H12" s="33">
        <v>0.2</v>
      </c>
      <c r="I12" s="442">
        <f t="shared" si="1"/>
        <v>0</v>
      </c>
      <c r="J12" s="505">
        <f t="shared" si="2"/>
        <v>0</v>
      </c>
      <c r="K12" s="652">
        <v>500044457</v>
      </c>
      <c r="M12" s="286"/>
      <c r="N12" s="283" t="str">
        <f t="shared" si="4"/>
        <v>"Гарант"</v>
      </c>
      <c r="O12" s="283">
        <f t="shared" si="4"/>
        <v>0</v>
      </c>
      <c r="P12" s="283">
        <f t="shared" si="4"/>
        <v>0.15842000000000001</v>
      </c>
      <c r="Q12" s="283">
        <f t="shared" si="4"/>
        <v>1</v>
      </c>
      <c r="R12" s="517">
        <f t="shared" si="4"/>
        <v>0</v>
      </c>
      <c r="S12" s="83">
        <v>0.2</v>
      </c>
      <c r="T12" s="517">
        <f t="shared" si="5"/>
        <v>0</v>
      </c>
      <c r="U12" s="517">
        <f t="shared" si="5"/>
        <v>0</v>
      </c>
    </row>
    <row r="13" spans="1:21" ht="19.5" customHeight="1" x14ac:dyDescent="0.3">
      <c r="A13" s="175" t="s">
        <v>487</v>
      </c>
      <c r="B13" s="25" t="s">
        <v>574</v>
      </c>
      <c r="C13" s="681" t="s">
        <v>488</v>
      </c>
      <c r="D13" s="226">
        <v>0</v>
      </c>
      <c r="E13" s="435">
        <v>0.15842000000000001</v>
      </c>
      <c r="F13" s="24">
        <v>1</v>
      </c>
      <c r="G13" s="441">
        <f>ROUND(D13*E13*F13,2)</f>
        <v>0</v>
      </c>
      <c r="H13" s="33">
        <v>0.2</v>
      </c>
      <c r="I13" s="442">
        <f>ROUND(G13*H13,2)</f>
        <v>0</v>
      </c>
      <c r="J13" s="505">
        <f t="shared" si="2"/>
        <v>0</v>
      </c>
      <c r="K13" s="652">
        <v>500044457</v>
      </c>
      <c r="M13" s="286"/>
      <c r="N13" s="286" t="str">
        <f t="shared" si="4"/>
        <v>"Гарант"</v>
      </c>
      <c r="O13" s="286">
        <f t="shared" si="4"/>
        <v>0</v>
      </c>
      <c r="P13" s="286">
        <f t="shared" si="4"/>
        <v>0.15842000000000001</v>
      </c>
      <c r="Q13" s="286">
        <f t="shared" si="4"/>
        <v>1</v>
      </c>
      <c r="R13" s="518">
        <f t="shared" si="4"/>
        <v>0</v>
      </c>
      <c r="S13" s="83">
        <v>0.2</v>
      </c>
      <c r="T13" s="518">
        <f t="shared" si="5"/>
        <v>0</v>
      </c>
      <c r="U13" s="518">
        <f t="shared" si="5"/>
        <v>0</v>
      </c>
    </row>
    <row r="14" spans="1:21" ht="19.5" customHeight="1" x14ac:dyDescent="0.3">
      <c r="A14" s="113">
        <v>2705</v>
      </c>
      <c r="B14" s="185"/>
      <c r="C14" s="140" t="s">
        <v>237</v>
      </c>
      <c r="D14" s="82">
        <v>0</v>
      </c>
      <c r="E14" s="435">
        <v>0.33048</v>
      </c>
      <c r="F14" s="36">
        <v>1.1080239999999999</v>
      </c>
      <c r="G14" s="651">
        <f t="shared" si="0"/>
        <v>0</v>
      </c>
      <c r="H14" s="153">
        <v>0.2</v>
      </c>
      <c r="I14" s="599">
        <f t="shared" si="1"/>
        <v>0</v>
      </c>
      <c r="J14" s="599">
        <f t="shared" si="2"/>
        <v>0</v>
      </c>
      <c r="K14" s="79">
        <v>500493530</v>
      </c>
      <c r="M14" s="286"/>
      <c r="N14" s="286" t="str">
        <f t="shared" si="4"/>
        <v>ИП Фадеева</v>
      </c>
      <c r="O14" s="286">
        <f t="shared" si="4"/>
        <v>0</v>
      </c>
      <c r="P14" s="286">
        <f t="shared" si="4"/>
        <v>0.33048</v>
      </c>
      <c r="Q14" s="286">
        <f t="shared" si="4"/>
        <v>1.1080239999999999</v>
      </c>
      <c r="R14" s="518">
        <f t="shared" si="4"/>
        <v>0</v>
      </c>
      <c r="S14" s="83">
        <v>0.2</v>
      </c>
      <c r="T14" s="518">
        <f t="shared" si="5"/>
        <v>0</v>
      </c>
      <c r="U14" s="518">
        <f t="shared" si="5"/>
        <v>0</v>
      </c>
    </row>
    <row r="15" spans="1:21" ht="19.5" customHeight="1" x14ac:dyDescent="0.3">
      <c r="A15" s="113" t="s">
        <v>205</v>
      </c>
      <c r="B15" s="185"/>
      <c r="C15" s="140" t="s">
        <v>11</v>
      </c>
      <c r="D15" s="82">
        <v>0</v>
      </c>
      <c r="E15" s="435">
        <v>0.33048</v>
      </c>
      <c r="F15" s="36">
        <v>1.1080239999999999</v>
      </c>
      <c r="G15" s="651">
        <f t="shared" si="0"/>
        <v>0</v>
      </c>
      <c r="H15" s="153">
        <v>0.2</v>
      </c>
      <c r="I15" s="599">
        <f t="shared" si="1"/>
        <v>0</v>
      </c>
      <c r="J15" s="599">
        <f t="shared" si="2"/>
        <v>0</v>
      </c>
      <c r="K15" s="79">
        <v>500493530</v>
      </c>
      <c r="M15" s="286"/>
      <c r="N15" s="286" t="str">
        <f t="shared" si="4"/>
        <v xml:space="preserve"> -//- эл-ро обогрев</v>
      </c>
      <c r="O15" s="286">
        <f t="shared" si="4"/>
        <v>0</v>
      </c>
      <c r="P15" s="286">
        <f t="shared" si="4"/>
        <v>0.33048</v>
      </c>
      <c r="Q15" s="286">
        <f t="shared" si="4"/>
        <v>1.1080239999999999</v>
      </c>
      <c r="R15" s="518">
        <f t="shared" si="4"/>
        <v>0</v>
      </c>
      <c r="S15" s="83">
        <v>0.2</v>
      </c>
      <c r="T15" s="518">
        <f t="shared" si="5"/>
        <v>0</v>
      </c>
      <c r="U15" s="518">
        <f t="shared" si="5"/>
        <v>0</v>
      </c>
    </row>
    <row r="16" spans="1:21" ht="19.5" customHeight="1" x14ac:dyDescent="0.3">
      <c r="A16" s="113">
        <v>2705</v>
      </c>
      <c r="B16" s="185"/>
      <c r="C16" s="140" t="s">
        <v>372</v>
      </c>
      <c r="D16" s="82">
        <v>0</v>
      </c>
      <c r="E16" s="435">
        <v>0.33048</v>
      </c>
      <c r="F16" s="36">
        <v>1.1080239999999999</v>
      </c>
      <c r="G16" s="651">
        <f>ROUND(D16*E16*F16,2)</f>
        <v>0</v>
      </c>
      <c r="H16" s="153">
        <v>0.2</v>
      </c>
      <c r="I16" s="599">
        <f>ROUND(G16*H16,2)</f>
        <v>0</v>
      </c>
      <c r="J16" s="599">
        <f>G16+I16</f>
        <v>0</v>
      </c>
      <c r="K16" s="79">
        <v>591900525</v>
      </c>
      <c r="M16" s="286"/>
      <c r="N16" s="286" t="str">
        <f>C16</f>
        <v>ИП Покочайло</v>
      </c>
      <c r="O16" s="286">
        <f>D16</f>
        <v>0</v>
      </c>
      <c r="P16" s="286"/>
      <c r="Q16" s="286"/>
      <c r="R16" s="518"/>
      <c r="S16" s="83"/>
      <c r="T16" s="518"/>
      <c r="U16" s="518"/>
    </row>
    <row r="17" spans="1:21" ht="19.5" customHeight="1" x14ac:dyDescent="0.3">
      <c r="A17" s="113" t="s">
        <v>205</v>
      </c>
      <c r="B17" s="185"/>
      <c r="C17" s="140" t="s">
        <v>11</v>
      </c>
      <c r="D17" s="82">
        <v>0</v>
      </c>
      <c r="E17" s="435">
        <v>0.33048</v>
      </c>
      <c r="F17" s="36">
        <v>1.1080239999999999</v>
      </c>
      <c r="G17" s="651">
        <f>ROUND(D17*E17*F17,2)</f>
        <v>0</v>
      </c>
      <c r="H17" s="153">
        <v>0.2</v>
      </c>
      <c r="I17" s="599">
        <f>ROUND(G17*H17,2)</f>
        <v>0</v>
      </c>
      <c r="J17" s="599">
        <f>G17+I17</f>
        <v>0</v>
      </c>
      <c r="K17" s="79">
        <v>591900525</v>
      </c>
      <c r="M17" s="286"/>
      <c r="N17" s="286"/>
      <c r="O17" s="286">
        <f t="shared" ref="O17:R32" si="6">D17</f>
        <v>0</v>
      </c>
      <c r="P17" s="286"/>
      <c r="Q17" s="286"/>
      <c r="R17" s="518"/>
      <c r="S17" s="83"/>
      <c r="T17" s="518"/>
      <c r="U17" s="518"/>
    </row>
    <row r="18" spans="1:21" ht="19.5" customHeight="1" x14ac:dyDescent="0.3">
      <c r="A18" s="113">
        <v>2705</v>
      </c>
      <c r="B18" s="185"/>
      <c r="C18" s="140" t="s">
        <v>165</v>
      </c>
      <c r="D18" s="82">
        <v>481</v>
      </c>
      <c r="E18" s="435">
        <v>0.33048</v>
      </c>
      <c r="F18" s="36">
        <v>1.1080239999999999</v>
      </c>
      <c r="G18" s="651">
        <f t="shared" si="0"/>
        <v>176.13</v>
      </c>
      <c r="H18" s="153">
        <v>0.2</v>
      </c>
      <c r="I18" s="599">
        <f t="shared" si="1"/>
        <v>35.229999999999997</v>
      </c>
      <c r="J18" s="599">
        <f t="shared" si="2"/>
        <v>211.35999999999999</v>
      </c>
      <c r="K18" s="79">
        <v>590993378</v>
      </c>
      <c r="M18" s="286"/>
      <c r="N18" s="286" t="str">
        <f>C18</f>
        <v>ИП Руденко</v>
      </c>
      <c r="O18" s="286">
        <f t="shared" si="6"/>
        <v>481</v>
      </c>
      <c r="P18" s="286">
        <f t="shared" si="6"/>
        <v>0.33048</v>
      </c>
      <c r="Q18" s="286">
        <f t="shared" si="6"/>
        <v>1.1080239999999999</v>
      </c>
      <c r="R18" s="518">
        <f t="shared" si="6"/>
        <v>176.13</v>
      </c>
      <c r="S18" s="83">
        <v>0.2</v>
      </c>
      <c r="T18" s="518">
        <f>I18</f>
        <v>35.229999999999997</v>
      </c>
      <c r="U18" s="518">
        <f>J18</f>
        <v>211.35999999999999</v>
      </c>
    </row>
    <row r="19" spans="1:21" ht="19.5" customHeight="1" x14ac:dyDescent="0.3">
      <c r="A19" s="113">
        <v>2705</v>
      </c>
      <c r="B19" s="185"/>
      <c r="C19" s="140" t="s">
        <v>339</v>
      </c>
      <c r="D19" s="82">
        <v>1426</v>
      </c>
      <c r="E19" s="435">
        <v>0.33048</v>
      </c>
      <c r="F19" s="36">
        <v>1.1080239999999999</v>
      </c>
      <c r="G19" s="651">
        <f t="shared" si="0"/>
        <v>522.16999999999996</v>
      </c>
      <c r="H19" s="153">
        <v>0.2</v>
      </c>
      <c r="I19" s="599">
        <f t="shared" si="1"/>
        <v>104.43</v>
      </c>
      <c r="J19" s="599">
        <f t="shared" si="2"/>
        <v>626.59999999999991</v>
      </c>
      <c r="K19" s="79">
        <v>500201648</v>
      </c>
      <c r="M19" s="286"/>
      <c r="N19" s="286" t="str">
        <f>C19</f>
        <v>ИП Яцковский</v>
      </c>
      <c r="O19" s="286">
        <f t="shared" si="6"/>
        <v>1426</v>
      </c>
      <c r="P19" s="286">
        <f t="shared" si="6"/>
        <v>0.33048</v>
      </c>
      <c r="Q19" s="286">
        <f t="shared" si="6"/>
        <v>1.1080239999999999</v>
      </c>
      <c r="R19" s="518">
        <f t="shared" si="6"/>
        <v>522.16999999999996</v>
      </c>
      <c r="S19" s="83">
        <v>0.2</v>
      </c>
      <c r="T19" s="518">
        <f>I19</f>
        <v>104.43</v>
      </c>
      <c r="U19" s="518">
        <f>J19</f>
        <v>626.59999999999991</v>
      </c>
    </row>
    <row r="20" spans="1:21" s="113" customFormat="1" ht="19.5" customHeight="1" x14ac:dyDescent="0.3">
      <c r="A20" s="113">
        <v>2705</v>
      </c>
      <c r="B20" s="189"/>
      <c r="C20" s="140" t="s">
        <v>180</v>
      </c>
      <c r="D20" s="82">
        <v>77</v>
      </c>
      <c r="E20" s="435">
        <v>0.33048</v>
      </c>
      <c r="F20" s="36">
        <v>1.1080239999999999</v>
      </c>
      <c r="G20" s="651">
        <f t="shared" si="0"/>
        <v>28.2</v>
      </c>
      <c r="H20" s="153">
        <v>0.2</v>
      </c>
      <c r="I20" s="599">
        <f t="shared" si="1"/>
        <v>5.64</v>
      </c>
      <c r="J20" s="599">
        <f t="shared" si="2"/>
        <v>33.839999999999996</v>
      </c>
      <c r="K20" s="670" t="s">
        <v>468</v>
      </c>
      <c r="M20" s="283"/>
      <c r="N20" s="283"/>
      <c r="O20" s="297">
        <f t="shared" si="6"/>
        <v>77</v>
      </c>
      <c r="P20" s="283"/>
      <c r="Q20" s="24"/>
      <c r="R20" s="517"/>
      <c r="S20" s="83"/>
      <c r="T20" s="517"/>
      <c r="U20" s="517"/>
    </row>
    <row r="21" spans="1:21" s="113" customFormat="1" ht="19.5" customHeight="1" x14ac:dyDescent="0.3">
      <c r="A21" s="113">
        <v>2705</v>
      </c>
      <c r="B21" s="189"/>
      <c r="C21" s="140" t="s">
        <v>523</v>
      </c>
      <c r="D21" s="82">
        <v>9</v>
      </c>
      <c r="E21" s="435">
        <v>0.33048</v>
      </c>
      <c r="F21" s="36">
        <v>1.1080239999999999</v>
      </c>
      <c r="G21" s="651">
        <f t="shared" si="0"/>
        <v>3.3</v>
      </c>
      <c r="H21" s="153">
        <v>0.2</v>
      </c>
      <c r="I21" s="599">
        <f t="shared" si="1"/>
        <v>0.66</v>
      </c>
      <c r="J21" s="599">
        <f t="shared" si="2"/>
        <v>3.96</v>
      </c>
      <c r="K21" s="239">
        <v>591224488</v>
      </c>
      <c r="M21" s="283"/>
      <c r="N21" s="283"/>
      <c r="O21" s="297">
        <f t="shared" si="6"/>
        <v>9</v>
      </c>
      <c r="P21" s="297"/>
      <c r="Q21" s="24"/>
      <c r="R21" s="517"/>
      <c r="S21" s="83"/>
      <c r="T21" s="517"/>
      <c r="U21" s="517"/>
    </row>
    <row r="22" spans="1:21" ht="35.25" customHeight="1" x14ac:dyDescent="0.3">
      <c r="A22" s="113">
        <v>2705</v>
      </c>
      <c r="B22" s="247"/>
      <c r="C22" s="653" t="s">
        <v>451</v>
      </c>
      <c r="D22" s="234">
        <v>0</v>
      </c>
      <c r="E22" s="435">
        <v>0.33048</v>
      </c>
      <c r="F22" s="36">
        <v>1.1080239999999999</v>
      </c>
      <c r="G22" s="651">
        <f t="shared" si="0"/>
        <v>0</v>
      </c>
      <c r="H22" s="345">
        <v>0.2</v>
      </c>
      <c r="I22" s="599">
        <f t="shared" si="1"/>
        <v>0</v>
      </c>
      <c r="J22" s="599">
        <f t="shared" si="2"/>
        <v>0</v>
      </c>
      <c r="K22" s="652">
        <v>590664834</v>
      </c>
      <c r="M22" s="286"/>
      <c r="N22" s="286" t="str">
        <f>C22</f>
        <v>ИП Гнидко (Савана сервис)</v>
      </c>
      <c r="O22" s="286">
        <f t="shared" si="6"/>
        <v>0</v>
      </c>
      <c r="P22" s="286">
        <f t="shared" si="6"/>
        <v>0.33048</v>
      </c>
      <c r="Q22" s="286">
        <f t="shared" si="6"/>
        <v>1.1080239999999999</v>
      </c>
      <c r="R22" s="518">
        <f t="shared" si="6"/>
        <v>0</v>
      </c>
      <c r="S22" s="83">
        <v>0.2</v>
      </c>
      <c r="T22" s="518">
        <f>I22</f>
        <v>0</v>
      </c>
      <c r="U22" s="518">
        <f>J22</f>
        <v>0</v>
      </c>
    </row>
    <row r="23" spans="1:21" ht="19.5" customHeight="1" x14ac:dyDescent="0.3">
      <c r="A23" s="113">
        <v>1002</v>
      </c>
      <c r="B23" s="516" t="s">
        <v>575</v>
      </c>
      <c r="C23" s="668" t="s">
        <v>457</v>
      </c>
      <c r="D23" s="377">
        <v>0</v>
      </c>
      <c r="E23" s="435">
        <v>0.24295</v>
      </c>
      <c r="F23" s="36">
        <v>1.1080239999999999</v>
      </c>
      <c r="G23" s="651">
        <f t="shared" si="0"/>
        <v>0</v>
      </c>
      <c r="H23" s="345">
        <v>0.2</v>
      </c>
      <c r="I23" s="599">
        <f t="shared" si="1"/>
        <v>0</v>
      </c>
      <c r="J23" s="599">
        <f t="shared" si="2"/>
        <v>0</v>
      </c>
      <c r="K23" s="671">
        <v>590646236</v>
      </c>
      <c r="M23" s="286"/>
      <c r="N23" s="286" t="str">
        <f>C23</f>
        <v>Фундамент-строй</v>
      </c>
      <c r="O23" s="286">
        <f t="shared" si="6"/>
        <v>0</v>
      </c>
      <c r="P23" s="286">
        <f t="shared" si="6"/>
        <v>0.24295</v>
      </c>
      <c r="Q23" s="286">
        <f t="shared" si="6"/>
        <v>1.1080239999999999</v>
      </c>
      <c r="R23" s="518">
        <f t="shared" si="6"/>
        <v>0</v>
      </c>
      <c r="S23" s="83">
        <v>0.2</v>
      </c>
      <c r="T23" s="518">
        <f>I23</f>
        <v>0</v>
      </c>
      <c r="U23" s="518">
        <f>J23</f>
        <v>0</v>
      </c>
    </row>
    <row r="24" spans="1:21" ht="19.5" customHeight="1" x14ac:dyDescent="0.3">
      <c r="A24" s="113">
        <v>1002</v>
      </c>
      <c r="B24" s="516" t="s">
        <v>464</v>
      </c>
      <c r="C24" s="668" t="s">
        <v>457</v>
      </c>
      <c r="D24" s="377">
        <v>53</v>
      </c>
      <c r="E24" s="435">
        <v>0.24295</v>
      </c>
      <c r="F24" s="36">
        <v>1.1080239999999999</v>
      </c>
      <c r="G24" s="651">
        <f t="shared" si="0"/>
        <v>14.27</v>
      </c>
      <c r="H24" s="345">
        <v>0.2</v>
      </c>
      <c r="I24" s="599">
        <f t="shared" si="1"/>
        <v>2.85</v>
      </c>
      <c r="J24" s="599">
        <f t="shared" si="2"/>
        <v>17.12</v>
      </c>
      <c r="K24" s="671">
        <v>590646236</v>
      </c>
      <c r="M24" s="286"/>
      <c r="N24" s="286"/>
      <c r="O24" s="286">
        <f t="shared" si="6"/>
        <v>53</v>
      </c>
      <c r="P24" s="286"/>
      <c r="Q24" s="286"/>
      <c r="R24" s="518"/>
      <c r="S24" s="83"/>
      <c r="T24" s="518"/>
      <c r="U24" s="518"/>
    </row>
    <row r="25" spans="1:21" ht="19.5" customHeight="1" x14ac:dyDescent="0.3">
      <c r="A25" s="113">
        <v>1002</v>
      </c>
      <c r="B25" s="516" t="s">
        <v>576</v>
      </c>
      <c r="C25" s="668" t="s">
        <v>457</v>
      </c>
      <c r="D25" s="377">
        <v>53</v>
      </c>
      <c r="E25" s="435">
        <v>0.24295</v>
      </c>
      <c r="F25" s="36">
        <v>1.1080239999999999</v>
      </c>
      <c r="G25" s="651">
        <f t="shared" si="0"/>
        <v>14.27</v>
      </c>
      <c r="H25" s="345">
        <v>0.2</v>
      </c>
      <c r="I25" s="599">
        <f t="shared" si="1"/>
        <v>2.85</v>
      </c>
      <c r="J25" s="599">
        <f t="shared" si="2"/>
        <v>17.12</v>
      </c>
      <c r="K25" s="671">
        <v>590646236</v>
      </c>
      <c r="M25" s="286"/>
      <c r="N25" s="286"/>
      <c r="O25" s="286">
        <f t="shared" si="6"/>
        <v>53</v>
      </c>
      <c r="P25" s="286"/>
      <c r="Q25" s="286"/>
      <c r="R25" s="518"/>
      <c r="S25" s="83"/>
      <c r="T25" s="518"/>
      <c r="U25" s="518"/>
    </row>
    <row r="26" spans="1:21" ht="19.5" customHeight="1" x14ac:dyDescent="0.3">
      <c r="A26" s="113">
        <v>1002</v>
      </c>
      <c r="B26" s="516" t="s">
        <v>465</v>
      </c>
      <c r="C26" s="668" t="s">
        <v>457</v>
      </c>
      <c r="D26" s="377">
        <v>0</v>
      </c>
      <c r="E26" s="435">
        <v>0.24295</v>
      </c>
      <c r="F26" s="36">
        <v>1.1080239999999999</v>
      </c>
      <c r="G26" s="651">
        <f t="shared" si="0"/>
        <v>0</v>
      </c>
      <c r="H26" s="345">
        <v>0.2</v>
      </c>
      <c r="I26" s="599">
        <f t="shared" si="1"/>
        <v>0</v>
      </c>
      <c r="J26" s="599">
        <f t="shared" si="2"/>
        <v>0</v>
      </c>
      <c r="K26" s="671">
        <v>590646236</v>
      </c>
      <c r="M26" s="286"/>
      <c r="N26" s="286"/>
      <c r="O26" s="286">
        <f t="shared" si="6"/>
        <v>0</v>
      </c>
      <c r="P26" s="286"/>
      <c r="Q26" s="286"/>
      <c r="R26" s="518"/>
      <c r="S26" s="83"/>
      <c r="T26" s="518"/>
      <c r="U26" s="518"/>
    </row>
    <row r="27" spans="1:21" ht="19.5" customHeight="1" x14ac:dyDescent="0.3">
      <c r="A27" s="113">
        <v>2705</v>
      </c>
      <c r="B27" s="189"/>
      <c r="C27" s="140" t="s">
        <v>246</v>
      </c>
      <c r="D27" s="82">
        <v>45</v>
      </c>
      <c r="E27" s="435">
        <v>0.33048</v>
      </c>
      <c r="F27" s="36">
        <v>1.1080239999999999</v>
      </c>
      <c r="G27" s="651">
        <f t="shared" si="0"/>
        <v>16.48</v>
      </c>
      <c r="H27" s="345">
        <v>0.2</v>
      </c>
      <c r="I27" s="599">
        <f t="shared" si="1"/>
        <v>3.3</v>
      </c>
      <c r="J27" s="599">
        <f t="shared" si="2"/>
        <v>19.78</v>
      </c>
      <c r="K27" s="670">
        <v>590626153</v>
      </c>
      <c r="M27" s="286"/>
      <c r="N27" s="286"/>
      <c r="O27" s="286">
        <f t="shared" si="6"/>
        <v>45</v>
      </c>
      <c r="P27" s="286"/>
      <c r="Q27" s="286"/>
      <c r="R27" s="518"/>
      <c r="S27" s="83"/>
      <c r="T27" s="518"/>
      <c r="U27" s="518"/>
    </row>
    <row r="28" spans="1:21" ht="19.5" customHeight="1" x14ac:dyDescent="0.3">
      <c r="A28" s="113">
        <v>2705</v>
      </c>
      <c r="B28" s="189"/>
      <c r="C28" s="140" t="s">
        <v>244</v>
      </c>
      <c r="D28" s="82">
        <v>2977</v>
      </c>
      <c r="E28" s="435">
        <v>0.33048</v>
      </c>
      <c r="F28" s="36">
        <v>1.1080239999999999</v>
      </c>
      <c r="G28" s="651">
        <f t="shared" si="0"/>
        <v>1090.1199999999999</v>
      </c>
      <c r="H28" s="345">
        <v>0.2</v>
      </c>
      <c r="I28" s="599">
        <f t="shared" si="1"/>
        <v>218.02</v>
      </c>
      <c r="J28" s="599">
        <f t="shared" si="2"/>
        <v>1308.1399999999999</v>
      </c>
      <c r="K28" s="652">
        <v>591019617</v>
      </c>
      <c r="M28" s="286"/>
      <c r="N28" s="286" t="str">
        <f>C28</f>
        <v>Правильный свет</v>
      </c>
      <c r="O28" s="286">
        <f t="shared" si="6"/>
        <v>2977</v>
      </c>
      <c r="P28" s="286">
        <f t="shared" si="6"/>
        <v>0.33048</v>
      </c>
      <c r="Q28" s="286">
        <f t="shared" si="6"/>
        <v>1.1080239999999999</v>
      </c>
      <c r="R28" s="518">
        <f t="shared" si="6"/>
        <v>1090.1199999999999</v>
      </c>
      <c r="S28" s="83">
        <v>0.2</v>
      </c>
      <c r="T28" s="518">
        <f>I28</f>
        <v>218.02</v>
      </c>
      <c r="U28" s="518">
        <f>J28</f>
        <v>1308.1399999999999</v>
      </c>
    </row>
    <row r="29" spans="1:21" ht="19.5" customHeight="1" x14ac:dyDescent="0.3">
      <c r="A29" s="113">
        <v>2705</v>
      </c>
      <c r="B29" s="189"/>
      <c r="C29" s="143" t="s">
        <v>269</v>
      </c>
      <c r="D29" s="234">
        <v>0</v>
      </c>
      <c r="E29" s="435">
        <v>0.33048</v>
      </c>
      <c r="F29" s="36">
        <v>1.1080239999999999</v>
      </c>
      <c r="G29" s="651">
        <f t="shared" si="0"/>
        <v>0</v>
      </c>
      <c r="H29" s="345">
        <v>0.2</v>
      </c>
      <c r="I29" s="599">
        <f t="shared" si="1"/>
        <v>0</v>
      </c>
      <c r="J29" s="599">
        <f t="shared" si="2"/>
        <v>0</v>
      </c>
      <c r="K29" s="79">
        <v>100930305</v>
      </c>
      <c r="M29" s="286"/>
      <c r="N29" s="286" t="str">
        <f>C29</f>
        <v>БигБорд</v>
      </c>
      <c r="O29" s="286">
        <f t="shared" si="6"/>
        <v>0</v>
      </c>
      <c r="P29" s="286">
        <f t="shared" si="6"/>
        <v>0.33048</v>
      </c>
      <c r="Q29" s="286">
        <f t="shared" si="6"/>
        <v>1.1080239999999999</v>
      </c>
      <c r="R29" s="518">
        <f t="shared" si="6"/>
        <v>0</v>
      </c>
      <c r="S29" s="286">
        <f>H29</f>
        <v>0.2</v>
      </c>
      <c r="T29" s="518">
        <f>I29</f>
        <v>0</v>
      </c>
      <c r="U29" s="518">
        <f>J29</f>
        <v>0</v>
      </c>
    </row>
    <row r="30" spans="1:21" ht="19.5" customHeight="1" x14ac:dyDescent="0.3">
      <c r="A30" s="113">
        <v>2705</v>
      </c>
      <c r="B30" s="189"/>
      <c r="C30" s="143" t="s">
        <v>345</v>
      </c>
      <c r="D30" s="234">
        <v>0</v>
      </c>
      <c r="E30" s="435">
        <v>0.33048</v>
      </c>
      <c r="F30" s="36">
        <v>1.1080239999999999</v>
      </c>
      <c r="G30" s="651">
        <f t="shared" si="0"/>
        <v>0</v>
      </c>
      <c r="H30" s="345">
        <v>0.2</v>
      </c>
      <c r="I30" s="599">
        <f t="shared" si="1"/>
        <v>0</v>
      </c>
      <c r="J30" s="599">
        <f t="shared" si="2"/>
        <v>0</v>
      </c>
      <c r="K30" s="79">
        <v>500272782</v>
      </c>
      <c r="M30" s="286"/>
      <c r="N30" s="286"/>
      <c r="O30" s="286">
        <f t="shared" si="6"/>
        <v>0</v>
      </c>
      <c r="P30" s="286"/>
      <c r="Q30" s="286"/>
      <c r="R30" s="518"/>
      <c r="S30" s="286"/>
      <c r="T30" s="518"/>
      <c r="U30" s="518"/>
    </row>
    <row r="31" spans="1:21" ht="19.5" customHeight="1" x14ac:dyDescent="0.3">
      <c r="A31" s="113" t="s">
        <v>202</v>
      </c>
      <c r="B31" s="189"/>
      <c r="C31" s="140" t="s">
        <v>44</v>
      </c>
      <c r="D31" s="82">
        <v>0</v>
      </c>
      <c r="E31" s="435">
        <v>0.33048</v>
      </c>
      <c r="F31" s="36">
        <v>1.1080239999999999</v>
      </c>
      <c r="G31" s="651">
        <f t="shared" si="0"/>
        <v>0</v>
      </c>
      <c r="H31" s="153">
        <v>0.2</v>
      </c>
      <c r="I31" s="599">
        <f t="shared" si="1"/>
        <v>0</v>
      </c>
      <c r="J31" s="599">
        <f t="shared" si="2"/>
        <v>0</v>
      </c>
      <c r="K31" s="79">
        <v>500272782</v>
      </c>
      <c r="M31" s="286"/>
      <c r="N31" s="286"/>
      <c r="O31" s="286">
        <f t="shared" si="6"/>
        <v>0</v>
      </c>
      <c r="P31" s="286"/>
      <c r="Q31" s="286"/>
      <c r="R31" s="518"/>
      <c r="S31" s="286"/>
      <c r="T31" s="518"/>
      <c r="U31" s="518"/>
    </row>
    <row r="32" spans="1:21" ht="19.5" customHeight="1" x14ac:dyDescent="0.3">
      <c r="A32" s="672">
        <v>2705</v>
      </c>
      <c r="B32" s="189"/>
      <c r="C32" s="669" t="s">
        <v>458</v>
      </c>
      <c r="D32" s="234">
        <v>4454</v>
      </c>
      <c r="E32" s="435">
        <v>0.33048</v>
      </c>
      <c r="F32" s="36">
        <v>1.1080239999999999</v>
      </c>
      <c r="G32" s="651">
        <f>ROUND(D32*E32*F32,2)</f>
        <v>1630.96</v>
      </c>
      <c r="H32" s="345">
        <v>0.2</v>
      </c>
      <c r="I32" s="599">
        <f>ROUND(G32*H32,2)</f>
        <v>326.19</v>
      </c>
      <c r="J32" s="599">
        <f>G32+I32</f>
        <v>1957.15</v>
      </c>
      <c r="K32" s="239">
        <v>500013483</v>
      </c>
      <c r="M32" s="286"/>
      <c r="N32" s="286"/>
      <c r="O32" s="286">
        <f t="shared" si="6"/>
        <v>4454</v>
      </c>
      <c r="P32" s="286"/>
      <c r="Q32" s="286"/>
      <c r="R32" s="518"/>
      <c r="S32" s="286"/>
      <c r="T32" s="518"/>
      <c r="U32" s="518"/>
    </row>
    <row r="33" spans="1:21" ht="19.5" customHeight="1" x14ac:dyDescent="0.3">
      <c r="A33" s="113">
        <v>2705</v>
      </c>
      <c r="B33" s="530"/>
      <c r="C33" s="143" t="s">
        <v>99</v>
      </c>
      <c r="D33" s="234">
        <v>232</v>
      </c>
      <c r="E33" s="435">
        <v>0.33048</v>
      </c>
      <c r="F33" s="36">
        <v>1.1080239999999999</v>
      </c>
      <c r="G33" s="651">
        <f t="shared" si="0"/>
        <v>84.95</v>
      </c>
      <c r="H33" s="345">
        <v>0.2</v>
      </c>
      <c r="I33" s="599">
        <f t="shared" si="1"/>
        <v>16.989999999999998</v>
      </c>
      <c r="J33" s="599">
        <f t="shared" si="2"/>
        <v>101.94</v>
      </c>
      <c r="K33" s="79">
        <v>190268488</v>
      </c>
      <c r="M33" s="434"/>
      <c r="N33" s="286"/>
      <c r="O33" s="286">
        <f>D33</f>
        <v>232</v>
      </c>
      <c r="P33" s="286"/>
      <c r="Q33" s="286"/>
      <c r="R33" s="518"/>
      <c r="S33" s="286"/>
      <c r="T33" s="518"/>
      <c r="U33" s="518"/>
    </row>
    <row r="34" spans="1:21" ht="19.5" customHeight="1" x14ac:dyDescent="0.3">
      <c r="A34" s="113">
        <v>2705</v>
      </c>
      <c r="B34" s="530"/>
      <c r="C34" s="143" t="s">
        <v>301</v>
      </c>
      <c r="D34" s="234">
        <v>0</v>
      </c>
      <c r="E34" s="435">
        <v>0.33048</v>
      </c>
      <c r="F34" s="36">
        <v>1.1080239999999999</v>
      </c>
      <c r="G34" s="651">
        <f t="shared" si="0"/>
        <v>0</v>
      </c>
      <c r="H34" s="345">
        <v>0.2</v>
      </c>
      <c r="I34" s="599">
        <f t="shared" si="1"/>
        <v>0</v>
      </c>
      <c r="J34" s="599">
        <f t="shared" si="2"/>
        <v>0</v>
      </c>
      <c r="K34" s="670" t="s">
        <v>469</v>
      </c>
      <c r="M34" s="286"/>
      <c r="N34" s="286"/>
      <c r="O34" s="286">
        <f>D34</f>
        <v>0</v>
      </c>
      <c r="P34" s="286"/>
      <c r="Q34" s="286"/>
      <c r="R34" s="518"/>
      <c r="S34" s="286"/>
      <c r="T34" s="518"/>
      <c r="U34" s="518"/>
    </row>
    <row r="35" spans="1:21" s="113" customFormat="1" ht="19.5" customHeight="1" thickBot="1" x14ac:dyDescent="0.35">
      <c r="A35" s="113">
        <v>2705</v>
      </c>
      <c r="B35" s="530"/>
      <c r="C35" s="143" t="s">
        <v>302</v>
      </c>
      <c r="D35" s="234">
        <v>489</v>
      </c>
      <c r="E35" s="435">
        <v>0.33048</v>
      </c>
      <c r="F35" s="36">
        <v>1.1080239999999999</v>
      </c>
      <c r="G35" s="651">
        <f t="shared" si="0"/>
        <v>179.06</v>
      </c>
      <c r="H35" s="345">
        <v>0.2</v>
      </c>
      <c r="I35" s="599">
        <f t="shared" si="1"/>
        <v>35.81</v>
      </c>
      <c r="J35" s="599">
        <f t="shared" si="2"/>
        <v>214.87</v>
      </c>
      <c r="K35" s="239">
        <v>590030287</v>
      </c>
      <c r="M35" s="283"/>
      <c r="N35" s="283" t="str">
        <f>C35</f>
        <v>ИП Хильмон</v>
      </c>
      <c r="O35" s="283">
        <f>D35</f>
        <v>489</v>
      </c>
      <c r="P35" s="283">
        <f t="shared" ref="P35:U35" si="7">E35</f>
        <v>0.33048</v>
      </c>
      <c r="Q35" s="283">
        <f t="shared" si="7"/>
        <v>1.1080239999999999</v>
      </c>
      <c r="R35" s="517">
        <f t="shared" si="7"/>
        <v>179.06</v>
      </c>
      <c r="S35" s="283">
        <f t="shared" si="7"/>
        <v>0.2</v>
      </c>
      <c r="T35" s="517">
        <f t="shared" si="7"/>
        <v>35.81</v>
      </c>
      <c r="U35" s="517">
        <f t="shared" si="7"/>
        <v>214.87</v>
      </c>
    </row>
    <row r="36" spans="1:21" ht="20.25" customHeight="1" thickBot="1" x14ac:dyDescent="0.35">
      <c r="A36" s="113"/>
      <c r="B36" s="195"/>
      <c r="C36" s="601" t="s">
        <v>56</v>
      </c>
      <c r="D36" s="602">
        <f>SUM(D5:D35)</f>
        <v>10596</v>
      </c>
      <c r="E36" s="197"/>
      <c r="F36" s="36"/>
      <c r="G36" s="603">
        <f>SUM(G5:G35)</f>
        <v>3864.14</v>
      </c>
      <c r="H36" s="604"/>
      <c r="I36" s="603">
        <f>SUM(I5:I35)</f>
        <v>772.81</v>
      </c>
      <c r="J36" s="605">
        <f>SUM(J5:J35)</f>
        <v>4636.9499999999989</v>
      </c>
      <c r="K36" s="79"/>
      <c r="M36" s="286"/>
      <c r="N36" s="286"/>
      <c r="O36" s="298"/>
      <c r="P36" s="286"/>
      <c r="Q36" s="24"/>
      <c r="R36" s="518"/>
      <c r="S36" s="83"/>
      <c r="T36" s="518"/>
      <c r="U36" s="518"/>
    </row>
    <row r="37" spans="1:21" ht="19.5" customHeight="1" x14ac:dyDescent="0.3">
      <c r="A37" s="175">
        <v>2705</v>
      </c>
      <c r="B37" s="183">
        <v>6</v>
      </c>
      <c r="C37" s="193" t="s">
        <v>126</v>
      </c>
      <c r="D37" s="152">
        <v>34</v>
      </c>
      <c r="E37" s="435">
        <v>0.33048</v>
      </c>
      <c r="F37" s="36">
        <v>1.1080239999999999</v>
      </c>
      <c r="G37" s="651">
        <f>ROUND(D37*E37*F37,2)</f>
        <v>12.45</v>
      </c>
      <c r="H37" s="253">
        <v>0.2</v>
      </c>
      <c r="I37" s="472">
        <f>ROUND(G37*H37,2)</f>
        <v>2.4900000000000002</v>
      </c>
      <c r="J37" s="472">
        <f>G37+I37</f>
        <v>14.94</v>
      </c>
      <c r="K37" s="79">
        <v>590997332</v>
      </c>
      <c r="M37" s="286"/>
      <c r="N37" s="286" t="str">
        <f t="shared" ref="N37:U42" si="8">C37</f>
        <v>"Сити Борд"</v>
      </c>
      <c r="O37" s="286">
        <f t="shared" si="8"/>
        <v>34</v>
      </c>
      <c r="P37" s="286">
        <f t="shared" si="8"/>
        <v>0.33048</v>
      </c>
      <c r="Q37" s="286">
        <f t="shared" si="8"/>
        <v>1.1080239999999999</v>
      </c>
      <c r="R37" s="518">
        <f t="shared" si="8"/>
        <v>12.45</v>
      </c>
      <c r="S37" s="83">
        <v>0.2</v>
      </c>
      <c r="T37" s="518">
        <f t="shared" si="8"/>
        <v>2.4900000000000002</v>
      </c>
      <c r="U37" s="518">
        <f t="shared" si="8"/>
        <v>14.94</v>
      </c>
    </row>
    <row r="38" spans="1:21" ht="18.75" x14ac:dyDescent="0.3">
      <c r="A38" s="116">
        <v>2705</v>
      </c>
      <c r="B38" s="606"/>
      <c r="C38" s="140" t="s">
        <v>39</v>
      </c>
      <c r="D38" s="82">
        <v>92</v>
      </c>
      <c r="E38" s="435">
        <v>0.33048</v>
      </c>
      <c r="F38" s="36">
        <v>1.1080239999999999</v>
      </c>
      <c r="G38" s="651">
        <f t="shared" ref="G38:G68" si="9">ROUND(D38*E38*F38,2)</f>
        <v>33.69</v>
      </c>
      <c r="H38" s="153">
        <v>0.2</v>
      </c>
      <c r="I38" s="472">
        <f t="shared" ref="I38:I68" si="10">ROUND(G38*H38,2)</f>
        <v>6.74</v>
      </c>
      <c r="J38" s="472">
        <f t="shared" ref="J38:J68" si="11">G38+I38</f>
        <v>40.43</v>
      </c>
      <c r="K38" s="79">
        <v>500253573</v>
      </c>
      <c r="M38" s="286"/>
      <c r="N38" s="283" t="str">
        <f t="shared" si="8"/>
        <v>Офис ОДО"Корр"</v>
      </c>
      <c r="O38" s="82">
        <f>D38</f>
        <v>92</v>
      </c>
      <c r="P38" s="435">
        <v>0.30858000000000002</v>
      </c>
      <c r="Q38" s="24">
        <v>0.97062599999999999</v>
      </c>
      <c r="R38" s="654">
        <f>O38*P38*Q38</f>
        <v>27.555450939360004</v>
      </c>
      <c r="S38" s="83">
        <v>0.2</v>
      </c>
      <c r="T38" s="528">
        <f>R38*S38</f>
        <v>5.5110901878720009</v>
      </c>
      <c r="U38" s="528">
        <f>R38+T38</f>
        <v>33.066541127232007</v>
      </c>
    </row>
    <row r="39" spans="1:21" ht="23.25" customHeight="1" x14ac:dyDescent="0.3">
      <c r="A39" s="116">
        <v>902</v>
      </c>
      <c r="B39" s="205"/>
      <c r="C39" s="140" t="s">
        <v>524</v>
      </c>
      <c r="D39" s="82">
        <v>708</v>
      </c>
      <c r="E39" s="435">
        <v>0.24295</v>
      </c>
      <c r="F39" s="36">
        <v>1.1080239999999999</v>
      </c>
      <c r="G39" s="651">
        <f t="shared" si="9"/>
        <v>190.59</v>
      </c>
      <c r="H39" s="153">
        <v>0.2</v>
      </c>
      <c r="I39" s="472">
        <f t="shared" si="10"/>
        <v>38.119999999999997</v>
      </c>
      <c r="J39" s="472">
        <f t="shared" si="11"/>
        <v>228.71</v>
      </c>
      <c r="K39" s="670" t="s">
        <v>470</v>
      </c>
      <c r="L39" s="140" t="s">
        <v>215</v>
      </c>
      <c r="M39" s="286"/>
      <c r="N39" s="284" t="str">
        <f t="shared" si="8"/>
        <v>ООО "Друзья"</v>
      </c>
      <c r="O39" s="284">
        <f t="shared" si="8"/>
        <v>708</v>
      </c>
      <c r="P39" s="284">
        <f t="shared" si="8"/>
        <v>0.24295</v>
      </c>
      <c r="Q39" s="371">
        <f>F39</f>
        <v>1.1080239999999999</v>
      </c>
      <c r="R39" s="517">
        <f t="shared" si="8"/>
        <v>190.59</v>
      </c>
      <c r="S39" s="83">
        <v>0.2</v>
      </c>
      <c r="T39" s="517">
        <f t="shared" si="8"/>
        <v>38.119999999999997</v>
      </c>
      <c r="U39" s="517">
        <f t="shared" si="8"/>
        <v>228.71</v>
      </c>
    </row>
    <row r="40" spans="1:21" ht="18.75" x14ac:dyDescent="0.3">
      <c r="A40" s="116">
        <v>2705</v>
      </c>
      <c r="B40" s="205"/>
      <c r="C40" s="140" t="s">
        <v>161</v>
      </c>
      <c r="D40" s="82">
        <v>65</v>
      </c>
      <c r="E40" s="435">
        <v>0.33048</v>
      </c>
      <c r="F40" s="36">
        <v>1.1080239999999999</v>
      </c>
      <c r="G40" s="651">
        <f t="shared" si="9"/>
        <v>23.8</v>
      </c>
      <c r="H40" s="153">
        <v>0.2</v>
      </c>
      <c r="I40" s="472">
        <f t="shared" si="10"/>
        <v>4.76</v>
      </c>
      <c r="J40" s="472">
        <f t="shared" si="11"/>
        <v>28.560000000000002</v>
      </c>
      <c r="K40" s="79">
        <v>591007865</v>
      </c>
      <c r="M40" s="286"/>
      <c r="N40" s="283" t="str">
        <f t="shared" si="8"/>
        <v>ООО"АКТИП"</v>
      </c>
      <c r="O40" s="283">
        <f t="shared" si="8"/>
        <v>65</v>
      </c>
      <c r="P40" s="283">
        <f t="shared" si="8"/>
        <v>0.33048</v>
      </c>
      <c r="Q40" s="283">
        <f t="shared" si="8"/>
        <v>1.1080239999999999</v>
      </c>
      <c r="R40" s="517">
        <f t="shared" si="8"/>
        <v>23.8</v>
      </c>
      <c r="S40" s="83">
        <v>0.2</v>
      </c>
      <c r="T40" s="517">
        <f t="shared" si="8"/>
        <v>4.76</v>
      </c>
      <c r="U40" s="517">
        <f t="shared" si="8"/>
        <v>28.560000000000002</v>
      </c>
    </row>
    <row r="41" spans="1:21" ht="19.5" customHeight="1" x14ac:dyDescent="0.3">
      <c r="A41" s="116">
        <v>1002</v>
      </c>
      <c r="B41" s="185"/>
      <c r="C41" s="140" t="s">
        <v>391</v>
      </c>
      <c r="D41" s="82">
        <v>0</v>
      </c>
      <c r="E41" s="435">
        <v>0.24295</v>
      </c>
      <c r="F41" s="36">
        <v>1.1080239999999999</v>
      </c>
      <c r="G41" s="651">
        <f t="shared" si="9"/>
        <v>0</v>
      </c>
      <c r="H41" s="153">
        <v>0.2</v>
      </c>
      <c r="I41" s="472">
        <f t="shared" si="10"/>
        <v>0</v>
      </c>
      <c r="J41" s="472">
        <f t="shared" si="11"/>
        <v>0</v>
      </c>
      <c r="K41" s="79">
        <v>590662275</v>
      </c>
      <c r="M41" s="286"/>
      <c r="N41" s="286" t="str">
        <f t="shared" si="8"/>
        <v>"Кватрастрой"</v>
      </c>
      <c r="O41" s="286">
        <f t="shared" si="8"/>
        <v>0</v>
      </c>
      <c r="P41" s="286">
        <f>E41</f>
        <v>0.24295</v>
      </c>
      <c r="Q41" s="286">
        <f t="shared" si="8"/>
        <v>1.1080239999999999</v>
      </c>
      <c r="R41" s="518">
        <f t="shared" si="8"/>
        <v>0</v>
      </c>
      <c r="S41" s="286">
        <f>H41</f>
        <v>0.2</v>
      </c>
      <c r="T41" s="518">
        <f t="shared" si="8"/>
        <v>0</v>
      </c>
      <c r="U41" s="518">
        <f t="shared" si="8"/>
        <v>0</v>
      </c>
    </row>
    <row r="42" spans="1:21" ht="18.75" x14ac:dyDescent="0.3">
      <c r="A42" s="116">
        <v>2705</v>
      </c>
      <c r="B42" s="205"/>
      <c r="C42" s="140" t="s">
        <v>233</v>
      </c>
      <c r="D42" s="82">
        <v>61</v>
      </c>
      <c r="E42" s="435">
        <v>0.33048</v>
      </c>
      <c r="F42" s="36">
        <v>1.1080239999999999</v>
      </c>
      <c r="G42" s="651">
        <f t="shared" si="9"/>
        <v>22.34</v>
      </c>
      <c r="H42" s="153">
        <v>0.2</v>
      </c>
      <c r="I42" s="472">
        <f t="shared" si="10"/>
        <v>4.47</v>
      </c>
      <c r="J42" s="472">
        <f t="shared" si="11"/>
        <v>26.81</v>
      </c>
      <c r="K42" s="79">
        <v>590893040</v>
      </c>
      <c r="M42" s="286"/>
      <c r="N42" s="283"/>
      <c r="O42" s="283">
        <f t="shared" si="8"/>
        <v>61</v>
      </c>
      <c r="P42" s="283"/>
      <c r="Q42" s="283"/>
      <c r="R42" s="517"/>
      <c r="S42" s="83"/>
      <c r="T42" s="517"/>
      <c r="U42" s="517"/>
    </row>
    <row r="43" spans="1:21" ht="18" customHeight="1" x14ac:dyDescent="0.3">
      <c r="A43" s="672">
        <v>1002</v>
      </c>
      <c r="B43" s="530"/>
      <c r="C43" s="140" t="s">
        <v>406</v>
      </c>
      <c r="D43" s="82">
        <v>0</v>
      </c>
      <c r="E43" s="435">
        <v>0.24295</v>
      </c>
      <c r="F43" s="36">
        <v>1.1080239999999999</v>
      </c>
      <c r="G43" s="651">
        <f t="shared" si="9"/>
        <v>0</v>
      </c>
      <c r="H43" s="153">
        <v>0.2</v>
      </c>
      <c r="I43" s="472">
        <f t="shared" si="10"/>
        <v>0</v>
      </c>
      <c r="J43" s="472">
        <f t="shared" si="11"/>
        <v>0</v>
      </c>
      <c r="K43" s="79">
        <v>691837115</v>
      </c>
      <c r="M43" s="286"/>
      <c r="N43" s="283" t="str">
        <f>C43</f>
        <v>ООО Ойкодомос</v>
      </c>
      <c r="O43" s="283">
        <f>D43</f>
        <v>0</v>
      </c>
      <c r="P43" s="283">
        <f t="shared" ref="P43:U43" si="12">E43</f>
        <v>0.24295</v>
      </c>
      <c r="Q43" s="283">
        <f t="shared" si="12"/>
        <v>1.1080239999999999</v>
      </c>
      <c r="R43" s="283">
        <f t="shared" si="12"/>
        <v>0</v>
      </c>
      <c r="S43" s="283">
        <f t="shared" si="12"/>
        <v>0.2</v>
      </c>
      <c r="T43" s="283">
        <f t="shared" si="12"/>
        <v>0</v>
      </c>
      <c r="U43" s="283">
        <f t="shared" si="12"/>
        <v>0</v>
      </c>
    </row>
    <row r="44" spans="1:21" ht="18.75" x14ac:dyDescent="0.3">
      <c r="A44" s="116">
        <v>2705</v>
      </c>
      <c r="B44" s="205"/>
      <c r="C44" s="140" t="s">
        <v>181</v>
      </c>
      <c r="D44" s="82">
        <v>749</v>
      </c>
      <c r="E44" s="435">
        <v>0.33048</v>
      </c>
      <c r="F44" s="36">
        <v>1.1080239999999999</v>
      </c>
      <c r="G44" s="651">
        <f t="shared" si="9"/>
        <v>274.27</v>
      </c>
      <c r="H44" s="153">
        <v>0.2</v>
      </c>
      <c r="I44" s="472">
        <f t="shared" si="10"/>
        <v>54.85</v>
      </c>
      <c r="J44" s="472">
        <f t="shared" si="11"/>
        <v>329.12</v>
      </c>
      <c r="K44" s="79">
        <v>590954364</v>
      </c>
      <c r="M44" s="286"/>
      <c r="N44" s="283"/>
      <c r="O44" s="297">
        <f t="shared" ref="O44:O68" si="13">D44</f>
        <v>749</v>
      </c>
      <c r="P44" s="283"/>
      <c r="Q44" s="24"/>
      <c r="R44" s="517"/>
      <c r="S44" s="83"/>
      <c r="T44" s="517"/>
      <c r="U44" s="517"/>
    </row>
    <row r="45" spans="1:21" ht="18.75" x14ac:dyDescent="0.3">
      <c r="A45" s="113">
        <v>2705</v>
      </c>
      <c r="B45" s="530" t="s">
        <v>471</v>
      </c>
      <c r="C45" s="140" t="s">
        <v>328</v>
      </c>
      <c r="D45" s="82">
        <v>387</v>
      </c>
      <c r="E45" s="435">
        <v>0.33048</v>
      </c>
      <c r="F45" s="36">
        <v>1.1080239999999999</v>
      </c>
      <c r="G45" s="651">
        <f t="shared" si="9"/>
        <v>141.71</v>
      </c>
      <c r="H45" s="153">
        <v>0.2</v>
      </c>
      <c r="I45" s="472">
        <f t="shared" si="10"/>
        <v>28.34</v>
      </c>
      <c r="J45" s="472">
        <f t="shared" si="11"/>
        <v>170.05</v>
      </c>
      <c r="K45" s="79">
        <v>591001484</v>
      </c>
      <c r="M45" s="286"/>
      <c r="N45" s="283" t="str">
        <f>C45</f>
        <v>Эльмарт</v>
      </c>
      <c r="O45" s="297">
        <f t="shared" si="13"/>
        <v>387</v>
      </c>
      <c r="P45" s="540">
        <f t="shared" ref="P45:U45" si="14">E45</f>
        <v>0.33048</v>
      </c>
      <c r="Q45" s="540">
        <f t="shared" si="14"/>
        <v>1.1080239999999999</v>
      </c>
      <c r="R45" s="540">
        <f t="shared" si="14"/>
        <v>141.71</v>
      </c>
      <c r="S45" s="540">
        <f t="shared" si="14"/>
        <v>0.2</v>
      </c>
      <c r="T45" s="540">
        <f t="shared" si="14"/>
        <v>28.34</v>
      </c>
      <c r="U45" s="540">
        <f t="shared" si="14"/>
        <v>170.05</v>
      </c>
    </row>
    <row r="46" spans="1:21" ht="18.75" x14ac:dyDescent="0.3">
      <c r="A46" s="113">
        <v>2705</v>
      </c>
      <c r="B46" s="530"/>
      <c r="C46" s="140" t="s">
        <v>418</v>
      </c>
      <c r="D46" s="82">
        <v>251</v>
      </c>
      <c r="E46" s="435">
        <v>0.33048</v>
      </c>
      <c r="F46" s="36">
        <v>1.1080239999999999</v>
      </c>
      <c r="G46" s="651">
        <f>ROUND(D46*E46*F46,2)</f>
        <v>91.91</v>
      </c>
      <c r="H46" s="153">
        <v>0.2</v>
      </c>
      <c r="I46" s="472">
        <f>ROUND(G46*H46,2)</f>
        <v>18.38</v>
      </c>
      <c r="J46" s="472">
        <f>G46+I46</f>
        <v>110.28999999999999</v>
      </c>
      <c r="K46" s="670" t="s">
        <v>472</v>
      </c>
      <c r="M46" s="286"/>
      <c r="N46" s="283"/>
      <c r="O46" s="297">
        <f t="shared" si="13"/>
        <v>251</v>
      </c>
      <c r="P46" s="540"/>
      <c r="Q46" s="540"/>
      <c r="R46" s="540"/>
      <c r="S46" s="540"/>
      <c r="T46" s="540"/>
      <c r="U46" s="540"/>
    </row>
    <row r="47" spans="1:21" ht="18.75" x14ac:dyDescent="0.3">
      <c r="A47" s="113" t="s">
        <v>205</v>
      </c>
      <c r="B47" s="346"/>
      <c r="C47" s="143" t="s">
        <v>44</v>
      </c>
      <c r="D47" s="234">
        <v>29</v>
      </c>
      <c r="E47" s="435">
        <v>0.33048</v>
      </c>
      <c r="F47" s="36">
        <v>1.1080239999999999</v>
      </c>
      <c r="G47" s="651">
        <f>ROUND(D47*E47*F47,2)</f>
        <v>10.62</v>
      </c>
      <c r="H47" s="345">
        <v>0.2</v>
      </c>
      <c r="I47" s="472">
        <f>ROUND(G47*H47,2)</f>
        <v>2.12</v>
      </c>
      <c r="J47" s="472">
        <f>G47+I47</f>
        <v>12.739999999999998</v>
      </c>
      <c r="K47" s="79">
        <v>591270877</v>
      </c>
      <c r="M47" s="286"/>
      <c r="N47" s="283"/>
      <c r="O47" s="297">
        <f t="shared" si="13"/>
        <v>29</v>
      </c>
      <c r="P47" s="283"/>
      <c r="Q47" s="283"/>
      <c r="R47" s="517"/>
      <c r="S47" s="83"/>
      <c r="T47" s="517"/>
      <c r="U47" s="517"/>
    </row>
    <row r="48" spans="1:21" ht="18.75" x14ac:dyDescent="0.3">
      <c r="A48" s="116">
        <v>2705</v>
      </c>
      <c r="B48" s="205"/>
      <c r="C48" s="655" t="s">
        <v>452</v>
      </c>
      <c r="D48" s="82">
        <v>196</v>
      </c>
      <c r="E48" s="435">
        <v>0.33048</v>
      </c>
      <c r="F48" s="36">
        <v>1.1080239999999999</v>
      </c>
      <c r="G48" s="651">
        <f t="shared" si="9"/>
        <v>71.77</v>
      </c>
      <c r="H48" s="153">
        <v>0.2</v>
      </c>
      <c r="I48" s="472">
        <f t="shared" si="10"/>
        <v>14.35</v>
      </c>
      <c r="J48" s="472">
        <f t="shared" si="11"/>
        <v>86.11999999999999</v>
      </c>
      <c r="K48" s="652">
        <v>591515940</v>
      </c>
      <c r="M48" s="286"/>
      <c r="N48" s="283"/>
      <c r="O48" s="297">
        <f t="shared" si="13"/>
        <v>196</v>
      </c>
      <c r="P48" s="283"/>
      <c r="Q48" s="24"/>
      <c r="R48" s="517"/>
      <c r="S48" s="83"/>
      <c r="T48" s="517"/>
      <c r="U48" s="517"/>
    </row>
    <row r="49" spans="1:21" ht="18.75" x14ac:dyDescent="0.3">
      <c r="A49" s="116">
        <v>2705</v>
      </c>
      <c r="B49" s="203"/>
      <c r="C49" s="37" t="s">
        <v>98</v>
      </c>
      <c r="D49" s="203">
        <v>366</v>
      </c>
      <c r="E49" s="435">
        <v>0.33048</v>
      </c>
      <c r="F49" s="36">
        <v>1.1080239999999999</v>
      </c>
      <c r="G49" s="607">
        <f t="shared" si="9"/>
        <v>134.02000000000001</v>
      </c>
      <c r="H49" s="270">
        <v>0.2</v>
      </c>
      <c r="I49" s="608">
        <f t="shared" si="10"/>
        <v>26.8</v>
      </c>
      <c r="J49" s="609">
        <f t="shared" si="11"/>
        <v>160.82000000000002</v>
      </c>
      <c r="K49" s="79">
        <v>590790232</v>
      </c>
      <c r="M49" s="286"/>
      <c r="N49" s="283"/>
      <c r="O49" s="297">
        <f t="shared" si="13"/>
        <v>366</v>
      </c>
      <c r="P49" s="283"/>
      <c r="Q49" s="24"/>
      <c r="R49" s="517"/>
      <c r="S49" s="83"/>
      <c r="T49" s="517"/>
      <c r="U49" s="517"/>
    </row>
    <row r="50" spans="1:21" ht="18.75" x14ac:dyDescent="0.3">
      <c r="A50" s="116">
        <v>2705</v>
      </c>
      <c r="B50" s="205"/>
      <c r="C50" s="140" t="s">
        <v>283</v>
      </c>
      <c r="D50" s="82">
        <v>90</v>
      </c>
      <c r="E50" s="435">
        <v>0.33048</v>
      </c>
      <c r="F50" s="36">
        <v>1.1080239999999999</v>
      </c>
      <c r="G50" s="651">
        <f t="shared" si="9"/>
        <v>32.96</v>
      </c>
      <c r="H50" s="153">
        <v>0.2</v>
      </c>
      <c r="I50" s="472">
        <f t="shared" si="10"/>
        <v>6.59</v>
      </c>
      <c r="J50" s="472">
        <f t="shared" si="11"/>
        <v>39.549999999999997</v>
      </c>
      <c r="K50" s="79">
        <v>590911978</v>
      </c>
      <c r="M50" s="286"/>
      <c r="N50" s="283"/>
      <c r="O50" s="297">
        <f t="shared" si="13"/>
        <v>90</v>
      </c>
      <c r="P50" s="283"/>
      <c r="Q50" s="24"/>
      <c r="R50" s="517"/>
      <c r="S50" s="83"/>
      <c r="T50" s="517"/>
      <c r="U50" s="517"/>
    </row>
    <row r="51" spans="1:21" ht="18.75" x14ac:dyDescent="0.3">
      <c r="A51" s="116">
        <v>2705</v>
      </c>
      <c r="B51" s="205"/>
      <c r="C51" s="140" t="s">
        <v>223</v>
      </c>
      <c r="D51" s="82">
        <v>362</v>
      </c>
      <c r="E51" s="435">
        <v>0.33048</v>
      </c>
      <c r="F51" s="36">
        <v>1.1080239999999999</v>
      </c>
      <c r="G51" s="651">
        <f t="shared" si="9"/>
        <v>132.56</v>
      </c>
      <c r="H51" s="153">
        <v>0.2</v>
      </c>
      <c r="I51" s="472">
        <f t="shared" si="10"/>
        <v>26.51</v>
      </c>
      <c r="J51" s="472">
        <f t="shared" si="11"/>
        <v>159.07</v>
      </c>
      <c r="K51" s="79">
        <v>590855061</v>
      </c>
      <c r="M51" s="286"/>
      <c r="N51" s="283"/>
      <c r="O51" s="297">
        <f t="shared" si="13"/>
        <v>362</v>
      </c>
      <c r="P51" s="283"/>
      <c r="Q51" s="24"/>
      <c r="R51" s="517"/>
      <c r="S51" s="83"/>
      <c r="T51" s="517"/>
      <c r="U51" s="517"/>
    </row>
    <row r="52" spans="1:21" ht="18.75" x14ac:dyDescent="0.3">
      <c r="A52" s="116">
        <v>2705</v>
      </c>
      <c r="B52" s="205"/>
      <c r="C52" s="36" t="s">
        <v>18</v>
      </c>
      <c r="D52" s="36">
        <v>3722</v>
      </c>
      <c r="E52" s="435">
        <v>0.33048</v>
      </c>
      <c r="F52" s="36">
        <v>1.1080239999999999</v>
      </c>
      <c r="G52" s="607">
        <f t="shared" si="9"/>
        <v>1362.92</v>
      </c>
      <c r="H52" s="249">
        <v>0.2</v>
      </c>
      <c r="I52" s="608">
        <f t="shared" si="10"/>
        <v>272.58</v>
      </c>
      <c r="J52" s="609">
        <f t="shared" si="11"/>
        <v>1635.5</v>
      </c>
      <c r="K52" s="79">
        <v>590766659</v>
      </c>
      <c r="M52" s="286"/>
      <c r="N52" s="283"/>
      <c r="O52" s="297">
        <f t="shared" si="13"/>
        <v>3722</v>
      </c>
      <c r="P52" s="283"/>
      <c r="Q52" s="24"/>
      <c r="R52" s="517"/>
      <c r="S52" s="83"/>
      <c r="T52" s="517"/>
      <c r="U52" s="517"/>
    </row>
    <row r="53" spans="1:21" ht="18.75" x14ac:dyDescent="0.3">
      <c r="A53" s="116" t="s">
        <v>448</v>
      </c>
      <c r="B53" s="205"/>
      <c r="C53" s="36" t="s">
        <v>387</v>
      </c>
      <c r="D53" s="36">
        <v>578</v>
      </c>
      <c r="E53" s="435">
        <v>0.33048</v>
      </c>
      <c r="F53" s="36">
        <v>1.1080239999999999</v>
      </c>
      <c r="G53" s="607">
        <f t="shared" si="9"/>
        <v>211.65</v>
      </c>
      <c r="H53" s="249">
        <v>0.2</v>
      </c>
      <c r="I53" s="608">
        <f t="shared" si="10"/>
        <v>42.33</v>
      </c>
      <c r="J53" s="609">
        <f t="shared" si="11"/>
        <v>253.98000000000002</v>
      </c>
      <c r="K53" s="79">
        <v>590766659</v>
      </c>
      <c r="M53" s="286"/>
      <c r="N53" s="283"/>
      <c r="O53" s="297">
        <f t="shared" si="13"/>
        <v>578</v>
      </c>
      <c r="P53" s="283"/>
      <c r="Q53" s="24"/>
      <c r="R53" s="517"/>
      <c r="S53" s="83"/>
      <c r="T53" s="517"/>
      <c r="U53" s="517"/>
    </row>
    <row r="54" spans="1:21" ht="18" customHeight="1" x14ac:dyDescent="0.25">
      <c r="A54" s="116">
        <v>2705</v>
      </c>
      <c r="B54" s="205"/>
      <c r="C54" s="140" t="s">
        <v>257</v>
      </c>
      <c r="D54" s="82">
        <v>62</v>
      </c>
      <c r="E54" s="435">
        <v>0.33048</v>
      </c>
      <c r="F54" s="36">
        <v>1.1080239999999999</v>
      </c>
      <c r="G54" s="651">
        <f>ROUND(D54*E54*F54,2)</f>
        <v>22.7</v>
      </c>
      <c r="H54" s="153">
        <v>0.2</v>
      </c>
      <c r="I54" s="472">
        <f>ROUND(G54*H54,2)</f>
        <v>4.54</v>
      </c>
      <c r="J54" s="472">
        <f>G54+I54</f>
        <v>27.24</v>
      </c>
      <c r="K54" s="652" t="s">
        <v>567</v>
      </c>
      <c r="M54" s="205"/>
      <c r="N54" s="140"/>
      <c r="O54" s="82">
        <f t="shared" si="13"/>
        <v>62</v>
      </c>
      <c r="P54" s="82"/>
      <c r="Q54" s="24"/>
      <c r="R54" s="654"/>
      <c r="S54" s="83"/>
      <c r="T54" s="529"/>
      <c r="U54" s="529"/>
    </row>
    <row r="55" spans="1:21" ht="18" customHeight="1" x14ac:dyDescent="0.25">
      <c r="A55" s="116">
        <v>2705</v>
      </c>
      <c r="B55" s="205"/>
      <c r="C55" s="140" t="s">
        <v>490</v>
      </c>
      <c r="D55" s="82">
        <v>140</v>
      </c>
      <c r="E55" s="435">
        <v>0.33048</v>
      </c>
      <c r="F55" s="36">
        <v>1.1080239999999999</v>
      </c>
      <c r="G55" s="651">
        <f t="shared" si="9"/>
        <v>51.27</v>
      </c>
      <c r="H55" s="153">
        <v>0.2</v>
      </c>
      <c r="I55" s="472">
        <f t="shared" si="10"/>
        <v>10.25</v>
      </c>
      <c r="J55" s="472">
        <f t="shared" si="11"/>
        <v>61.52</v>
      </c>
      <c r="K55" s="652" t="s">
        <v>470</v>
      </c>
      <c r="M55" s="205"/>
      <c r="N55" s="140"/>
      <c r="O55" s="82">
        <f t="shared" si="13"/>
        <v>140</v>
      </c>
      <c r="P55" s="82"/>
      <c r="Q55" s="24"/>
      <c r="R55" s="654"/>
      <c r="S55" s="83"/>
      <c r="T55" s="529"/>
      <c r="U55" s="529"/>
    </row>
    <row r="56" spans="1:21" ht="18" customHeight="1" x14ac:dyDescent="0.3">
      <c r="A56" s="116" t="s">
        <v>249</v>
      </c>
      <c r="B56" s="205"/>
      <c r="C56" s="535" t="s">
        <v>306</v>
      </c>
      <c r="D56" s="82">
        <v>42</v>
      </c>
      <c r="E56" s="435">
        <v>0.17416999999999999</v>
      </c>
      <c r="F56" s="36">
        <v>1</v>
      </c>
      <c r="G56" s="651">
        <f t="shared" si="9"/>
        <v>7.32</v>
      </c>
      <c r="H56" s="153">
        <v>0.2</v>
      </c>
      <c r="I56" s="472">
        <f t="shared" si="10"/>
        <v>1.46</v>
      </c>
      <c r="J56" s="472">
        <f t="shared" si="11"/>
        <v>8.7800000000000011</v>
      </c>
      <c r="K56" s="652" t="s">
        <v>568</v>
      </c>
      <c r="M56" s="286"/>
      <c r="N56" s="283"/>
      <c r="O56" s="283">
        <f t="shared" si="13"/>
        <v>42</v>
      </c>
      <c r="P56" s="283"/>
      <c r="Q56" s="283"/>
      <c r="R56" s="517"/>
      <c r="S56" s="83"/>
      <c r="T56" s="517"/>
      <c r="U56" s="517"/>
    </row>
    <row r="57" spans="1:21" ht="18.75" x14ac:dyDescent="0.3">
      <c r="A57" s="116">
        <v>2705</v>
      </c>
      <c r="B57" s="530"/>
      <c r="C57" s="140" t="s">
        <v>324</v>
      </c>
      <c r="D57" s="82">
        <v>28</v>
      </c>
      <c r="E57" s="435">
        <v>0.33048</v>
      </c>
      <c r="F57" s="36">
        <v>1.1080239999999999</v>
      </c>
      <c r="G57" s="651">
        <f t="shared" si="9"/>
        <v>10.25</v>
      </c>
      <c r="H57" s="153">
        <v>0.2</v>
      </c>
      <c r="I57" s="472">
        <f t="shared" si="10"/>
        <v>2.0499999999999998</v>
      </c>
      <c r="J57" s="472">
        <f t="shared" si="11"/>
        <v>12.3</v>
      </c>
      <c r="K57" s="652">
        <v>591116350</v>
      </c>
      <c r="M57" s="286"/>
      <c r="N57" s="283" t="str">
        <f>C57</f>
        <v>Опекун</v>
      </c>
      <c r="O57" s="297">
        <f t="shared" si="13"/>
        <v>28</v>
      </c>
      <c r="P57" s="540">
        <f t="shared" ref="P57:U58" si="15">E57</f>
        <v>0.33048</v>
      </c>
      <c r="Q57" s="540">
        <f t="shared" si="15"/>
        <v>1.1080239999999999</v>
      </c>
      <c r="R57" s="540">
        <f t="shared" si="15"/>
        <v>10.25</v>
      </c>
      <c r="S57" s="540">
        <f t="shared" si="15"/>
        <v>0.2</v>
      </c>
      <c r="T57" s="540">
        <f t="shared" si="15"/>
        <v>2.0499999999999998</v>
      </c>
      <c r="U57" s="540">
        <f t="shared" si="15"/>
        <v>12.3</v>
      </c>
    </row>
    <row r="58" spans="1:21" ht="18.75" x14ac:dyDescent="0.3">
      <c r="A58" s="116">
        <v>2705</v>
      </c>
      <c r="B58" s="530"/>
      <c r="C58" s="140" t="s">
        <v>577</v>
      </c>
      <c r="D58" s="82">
        <v>144</v>
      </c>
      <c r="E58" s="435">
        <v>0.33048</v>
      </c>
      <c r="F58" s="36">
        <v>1.1080239999999999</v>
      </c>
      <c r="G58" s="651">
        <f>ROUND(D58*E58*F58,2)</f>
        <v>52.73</v>
      </c>
      <c r="H58" s="153">
        <v>0.2</v>
      </c>
      <c r="I58" s="472">
        <f>ROUND(G58*H58,2)</f>
        <v>10.55</v>
      </c>
      <c r="J58" s="472">
        <f>G58+I58</f>
        <v>63.28</v>
      </c>
      <c r="K58" s="652">
        <v>591667220</v>
      </c>
      <c r="M58" s="286"/>
      <c r="N58" s="283" t="str">
        <f>C58</f>
        <v>ИП Рогачевская</v>
      </c>
      <c r="O58" s="297">
        <f t="shared" si="13"/>
        <v>144</v>
      </c>
      <c r="P58" s="540">
        <f t="shared" si="15"/>
        <v>0.33048</v>
      </c>
      <c r="Q58" s="540">
        <f t="shared" si="15"/>
        <v>1.1080239999999999</v>
      </c>
      <c r="R58" s="540">
        <f t="shared" si="15"/>
        <v>52.73</v>
      </c>
      <c r="S58" s="540">
        <f t="shared" si="15"/>
        <v>0.2</v>
      </c>
      <c r="T58" s="540">
        <f t="shared" si="15"/>
        <v>10.55</v>
      </c>
      <c r="U58" s="540">
        <f t="shared" si="15"/>
        <v>63.28</v>
      </c>
    </row>
    <row r="59" spans="1:21" ht="18.75" x14ac:dyDescent="0.3">
      <c r="A59" s="116">
        <v>2705</v>
      </c>
      <c r="B59" s="205"/>
      <c r="C59" s="140" t="s">
        <v>168</v>
      </c>
      <c r="D59" s="82">
        <v>190</v>
      </c>
      <c r="E59" s="435">
        <v>0.33048</v>
      </c>
      <c r="F59" s="36">
        <v>1.1080239999999999</v>
      </c>
      <c r="G59" s="651">
        <f t="shared" si="9"/>
        <v>69.569999999999993</v>
      </c>
      <c r="H59" s="153">
        <v>0.2</v>
      </c>
      <c r="I59" s="472">
        <f t="shared" si="10"/>
        <v>13.91</v>
      </c>
      <c r="J59" s="472">
        <f t="shared" si="11"/>
        <v>83.47999999999999</v>
      </c>
      <c r="K59" s="79">
        <v>590966116</v>
      </c>
      <c r="M59" s="286"/>
      <c r="N59" s="283"/>
      <c r="O59" s="297">
        <f t="shared" si="13"/>
        <v>190</v>
      </c>
      <c r="P59" s="283"/>
      <c r="Q59" s="283"/>
      <c r="R59" s="517"/>
      <c r="S59" s="83"/>
      <c r="T59" s="517"/>
      <c r="U59" s="517"/>
    </row>
    <row r="60" spans="1:21" ht="18.75" x14ac:dyDescent="0.3">
      <c r="A60" s="113">
        <v>2705</v>
      </c>
      <c r="B60" s="205"/>
      <c r="C60" s="140" t="s">
        <v>238</v>
      </c>
      <c r="D60" s="82">
        <v>30</v>
      </c>
      <c r="E60" s="435">
        <v>0.33048</v>
      </c>
      <c r="F60" s="36">
        <v>1.1080239999999999</v>
      </c>
      <c r="G60" s="651">
        <f t="shared" si="9"/>
        <v>10.99</v>
      </c>
      <c r="H60" s="153">
        <v>0.2</v>
      </c>
      <c r="I60" s="472">
        <f t="shared" si="10"/>
        <v>2.2000000000000002</v>
      </c>
      <c r="J60" s="472">
        <f t="shared" si="11"/>
        <v>13.190000000000001</v>
      </c>
      <c r="K60" s="79">
        <v>591246193</v>
      </c>
      <c r="M60" s="286"/>
      <c r="N60" s="283"/>
      <c r="O60" s="297">
        <f t="shared" si="13"/>
        <v>30</v>
      </c>
      <c r="P60" s="283"/>
      <c r="Q60" s="283"/>
      <c r="R60" s="517"/>
      <c r="S60" s="83"/>
      <c r="T60" s="517"/>
      <c r="U60" s="517"/>
    </row>
    <row r="61" spans="1:21" ht="18.75" x14ac:dyDescent="0.3">
      <c r="A61" s="113"/>
      <c r="B61" s="530" t="s">
        <v>557</v>
      </c>
      <c r="C61" s="140" t="s">
        <v>556</v>
      </c>
      <c r="D61" s="82">
        <v>0</v>
      </c>
      <c r="E61" s="435">
        <v>0.24295</v>
      </c>
      <c r="F61" s="36">
        <v>1.1080239999999999</v>
      </c>
      <c r="G61" s="651">
        <f t="shared" si="9"/>
        <v>0</v>
      </c>
      <c r="H61" s="153">
        <v>0.2</v>
      </c>
      <c r="I61" s="472">
        <f t="shared" si="10"/>
        <v>0</v>
      </c>
      <c r="J61" s="472">
        <f t="shared" si="11"/>
        <v>0</v>
      </c>
      <c r="K61" s="79">
        <v>190176680</v>
      </c>
      <c r="M61" s="286"/>
      <c r="N61" s="283" t="str">
        <f>C61</f>
        <v>ОДО Тедол</v>
      </c>
      <c r="O61" s="283">
        <f t="shared" si="13"/>
        <v>0</v>
      </c>
      <c r="P61" s="283">
        <f t="shared" ref="P61:U61" si="16">E61</f>
        <v>0.24295</v>
      </c>
      <c r="Q61" s="283">
        <f t="shared" si="16"/>
        <v>1.1080239999999999</v>
      </c>
      <c r="R61" s="283">
        <f t="shared" si="16"/>
        <v>0</v>
      </c>
      <c r="S61" s="283">
        <f t="shared" si="16"/>
        <v>0.2</v>
      </c>
      <c r="T61" s="283">
        <f t="shared" si="16"/>
        <v>0</v>
      </c>
      <c r="U61" s="283">
        <f t="shared" si="16"/>
        <v>0</v>
      </c>
    </row>
    <row r="62" spans="1:21" ht="18.75" x14ac:dyDescent="0.3">
      <c r="A62" s="113">
        <v>2705</v>
      </c>
      <c r="B62" s="205"/>
      <c r="C62" s="140" t="s">
        <v>392</v>
      </c>
      <c r="D62" s="82">
        <v>2386</v>
      </c>
      <c r="E62" s="435">
        <v>0.33048</v>
      </c>
      <c r="F62" s="36">
        <v>1.1080239999999999</v>
      </c>
      <c r="G62" s="651">
        <f t="shared" si="9"/>
        <v>873.7</v>
      </c>
      <c r="H62" s="153">
        <v>0.2</v>
      </c>
      <c r="I62" s="472">
        <f t="shared" si="10"/>
        <v>174.74</v>
      </c>
      <c r="J62" s="472">
        <f t="shared" si="11"/>
        <v>1048.44</v>
      </c>
      <c r="K62" s="79">
        <v>591270877</v>
      </c>
      <c r="M62" s="286"/>
      <c r="N62" s="283"/>
      <c r="O62" s="297">
        <f t="shared" si="13"/>
        <v>2386</v>
      </c>
      <c r="P62" s="283"/>
      <c r="Q62" s="283"/>
      <c r="R62" s="517"/>
      <c r="S62" s="83"/>
      <c r="T62" s="517"/>
      <c r="U62" s="517"/>
    </row>
    <row r="63" spans="1:21" ht="18.75" x14ac:dyDescent="0.3">
      <c r="A63" s="113" t="s">
        <v>205</v>
      </c>
      <c r="B63" s="346"/>
      <c r="C63" s="143" t="s">
        <v>44</v>
      </c>
      <c r="D63" s="234">
        <v>0</v>
      </c>
      <c r="E63" s="435">
        <v>0.33048</v>
      </c>
      <c r="F63" s="36">
        <v>1.1080239999999999</v>
      </c>
      <c r="G63" s="651">
        <f t="shared" si="9"/>
        <v>0</v>
      </c>
      <c r="H63" s="345">
        <v>0.2</v>
      </c>
      <c r="I63" s="472">
        <f t="shared" si="10"/>
        <v>0</v>
      </c>
      <c r="J63" s="472">
        <f t="shared" si="11"/>
        <v>0</v>
      </c>
      <c r="K63" s="79">
        <v>591270877</v>
      </c>
      <c r="M63" s="286"/>
      <c r="N63" s="283"/>
      <c r="O63" s="297">
        <f t="shared" si="13"/>
        <v>0</v>
      </c>
      <c r="P63" s="283"/>
      <c r="Q63" s="283"/>
      <c r="R63" s="517"/>
      <c r="S63" s="83"/>
      <c r="T63" s="517"/>
      <c r="U63" s="517"/>
    </row>
    <row r="64" spans="1:21" ht="18.75" x14ac:dyDescent="0.3">
      <c r="A64" s="113">
        <v>2705</v>
      </c>
      <c r="B64" s="205"/>
      <c r="C64" s="140" t="s">
        <v>247</v>
      </c>
      <c r="D64" s="82">
        <v>106</v>
      </c>
      <c r="E64" s="435">
        <v>0.33048</v>
      </c>
      <c r="F64" s="36">
        <v>1.1080239999999999</v>
      </c>
      <c r="G64" s="651">
        <f t="shared" si="9"/>
        <v>38.82</v>
      </c>
      <c r="H64" s="153">
        <v>0.2</v>
      </c>
      <c r="I64" s="472">
        <f t="shared" si="10"/>
        <v>7.76</v>
      </c>
      <c r="J64" s="472">
        <f t="shared" si="11"/>
        <v>46.58</v>
      </c>
      <c r="K64" s="79">
        <v>590651343</v>
      </c>
      <c r="M64" s="286"/>
      <c r="N64" s="283"/>
      <c r="O64" s="283">
        <f t="shared" si="13"/>
        <v>106</v>
      </c>
      <c r="P64" s="283"/>
      <c r="Q64" s="283"/>
      <c r="R64" s="517"/>
      <c r="S64" s="83"/>
      <c r="T64" s="517"/>
      <c r="U64" s="517"/>
    </row>
    <row r="65" spans="1:21" ht="18.75" x14ac:dyDescent="0.3">
      <c r="A65" s="113" t="s">
        <v>205</v>
      </c>
      <c r="B65" s="346"/>
      <c r="C65" s="143" t="s">
        <v>44</v>
      </c>
      <c r="D65" s="234">
        <v>0</v>
      </c>
      <c r="E65" s="435">
        <v>0.33048</v>
      </c>
      <c r="F65" s="36">
        <v>1.1080239999999999</v>
      </c>
      <c r="G65" s="651">
        <f t="shared" si="9"/>
        <v>0</v>
      </c>
      <c r="H65" s="153">
        <v>0.2</v>
      </c>
      <c r="I65" s="472">
        <f t="shared" si="10"/>
        <v>0</v>
      </c>
      <c r="J65" s="472">
        <f t="shared" si="11"/>
        <v>0</v>
      </c>
      <c r="K65" s="79">
        <v>590651343</v>
      </c>
      <c r="M65" s="286"/>
      <c r="N65" s="283"/>
      <c r="O65" s="283">
        <f t="shared" si="13"/>
        <v>0</v>
      </c>
      <c r="P65" s="283"/>
      <c r="Q65" s="283"/>
      <c r="R65" s="517"/>
      <c r="S65" s="83"/>
      <c r="T65" s="517"/>
      <c r="U65" s="517"/>
    </row>
    <row r="66" spans="1:21" ht="27" x14ac:dyDescent="0.3">
      <c r="A66" s="116">
        <v>2705</v>
      </c>
      <c r="B66" s="591" t="s">
        <v>578</v>
      </c>
      <c r="C66" s="37" t="s">
        <v>446</v>
      </c>
      <c r="D66" s="203">
        <v>185</v>
      </c>
      <c r="E66" s="435">
        <v>0.33048</v>
      </c>
      <c r="F66" s="36">
        <v>1.1080239999999999</v>
      </c>
      <c r="G66" s="651">
        <f t="shared" si="9"/>
        <v>67.739999999999995</v>
      </c>
      <c r="H66" s="249">
        <v>0.2</v>
      </c>
      <c r="I66" s="472">
        <f t="shared" si="10"/>
        <v>13.55</v>
      </c>
      <c r="J66" s="472">
        <f t="shared" si="11"/>
        <v>81.289999999999992</v>
      </c>
      <c r="K66" s="79">
        <v>590615382</v>
      </c>
      <c r="M66" s="286"/>
      <c r="N66" s="283"/>
      <c r="O66" s="283">
        <f t="shared" si="13"/>
        <v>185</v>
      </c>
      <c r="P66" s="283"/>
      <c r="Q66" s="283"/>
      <c r="R66" s="517"/>
      <c r="S66" s="83"/>
      <c r="T66" s="517"/>
      <c r="U66" s="517"/>
    </row>
    <row r="67" spans="1:21" ht="27" x14ac:dyDescent="0.3">
      <c r="A67" s="116">
        <v>2705</v>
      </c>
      <c r="B67" s="591" t="s">
        <v>579</v>
      </c>
      <c r="C67" s="37" t="s">
        <v>447</v>
      </c>
      <c r="D67" s="203">
        <v>1494</v>
      </c>
      <c r="E67" s="435">
        <v>0.33048</v>
      </c>
      <c r="F67" s="36">
        <v>1.1080239999999999</v>
      </c>
      <c r="G67" s="651">
        <f>ROUND(D67*E67*F67,2)</f>
        <v>547.07000000000005</v>
      </c>
      <c r="H67" s="249">
        <v>0.2</v>
      </c>
      <c r="I67" s="472">
        <f>ROUND(G67*H67,2)</f>
        <v>109.41</v>
      </c>
      <c r="J67" s="472">
        <f>G67+I67</f>
        <v>656.48</v>
      </c>
      <c r="K67" s="79">
        <v>590615382</v>
      </c>
      <c r="M67" s="286"/>
      <c r="N67" s="283"/>
      <c r="O67" s="283">
        <f t="shared" si="13"/>
        <v>1494</v>
      </c>
      <c r="P67" s="283"/>
      <c r="Q67" s="283"/>
      <c r="R67" s="517"/>
      <c r="S67" s="83"/>
      <c r="T67" s="517"/>
      <c r="U67" s="517"/>
    </row>
    <row r="68" spans="1:21" ht="19.5" thickBot="1" x14ac:dyDescent="0.35">
      <c r="A68" s="113">
        <v>2605</v>
      </c>
      <c r="B68" s="346" t="s">
        <v>580</v>
      </c>
      <c r="C68" s="143" t="s">
        <v>248</v>
      </c>
      <c r="D68" s="234">
        <v>976</v>
      </c>
      <c r="E68" s="435">
        <v>0.33048</v>
      </c>
      <c r="F68" s="36">
        <v>1.1080239999999999</v>
      </c>
      <c r="G68" s="651">
        <f t="shared" si="9"/>
        <v>357.39</v>
      </c>
      <c r="H68" s="153">
        <v>0.2</v>
      </c>
      <c r="I68" s="472">
        <f t="shared" si="10"/>
        <v>71.48</v>
      </c>
      <c r="J68" s="472">
        <f t="shared" si="11"/>
        <v>428.87</v>
      </c>
      <c r="K68" s="79">
        <v>591019752</v>
      </c>
      <c r="M68" s="286"/>
      <c r="N68" s="283"/>
      <c r="O68" s="283">
        <f t="shared" si="13"/>
        <v>976</v>
      </c>
      <c r="P68" s="283"/>
      <c r="Q68" s="283"/>
      <c r="R68" s="517"/>
      <c r="S68" s="83"/>
      <c r="T68" s="517"/>
      <c r="U68" s="517"/>
    </row>
    <row r="69" spans="1:21" ht="23.25" customHeight="1" thickBot="1" x14ac:dyDescent="0.35">
      <c r="B69" s="343"/>
      <c r="C69" s="196"/>
      <c r="D69" s="610">
        <f>SUM(D37:D68)</f>
        <v>13473</v>
      </c>
      <c r="E69" s="435"/>
      <c r="F69" s="36"/>
      <c r="G69" s="611">
        <f>SUM(G37:G68)</f>
        <v>4856.8100000000004</v>
      </c>
      <c r="H69" s="612"/>
      <c r="I69" s="611">
        <f>SUM(I37:I68)</f>
        <v>971.32999999999981</v>
      </c>
      <c r="J69" s="613">
        <f>SUM(J37:J68)</f>
        <v>5828.14</v>
      </c>
      <c r="K69" s="79"/>
      <c r="M69" s="286"/>
      <c r="N69" s="283"/>
      <c r="O69" s="283"/>
      <c r="P69" s="283"/>
      <c r="Q69" s="283"/>
      <c r="R69" s="517"/>
      <c r="S69" s="83"/>
      <c r="T69" s="517"/>
      <c r="U69" s="517"/>
    </row>
    <row r="70" spans="1:21" ht="18.75" x14ac:dyDescent="0.3">
      <c r="A70" s="175">
        <v>2705</v>
      </c>
      <c r="B70" s="183">
        <v>7</v>
      </c>
      <c r="C70" s="193" t="s">
        <v>127</v>
      </c>
      <c r="D70" s="152">
        <v>0</v>
      </c>
      <c r="E70" s="435">
        <v>0.33048</v>
      </c>
      <c r="F70" s="36">
        <v>1.1080239999999999</v>
      </c>
      <c r="G70" s="656">
        <f>ROUND(D70*E70*F70,2)</f>
        <v>0</v>
      </c>
      <c r="H70" s="253">
        <v>0.2</v>
      </c>
      <c r="I70" s="472">
        <f>ROUND(G70*H70,2)</f>
        <v>0</v>
      </c>
      <c r="J70" s="472">
        <f>G70+I70</f>
        <v>0</v>
      </c>
      <c r="K70" s="79">
        <v>590763093</v>
      </c>
      <c r="M70" s="286"/>
      <c r="N70" s="283"/>
      <c r="O70" s="297"/>
      <c r="P70" s="283"/>
      <c r="Q70" s="24"/>
      <c r="R70" s="517"/>
      <c r="S70" s="83"/>
      <c r="T70" s="517"/>
      <c r="U70" s="517"/>
    </row>
    <row r="71" spans="1:21" ht="18.75" x14ac:dyDescent="0.3">
      <c r="A71" s="175">
        <v>2705</v>
      </c>
      <c r="B71" s="185"/>
      <c r="C71" s="140" t="s">
        <v>40</v>
      </c>
      <c r="D71" s="82">
        <v>120</v>
      </c>
      <c r="E71" s="435">
        <v>0.33048</v>
      </c>
      <c r="F71" s="36">
        <v>1.1080239999999999</v>
      </c>
      <c r="G71" s="656">
        <f t="shared" ref="G71:G89" si="17">ROUND(D71*E71*F71,2)</f>
        <v>43.94</v>
      </c>
      <c r="H71" s="153">
        <v>0.2</v>
      </c>
      <c r="I71" s="472">
        <f t="shared" ref="I71:I92" si="18">ROUND(G71*H71,2)</f>
        <v>8.7899999999999991</v>
      </c>
      <c r="J71" s="472">
        <f t="shared" ref="J71:J92" si="19">G71+I71</f>
        <v>52.73</v>
      </c>
      <c r="K71" s="240" t="s">
        <v>427</v>
      </c>
      <c r="M71" s="287"/>
      <c r="N71" s="288"/>
      <c r="O71" s="299"/>
      <c r="P71" s="288"/>
      <c r="Q71" s="24"/>
      <c r="R71" s="517"/>
      <c r="S71" s="83"/>
      <c r="T71" s="517"/>
      <c r="U71" s="517"/>
    </row>
    <row r="72" spans="1:21" ht="18.75" x14ac:dyDescent="0.3">
      <c r="A72" s="175">
        <v>2705</v>
      </c>
      <c r="B72" s="185"/>
      <c r="C72" s="140" t="s">
        <v>142</v>
      </c>
      <c r="D72" s="82">
        <v>360</v>
      </c>
      <c r="E72" s="435">
        <v>0.33048</v>
      </c>
      <c r="F72" s="36">
        <v>1.1080239999999999</v>
      </c>
      <c r="G72" s="656">
        <f t="shared" si="17"/>
        <v>131.82</v>
      </c>
      <c r="H72" s="153">
        <v>0.2</v>
      </c>
      <c r="I72" s="472">
        <f t="shared" si="18"/>
        <v>26.36</v>
      </c>
      <c r="J72" s="472">
        <f t="shared" si="19"/>
        <v>158.18</v>
      </c>
      <c r="K72" s="652">
        <v>591134563</v>
      </c>
      <c r="M72" s="287"/>
      <c r="N72" s="288"/>
      <c r="O72" s="299"/>
      <c r="P72" s="289"/>
      <c r="Q72" s="24"/>
      <c r="R72" s="519"/>
      <c r="S72" s="83"/>
      <c r="T72" s="519"/>
      <c r="U72" s="519"/>
    </row>
    <row r="73" spans="1:21" ht="18.75" x14ac:dyDescent="0.3">
      <c r="A73" s="175">
        <v>2705</v>
      </c>
      <c r="B73" s="430"/>
      <c r="C73" s="140" t="s">
        <v>273</v>
      </c>
      <c r="D73" s="82">
        <v>104</v>
      </c>
      <c r="E73" s="435">
        <v>0.33048</v>
      </c>
      <c r="F73" s="36">
        <v>1.1080239999999999</v>
      </c>
      <c r="G73" s="656">
        <f t="shared" si="17"/>
        <v>38.08</v>
      </c>
      <c r="H73" s="153">
        <v>0.2</v>
      </c>
      <c r="I73" s="472">
        <f t="shared" si="18"/>
        <v>7.62</v>
      </c>
      <c r="J73" s="472">
        <f t="shared" si="19"/>
        <v>45.699999999999996</v>
      </c>
      <c r="K73" s="79">
        <v>500500372</v>
      </c>
      <c r="M73" s="287"/>
      <c r="N73" s="288" t="str">
        <f>C73</f>
        <v>"Мотор-Лайф</v>
      </c>
      <c r="O73" s="288">
        <f>D73</f>
        <v>104</v>
      </c>
      <c r="P73" s="288">
        <f>E73</f>
        <v>0.33048</v>
      </c>
      <c r="Q73" s="372">
        <f>F73</f>
        <v>1.1080239999999999</v>
      </c>
      <c r="R73" s="519">
        <f>G73</f>
        <v>38.08</v>
      </c>
      <c r="S73" s="83">
        <v>0.2</v>
      </c>
      <c r="T73" s="519">
        <f>I73</f>
        <v>7.62</v>
      </c>
      <c r="U73" s="519">
        <f>J73</f>
        <v>45.699999999999996</v>
      </c>
    </row>
    <row r="74" spans="1:21" ht="18.75" x14ac:dyDescent="0.3">
      <c r="A74" s="175">
        <v>2705</v>
      </c>
      <c r="B74" s="430"/>
      <c r="C74" s="140" t="s">
        <v>307</v>
      </c>
      <c r="D74" s="82">
        <v>104</v>
      </c>
      <c r="E74" s="435">
        <v>0.33048</v>
      </c>
      <c r="F74" s="36">
        <v>1.1080239999999999</v>
      </c>
      <c r="G74" s="656">
        <f t="shared" si="17"/>
        <v>38.08</v>
      </c>
      <c r="H74" s="153">
        <v>0.2</v>
      </c>
      <c r="I74" s="472">
        <f t="shared" si="18"/>
        <v>7.62</v>
      </c>
      <c r="J74" s="472">
        <f t="shared" si="19"/>
        <v>45.699999999999996</v>
      </c>
      <c r="K74" s="79">
        <v>591138094</v>
      </c>
      <c r="M74" s="287"/>
      <c r="N74" s="288"/>
      <c r="O74" s="299"/>
      <c r="P74" s="299"/>
      <c r="Q74" s="299"/>
      <c r="R74" s="519"/>
      <c r="S74" s="299"/>
      <c r="T74" s="519"/>
      <c r="U74" s="519"/>
    </row>
    <row r="75" spans="1:21" ht="18.75" x14ac:dyDescent="0.3">
      <c r="A75" s="113" t="s">
        <v>205</v>
      </c>
      <c r="B75" s="346"/>
      <c r="C75" s="143" t="s">
        <v>44</v>
      </c>
      <c r="D75" s="234">
        <v>2</v>
      </c>
      <c r="E75" s="435">
        <v>0.33048</v>
      </c>
      <c r="F75" s="36">
        <v>1.1080239999999999</v>
      </c>
      <c r="G75" s="651">
        <f t="shared" si="17"/>
        <v>0.73</v>
      </c>
      <c r="H75" s="345">
        <v>0.2</v>
      </c>
      <c r="I75" s="472">
        <f t="shared" si="18"/>
        <v>0.15</v>
      </c>
      <c r="J75" s="472">
        <f t="shared" si="19"/>
        <v>0.88</v>
      </c>
      <c r="K75" s="79">
        <v>591138094</v>
      </c>
      <c r="M75" s="286"/>
      <c r="N75" s="283"/>
      <c r="O75" s="297"/>
      <c r="P75" s="283"/>
      <c r="Q75" s="283"/>
      <c r="R75" s="517"/>
      <c r="S75" s="83"/>
      <c r="T75" s="517"/>
      <c r="U75" s="517"/>
    </row>
    <row r="76" spans="1:21" ht="18.75" x14ac:dyDescent="0.3">
      <c r="A76" s="113">
        <v>2705</v>
      </c>
      <c r="B76" s="593"/>
      <c r="C76" s="140" t="s">
        <v>407</v>
      </c>
      <c r="D76" s="82">
        <v>168</v>
      </c>
      <c r="E76" s="435">
        <v>0.33048</v>
      </c>
      <c r="F76" s="36">
        <v>1.1080239999999999</v>
      </c>
      <c r="G76" s="656">
        <f>ROUND(D76*E76*F76,2)</f>
        <v>61.52</v>
      </c>
      <c r="H76" s="153">
        <v>0.2</v>
      </c>
      <c r="I76" s="472">
        <f>ROUND(G76*H76,2)</f>
        <v>12.3</v>
      </c>
      <c r="J76" s="472">
        <f>G76+I76</f>
        <v>73.820000000000007</v>
      </c>
      <c r="K76" s="79">
        <v>591914961</v>
      </c>
      <c r="M76" s="594"/>
      <c r="N76" s="595"/>
      <c r="O76" s="596"/>
      <c r="P76" s="595"/>
      <c r="Q76" s="283"/>
      <c r="R76" s="597"/>
      <c r="S76" s="83"/>
      <c r="T76" s="597"/>
      <c r="U76" s="597"/>
    </row>
    <row r="77" spans="1:21" ht="18.75" x14ac:dyDescent="0.3">
      <c r="A77" s="113" t="s">
        <v>205</v>
      </c>
      <c r="B77" s="593"/>
      <c r="C77" s="143" t="s">
        <v>44</v>
      </c>
      <c r="D77" s="234">
        <v>0</v>
      </c>
      <c r="E77" s="435">
        <v>0.33048</v>
      </c>
      <c r="F77" s="36">
        <v>1.1080239999999999</v>
      </c>
      <c r="G77" s="651">
        <f>ROUND(D77*E77*F77,2)</f>
        <v>0</v>
      </c>
      <c r="H77" s="345">
        <v>0.2</v>
      </c>
      <c r="I77" s="472">
        <f>ROUND(G77*H77,2)</f>
        <v>0</v>
      </c>
      <c r="J77" s="472">
        <f>G77+I77</f>
        <v>0</v>
      </c>
      <c r="K77" s="79">
        <v>591914961</v>
      </c>
      <c r="M77" s="594"/>
      <c r="N77" s="595"/>
      <c r="O77" s="596"/>
      <c r="P77" s="595"/>
      <c r="Q77" s="283"/>
      <c r="R77" s="597"/>
      <c r="S77" s="83"/>
      <c r="T77" s="597"/>
      <c r="U77" s="597"/>
    </row>
    <row r="78" spans="1:21" ht="18.75" x14ac:dyDescent="0.3">
      <c r="A78" s="113">
        <v>2705</v>
      </c>
      <c r="B78" s="185"/>
      <c r="C78" s="140" t="s">
        <v>230</v>
      </c>
      <c r="D78" s="82">
        <v>518</v>
      </c>
      <c r="E78" s="435">
        <v>0.33048</v>
      </c>
      <c r="F78" s="36">
        <v>1.1080239999999999</v>
      </c>
      <c r="G78" s="656">
        <f t="shared" si="17"/>
        <v>189.68</v>
      </c>
      <c r="H78" s="153">
        <v>0.2</v>
      </c>
      <c r="I78" s="472">
        <f t="shared" si="18"/>
        <v>37.94</v>
      </c>
      <c r="J78" s="472">
        <f t="shared" si="19"/>
        <v>227.62</v>
      </c>
      <c r="K78" s="79">
        <v>591001484</v>
      </c>
      <c r="M78" s="287"/>
      <c r="N78" s="288"/>
      <c r="O78" s="299"/>
      <c r="P78" s="288"/>
      <c r="Q78" s="283"/>
      <c r="R78" s="519"/>
      <c r="S78" s="83"/>
      <c r="T78" s="519"/>
      <c r="U78" s="519"/>
    </row>
    <row r="79" spans="1:21" ht="15.75" x14ac:dyDescent="0.25">
      <c r="A79" s="116">
        <v>2705</v>
      </c>
      <c r="B79" s="185"/>
      <c r="C79" s="140" t="s">
        <v>258</v>
      </c>
      <c r="D79" s="82">
        <v>763</v>
      </c>
      <c r="E79" s="435">
        <v>0.33048</v>
      </c>
      <c r="F79" s="36">
        <v>1.1080239999999999</v>
      </c>
      <c r="G79" s="656">
        <f t="shared" si="17"/>
        <v>279.39999999999998</v>
      </c>
      <c r="H79" s="153">
        <v>0.2</v>
      </c>
      <c r="I79" s="472">
        <f t="shared" si="18"/>
        <v>55.88</v>
      </c>
      <c r="J79" s="472">
        <f t="shared" si="19"/>
        <v>335.28</v>
      </c>
      <c r="K79" s="79">
        <v>590609891</v>
      </c>
      <c r="M79" s="186"/>
      <c r="N79" s="140" t="str">
        <f>C79</f>
        <v>ИП Можейко</v>
      </c>
      <c r="O79" s="140">
        <f>D79</f>
        <v>763</v>
      </c>
      <c r="P79" s="140">
        <f>E79</f>
        <v>0.33048</v>
      </c>
      <c r="Q79" s="140">
        <f>F79</f>
        <v>1.1080239999999999</v>
      </c>
      <c r="R79" s="520">
        <f>G79</f>
        <v>279.39999999999998</v>
      </c>
      <c r="S79" s="83">
        <v>0.2</v>
      </c>
      <c r="T79" s="520">
        <f>I79</f>
        <v>55.88</v>
      </c>
      <c r="U79" s="520">
        <f>J79</f>
        <v>335.28</v>
      </c>
    </row>
    <row r="80" spans="1:21" ht="15.75" x14ac:dyDescent="0.25">
      <c r="A80" s="116">
        <v>2605</v>
      </c>
      <c r="B80" s="185"/>
      <c r="C80" s="140" t="s">
        <v>491</v>
      </c>
      <c r="D80" s="82">
        <v>530</v>
      </c>
      <c r="E80" s="435">
        <v>0.33048</v>
      </c>
      <c r="F80" s="36">
        <v>1.1080239999999999</v>
      </c>
      <c r="G80" s="656">
        <f>ROUND(D80*E80*F80,2)</f>
        <v>194.08</v>
      </c>
      <c r="H80" s="153">
        <v>0.2</v>
      </c>
      <c r="I80" s="472">
        <f>ROUND(G80*H80,2)</f>
        <v>38.82</v>
      </c>
      <c r="J80" s="472">
        <f>G80+I80</f>
        <v>232.9</v>
      </c>
      <c r="K80" s="79">
        <v>590155101</v>
      </c>
      <c r="M80" s="184"/>
      <c r="N80" s="193"/>
      <c r="O80" s="193"/>
      <c r="P80" s="193"/>
      <c r="Q80" s="140"/>
      <c r="R80" s="590"/>
      <c r="S80" s="83"/>
      <c r="T80" s="590"/>
      <c r="U80" s="590"/>
    </row>
    <row r="81" spans="1:21" ht="18.75" x14ac:dyDescent="0.3">
      <c r="A81" s="113" t="s">
        <v>202</v>
      </c>
      <c r="B81" s="593"/>
      <c r="C81" s="143" t="s">
        <v>44</v>
      </c>
      <c r="D81" s="234">
        <v>4</v>
      </c>
      <c r="E81" s="435">
        <v>0.33048</v>
      </c>
      <c r="F81" s="36">
        <v>1.1080239999999999</v>
      </c>
      <c r="G81" s="651">
        <f>ROUND(D81*E81*F81,2)</f>
        <v>1.46</v>
      </c>
      <c r="H81" s="345">
        <v>0.2</v>
      </c>
      <c r="I81" s="472">
        <f>ROUND(G81*H81,2)</f>
        <v>0.28999999999999998</v>
      </c>
      <c r="J81" s="472">
        <f>G81+I81</f>
        <v>1.75</v>
      </c>
      <c r="K81" s="79">
        <v>590155101</v>
      </c>
      <c r="M81" s="594"/>
      <c r="N81" s="595"/>
      <c r="O81" s="596"/>
      <c r="P81" s="595"/>
      <c r="Q81" s="283"/>
      <c r="R81" s="597"/>
      <c r="S81" s="83"/>
      <c r="T81" s="597"/>
      <c r="U81" s="597"/>
    </row>
    <row r="82" spans="1:21" ht="15.75" x14ac:dyDescent="0.25">
      <c r="A82" s="116">
        <v>1002</v>
      </c>
      <c r="B82" s="185"/>
      <c r="C82" s="140" t="s">
        <v>412</v>
      </c>
      <c r="D82" s="82">
        <f>109+73+33</f>
        <v>215</v>
      </c>
      <c r="E82" s="435">
        <v>0.24295</v>
      </c>
      <c r="F82" s="36">
        <v>1.1080239999999999</v>
      </c>
      <c r="G82" s="656">
        <f t="shared" si="17"/>
        <v>57.88</v>
      </c>
      <c r="H82" s="153">
        <v>0.2</v>
      </c>
      <c r="I82" s="472">
        <f t="shared" si="18"/>
        <v>11.58</v>
      </c>
      <c r="J82" s="472">
        <f t="shared" si="19"/>
        <v>69.460000000000008</v>
      </c>
      <c r="K82" s="79">
        <v>691837115</v>
      </c>
      <c r="M82" s="184"/>
      <c r="N82" s="193"/>
      <c r="O82" s="193"/>
      <c r="P82" s="193"/>
      <c r="Q82" s="140"/>
      <c r="R82" s="590"/>
      <c r="S82" s="83"/>
      <c r="T82" s="590"/>
      <c r="U82" s="590"/>
    </row>
    <row r="83" spans="1:21" ht="15.75" x14ac:dyDescent="0.25">
      <c r="A83" s="116">
        <v>2705</v>
      </c>
      <c r="B83" s="185"/>
      <c r="C83" s="140" t="s">
        <v>413</v>
      </c>
      <c r="D83" s="82">
        <v>436</v>
      </c>
      <c r="E83" s="435">
        <v>0.33048</v>
      </c>
      <c r="F83" s="36">
        <v>1.1080239999999999</v>
      </c>
      <c r="G83" s="656">
        <f>ROUND(D83*E83*F83,2)</f>
        <v>159.65</v>
      </c>
      <c r="H83" s="153">
        <v>0.2</v>
      </c>
      <c r="I83" s="472">
        <f>ROUND(G83*H83,2)</f>
        <v>31.93</v>
      </c>
      <c r="J83" s="472">
        <f>G83+I83</f>
        <v>191.58</v>
      </c>
      <c r="K83" s="652">
        <v>101376425</v>
      </c>
      <c r="M83" s="184"/>
      <c r="N83" s="193"/>
      <c r="O83" s="193"/>
      <c r="P83" s="193"/>
      <c r="Q83" s="140"/>
      <c r="R83" s="590"/>
      <c r="S83" s="83"/>
      <c r="T83" s="590"/>
      <c r="U83" s="590"/>
    </row>
    <row r="84" spans="1:21" ht="18.75" x14ac:dyDescent="0.3">
      <c r="A84" s="116">
        <v>2705</v>
      </c>
      <c r="B84" s="185"/>
      <c r="C84" s="140" t="s">
        <v>346</v>
      </c>
      <c r="D84" s="82">
        <v>0</v>
      </c>
      <c r="E84" s="435">
        <v>0.33048</v>
      </c>
      <c r="F84" s="36">
        <v>1.1080239999999999</v>
      </c>
      <c r="G84" s="656">
        <f t="shared" si="17"/>
        <v>0</v>
      </c>
      <c r="H84" s="153">
        <v>0.2</v>
      </c>
      <c r="I84" s="472">
        <f t="shared" si="18"/>
        <v>0</v>
      </c>
      <c r="J84" s="472">
        <f t="shared" si="19"/>
        <v>0</v>
      </c>
      <c r="K84" s="79">
        <v>591508261</v>
      </c>
      <c r="M84" s="287"/>
      <c r="N84" s="288" t="str">
        <f>C84</f>
        <v>ЧТУП Пансистем Инв</v>
      </c>
      <c r="O84" s="288">
        <f>D84</f>
        <v>0</v>
      </c>
      <c r="P84" s="288">
        <f>E84</f>
        <v>0.33048</v>
      </c>
      <c r="Q84" s="140">
        <f>F84</f>
        <v>1.1080239999999999</v>
      </c>
      <c r="R84" s="519">
        <f>G84</f>
        <v>0</v>
      </c>
      <c r="S84" s="285">
        <f>H79</f>
        <v>0.2</v>
      </c>
      <c r="T84" s="519">
        <f>I84</f>
        <v>0</v>
      </c>
      <c r="U84" s="519">
        <f>J84</f>
        <v>0</v>
      </c>
    </row>
    <row r="85" spans="1:21" ht="18.75" x14ac:dyDescent="0.3">
      <c r="A85" s="5" t="s">
        <v>205</v>
      </c>
      <c r="B85" s="189"/>
      <c r="C85" s="140" t="s">
        <v>44</v>
      </c>
      <c r="D85" s="82">
        <v>0</v>
      </c>
      <c r="E85" s="435">
        <v>0.33048</v>
      </c>
      <c r="F85" s="36">
        <v>1.1080239999999999</v>
      </c>
      <c r="G85" s="656">
        <f t="shared" si="17"/>
        <v>0</v>
      </c>
      <c r="H85" s="153">
        <v>0.2</v>
      </c>
      <c r="I85" s="472">
        <f t="shared" si="18"/>
        <v>0</v>
      </c>
      <c r="J85" s="472">
        <f t="shared" si="19"/>
        <v>0</v>
      </c>
      <c r="K85" s="79">
        <v>591508261</v>
      </c>
      <c r="M85" s="287"/>
      <c r="N85" s="290" t="str">
        <f>C85</f>
        <v xml:space="preserve"> -//- эл-ро обогрев день</v>
      </c>
      <c r="O85" s="300">
        <f>D84</f>
        <v>0</v>
      </c>
      <c r="P85" s="291">
        <f>E84</f>
        <v>0.33048</v>
      </c>
      <c r="Q85" s="140">
        <f>F85</f>
        <v>1.1080239999999999</v>
      </c>
      <c r="R85" s="517">
        <f>G84</f>
        <v>0</v>
      </c>
      <c r="S85" s="285">
        <f>H84</f>
        <v>0.2</v>
      </c>
      <c r="T85" s="517">
        <f>I84</f>
        <v>0</v>
      </c>
      <c r="U85" s="517">
        <f>J84</f>
        <v>0</v>
      </c>
    </row>
    <row r="86" spans="1:21" ht="18.75" x14ac:dyDescent="0.3">
      <c r="A86" s="5" t="s">
        <v>204</v>
      </c>
      <c r="B86" s="247"/>
      <c r="C86" s="143" t="s">
        <v>45</v>
      </c>
      <c r="D86" s="234">
        <v>0</v>
      </c>
      <c r="E86" s="437">
        <v>0.15176999999999999</v>
      </c>
      <c r="F86" s="36">
        <v>1.1080239999999999</v>
      </c>
      <c r="G86" s="656">
        <f t="shared" si="17"/>
        <v>0</v>
      </c>
      <c r="H86" s="345">
        <v>0.2</v>
      </c>
      <c r="I86" s="472">
        <f t="shared" si="18"/>
        <v>0</v>
      </c>
      <c r="J86" s="472">
        <f t="shared" si="19"/>
        <v>0</v>
      </c>
      <c r="K86" s="79">
        <v>591508261</v>
      </c>
      <c r="M86" s="287"/>
      <c r="N86" s="290" t="str">
        <f>C86</f>
        <v xml:space="preserve"> -//- эл-ро обогрев ночь</v>
      </c>
      <c r="O86" s="300">
        <f>D86</f>
        <v>0</v>
      </c>
      <c r="P86" s="300">
        <f t="shared" ref="P86:U86" si="20">E86</f>
        <v>0.15176999999999999</v>
      </c>
      <c r="Q86" s="140">
        <f>F86</f>
        <v>1.1080239999999999</v>
      </c>
      <c r="R86" s="521">
        <f t="shared" si="20"/>
        <v>0</v>
      </c>
      <c r="S86" s="285">
        <f>H85</f>
        <v>0.2</v>
      </c>
      <c r="T86" s="521">
        <f t="shared" si="20"/>
        <v>0</v>
      </c>
      <c r="U86" s="521">
        <f t="shared" si="20"/>
        <v>0</v>
      </c>
    </row>
    <row r="87" spans="1:21" ht="18.75" x14ac:dyDescent="0.3">
      <c r="A87" s="5">
        <v>1002</v>
      </c>
      <c r="B87" s="682" t="s">
        <v>569</v>
      </c>
      <c r="C87" s="143" t="s">
        <v>483</v>
      </c>
      <c r="D87" s="234">
        <f>22+21</f>
        <v>43</v>
      </c>
      <c r="E87" s="435">
        <v>0.24295</v>
      </c>
      <c r="F87" s="36">
        <v>1.1080239999999999</v>
      </c>
      <c r="G87" s="656">
        <f t="shared" si="17"/>
        <v>11.58</v>
      </c>
      <c r="H87" s="153">
        <v>0.2</v>
      </c>
      <c r="I87" s="472">
        <f t="shared" si="18"/>
        <v>2.3199999999999998</v>
      </c>
      <c r="J87" s="472">
        <f t="shared" si="19"/>
        <v>13.9</v>
      </c>
      <c r="K87" s="79">
        <v>590691274</v>
      </c>
      <c r="M87" s="287"/>
      <c r="N87" s="290"/>
      <c r="O87" s="300"/>
      <c r="P87" s="300"/>
      <c r="Q87" s="140"/>
      <c r="R87" s="521"/>
      <c r="S87" s="285"/>
      <c r="T87" s="521"/>
      <c r="U87" s="521"/>
    </row>
    <row r="88" spans="1:21" ht="18.75" x14ac:dyDescent="0.3">
      <c r="A88" s="5">
        <v>2605</v>
      </c>
      <c r="B88" s="247"/>
      <c r="C88" s="140" t="s">
        <v>313</v>
      </c>
      <c r="D88" s="82">
        <v>150</v>
      </c>
      <c r="E88" s="435">
        <v>0.33048</v>
      </c>
      <c r="F88" s="36">
        <v>1.1080239999999999</v>
      </c>
      <c r="G88" s="656">
        <f t="shared" si="17"/>
        <v>54.93</v>
      </c>
      <c r="H88" s="153">
        <v>0.2</v>
      </c>
      <c r="I88" s="472">
        <f t="shared" si="18"/>
        <v>10.99</v>
      </c>
      <c r="J88" s="472">
        <f>G88+I88</f>
        <v>65.92</v>
      </c>
      <c r="K88" s="79">
        <v>590691274</v>
      </c>
      <c r="M88" s="287"/>
      <c r="N88" s="290"/>
      <c r="O88" s="300"/>
      <c r="P88" s="300"/>
      <c r="Q88" s="140"/>
      <c r="R88" s="521"/>
      <c r="S88" s="285"/>
      <c r="T88" s="521"/>
      <c r="U88" s="521"/>
    </row>
    <row r="89" spans="1:21" ht="18.75" x14ac:dyDescent="0.3">
      <c r="A89" s="5" t="s">
        <v>449</v>
      </c>
      <c r="B89" s="247"/>
      <c r="C89" s="140" t="s">
        <v>44</v>
      </c>
      <c r="D89" s="82">
        <v>54</v>
      </c>
      <c r="E89" s="435">
        <v>0.33048</v>
      </c>
      <c r="F89" s="36">
        <v>1.1080239999999999</v>
      </c>
      <c r="G89" s="656">
        <f t="shared" si="17"/>
        <v>19.77</v>
      </c>
      <c r="H89" s="153">
        <v>0.2</v>
      </c>
      <c r="I89" s="472">
        <f t="shared" si="18"/>
        <v>3.95</v>
      </c>
      <c r="J89" s="472">
        <f>G89+I89</f>
        <v>23.72</v>
      </c>
      <c r="K89" s="79">
        <v>590691274</v>
      </c>
      <c r="M89" s="287"/>
      <c r="N89" s="290"/>
      <c r="O89" s="300"/>
      <c r="P89" s="300"/>
      <c r="Q89" s="140"/>
      <c r="R89" s="521"/>
      <c r="S89" s="285"/>
      <c r="T89" s="521"/>
      <c r="U89" s="521"/>
    </row>
    <row r="90" spans="1:21" ht="18.75" x14ac:dyDescent="0.3">
      <c r="A90" s="116">
        <v>2705</v>
      </c>
      <c r="B90" s="247"/>
      <c r="C90" s="143" t="s">
        <v>525</v>
      </c>
      <c r="D90" s="82">
        <v>234</v>
      </c>
      <c r="E90" s="435">
        <v>0.33048</v>
      </c>
      <c r="F90" s="36">
        <v>1.1080239999999999</v>
      </c>
      <c r="G90" s="656">
        <f>ROUND(D90*E90*F90,2)</f>
        <v>85.69</v>
      </c>
      <c r="H90" s="153">
        <v>0.2</v>
      </c>
      <c r="I90" s="472">
        <f>ROUND(G90*H90,2)</f>
        <v>17.14</v>
      </c>
      <c r="J90" s="472">
        <f>G90+I90</f>
        <v>102.83</v>
      </c>
      <c r="K90" s="79">
        <v>591019461</v>
      </c>
      <c r="M90" s="287"/>
      <c r="N90" s="290"/>
      <c r="O90" s="300"/>
      <c r="P90" s="300"/>
      <c r="Q90" s="140"/>
      <c r="R90" s="521"/>
      <c r="S90" s="285"/>
      <c r="T90" s="521"/>
      <c r="U90" s="521"/>
    </row>
    <row r="91" spans="1:21" ht="18.75" x14ac:dyDescent="0.3">
      <c r="A91" s="5">
        <v>1002</v>
      </c>
      <c r="B91" s="682"/>
      <c r="C91" s="143"/>
      <c r="D91" s="82">
        <v>0</v>
      </c>
      <c r="E91" s="435">
        <v>0.24295</v>
      </c>
      <c r="F91" s="36">
        <v>1.1080239999999999</v>
      </c>
      <c r="G91" s="656">
        <f>ROUND(D91*E91*F91,2)</f>
        <v>0</v>
      </c>
      <c r="H91" s="153">
        <v>0.2</v>
      </c>
      <c r="I91" s="472">
        <f>ROUND(G91*H91,2)</f>
        <v>0</v>
      </c>
      <c r="J91" s="472">
        <f>G91+I91</f>
        <v>0</v>
      </c>
      <c r="K91" s="652">
        <v>590646236</v>
      </c>
      <c r="M91" s="287"/>
      <c r="N91" s="290"/>
      <c r="O91" s="300"/>
      <c r="P91" s="300"/>
      <c r="Q91" s="140"/>
      <c r="R91" s="521"/>
      <c r="S91" s="285"/>
      <c r="T91" s="521"/>
      <c r="U91" s="521"/>
    </row>
    <row r="92" spans="1:21" ht="19.5" thickBot="1" x14ac:dyDescent="0.35">
      <c r="A92" s="5">
        <v>2605</v>
      </c>
      <c r="B92" s="247" t="s">
        <v>581</v>
      </c>
      <c r="C92" s="143" t="s">
        <v>248</v>
      </c>
      <c r="D92" s="234">
        <v>632</v>
      </c>
      <c r="E92" s="435">
        <v>0.33048</v>
      </c>
      <c r="F92" s="36">
        <v>1.1080239999999999</v>
      </c>
      <c r="G92" s="656">
        <f>D92*E92*F92</f>
        <v>231.42561560063999</v>
      </c>
      <c r="H92" s="153">
        <v>0.2</v>
      </c>
      <c r="I92" s="472">
        <f t="shared" si="18"/>
        <v>46.29</v>
      </c>
      <c r="J92" s="472">
        <f t="shared" si="19"/>
        <v>277.71561560063998</v>
      </c>
      <c r="K92" s="79">
        <v>591019752</v>
      </c>
      <c r="M92" s="287"/>
      <c r="N92" s="290"/>
      <c r="O92" s="300"/>
      <c r="P92" s="300"/>
      <c r="Q92" s="140"/>
      <c r="R92" s="521"/>
      <c r="S92" s="285"/>
      <c r="T92" s="521"/>
      <c r="U92" s="521"/>
    </row>
    <row r="93" spans="1:21" ht="18.75" customHeight="1" thickBot="1" x14ac:dyDescent="0.35">
      <c r="B93" s="354"/>
      <c r="C93" s="196"/>
      <c r="D93" s="197">
        <f>SUM(D70:D92)</f>
        <v>4437</v>
      </c>
      <c r="E93" s="435"/>
      <c r="F93" s="36"/>
      <c r="G93" s="657">
        <f>SUM(G70:G92)</f>
        <v>1599.7156156006401</v>
      </c>
      <c r="H93" s="614"/>
      <c r="I93" s="603">
        <f>SUM(I70:I92)</f>
        <v>319.97000000000003</v>
      </c>
      <c r="J93" s="605">
        <f>SUM(J70:J92)</f>
        <v>1919.6856156006399</v>
      </c>
      <c r="K93" s="79"/>
      <c r="M93" s="292"/>
      <c r="N93" s="283"/>
      <c r="O93" s="297"/>
      <c r="P93" s="283"/>
      <c r="Q93" s="283"/>
      <c r="R93" s="517"/>
      <c r="S93" s="285"/>
      <c r="T93" s="517"/>
      <c r="U93" s="517"/>
    </row>
    <row r="94" spans="1:21" ht="18.75" customHeight="1" x14ac:dyDescent="0.3">
      <c r="A94" s="116">
        <v>2705</v>
      </c>
      <c r="B94" s="187">
        <v>12</v>
      </c>
      <c r="C94" s="193" t="s">
        <v>41</v>
      </c>
      <c r="D94" s="152">
        <v>192</v>
      </c>
      <c r="E94" s="435">
        <v>0.33048</v>
      </c>
      <c r="F94" s="36">
        <v>1.1080239999999999</v>
      </c>
      <c r="G94" s="656">
        <f t="shared" ref="G94:G107" si="21">ROUND(D94*E94*F94,2)</f>
        <v>70.31</v>
      </c>
      <c r="H94" s="253">
        <v>0.2</v>
      </c>
      <c r="I94" s="472">
        <f t="shared" ref="I94:I138" si="22">ROUND(G94*H94,2)</f>
        <v>14.06</v>
      </c>
      <c r="J94" s="472">
        <f t="shared" ref="J94:J138" si="23">G94+I94</f>
        <v>84.37</v>
      </c>
      <c r="K94" s="79">
        <v>590646144</v>
      </c>
      <c r="M94" s="292"/>
      <c r="N94" s="292"/>
      <c r="O94" s="301"/>
      <c r="P94" s="292"/>
      <c r="Q94" s="292"/>
      <c r="R94" s="522"/>
      <c r="S94" s="285"/>
      <c r="T94" s="522"/>
      <c r="U94" s="522"/>
    </row>
    <row r="95" spans="1:21" ht="18.75" x14ac:dyDescent="0.3">
      <c r="A95" s="116">
        <v>2705</v>
      </c>
      <c r="B95" s="187"/>
      <c r="C95" s="140" t="s">
        <v>42</v>
      </c>
      <c r="D95" s="82">
        <v>553</v>
      </c>
      <c r="E95" s="435">
        <v>0.33048</v>
      </c>
      <c r="F95" s="36">
        <v>1.1080239999999999</v>
      </c>
      <c r="G95" s="656">
        <f t="shared" si="21"/>
        <v>202.5</v>
      </c>
      <c r="H95" s="153">
        <v>0.2</v>
      </c>
      <c r="I95" s="472">
        <f t="shared" si="22"/>
        <v>40.5</v>
      </c>
      <c r="J95" s="472">
        <f t="shared" si="23"/>
        <v>243</v>
      </c>
      <c r="K95" s="79">
        <v>500826740</v>
      </c>
      <c r="M95" s="292"/>
      <c r="N95" s="292" t="str">
        <f t="shared" ref="N95:R96" si="24">C95</f>
        <v>Маг."Военсервис"</v>
      </c>
      <c r="O95" s="292">
        <f t="shared" si="24"/>
        <v>553</v>
      </c>
      <c r="P95" s="292">
        <f t="shared" si="24"/>
        <v>0.33048</v>
      </c>
      <c r="Q95" s="292">
        <f t="shared" si="24"/>
        <v>1.1080239999999999</v>
      </c>
      <c r="R95" s="522">
        <f t="shared" si="24"/>
        <v>202.5</v>
      </c>
      <c r="S95" s="285">
        <f>H94</f>
        <v>0.2</v>
      </c>
      <c r="T95" s="522">
        <f>I95</f>
        <v>40.5</v>
      </c>
      <c r="U95" s="522">
        <f>J95</f>
        <v>243</v>
      </c>
    </row>
    <row r="96" spans="1:21" ht="16.5" customHeight="1" x14ac:dyDescent="0.3">
      <c r="A96" s="116">
        <v>2705</v>
      </c>
      <c r="B96" s="187"/>
      <c r="C96" s="140" t="s">
        <v>43</v>
      </c>
      <c r="D96" s="82">
        <v>620</v>
      </c>
      <c r="E96" s="435">
        <v>0.33048</v>
      </c>
      <c r="F96" s="36">
        <v>1.1080239999999999</v>
      </c>
      <c r="G96" s="656">
        <f t="shared" si="21"/>
        <v>227.03</v>
      </c>
      <c r="H96" s="153">
        <v>0.2</v>
      </c>
      <c r="I96" s="472">
        <f t="shared" si="22"/>
        <v>45.41</v>
      </c>
      <c r="J96" s="472">
        <f t="shared" si="23"/>
        <v>272.44</v>
      </c>
      <c r="K96" s="79">
        <v>500573599</v>
      </c>
      <c r="M96" s="293"/>
      <c r="N96" s="292" t="str">
        <f t="shared" si="24"/>
        <v xml:space="preserve">"Пинскдрев" </v>
      </c>
      <c r="O96" s="292">
        <f t="shared" si="24"/>
        <v>620</v>
      </c>
      <c r="P96" s="292">
        <f t="shared" si="24"/>
        <v>0.33048</v>
      </c>
      <c r="Q96" s="292">
        <f t="shared" si="24"/>
        <v>1.1080239999999999</v>
      </c>
      <c r="R96" s="522">
        <f t="shared" si="24"/>
        <v>227.03</v>
      </c>
      <c r="S96" s="285">
        <f>H95</f>
        <v>0.2</v>
      </c>
      <c r="T96" s="522">
        <f>I96</f>
        <v>45.41</v>
      </c>
      <c r="U96" s="522">
        <f>J96</f>
        <v>272.44</v>
      </c>
    </row>
    <row r="97" spans="1:21" ht="18" customHeight="1" x14ac:dyDescent="0.3">
      <c r="A97" s="116">
        <v>2705</v>
      </c>
      <c r="B97" s="673" t="s">
        <v>473</v>
      </c>
      <c r="C97" s="140" t="s">
        <v>370</v>
      </c>
      <c r="D97" s="82">
        <v>0</v>
      </c>
      <c r="E97" s="436">
        <v>0.33048</v>
      </c>
      <c r="F97" s="36">
        <v>1.1080239999999999</v>
      </c>
      <c r="G97" s="656">
        <f t="shared" si="21"/>
        <v>0</v>
      </c>
      <c r="H97" s="153">
        <v>0.2</v>
      </c>
      <c r="I97" s="472">
        <f t="shared" si="22"/>
        <v>0</v>
      </c>
      <c r="J97" s="472">
        <f t="shared" si="23"/>
        <v>0</v>
      </c>
      <c r="K97" s="79">
        <v>500221512</v>
      </c>
      <c r="M97" s="581"/>
      <c r="N97" s="582" t="str">
        <f t="shared" ref="N97:O104" si="25">C97</f>
        <v>ООО "Комповид"</v>
      </c>
      <c r="O97" s="582">
        <f t="shared" si="25"/>
        <v>0</v>
      </c>
      <c r="P97" s="582"/>
      <c r="Q97" s="582"/>
      <c r="R97" s="583"/>
      <c r="S97" s="285"/>
      <c r="T97" s="583"/>
      <c r="U97" s="583"/>
    </row>
    <row r="98" spans="1:21" ht="18" customHeight="1" x14ac:dyDescent="0.3">
      <c r="A98" s="116">
        <v>2705</v>
      </c>
      <c r="B98" s="185"/>
      <c r="C98" s="140" t="s">
        <v>408</v>
      </c>
      <c r="D98" s="82">
        <v>49</v>
      </c>
      <c r="E98" s="436">
        <v>0.33048</v>
      </c>
      <c r="F98" s="36">
        <v>1.1080239999999999</v>
      </c>
      <c r="G98" s="656">
        <f t="shared" si="21"/>
        <v>17.940000000000001</v>
      </c>
      <c r="H98" s="153">
        <v>0.2</v>
      </c>
      <c r="I98" s="472">
        <f t="shared" si="22"/>
        <v>3.59</v>
      </c>
      <c r="J98" s="472">
        <f t="shared" si="23"/>
        <v>21.53</v>
      </c>
      <c r="K98" s="79">
        <v>590002123</v>
      </c>
      <c r="M98" s="581"/>
      <c r="N98" s="582" t="str">
        <f t="shared" si="25"/>
        <v>Виботорг</v>
      </c>
      <c r="O98" s="582">
        <f t="shared" si="25"/>
        <v>49</v>
      </c>
      <c r="P98" s="582"/>
      <c r="Q98" s="582"/>
      <c r="R98" s="583"/>
      <c r="S98" s="285"/>
      <c r="T98" s="583"/>
      <c r="U98" s="583"/>
    </row>
    <row r="99" spans="1:21" ht="18" customHeight="1" x14ac:dyDescent="0.3">
      <c r="A99" s="116">
        <v>902</v>
      </c>
      <c r="B99" s="185"/>
      <c r="C99" s="140" t="s">
        <v>416</v>
      </c>
      <c r="D99" s="82">
        <v>126</v>
      </c>
      <c r="E99" s="436">
        <v>0.24295</v>
      </c>
      <c r="F99" s="36">
        <v>1.1080239999999999</v>
      </c>
      <c r="G99" s="656">
        <f t="shared" si="21"/>
        <v>33.92</v>
      </c>
      <c r="H99" s="153">
        <v>0.2</v>
      </c>
      <c r="I99" s="472">
        <f t="shared" si="22"/>
        <v>6.78</v>
      </c>
      <c r="J99" s="472">
        <f t="shared" si="23"/>
        <v>40.700000000000003</v>
      </c>
      <c r="K99" s="652">
        <v>591852600</v>
      </c>
      <c r="M99" s="581"/>
      <c r="N99" s="582" t="str">
        <f t="shared" si="25"/>
        <v>Белуга</v>
      </c>
      <c r="O99" s="582">
        <f t="shared" si="25"/>
        <v>126</v>
      </c>
      <c r="P99" s="582"/>
      <c r="Q99" s="582"/>
      <c r="R99" s="583"/>
      <c r="S99" s="285"/>
      <c r="T99" s="583"/>
      <c r="U99" s="583"/>
    </row>
    <row r="100" spans="1:21" ht="18" customHeight="1" x14ac:dyDescent="0.3">
      <c r="A100" s="116" t="s">
        <v>206</v>
      </c>
      <c r="B100" s="185"/>
      <c r="C100" s="140" t="s">
        <v>415</v>
      </c>
      <c r="D100" s="82">
        <v>100</v>
      </c>
      <c r="E100" s="436">
        <v>0.27273999999999998</v>
      </c>
      <c r="F100" s="36">
        <v>1.1080239999999999</v>
      </c>
      <c r="G100" s="656">
        <f>ROUND(D100*E100*F100,2)</f>
        <v>30.22</v>
      </c>
      <c r="H100" s="153">
        <v>0.2</v>
      </c>
      <c r="I100" s="472">
        <f>ROUND(G100*H100,2)</f>
        <v>6.04</v>
      </c>
      <c r="J100" s="472">
        <f>G100+I100</f>
        <v>36.26</v>
      </c>
      <c r="K100" s="79">
        <v>500033951</v>
      </c>
      <c r="M100" s="581"/>
      <c r="N100" s="582" t="str">
        <f t="shared" si="25"/>
        <v>Мастацтво</v>
      </c>
      <c r="O100" s="582">
        <f t="shared" si="25"/>
        <v>100</v>
      </c>
      <c r="P100" s="582"/>
      <c r="Q100" s="582"/>
      <c r="R100" s="583"/>
      <c r="S100" s="285"/>
      <c r="T100" s="583"/>
      <c r="U100" s="583"/>
    </row>
    <row r="101" spans="1:21" ht="18" customHeight="1" x14ac:dyDescent="0.3">
      <c r="A101" s="116">
        <v>902</v>
      </c>
      <c r="B101" s="185"/>
      <c r="C101" s="140" t="s">
        <v>409</v>
      </c>
      <c r="D101" s="82">
        <v>331</v>
      </c>
      <c r="E101" s="436">
        <v>0.24295</v>
      </c>
      <c r="F101" s="36">
        <v>1.1080239999999999</v>
      </c>
      <c r="G101" s="656">
        <f t="shared" si="21"/>
        <v>89.1</v>
      </c>
      <c r="H101" s="153">
        <v>0.2</v>
      </c>
      <c r="I101" s="472">
        <f t="shared" si="22"/>
        <v>17.82</v>
      </c>
      <c r="J101" s="472">
        <f t="shared" si="23"/>
        <v>106.91999999999999</v>
      </c>
      <c r="K101" s="79">
        <v>590686432</v>
      </c>
      <c r="M101" s="581"/>
      <c r="N101" s="582" t="str">
        <f t="shared" si="25"/>
        <v>ИП Санько</v>
      </c>
      <c r="O101" s="582">
        <f t="shared" si="25"/>
        <v>331</v>
      </c>
      <c r="P101" s="582"/>
      <c r="Q101" s="582"/>
      <c r="R101" s="583"/>
      <c r="S101" s="285"/>
      <c r="T101" s="583"/>
      <c r="U101" s="583"/>
    </row>
    <row r="102" spans="1:21" ht="18" customHeight="1" x14ac:dyDescent="0.3">
      <c r="A102" s="116">
        <v>2705</v>
      </c>
      <c r="B102" s="185"/>
      <c r="C102" s="140" t="s">
        <v>291</v>
      </c>
      <c r="D102" s="82">
        <v>34</v>
      </c>
      <c r="E102" s="436">
        <v>0.33048</v>
      </c>
      <c r="F102" s="36">
        <v>1.1080239999999999</v>
      </c>
      <c r="G102" s="656">
        <f t="shared" si="21"/>
        <v>12.45</v>
      </c>
      <c r="H102" s="153">
        <v>0.2</v>
      </c>
      <c r="I102" s="472">
        <f t="shared" si="22"/>
        <v>2.4900000000000002</v>
      </c>
      <c r="J102" s="472">
        <f t="shared" si="23"/>
        <v>14.94</v>
      </c>
      <c r="K102" s="79">
        <v>590612421</v>
      </c>
      <c r="M102" s="581"/>
      <c r="N102" s="582" t="str">
        <f t="shared" si="25"/>
        <v>ИП Мартысевич</v>
      </c>
      <c r="O102" s="582">
        <f t="shared" si="25"/>
        <v>34</v>
      </c>
      <c r="P102" s="582"/>
      <c r="Q102" s="582"/>
      <c r="R102" s="583"/>
      <c r="S102" s="285"/>
      <c r="T102" s="583"/>
      <c r="U102" s="583"/>
    </row>
    <row r="103" spans="1:21" ht="18" customHeight="1" x14ac:dyDescent="0.3">
      <c r="A103" s="116">
        <v>2705</v>
      </c>
      <c r="B103" s="185"/>
      <c r="C103" s="140" t="s">
        <v>113</v>
      </c>
      <c r="D103" s="82">
        <v>458</v>
      </c>
      <c r="E103" s="436">
        <v>0.33048</v>
      </c>
      <c r="F103" s="36">
        <v>1.1080239999999999</v>
      </c>
      <c r="G103" s="656">
        <f t="shared" si="21"/>
        <v>167.71</v>
      </c>
      <c r="H103" s="153">
        <v>0.2</v>
      </c>
      <c r="I103" s="472">
        <f t="shared" si="22"/>
        <v>33.54</v>
      </c>
      <c r="J103" s="472">
        <f t="shared" si="23"/>
        <v>201.25</v>
      </c>
      <c r="K103" s="79">
        <v>590669070</v>
      </c>
      <c r="M103" s="581"/>
      <c r="N103" s="582" t="str">
        <f t="shared" si="25"/>
        <v>ИП Куджицкий</v>
      </c>
      <c r="O103" s="582">
        <f t="shared" si="25"/>
        <v>458</v>
      </c>
      <c r="P103" s="582"/>
      <c r="Q103" s="582"/>
      <c r="R103" s="583"/>
      <c r="S103" s="285"/>
      <c r="T103" s="583"/>
      <c r="U103" s="583"/>
    </row>
    <row r="104" spans="1:21" ht="18" customHeight="1" x14ac:dyDescent="0.3">
      <c r="A104" s="116">
        <v>902</v>
      </c>
      <c r="B104" s="185"/>
      <c r="C104" s="140" t="s">
        <v>234</v>
      </c>
      <c r="D104" s="82">
        <v>200</v>
      </c>
      <c r="E104" s="436">
        <v>0.24295</v>
      </c>
      <c r="F104" s="36">
        <v>1.1080239999999999</v>
      </c>
      <c r="G104" s="656">
        <f t="shared" si="21"/>
        <v>53.84</v>
      </c>
      <c r="H104" s="153">
        <v>0.2</v>
      </c>
      <c r="I104" s="472">
        <f t="shared" si="22"/>
        <v>10.77</v>
      </c>
      <c r="J104" s="472">
        <f t="shared" si="23"/>
        <v>64.61</v>
      </c>
      <c r="K104" s="79">
        <v>591161891</v>
      </c>
      <c r="M104" s="581"/>
      <c r="N104" s="582" t="str">
        <f t="shared" si="25"/>
        <v>ИП Карпей</v>
      </c>
      <c r="O104" s="582">
        <f t="shared" si="25"/>
        <v>200</v>
      </c>
      <c r="P104" s="582"/>
      <c r="Q104" s="582"/>
      <c r="R104" s="583"/>
      <c r="S104" s="285"/>
      <c r="T104" s="583"/>
      <c r="U104" s="583"/>
    </row>
    <row r="105" spans="1:21" ht="18" customHeight="1" x14ac:dyDescent="0.3">
      <c r="A105" s="116">
        <v>1002</v>
      </c>
      <c r="B105" s="185"/>
      <c r="C105" s="668" t="s">
        <v>412</v>
      </c>
      <c r="D105" s="82">
        <v>0</v>
      </c>
      <c r="E105" s="435">
        <v>0.24295</v>
      </c>
      <c r="F105" s="36">
        <v>1.1080239999999999</v>
      </c>
      <c r="G105" s="656">
        <f t="shared" si="21"/>
        <v>0</v>
      </c>
      <c r="H105" s="153">
        <v>0.2</v>
      </c>
      <c r="I105" s="472">
        <f t="shared" si="22"/>
        <v>0</v>
      </c>
      <c r="J105" s="472">
        <f t="shared" si="23"/>
        <v>0</v>
      </c>
      <c r="K105" s="79">
        <v>691837115</v>
      </c>
      <c r="M105" s="581"/>
      <c r="N105" s="582"/>
      <c r="O105" s="582">
        <f t="shared" ref="O105:O110" si="26">D105</f>
        <v>0</v>
      </c>
      <c r="P105" s="582"/>
      <c r="Q105" s="582"/>
      <c r="R105" s="583"/>
      <c r="S105" s="285"/>
      <c r="T105" s="583"/>
      <c r="U105" s="583"/>
    </row>
    <row r="106" spans="1:21" ht="18" customHeight="1" x14ac:dyDescent="0.3">
      <c r="A106" s="116">
        <v>902</v>
      </c>
      <c r="B106" s="185"/>
      <c r="C106" s="140" t="s">
        <v>410</v>
      </c>
      <c r="D106" s="82">
        <v>142</v>
      </c>
      <c r="E106" s="435">
        <v>0.24295</v>
      </c>
      <c r="F106" s="36">
        <v>1.1080239999999999</v>
      </c>
      <c r="G106" s="656">
        <f t="shared" si="21"/>
        <v>38.229999999999997</v>
      </c>
      <c r="H106" s="153">
        <v>0.2</v>
      </c>
      <c r="I106" s="472">
        <f t="shared" si="22"/>
        <v>7.65</v>
      </c>
      <c r="J106" s="472">
        <f t="shared" si="23"/>
        <v>45.879999999999995</v>
      </c>
      <c r="K106" s="79">
        <v>590673707</v>
      </c>
      <c r="M106" s="581"/>
      <c r="N106" s="582" t="str">
        <f t="shared" ref="N106:O121" si="27">C106</f>
        <v>ИП Кумпель</v>
      </c>
      <c r="O106" s="582">
        <f t="shared" si="26"/>
        <v>142</v>
      </c>
      <c r="P106" s="582"/>
      <c r="Q106" s="582"/>
      <c r="R106" s="583"/>
      <c r="S106" s="285"/>
      <c r="T106" s="583"/>
      <c r="U106" s="583"/>
    </row>
    <row r="107" spans="1:21" ht="18" customHeight="1" x14ac:dyDescent="0.3">
      <c r="A107" s="116">
        <v>902</v>
      </c>
      <c r="B107" s="185"/>
      <c r="C107" s="140" t="s">
        <v>201</v>
      </c>
      <c r="D107" s="82">
        <v>523</v>
      </c>
      <c r="E107" s="435">
        <v>0.24295</v>
      </c>
      <c r="F107" s="36">
        <v>1.1080239999999999</v>
      </c>
      <c r="G107" s="656">
        <f t="shared" si="21"/>
        <v>140.79</v>
      </c>
      <c r="H107" s="153">
        <v>0.2</v>
      </c>
      <c r="I107" s="472">
        <f t="shared" si="22"/>
        <v>28.16</v>
      </c>
      <c r="J107" s="472">
        <f t="shared" si="23"/>
        <v>168.95</v>
      </c>
      <c r="K107" s="79">
        <v>500282225</v>
      </c>
      <c r="M107" s="581"/>
      <c r="N107" s="582" t="str">
        <f t="shared" si="27"/>
        <v>УЧПП Эрис</v>
      </c>
      <c r="O107" s="582">
        <f t="shared" si="26"/>
        <v>523</v>
      </c>
      <c r="P107" s="582"/>
      <c r="Q107" s="582"/>
      <c r="R107" s="583"/>
      <c r="S107" s="285"/>
      <c r="T107" s="583"/>
      <c r="U107" s="583"/>
    </row>
    <row r="108" spans="1:21" ht="18" customHeight="1" x14ac:dyDescent="0.3">
      <c r="A108" s="116">
        <v>2705</v>
      </c>
      <c r="B108" s="185"/>
      <c r="C108" s="140" t="s">
        <v>371</v>
      </c>
      <c r="D108" s="648">
        <v>231</v>
      </c>
      <c r="E108" s="647">
        <v>0.33048</v>
      </c>
      <c r="F108" s="36">
        <v>1.1080239999999999</v>
      </c>
      <c r="G108" s="656">
        <f>ROUND(D108*E108*F108,2)</f>
        <v>84.59</v>
      </c>
      <c r="H108" s="153">
        <v>0.2</v>
      </c>
      <c r="I108" s="472">
        <f t="shared" si="22"/>
        <v>16.920000000000002</v>
      </c>
      <c r="J108" s="472">
        <f t="shared" si="23"/>
        <v>101.51</v>
      </c>
      <c r="K108" s="652">
        <v>591121506</v>
      </c>
      <c r="M108" s="581"/>
      <c r="N108" s="582" t="str">
        <f t="shared" si="27"/>
        <v>Качанов Купалы24-168</v>
      </c>
      <c r="O108" s="582">
        <f t="shared" si="26"/>
        <v>231</v>
      </c>
      <c r="P108" s="582"/>
      <c r="Q108" s="582"/>
      <c r="R108" s="583"/>
      <c r="S108" s="285"/>
      <c r="T108" s="583"/>
      <c r="U108" s="583"/>
    </row>
    <row r="109" spans="1:21" ht="18" customHeight="1" x14ac:dyDescent="0.3">
      <c r="A109" s="116">
        <v>2705</v>
      </c>
      <c r="B109" s="185"/>
      <c r="C109" s="140" t="s">
        <v>399</v>
      </c>
      <c r="D109" s="648">
        <v>931</v>
      </c>
      <c r="E109" s="647">
        <v>0.33048</v>
      </c>
      <c r="F109" s="36">
        <v>1.1080239999999999</v>
      </c>
      <c r="G109" s="656">
        <f>ROUND(D109*E109*F109,2)</f>
        <v>340.91</v>
      </c>
      <c r="H109" s="153">
        <v>0.2</v>
      </c>
      <c r="I109" s="472">
        <f t="shared" si="22"/>
        <v>68.180000000000007</v>
      </c>
      <c r="J109" s="472">
        <f t="shared" si="23"/>
        <v>409.09000000000003</v>
      </c>
      <c r="K109" s="79">
        <v>500430806</v>
      </c>
      <c r="M109" s="581"/>
      <c r="N109" s="582" t="str">
        <f t="shared" si="27"/>
        <v>ИП Дудкевич</v>
      </c>
      <c r="O109" s="582">
        <f t="shared" si="26"/>
        <v>931</v>
      </c>
      <c r="P109" s="582"/>
      <c r="Q109" s="582"/>
      <c r="R109" s="583"/>
      <c r="S109" s="285"/>
      <c r="T109" s="583"/>
      <c r="U109" s="583"/>
    </row>
    <row r="110" spans="1:21" ht="18" customHeight="1" x14ac:dyDescent="0.3">
      <c r="A110" s="116" t="s">
        <v>205</v>
      </c>
      <c r="B110" s="645"/>
      <c r="C110" s="140" t="s">
        <v>11</v>
      </c>
      <c r="D110" s="643">
        <v>297</v>
      </c>
      <c r="E110" s="644">
        <v>0.33048</v>
      </c>
      <c r="F110" s="36">
        <v>1.1080239999999999</v>
      </c>
      <c r="G110" s="656">
        <f>ROUND(D110*E110*F110,2)</f>
        <v>108.76</v>
      </c>
      <c r="H110" s="640">
        <v>0.2</v>
      </c>
      <c r="I110" s="472">
        <f t="shared" si="22"/>
        <v>21.75</v>
      </c>
      <c r="J110" s="472">
        <f t="shared" si="23"/>
        <v>130.51</v>
      </c>
      <c r="K110" s="652">
        <v>591519589</v>
      </c>
      <c r="M110" s="294"/>
      <c r="N110" s="295"/>
      <c r="O110" s="302">
        <f t="shared" si="26"/>
        <v>297</v>
      </c>
      <c r="P110" s="295"/>
      <c r="Q110" s="295"/>
      <c r="R110" s="523"/>
      <c r="S110" s="285"/>
      <c r="T110" s="523"/>
      <c r="U110" s="523"/>
    </row>
    <row r="111" spans="1:21" ht="18" customHeight="1" x14ac:dyDescent="0.3">
      <c r="A111" s="116">
        <v>2705</v>
      </c>
      <c r="B111" s="185"/>
      <c r="C111" s="140" t="s">
        <v>419</v>
      </c>
      <c r="D111" s="648">
        <v>24</v>
      </c>
      <c r="E111" s="647">
        <v>0.33048</v>
      </c>
      <c r="F111" s="36">
        <v>1.1080239999999999</v>
      </c>
      <c r="G111" s="656">
        <f t="shared" ref="G111:G138" si="28">ROUND(D111*E111*F111,2)</f>
        <v>8.7899999999999991</v>
      </c>
      <c r="H111" s="153">
        <v>0.2</v>
      </c>
      <c r="I111" s="472">
        <f t="shared" si="22"/>
        <v>1.76</v>
      </c>
      <c r="J111" s="472">
        <f t="shared" si="23"/>
        <v>10.549999999999999</v>
      </c>
      <c r="K111" s="658">
        <v>590997636</v>
      </c>
      <c r="M111" s="581"/>
      <c r="N111" s="582" t="str">
        <f t="shared" si="27"/>
        <v>ООО ЖилКомфорт</v>
      </c>
      <c r="O111" s="582">
        <f t="shared" si="27"/>
        <v>24</v>
      </c>
      <c r="P111" s="582"/>
      <c r="Q111" s="582"/>
      <c r="R111" s="583"/>
      <c r="S111" s="285"/>
      <c r="T111" s="583"/>
      <c r="U111" s="583"/>
    </row>
    <row r="112" spans="1:21" ht="18" customHeight="1" x14ac:dyDescent="0.3">
      <c r="A112" s="116">
        <v>1002</v>
      </c>
      <c r="B112" s="185"/>
      <c r="C112" s="715" t="s">
        <v>419</v>
      </c>
      <c r="D112" s="648">
        <v>0</v>
      </c>
      <c r="E112" s="435">
        <v>0.24295</v>
      </c>
      <c r="F112" s="36">
        <v>1.1080239999999999</v>
      </c>
      <c r="G112" s="656">
        <f>ROUND(D112*E112*F112,2)</f>
        <v>0</v>
      </c>
      <c r="H112" s="153">
        <v>0.2</v>
      </c>
      <c r="I112" s="472">
        <f>ROUND(G112*H112,2)</f>
        <v>0</v>
      </c>
      <c r="J112" s="472">
        <f>G112+I112</f>
        <v>0</v>
      </c>
      <c r="K112" s="658">
        <v>590997636</v>
      </c>
      <c r="M112" s="581"/>
      <c r="N112" s="582" t="str">
        <f>C112</f>
        <v>ООО ЖилКомфорт</v>
      </c>
      <c r="O112" s="582">
        <f>D112</f>
        <v>0</v>
      </c>
      <c r="P112" s="582"/>
      <c r="Q112" s="582"/>
      <c r="R112" s="583"/>
      <c r="S112" s="285"/>
      <c r="T112" s="583"/>
      <c r="U112" s="583"/>
    </row>
    <row r="113" spans="1:21" ht="18" customHeight="1" x14ac:dyDescent="0.3">
      <c r="B113" s="185"/>
      <c r="C113" s="140" t="s">
        <v>414</v>
      </c>
      <c r="D113" s="648">
        <v>0</v>
      </c>
      <c r="E113" s="647">
        <v>0.24295</v>
      </c>
      <c r="F113" s="36">
        <v>1.1080239999999999</v>
      </c>
      <c r="G113" s="656">
        <f t="shared" si="28"/>
        <v>0</v>
      </c>
      <c r="H113" s="153">
        <v>0.2</v>
      </c>
      <c r="I113" s="472">
        <f t="shared" si="22"/>
        <v>0</v>
      </c>
      <c r="J113" s="472">
        <f t="shared" si="23"/>
        <v>0</v>
      </c>
      <c r="K113" s="79">
        <v>590003689</v>
      </c>
      <c r="M113" s="581"/>
      <c r="N113" s="582" t="str">
        <f t="shared" si="27"/>
        <v>ОДО Техномиг</v>
      </c>
      <c r="O113" s="582">
        <f t="shared" si="27"/>
        <v>0</v>
      </c>
      <c r="P113" s="582"/>
      <c r="Q113" s="582"/>
      <c r="R113" s="583"/>
      <c r="S113" s="285"/>
      <c r="T113" s="583"/>
      <c r="U113" s="583"/>
    </row>
    <row r="114" spans="1:21" ht="18" customHeight="1" x14ac:dyDescent="0.3">
      <c r="A114" s="116">
        <v>902</v>
      </c>
      <c r="B114" s="185"/>
      <c r="C114" s="140" t="s">
        <v>400</v>
      </c>
      <c r="D114" s="648">
        <v>123</v>
      </c>
      <c r="E114" s="647">
        <v>0.24295</v>
      </c>
      <c r="F114" s="36">
        <v>1.1080239999999999</v>
      </c>
      <c r="G114" s="656">
        <f t="shared" si="28"/>
        <v>33.11</v>
      </c>
      <c r="H114" s="153">
        <v>0.2</v>
      </c>
      <c r="I114" s="472">
        <f t="shared" si="22"/>
        <v>6.62</v>
      </c>
      <c r="J114" s="472">
        <f t="shared" si="23"/>
        <v>39.729999999999997</v>
      </c>
      <c r="K114" s="79">
        <v>591902597</v>
      </c>
      <c r="M114" s="581"/>
      <c r="N114" s="582" t="str">
        <f t="shared" si="27"/>
        <v>ИП Народовский</v>
      </c>
      <c r="O114" s="582">
        <f t="shared" si="27"/>
        <v>123</v>
      </c>
      <c r="P114" s="582"/>
      <c r="Q114" s="582"/>
      <c r="R114" s="583"/>
      <c r="S114" s="285"/>
      <c r="T114" s="583"/>
      <c r="U114" s="583"/>
    </row>
    <row r="115" spans="1:21" ht="18" customHeight="1" x14ac:dyDescent="0.3">
      <c r="A115" s="116">
        <v>2705</v>
      </c>
      <c r="B115" s="185"/>
      <c r="C115" s="140" t="s">
        <v>82</v>
      </c>
      <c r="D115" s="648">
        <v>68</v>
      </c>
      <c r="E115" s="649">
        <v>0.33048</v>
      </c>
      <c r="F115" s="36">
        <v>1.1080239999999999</v>
      </c>
      <c r="G115" s="656">
        <f t="shared" si="28"/>
        <v>24.9</v>
      </c>
      <c r="H115" s="153">
        <v>0.2</v>
      </c>
      <c r="I115" s="472">
        <f t="shared" si="22"/>
        <v>4.9800000000000004</v>
      </c>
      <c r="J115" s="472">
        <f t="shared" si="23"/>
        <v>29.88</v>
      </c>
      <c r="K115" s="652">
        <v>500036460</v>
      </c>
      <c r="M115" s="294"/>
      <c r="N115" s="295"/>
      <c r="O115" s="302">
        <f t="shared" si="27"/>
        <v>68</v>
      </c>
      <c r="P115" s="295"/>
      <c r="Q115" s="295"/>
      <c r="R115" s="523"/>
      <c r="S115" s="285"/>
      <c r="T115" s="523"/>
      <c r="U115" s="523"/>
    </row>
    <row r="116" spans="1:21" ht="18" customHeight="1" x14ac:dyDescent="0.3">
      <c r="A116" s="116">
        <v>1002</v>
      </c>
      <c r="B116" s="615" t="s">
        <v>442</v>
      </c>
      <c r="C116" s="140" t="s">
        <v>441</v>
      </c>
      <c r="D116" s="648">
        <v>0</v>
      </c>
      <c r="E116" s="644">
        <v>0.24295</v>
      </c>
      <c r="F116" s="36">
        <v>1.1080239999999999</v>
      </c>
      <c r="G116" s="656">
        <f t="shared" si="28"/>
        <v>0</v>
      </c>
      <c r="H116" s="153">
        <v>0.2</v>
      </c>
      <c r="I116" s="472">
        <f t="shared" si="22"/>
        <v>0</v>
      </c>
      <c r="J116" s="472">
        <f t="shared" si="23"/>
        <v>0</v>
      </c>
      <c r="K116" s="652">
        <v>500577168</v>
      </c>
      <c r="M116" s="294"/>
      <c r="N116" s="295"/>
      <c r="O116" s="302">
        <f t="shared" si="27"/>
        <v>0</v>
      </c>
      <c r="P116" s="295"/>
      <c r="Q116" s="295"/>
      <c r="R116" s="523"/>
      <c r="S116" s="285"/>
      <c r="T116" s="523"/>
      <c r="U116" s="523"/>
    </row>
    <row r="117" spans="1:21" ht="18" customHeight="1" x14ac:dyDescent="0.3">
      <c r="A117" s="116">
        <v>2705</v>
      </c>
      <c r="B117" s="183"/>
      <c r="C117" s="140" t="s">
        <v>420</v>
      </c>
      <c r="D117" s="646">
        <v>36</v>
      </c>
      <c r="E117" s="644">
        <v>0.33048</v>
      </c>
      <c r="F117" s="36">
        <v>1.1080239999999999</v>
      </c>
      <c r="G117" s="639">
        <f t="shared" si="28"/>
        <v>13.18</v>
      </c>
      <c r="H117" s="640">
        <v>0.2</v>
      </c>
      <c r="I117" s="641">
        <f t="shared" si="22"/>
        <v>2.64</v>
      </c>
      <c r="J117" s="642">
        <f t="shared" si="23"/>
        <v>15.82</v>
      </c>
      <c r="K117" s="652">
        <v>591903578</v>
      </c>
      <c r="M117" s="294"/>
      <c r="N117" s="295"/>
      <c r="O117" s="302">
        <f t="shared" si="27"/>
        <v>36</v>
      </c>
      <c r="P117" s="295"/>
      <c r="Q117" s="295"/>
      <c r="R117" s="523"/>
      <c r="S117" s="285"/>
      <c r="T117" s="523"/>
      <c r="U117" s="523"/>
    </row>
    <row r="118" spans="1:21" ht="18" customHeight="1" x14ac:dyDescent="0.3">
      <c r="A118" s="116">
        <v>2605</v>
      </c>
      <c r="B118" s="189"/>
      <c r="C118" s="140" t="s">
        <v>453</v>
      </c>
      <c r="D118" s="643">
        <v>5</v>
      </c>
      <c r="E118" s="644">
        <v>0.33048</v>
      </c>
      <c r="F118" s="36">
        <v>1.1080239999999999</v>
      </c>
      <c r="G118" s="639">
        <f t="shared" si="28"/>
        <v>1.83</v>
      </c>
      <c r="H118" s="640">
        <v>0.2</v>
      </c>
      <c r="I118" s="641">
        <f t="shared" si="22"/>
        <v>0.37</v>
      </c>
      <c r="J118" s="642">
        <f t="shared" si="23"/>
        <v>2.2000000000000002</v>
      </c>
      <c r="K118" s="652">
        <v>591029009</v>
      </c>
      <c r="M118" s="294"/>
      <c r="N118" s="295"/>
      <c r="O118" s="302">
        <f t="shared" si="27"/>
        <v>5</v>
      </c>
      <c r="P118" s="295"/>
      <c r="Q118" s="295"/>
      <c r="R118" s="523"/>
      <c r="S118" s="285"/>
      <c r="T118" s="523"/>
      <c r="U118" s="523"/>
    </row>
    <row r="119" spans="1:21" ht="18" customHeight="1" x14ac:dyDescent="0.3">
      <c r="A119" s="116">
        <v>2705</v>
      </c>
      <c r="B119" s="189"/>
      <c r="C119" s="140" t="s">
        <v>453</v>
      </c>
      <c r="D119" s="643">
        <v>4</v>
      </c>
      <c r="E119" s="644">
        <v>0.33048</v>
      </c>
      <c r="F119" s="36">
        <v>1.1080239999999999</v>
      </c>
      <c r="G119" s="639">
        <f>ROUND(D119*E119*F119,2)</f>
        <v>1.46</v>
      </c>
      <c r="H119" s="640">
        <v>0.2</v>
      </c>
      <c r="I119" s="641">
        <f>ROUND(G119*H119,2)</f>
        <v>0.28999999999999998</v>
      </c>
      <c r="J119" s="642">
        <f>G119+I119</f>
        <v>1.75</v>
      </c>
      <c r="K119" s="652">
        <v>591029009</v>
      </c>
      <c r="M119" s="294"/>
      <c r="N119" s="295"/>
      <c r="O119" s="302">
        <f t="shared" si="27"/>
        <v>4</v>
      </c>
      <c r="P119" s="295"/>
      <c r="Q119" s="295"/>
      <c r="R119" s="523"/>
      <c r="S119" s="285"/>
      <c r="T119" s="523"/>
      <c r="U119" s="523"/>
    </row>
    <row r="120" spans="1:21" ht="18" customHeight="1" x14ac:dyDescent="0.3">
      <c r="A120" s="116">
        <v>2705</v>
      </c>
      <c r="B120" s="645"/>
      <c r="C120" s="140" t="s">
        <v>77</v>
      </c>
      <c r="D120" s="646">
        <v>26</v>
      </c>
      <c r="E120" s="644">
        <v>0.33048</v>
      </c>
      <c r="F120" s="36">
        <v>1.1080239999999999</v>
      </c>
      <c r="G120" s="639">
        <f t="shared" si="28"/>
        <v>9.52</v>
      </c>
      <c r="H120" s="640">
        <v>0.2</v>
      </c>
      <c r="I120" s="641">
        <f t="shared" si="22"/>
        <v>1.9</v>
      </c>
      <c r="J120" s="642">
        <f t="shared" si="23"/>
        <v>11.42</v>
      </c>
      <c r="K120" s="652">
        <v>590767839</v>
      </c>
      <c r="M120" s="294"/>
      <c r="N120" s="295"/>
      <c r="O120" s="302">
        <f t="shared" si="27"/>
        <v>26</v>
      </c>
      <c r="P120" s="295"/>
      <c r="Q120" s="295"/>
      <c r="R120" s="523"/>
      <c r="S120" s="285"/>
      <c r="T120" s="523"/>
      <c r="U120" s="523"/>
    </row>
    <row r="121" spans="1:21" ht="18" customHeight="1" x14ac:dyDescent="0.3">
      <c r="A121" s="116">
        <v>2705</v>
      </c>
      <c r="B121" s="645"/>
      <c r="C121" s="715" t="s">
        <v>563</v>
      </c>
      <c r="D121" s="646">
        <v>58</v>
      </c>
      <c r="E121" s="644">
        <v>0.33048</v>
      </c>
      <c r="F121" s="36">
        <v>1.1080239999999999</v>
      </c>
      <c r="G121" s="639">
        <f>ROUND(D121*E121*F121,2)</f>
        <v>21.24</v>
      </c>
      <c r="H121" s="640">
        <v>0.2</v>
      </c>
      <c r="I121" s="641">
        <f>ROUND(G121*H121,2)</f>
        <v>4.25</v>
      </c>
      <c r="J121" s="642">
        <f>G121+I121</f>
        <v>25.49</v>
      </c>
      <c r="K121" s="652">
        <v>590767839</v>
      </c>
      <c r="M121" s="294"/>
      <c r="N121" s="295"/>
      <c r="O121" s="302">
        <f t="shared" si="27"/>
        <v>58</v>
      </c>
      <c r="P121" s="295"/>
      <c r="Q121" s="295"/>
      <c r="R121" s="523"/>
      <c r="S121" s="285"/>
      <c r="T121" s="523"/>
      <c r="U121" s="523"/>
    </row>
    <row r="122" spans="1:21" ht="18" customHeight="1" x14ac:dyDescent="0.3">
      <c r="A122" s="116">
        <v>2705</v>
      </c>
      <c r="B122" s="645"/>
      <c r="C122" s="715" t="s">
        <v>562</v>
      </c>
      <c r="D122" s="646">
        <v>0</v>
      </c>
      <c r="E122" s="644">
        <v>0.33048</v>
      </c>
      <c r="F122" s="36">
        <v>1.1080239999999999</v>
      </c>
      <c r="G122" s="639">
        <f>ROUND(D122*E122*F122,2)</f>
        <v>0</v>
      </c>
      <c r="H122" s="640">
        <v>0.2</v>
      </c>
      <c r="I122" s="641">
        <f>ROUND(G122*H122,2)</f>
        <v>0</v>
      </c>
      <c r="J122" s="642">
        <f>G122+I122</f>
        <v>0</v>
      </c>
      <c r="K122" s="652">
        <v>590767839</v>
      </c>
      <c r="M122" s="294"/>
      <c r="N122" s="295"/>
      <c r="O122" s="302">
        <f t="shared" ref="O122:O131" si="29">D122</f>
        <v>0</v>
      </c>
      <c r="P122" s="295"/>
      <c r="Q122" s="295"/>
      <c r="R122" s="523"/>
      <c r="S122" s="285"/>
      <c r="T122" s="523"/>
      <c r="U122" s="523"/>
    </row>
    <row r="123" spans="1:21" ht="18" customHeight="1" x14ac:dyDescent="0.3">
      <c r="A123" s="116">
        <v>2705</v>
      </c>
      <c r="B123" s="645"/>
      <c r="C123" s="140" t="s">
        <v>322</v>
      </c>
      <c r="D123" s="643">
        <v>119</v>
      </c>
      <c r="E123" s="644">
        <v>0.33048</v>
      </c>
      <c r="F123" s="36">
        <v>1.1080239999999999</v>
      </c>
      <c r="G123" s="639">
        <f t="shared" si="28"/>
        <v>43.58</v>
      </c>
      <c r="H123" s="640">
        <v>0.2</v>
      </c>
      <c r="I123" s="641">
        <f t="shared" si="22"/>
        <v>8.7200000000000006</v>
      </c>
      <c r="J123" s="642">
        <f t="shared" si="23"/>
        <v>52.3</v>
      </c>
      <c r="K123" s="652">
        <v>591263343</v>
      </c>
      <c r="M123" s="294"/>
      <c r="N123" s="295"/>
      <c r="O123" s="302">
        <f t="shared" si="29"/>
        <v>119</v>
      </c>
      <c r="P123" s="295"/>
      <c r="Q123" s="295"/>
      <c r="R123" s="523"/>
      <c r="S123" s="285"/>
      <c r="T123" s="523"/>
      <c r="U123" s="523"/>
    </row>
    <row r="124" spans="1:21" ht="18" customHeight="1" x14ac:dyDescent="0.3">
      <c r="A124" s="116">
        <v>2705</v>
      </c>
      <c r="B124" s="645"/>
      <c r="C124" s="140" t="s">
        <v>380</v>
      </c>
      <c r="D124" s="643">
        <v>98</v>
      </c>
      <c r="E124" s="644">
        <v>0.33048</v>
      </c>
      <c r="F124" s="36">
        <v>1.1080239999999999</v>
      </c>
      <c r="G124" s="639">
        <f t="shared" si="28"/>
        <v>35.89</v>
      </c>
      <c r="H124" s="640">
        <v>0.2</v>
      </c>
      <c r="I124" s="641">
        <f t="shared" si="22"/>
        <v>7.18</v>
      </c>
      <c r="J124" s="642">
        <f t="shared" si="23"/>
        <v>43.07</v>
      </c>
      <c r="K124" s="652">
        <v>591519589</v>
      </c>
      <c r="M124" s="294"/>
      <c r="N124" s="295"/>
      <c r="O124" s="302">
        <f t="shared" si="29"/>
        <v>98</v>
      </c>
      <c r="P124" s="295"/>
      <c r="Q124" s="295"/>
      <c r="R124" s="523"/>
      <c r="S124" s="285"/>
      <c r="T124" s="523"/>
      <c r="U124" s="523"/>
    </row>
    <row r="125" spans="1:21" ht="18" customHeight="1" x14ac:dyDescent="0.3">
      <c r="A125" s="116" t="s">
        <v>205</v>
      </c>
      <c r="B125" s="645"/>
      <c r="C125" s="140" t="s">
        <v>11</v>
      </c>
      <c r="D125" s="643">
        <v>68</v>
      </c>
      <c r="E125" s="644">
        <v>0.33048</v>
      </c>
      <c r="F125" s="36">
        <v>1.1080239999999999</v>
      </c>
      <c r="G125" s="639">
        <f t="shared" si="28"/>
        <v>24.9</v>
      </c>
      <c r="H125" s="640">
        <v>0.2</v>
      </c>
      <c r="I125" s="641">
        <f t="shared" si="22"/>
        <v>4.9800000000000004</v>
      </c>
      <c r="J125" s="642">
        <f t="shared" si="23"/>
        <v>29.88</v>
      </c>
      <c r="K125" s="652">
        <v>591519589</v>
      </c>
      <c r="M125" s="294"/>
      <c r="N125" s="295"/>
      <c r="O125" s="302">
        <f t="shared" si="29"/>
        <v>68</v>
      </c>
      <c r="P125" s="295"/>
      <c r="Q125" s="295"/>
      <c r="R125" s="523"/>
      <c r="S125" s="285"/>
      <c r="T125" s="523"/>
      <c r="U125" s="523"/>
    </row>
    <row r="126" spans="1:21" ht="18" customHeight="1" x14ac:dyDescent="0.3">
      <c r="A126" s="116" t="s">
        <v>204</v>
      </c>
      <c r="B126" s="645"/>
      <c r="C126" s="140" t="s">
        <v>388</v>
      </c>
      <c r="D126" s="646">
        <v>0</v>
      </c>
      <c r="E126" s="647">
        <v>0.15176999999999999</v>
      </c>
      <c r="F126" s="36">
        <v>1.1080239999999999</v>
      </c>
      <c r="G126" s="639">
        <f t="shared" si="28"/>
        <v>0</v>
      </c>
      <c r="H126" s="640">
        <v>0.2</v>
      </c>
      <c r="I126" s="641">
        <f t="shared" si="22"/>
        <v>0</v>
      </c>
      <c r="J126" s="642">
        <f t="shared" si="23"/>
        <v>0</v>
      </c>
      <c r="K126" s="652">
        <v>591519589</v>
      </c>
      <c r="M126" s="294"/>
      <c r="N126" s="295"/>
      <c r="O126" s="302">
        <f t="shared" si="29"/>
        <v>0</v>
      </c>
      <c r="P126" s="295"/>
      <c r="Q126" s="295"/>
      <c r="R126" s="523"/>
      <c r="S126" s="285"/>
      <c r="T126" s="523"/>
      <c r="U126" s="523"/>
    </row>
    <row r="127" spans="1:21" ht="18" customHeight="1" x14ac:dyDescent="0.3">
      <c r="A127" s="116">
        <v>2705</v>
      </c>
      <c r="B127" s="189"/>
      <c r="C127" s="659" t="s">
        <v>454</v>
      </c>
      <c r="D127" s="643">
        <v>10</v>
      </c>
      <c r="E127" s="644">
        <v>0.33048</v>
      </c>
      <c r="F127" s="36">
        <v>1.1080239999999999</v>
      </c>
      <c r="G127" s="639">
        <f t="shared" si="28"/>
        <v>3.66</v>
      </c>
      <c r="H127" s="640">
        <v>0.2</v>
      </c>
      <c r="I127" s="641">
        <f t="shared" si="22"/>
        <v>0.73</v>
      </c>
      <c r="J127" s="642">
        <f t="shared" si="23"/>
        <v>4.3900000000000006</v>
      </c>
      <c r="K127" s="652">
        <v>591900142</v>
      </c>
      <c r="M127" s="294"/>
      <c r="N127" s="295"/>
      <c r="O127" s="302">
        <f t="shared" si="29"/>
        <v>10</v>
      </c>
      <c r="P127" s="295"/>
      <c r="Q127" s="295"/>
      <c r="R127" s="523"/>
      <c r="S127" s="285"/>
      <c r="T127" s="523"/>
      <c r="U127" s="523"/>
    </row>
    <row r="128" spans="1:21" ht="39.75" customHeight="1" x14ac:dyDescent="0.3">
      <c r="A128" s="116">
        <v>2705</v>
      </c>
      <c r="B128" s="183"/>
      <c r="C128" s="660" t="s">
        <v>455</v>
      </c>
      <c r="D128" s="36">
        <v>1768</v>
      </c>
      <c r="E128" s="644">
        <v>0.33048</v>
      </c>
      <c r="F128" s="36">
        <v>1.1080239999999999</v>
      </c>
      <c r="G128" s="639">
        <f t="shared" si="28"/>
        <v>647.41</v>
      </c>
      <c r="H128" s="640">
        <v>0.2</v>
      </c>
      <c r="I128" s="641">
        <f t="shared" si="22"/>
        <v>129.47999999999999</v>
      </c>
      <c r="J128" s="642">
        <f t="shared" si="23"/>
        <v>776.89</v>
      </c>
      <c r="K128" s="652">
        <v>193056854</v>
      </c>
      <c r="M128" s="294"/>
      <c r="N128" s="295"/>
      <c r="O128" s="302">
        <f t="shared" si="29"/>
        <v>1768</v>
      </c>
      <c r="P128" s="295"/>
      <c r="Q128" s="295"/>
      <c r="R128" s="523"/>
      <c r="S128" s="285"/>
      <c r="T128" s="523"/>
      <c r="U128" s="523"/>
    </row>
    <row r="129" spans="1:21" ht="18" customHeight="1" x14ac:dyDescent="0.3">
      <c r="A129" s="116" t="s">
        <v>205</v>
      </c>
      <c r="B129" s="645"/>
      <c r="C129" s="140" t="s">
        <v>11</v>
      </c>
      <c r="D129" s="643">
        <v>7</v>
      </c>
      <c r="E129" s="644">
        <v>0.33048</v>
      </c>
      <c r="F129" s="36">
        <v>1.1080239999999999</v>
      </c>
      <c r="G129" s="639">
        <f>ROUND(D129*E129*F129,2)</f>
        <v>2.56</v>
      </c>
      <c r="H129" s="640">
        <v>0.2</v>
      </c>
      <c r="I129" s="641">
        <f>ROUND(G129*H129,2)</f>
        <v>0.51</v>
      </c>
      <c r="J129" s="642">
        <f>G129+I129</f>
        <v>3.0700000000000003</v>
      </c>
      <c r="K129" s="652">
        <v>591519589</v>
      </c>
      <c r="M129" s="294"/>
      <c r="N129" s="295"/>
      <c r="O129" s="302">
        <f t="shared" si="29"/>
        <v>7</v>
      </c>
      <c r="P129" s="295"/>
      <c r="Q129" s="295"/>
      <c r="R129" s="523"/>
      <c r="S129" s="285"/>
      <c r="T129" s="523"/>
      <c r="U129" s="523"/>
    </row>
    <row r="130" spans="1:21" ht="18" customHeight="1" x14ac:dyDescent="0.3">
      <c r="A130" s="116">
        <v>2705</v>
      </c>
      <c r="B130" s="514"/>
      <c r="C130" s="143" t="s">
        <v>440</v>
      </c>
      <c r="D130" s="36">
        <v>1944</v>
      </c>
      <c r="E130" s="644">
        <v>0.33048</v>
      </c>
      <c r="F130" s="36">
        <v>1.1080239999999999</v>
      </c>
      <c r="G130" s="656">
        <f t="shared" si="28"/>
        <v>711.85</v>
      </c>
      <c r="H130" s="345">
        <v>0.2</v>
      </c>
      <c r="I130" s="472">
        <f t="shared" si="22"/>
        <v>142.37</v>
      </c>
      <c r="J130" s="472">
        <f t="shared" si="23"/>
        <v>854.22</v>
      </c>
      <c r="K130" s="652">
        <v>500059690</v>
      </c>
      <c r="M130" s="294"/>
      <c r="N130" s="295"/>
      <c r="O130" s="302">
        <f t="shared" si="29"/>
        <v>1944</v>
      </c>
      <c r="P130" s="295"/>
      <c r="Q130" s="295"/>
      <c r="R130" s="523"/>
      <c r="S130" s="285"/>
      <c r="T130" s="523"/>
      <c r="U130" s="523"/>
    </row>
    <row r="131" spans="1:21" ht="18" customHeight="1" x14ac:dyDescent="0.3">
      <c r="A131" s="116">
        <v>2705</v>
      </c>
      <c r="B131" s="187"/>
      <c r="C131" s="140" t="s">
        <v>104</v>
      </c>
      <c r="D131" s="82">
        <v>665</v>
      </c>
      <c r="E131" s="644">
        <v>0.33048</v>
      </c>
      <c r="F131" s="36">
        <v>1.1080239999999999</v>
      </c>
      <c r="G131" s="656">
        <f t="shared" si="28"/>
        <v>243.51</v>
      </c>
      <c r="H131" s="153">
        <v>0.2</v>
      </c>
      <c r="I131" s="472">
        <f t="shared" si="22"/>
        <v>48.7</v>
      </c>
      <c r="J131" s="472">
        <f t="shared" si="23"/>
        <v>292.20999999999998</v>
      </c>
      <c r="K131" s="79">
        <v>590729755</v>
      </c>
      <c r="M131" s="293"/>
      <c r="N131" s="292" t="str">
        <f>C131</f>
        <v>"Союз-Паритет"</v>
      </c>
      <c r="O131" s="292">
        <f t="shared" si="29"/>
        <v>665</v>
      </c>
      <c r="P131" s="292">
        <f>E131</f>
        <v>0.33048</v>
      </c>
      <c r="Q131" s="292">
        <f>F131</f>
        <v>1.1080239999999999</v>
      </c>
      <c r="R131" s="522">
        <f>G131</f>
        <v>243.51</v>
      </c>
      <c r="S131" s="285">
        <f>H115</f>
        <v>0.2</v>
      </c>
      <c r="T131" s="522">
        <f>I131</f>
        <v>48.7</v>
      </c>
      <c r="U131" s="522">
        <f>J131</f>
        <v>292.20999999999998</v>
      </c>
    </row>
    <row r="132" spans="1:21" ht="18" customHeight="1" x14ac:dyDescent="0.3">
      <c r="A132" s="116">
        <v>1002</v>
      </c>
      <c r="B132" s="187"/>
      <c r="C132" s="143" t="s">
        <v>484</v>
      </c>
      <c r="D132" s="82">
        <v>9</v>
      </c>
      <c r="E132" s="435">
        <v>0.24295</v>
      </c>
      <c r="F132" s="36">
        <v>1.1080239999999999</v>
      </c>
      <c r="G132" s="656">
        <f t="shared" si="28"/>
        <v>2.42</v>
      </c>
      <c r="H132" s="153">
        <v>0.2</v>
      </c>
      <c r="I132" s="472">
        <f t="shared" si="22"/>
        <v>0.48</v>
      </c>
      <c r="J132" s="472">
        <f t="shared" si="23"/>
        <v>2.9</v>
      </c>
      <c r="K132" s="79">
        <v>591923954</v>
      </c>
      <c r="M132" s="293"/>
      <c r="N132" s="292"/>
      <c r="O132" s="292"/>
      <c r="P132" s="292"/>
      <c r="Q132" s="292"/>
      <c r="R132" s="522"/>
      <c r="S132" s="285"/>
      <c r="T132" s="522"/>
      <c r="U132" s="522"/>
    </row>
    <row r="133" spans="1:21" ht="18" customHeight="1" x14ac:dyDescent="0.3">
      <c r="A133" s="116">
        <v>902</v>
      </c>
      <c r="B133" s="187"/>
      <c r="C133" s="143" t="s">
        <v>526</v>
      </c>
      <c r="D133" s="82">
        <v>90</v>
      </c>
      <c r="E133" s="647">
        <v>0.24295</v>
      </c>
      <c r="F133" s="36">
        <v>1.1080239999999999</v>
      </c>
      <c r="G133" s="656">
        <f>ROUND(D133*E133*F133,2)</f>
        <v>24.23</v>
      </c>
      <c r="H133" s="153">
        <v>0.2</v>
      </c>
      <c r="I133" s="472">
        <f>ROUND(G133*H133,2)</f>
        <v>4.8499999999999996</v>
      </c>
      <c r="J133" s="472">
        <f>G133+I133</f>
        <v>29.08</v>
      </c>
      <c r="K133" s="79">
        <v>591922825</v>
      </c>
      <c r="M133" s="293"/>
      <c r="N133" s="292"/>
      <c r="O133" s="292"/>
      <c r="P133" s="292"/>
      <c r="Q133" s="292"/>
      <c r="R133" s="522"/>
      <c r="S133" s="285"/>
      <c r="T133" s="522"/>
      <c r="U133" s="522"/>
    </row>
    <row r="134" spans="1:21" ht="18" customHeight="1" x14ac:dyDescent="0.3">
      <c r="A134" s="116">
        <v>1002</v>
      </c>
      <c r="B134" s="187" t="s">
        <v>615</v>
      </c>
      <c r="C134" s="143" t="s">
        <v>457</v>
      </c>
      <c r="D134" s="82">
        <v>672</v>
      </c>
      <c r="E134" s="435">
        <v>0.24295</v>
      </c>
      <c r="F134" s="36">
        <v>1.1080239999999999</v>
      </c>
      <c r="G134" s="656">
        <f>ROUND(D134*E134*F134,2)</f>
        <v>180.9</v>
      </c>
      <c r="H134" s="153">
        <v>0.2</v>
      </c>
      <c r="I134" s="472">
        <f>ROUND(G134*H134,2)</f>
        <v>36.18</v>
      </c>
      <c r="J134" s="472">
        <f>G134+I134</f>
        <v>217.08</v>
      </c>
      <c r="K134" s="652">
        <v>590646236</v>
      </c>
      <c r="M134" s="293"/>
      <c r="N134" s="292"/>
      <c r="O134" s="292"/>
      <c r="P134" s="292"/>
      <c r="Q134" s="292"/>
      <c r="R134" s="522"/>
      <c r="S134" s="285"/>
      <c r="T134" s="522"/>
      <c r="U134" s="522"/>
    </row>
    <row r="135" spans="1:21" ht="18" customHeight="1" x14ac:dyDescent="0.3">
      <c r="A135" s="116">
        <v>1002</v>
      </c>
      <c r="B135" s="187"/>
      <c r="C135" s="143" t="s">
        <v>527</v>
      </c>
      <c r="D135" s="82">
        <v>0</v>
      </c>
      <c r="E135" s="435">
        <v>0.24295</v>
      </c>
      <c r="F135" s="36">
        <v>1.1080239999999999</v>
      </c>
      <c r="G135" s="656">
        <f>ROUND(D135*E135*F135,2)</f>
        <v>0</v>
      </c>
      <c r="H135" s="153">
        <v>0.2</v>
      </c>
      <c r="I135" s="472">
        <f>ROUND(G135*H135,2)</f>
        <v>0</v>
      </c>
      <c r="J135" s="472">
        <f>G135+I135</f>
        <v>0</v>
      </c>
      <c r="K135" s="79">
        <v>790686489</v>
      </c>
      <c r="M135" s="293"/>
      <c r="N135" s="292"/>
      <c r="O135" s="292"/>
      <c r="P135" s="292"/>
      <c r="Q135" s="292"/>
      <c r="R135" s="522"/>
      <c r="S135" s="285"/>
      <c r="T135" s="522"/>
      <c r="U135" s="522"/>
    </row>
    <row r="136" spans="1:21" ht="18" customHeight="1" x14ac:dyDescent="0.3">
      <c r="A136" s="116">
        <v>2705</v>
      </c>
      <c r="B136" s="187"/>
      <c r="C136" s="143" t="s">
        <v>528</v>
      </c>
      <c r="D136" s="82">
        <v>52</v>
      </c>
      <c r="E136" s="436">
        <v>0.33048</v>
      </c>
      <c r="F136" s="36">
        <v>1.1080239999999999</v>
      </c>
      <c r="G136" s="656">
        <f>ROUND(D136*E136*F136,2)</f>
        <v>19.04</v>
      </c>
      <c r="H136" s="345">
        <v>0.2</v>
      </c>
      <c r="I136" s="472">
        <f>ROUND(G136*H136,2)</f>
        <v>3.81</v>
      </c>
      <c r="J136" s="472">
        <f>G136+I136</f>
        <v>22.849999999999998</v>
      </c>
      <c r="K136" s="79">
        <v>591169068</v>
      </c>
      <c r="M136" s="293"/>
      <c r="N136" s="292"/>
      <c r="O136" s="292"/>
      <c r="P136" s="292"/>
      <c r="Q136" s="292"/>
      <c r="R136" s="522"/>
      <c r="S136" s="285"/>
      <c r="T136" s="522"/>
      <c r="U136" s="522"/>
    </row>
    <row r="137" spans="1:21" ht="18" customHeight="1" x14ac:dyDescent="0.3">
      <c r="A137" s="116">
        <v>2705</v>
      </c>
      <c r="B137" s="514"/>
      <c r="C137" s="143" t="s">
        <v>251</v>
      </c>
      <c r="D137" s="36">
        <v>16</v>
      </c>
      <c r="E137" s="436">
        <v>0.33048</v>
      </c>
      <c r="F137" s="36">
        <v>1.1080239999999999</v>
      </c>
      <c r="G137" s="656">
        <f t="shared" si="28"/>
        <v>5.86</v>
      </c>
      <c r="H137" s="345">
        <v>0.2</v>
      </c>
      <c r="I137" s="472">
        <f t="shared" si="22"/>
        <v>1.17</v>
      </c>
      <c r="J137" s="472">
        <f t="shared" si="23"/>
        <v>7.03</v>
      </c>
      <c r="K137" s="661">
        <v>591182822</v>
      </c>
      <c r="M137" s="293"/>
      <c r="N137" s="292"/>
      <c r="O137" s="292">
        <f>D137</f>
        <v>16</v>
      </c>
      <c r="P137" s="292"/>
      <c r="Q137" s="292"/>
      <c r="R137" s="522"/>
      <c r="S137" s="292"/>
      <c r="T137" s="522"/>
      <c r="U137" s="522"/>
    </row>
    <row r="138" spans="1:21" ht="21.75" customHeight="1" thickBot="1" x14ac:dyDescent="0.35">
      <c r="A138" s="116" t="s">
        <v>205</v>
      </c>
      <c r="B138" s="346"/>
      <c r="C138" s="140" t="s">
        <v>44</v>
      </c>
      <c r="D138" s="82">
        <v>0</v>
      </c>
      <c r="E138" s="436">
        <v>0.33048</v>
      </c>
      <c r="F138" s="36">
        <v>1.1080239999999999</v>
      </c>
      <c r="G138" s="656">
        <f t="shared" si="28"/>
        <v>0</v>
      </c>
      <c r="H138" s="153">
        <v>0.2</v>
      </c>
      <c r="I138" s="472">
        <f t="shared" si="22"/>
        <v>0</v>
      </c>
      <c r="J138" s="472">
        <f t="shared" si="23"/>
        <v>0</v>
      </c>
      <c r="K138" s="661">
        <v>591182822</v>
      </c>
      <c r="M138" s="293"/>
      <c r="N138" s="292"/>
      <c r="O138" s="301">
        <f>D138</f>
        <v>0</v>
      </c>
      <c r="P138" s="319"/>
      <c r="Q138" s="292"/>
      <c r="R138" s="522"/>
      <c r="S138" s="285"/>
      <c r="T138" s="522"/>
      <c r="U138" s="522"/>
    </row>
    <row r="139" spans="1:21" ht="21" customHeight="1" thickBot="1" x14ac:dyDescent="0.35">
      <c r="B139" s="354"/>
      <c r="C139" s="196"/>
      <c r="D139" s="197">
        <f>SUM(D94:D138)</f>
        <v>10649</v>
      </c>
      <c r="E139" s="436"/>
      <c r="F139" s="36"/>
      <c r="G139" s="657">
        <f>SUM(G94:G138)</f>
        <v>3678.1400000000008</v>
      </c>
      <c r="H139" s="614"/>
      <c r="I139" s="603">
        <f>SUM(I94:I138)</f>
        <v>735.63</v>
      </c>
      <c r="J139" s="605">
        <f>SUM(J94:J138)</f>
        <v>4413.7700000000004</v>
      </c>
      <c r="K139" s="79"/>
      <c r="M139" s="293"/>
      <c r="N139" s="292"/>
      <c r="O139" s="301"/>
      <c r="P139" s="292"/>
      <c r="Q139" s="355"/>
      <c r="R139" s="522"/>
      <c r="S139" s="285"/>
      <c r="T139" s="522"/>
      <c r="U139" s="522"/>
    </row>
    <row r="140" spans="1:21" ht="18.75" x14ac:dyDescent="0.3">
      <c r="A140" s="116">
        <v>2605</v>
      </c>
      <c r="B140" s="183">
        <v>14</v>
      </c>
      <c r="C140" s="193" t="s">
        <v>46</v>
      </c>
      <c r="D140" s="152">
        <v>14</v>
      </c>
      <c r="E140" s="436">
        <v>0.33048</v>
      </c>
      <c r="F140" s="36">
        <v>1.1080239999999999</v>
      </c>
      <c r="G140" s="656">
        <f>ROUND(D140*E140*F140,2)</f>
        <v>5.13</v>
      </c>
      <c r="H140" s="253">
        <v>0.2</v>
      </c>
      <c r="I140" s="472">
        <f>ROUND(G140*H140,2)</f>
        <v>1.03</v>
      </c>
      <c r="J140" s="472">
        <f>G140+I140</f>
        <v>6.16</v>
      </c>
      <c r="K140" s="79">
        <v>590037771</v>
      </c>
      <c r="M140" s="293"/>
      <c r="N140" s="293"/>
      <c r="O140" s="303"/>
      <c r="P140" s="303"/>
      <c r="Q140" s="303"/>
      <c r="R140" s="524"/>
      <c r="S140" s="285"/>
      <c r="T140" s="524"/>
      <c r="U140" s="524"/>
    </row>
    <row r="141" spans="1:21" ht="18.75" x14ac:dyDescent="0.3">
      <c r="A141" s="116" t="s">
        <v>202</v>
      </c>
      <c r="B141" s="183"/>
      <c r="C141" s="140" t="s">
        <v>97</v>
      </c>
      <c r="D141" s="82">
        <v>0</v>
      </c>
      <c r="E141" s="436">
        <v>0.33048</v>
      </c>
      <c r="F141" s="36">
        <v>1.1080239999999999</v>
      </c>
      <c r="G141" s="656">
        <f t="shared" ref="G141:G154" si="30">ROUND(D141*E141*F141,2)</f>
        <v>0</v>
      </c>
      <c r="H141" s="153">
        <v>0.2</v>
      </c>
      <c r="I141" s="472">
        <f t="shared" ref="I141:I154" si="31">ROUND(G141*H141,2)</f>
        <v>0</v>
      </c>
      <c r="J141" s="472">
        <f t="shared" ref="J141:J154" si="32">G141+I141</f>
        <v>0</v>
      </c>
      <c r="K141" s="79">
        <v>590037771</v>
      </c>
      <c r="M141" s="293"/>
      <c r="N141" s="293"/>
      <c r="O141" s="303"/>
      <c r="P141" s="293"/>
      <c r="Q141" s="293"/>
      <c r="R141" s="524"/>
      <c r="S141" s="285"/>
      <c r="T141" s="524"/>
      <c r="U141" s="524"/>
    </row>
    <row r="142" spans="1:21" ht="18.75" x14ac:dyDescent="0.3">
      <c r="A142" s="116">
        <v>2705</v>
      </c>
      <c r="B142" s="187"/>
      <c r="C142" s="140" t="s">
        <v>103</v>
      </c>
      <c r="D142" s="82">
        <v>80</v>
      </c>
      <c r="E142" s="436">
        <v>0.33048</v>
      </c>
      <c r="F142" s="36">
        <v>1.1080239999999999</v>
      </c>
      <c r="G142" s="656">
        <f t="shared" si="30"/>
        <v>29.29</v>
      </c>
      <c r="H142" s="153">
        <v>0.2</v>
      </c>
      <c r="I142" s="472">
        <f t="shared" si="31"/>
        <v>5.86</v>
      </c>
      <c r="J142" s="472">
        <f t="shared" si="32"/>
        <v>35.15</v>
      </c>
      <c r="K142" s="79">
        <v>500507961</v>
      </c>
      <c r="M142" s="293"/>
      <c r="N142" s="296"/>
      <c r="O142" s="304"/>
      <c r="P142" s="296"/>
      <c r="Q142" s="296"/>
      <c r="R142" s="525"/>
      <c r="S142" s="285"/>
      <c r="T142" s="525"/>
      <c r="U142" s="525"/>
    </row>
    <row r="143" spans="1:21" ht="18.75" x14ac:dyDescent="0.3">
      <c r="A143" s="113" t="s">
        <v>203</v>
      </c>
      <c r="B143" s="467">
        <v>0.1188</v>
      </c>
      <c r="C143" s="140" t="s">
        <v>47</v>
      </c>
      <c r="D143" s="82">
        <v>0</v>
      </c>
      <c r="E143" s="598">
        <v>0.15842000000000001</v>
      </c>
      <c r="F143" s="36">
        <v>1</v>
      </c>
      <c r="G143" s="656">
        <f t="shared" si="30"/>
        <v>0</v>
      </c>
      <c r="H143" s="153">
        <v>0.2</v>
      </c>
      <c r="I143" s="472">
        <f t="shared" si="31"/>
        <v>0</v>
      </c>
      <c r="J143" s="472">
        <f t="shared" si="32"/>
        <v>0</v>
      </c>
      <c r="K143" s="79">
        <v>500164670</v>
      </c>
      <c r="M143" s="293"/>
      <c r="N143" s="293"/>
      <c r="O143" s="303"/>
      <c r="P143" s="293"/>
      <c r="Q143" s="293"/>
      <c r="R143" s="524"/>
      <c r="S143" s="285"/>
      <c r="T143" s="524"/>
      <c r="U143" s="524"/>
    </row>
    <row r="144" spans="1:21" ht="18.75" x14ac:dyDescent="0.3">
      <c r="A144" s="116">
        <v>2702</v>
      </c>
      <c r="B144" s="185">
        <v>14</v>
      </c>
      <c r="C144" s="140" t="s">
        <v>128</v>
      </c>
      <c r="D144" s="82">
        <v>2460</v>
      </c>
      <c r="E144" s="435">
        <v>0.24295</v>
      </c>
      <c r="F144" s="36">
        <v>1.1080239999999999</v>
      </c>
      <c r="G144" s="656">
        <f t="shared" si="30"/>
        <v>662.22</v>
      </c>
      <c r="H144" s="153">
        <v>0.2</v>
      </c>
      <c r="I144" s="472">
        <f t="shared" si="31"/>
        <v>132.44</v>
      </c>
      <c r="J144" s="472">
        <f t="shared" si="32"/>
        <v>794.66000000000008</v>
      </c>
      <c r="K144" s="79">
        <v>190579561</v>
      </c>
      <c r="M144" s="293"/>
      <c r="N144" s="293" t="str">
        <f t="shared" ref="N144:R146" si="33">C144</f>
        <v>БЕСТ</v>
      </c>
      <c r="O144" s="293">
        <f t="shared" si="33"/>
        <v>2460</v>
      </c>
      <c r="P144" s="293">
        <f t="shared" si="33"/>
        <v>0.24295</v>
      </c>
      <c r="Q144" s="293">
        <f t="shared" si="33"/>
        <v>1.1080239999999999</v>
      </c>
      <c r="R144" s="524">
        <f t="shared" si="33"/>
        <v>662.22</v>
      </c>
      <c r="S144" s="285">
        <f>H143</f>
        <v>0.2</v>
      </c>
      <c r="T144" s="524">
        <f t="shared" ref="T144:U146" si="34">I144</f>
        <v>132.44</v>
      </c>
      <c r="U144" s="524">
        <f t="shared" si="34"/>
        <v>794.66000000000008</v>
      </c>
    </row>
    <row r="145" spans="1:21" ht="18.75" x14ac:dyDescent="0.3">
      <c r="A145" s="116">
        <v>1002</v>
      </c>
      <c r="B145" s="201" t="s">
        <v>530</v>
      </c>
      <c r="C145" s="140" t="s">
        <v>529</v>
      </c>
      <c r="D145" s="82">
        <v>0</v>
      </c>
      <c r="E145" s="435">
        <v>0.24295</v>
      </c>
      <c r="F145" s="36">
        <v>1.1080239999999999</v>
      </c>
      <c r="G145" s="656">
        <f t="shared" si="30"/>
        <v>0</v>
      </c>
      <c r="H145" s="153">
        <v>0.2</v>
      </c>
      <c r="I145" s="472">
        <f t="shared" si="31"/>
        <v>0</v>
      </c>
      <c r="J145" s="472">
        <f t="shared" si="32"/>
        <v>0</v>
      </c>
      <c r="K145" s="79">
        <v>500522565</v>
      </c>
      <c r="M145" s="293"/>
      <c r="N145" s="293" t="str">
        <f t="shared" si="33"/>
        <v>Белюробеспечение</v>
      </c>
      <c r="O145" s="293">
        <f t="shared" si="33"/>
        <v>0</v>
      </c>
      <c r="P145" s="515">
        <f t="shared" si="33"/>
        <v>0.24295</v>
      </c>
      <c r="Q145" s="515">
        <f t="shared" si="33"/>
        <v>1.1080239999999999</v>
      </c>
      <c r="R145" s="515">
        <f t="shared" si="33"/>
        <v>0</v>
      </c>
      <c r="S145" s="515">
        <f>H145</f>
        <v>0.2</v>
      </c>
      <c r="T145" s="515">
        <f t="shared" si="34"/>
        <v>0</v>
      </c>
      <c r="U145" s="515">
        <f t="shared" si="34"/>
        <v>0</v>
      </c>
    </row>
    <row r="146" spans="1:21" ht="18.75" x14ac:dyDescent="0.3">
      <c r="A146" s="116">
        <v>1002</v>
      </c>
      <c r="B146" s="201" t="s">
        <v>474</v>
      </c>
      <c r="C146" s="140" t="s">
        <v>303</v>
      </c>
      <c r="D146" s="82">
        <v>0</v>
      </c>
      <c r="E146" s="435">
        <v>0.24295</v>
      </c>
      <c r="F146" s="36">
        <v>1.1080239999999999</v>
      </c>
      <c r="G146" s="656">
        <f t="shared" si="30"/>
        <v>0</v>
      </c>
      <c r="H146" s="153">
        <v>0.2</v>
      </c>
      <c r="I146" s="472">
        <f t="shared" si="31"/>
        <v>0</v>
      </c>
      <c r="J146" s="472">
        <f t="shared" si="32"/>
        <v>0</v>
      </c>
      <c r="K146" s="652">
        <v>500045731</v>
      </c>
      <c r="M146" s="293"/>
      <c r="N146" s="293" t="str">
        <f t="shared" si="33"/>
        <v>Строй.площадка Лен.р</v>
      </c>
      <c r="O146" s="293">
        <f t="shared" si="33"/>
        <v>0</v>
      </c>
      <c r="P146" s="293">
        <f t="shared" si="33"/>
        <v>0.24295</v>
      </c>
      <c r="Q146" s="293">
        <f t="shared" si="33"/>
        <v>1.1080239999999999</v>
      </c>
      <c r="R146" s="531">
        <f t="shared" si="33"/>
        <v>0</v>
      </c>
      <c r="S146" s="293">
        <f>H146</f>
        <v>0.2</v>
      </c>
      <c r="T146" s="524">
        <f t="shared" si="34"/>
        <v>0</v>
      </c>
      <c r="U146" s="524">
        <f t="shared" si="34"/>
        <v>0</v>
      </c>
    </row>
    <row r="147" spans="1:21" ht="18.75" x14ac:dyDescent="0.3">
      <c r="A147" s="116">
        <v>1002</v>
      </c>
      <c r="B147" s="201" t="s">
        <v>531</v>
      </c>
      <c r="C147" s="140" t="s">
        <v>412</v>
      </c>
      <c r="D147" s="82">
        <v>0</v>
      </c>
      <c r="E147" s="435">
        <v>0.24295</v>
      </c>
      <c r="F147" s="36">
        <v>1.1080239999999999</v>
      </c>
      <c r="G147" s="656">
        <f t="shared" si="30"/>
        <v>0</v>
      </c>
      <c r="H147" s="153">
        <v>0.2</v>
      </c>
      <c r="I147" s="472">
        <f t="shared" si="31"/>
        <v>0</v>
      </c>
      <c r="J147" s="472">
        <f t="shared" si="32"/>
        <v>0</v>
      </c>
      <c r="K147" s="652">
        <v>691837115</v>
      </c>
      <c r="M147" s="293"/>
      <c r="N147" s="293"/>
      <c r="O147" s="293"/>
      <c r="P147" s="293"/>
      <c r="Q147" s="293"/>
      <c r="R147" s="531"/>
      <c r="S147" s="293"/>
      <c r="T147" s="524"/>
      <c r="U147" s="524"/>
    </row>
    <row r="148" spans="1:21" ht="18.75" x14ac:dyDescent="0.3">
      <c r="A148" s="116">
        <v>1002</v>
      </c>
      <c r="B148" s="201" t="s">
        <v>514</v>
      </c>
      <c r="C148" s="140" t="s">
        <v>499</v>
      </c>
      <c r="D148" s="82">
        <v>0</v>
      </c>
      <c r="E148" s="435">
        <v>0.24295</v>
      </c>
      <c r="F148" s="36">
        <v>1.1080239999999999</v>
      </c>
      <c r="G148" s="656">
        <f t="shared" si="30"/>
        <v>0</v>
      </c>
      <c r="H148" s="153">
        <v>0.2</v>
      </c>
      <c r="I148" s="472">
        <f t="shared" si="31"/>
        <v>0</v>
      </c>
      <c r="J148" s="472">
        <f t="shared" si="32"/>
        <v>0</v>
      </c>
      <c r="K148" s="652"/>
      <c r="M148" s="293"/>
      <c r="N148" s="293"/>
      <c r="O148" s="293"/>
      <c r="P148" s="293"/>
      <c r="Q148" s="293"/>
      <c r="R148" s="531"/>
      <c r="S148" s="293"/>
      <c r="T148" s="524"/>
      <c r="U148" s="524"/>
    </row>
    <row r="149" spans="1:21" ht="18.75" x14ac:dyDescent="0.3">
      <c r="A149" s="116">
        <v>1002</v>
      </c>
      <c r="B149" s="201" t="s">
        <v>475</v>
      </c>
      <c r="C149" s="140" t="s">
        <v>373</v>
      </c>
      <c r="D149" s="82">
        <v>0</v>
      </c>
      <c r="E149" s="435">
        <v>0.24295</v>
      </c>
      <c r="F149" s="36">
        <v>1.1080239999999999</v>
      </c>
      <c r="G149" s="656">
        <f>ROUND(D149*E149*F149,2)</f>
        <v>0</v>
      </c>
      <c r="H149" s="153">
        <v>0.2</v>
      </c>
      <c r="I149" s="472">
        <f>ROUND(G149*H149,2)</f>
        <v>0</v>
      </c>
      <c r="J149" s="472">
        <f>G149+I149</f>
        <v>0</v>
      </c>
      <c r="K149" s="79">
        <v>500577168</v>
      </c>
      <c r="M149" s="369"/>
      <c r="N149" s="293" t="str">
        <f t="shared" ref="N149:U150" si="35">C149</f>
        <v>ОДО Технострой</v>
      </c>
      <c r="O149" s="293">
        <f t="shared" si="35"/>
        <v>0</v>
      </c>
      <c r="P149" s="293">
        <f t="shared" si="35"/>
        <v>0.24295</v>
      </c>
      <c r="Q149" s="293">
        <f t="shared" si="35"/>
        <v>1.1080239999999999</v>
      </c>
      <c r="R149" s="524">
        <f t="shared" si="35"/>
        <v>0</v>
      </c>
      <c r="S149" s="293">
        <f t="shared" si="35"/>
        <v>0.2</v>
      </c>
      <c r="T149" s="524">
        <f t="shared" si="35"/>
        <v>0</v>
      </c>
      <c r="U149" s="524">
        <f t="shared" si="35"/>
        <v>0</v>
      </c>
    </row>
    <row r="150" spans="1:21" ht="18.75" x14ac:dyDescent="0.3">
      <c r="A150" s="116">
        <v>1002</v>
      </c>
      <c r="B150" s="201" t="s">
        <v>591</v>
      </c>
      <c r="C150" s="140" t="s">
        <v>592</v>
      </c>
      <c r="D150" s="82">
        <v>55</v>
      </c>
      <c r="E150" s="435">
        <v>0.24295</v>
      </c>
      <c r="F150" s="36">
        <v>1.1080239999999999</v>
      </c>
      <c r="G150" s="656">
        <f t="shared" si="30"/>
        <v>14.81</v>
      </c>
      <c r="H150" s="153">
        <v>0.2</v>
      </c>
      <c r="I150" s="472">
        <f t="shared" si="31"/>
        <v>2.96</v>
      </c>
      <c r="J150" s="472">
        <f t="shared" si="32"/>
        <v>17.77</v>
      </c>
      <c r="K150" s="79">
        <v>190176680</v>
      </c>
      <c r="M150" s="369"/>
      <c r="N150" s="293" t="str">
        <f t="shared" si="35"/>
        <v>"Тедол"</v>
      </c>
      <c r="O150" s="293">
        <f t="shared" si="35"/>
        <v>55</v>
      </c>
      <c r="P150" s="293">
        <f t="shared" si="35"/>
        <v>0.24295</v>
      </c>
      <c r="Q150" s="293">
        <f t="shared" si="35"/>
        <v>1.1080239999999999</v>
      </c>
      <c r="R150" s="524">
        <f t="shared" si="35"/>
        <v>14.81</v>
      </c>
      <c r="S150" s="293">
        <f t="shared" si="35"/>
        <v>0.2</v>
      </c>
      <c r="T150" s="524">
        <f t="shared" si="35"/>
        <v>2.96</v>
      </c>
      <c r="U150" s="524">
        <f t="shared" si="35"/>
        <v>17.77</v>
      </c>
    </row>
    <row r="151" spans="1:21" ht="18.75" x14ac:dyDescent="0.3">
      <c r="A151" s="116">
        <v>1002</v>
      </c>
      <c r="B151" s="140" t="s">
        <v>476</v>
      </c>
      <c r="C151" s="140" t="s">
        <v>423</v>
      </c>
      <c r="D151" s="82">
        <v>0</v>
      </c>
      <c r="E151" s="435">
        <v>0.24295</v>
      </c>
      <c r="F151" s="36">
        <v>1.1080239999999999</v>
      </c>
      <c r="G151" s="656">
        <f t="shared" si="30"/>
        <v>0</v>
      </c>
      <c r="H151" s="153">
        <v>0.2</v>
      </c>
      <c r="I151" s="472">
        <f t="shared" si="31"/>
        <v>0</v>
      </c>
      <c r="J151" s="472">
        <f t="shared" si="32"/>
        <v>0</v>
      </c>
      <c r="K151" s="79">
        <v>500522565</v>
      </c>
      <c r="M151" s="369"/>
      <c r="N151" s="293" t="str">
        <f t="shared" ref="N151:U154" si="36">C151</f>
        <v xml:space="preserve">РСУ - 6 </v>
      </c>
      <c r="O151" s="303">
        <f t="shared" si="36"/>
        <v>0</v>
      </c>
      <c r="P151" s="303">
        <f t="shared" si="36"/>
        <v>0.24295</v>
      </c>
      <c r="Q151" s="293">
        <f t="shared" si="36"/>
        <v>1.1080239999999999</v>
      </c>
      <c r="R151" s="524">
        <f t="shared" si="36"/>
        <v>0</v>
      </c>
      <c r="S151" s="303">
        <f t="shared" si="36"/>
        <v>0.2</v>
      </c>
      <c r="T151" s="524">
        <f t="shared" si="36"/>
        <v>0</v>
      </c>
      <c r="U151" s="524">
        <f t="shared" si="36"/>
        <v>0</v>
      </c>
    </row>
    <row r="152" spans="1:21" ht="18.75" x14ac:dyDescent="0.3">
      <c r="A152" s="318">
        <v>2705</v>
      </c>
      <c r="B152" s="185"/>
      <c r="C152" s="140" t="s">
        <v>239</v>
      </c>
      <c r="D152" s="82">
        <v>0</v>
      </c>
      <c r="E152" s="436">
        <v>0.33048</v>
      </c>
      <c r="F152" s="36">
        <v>1.1080239999999999</v>
      </c>
      <c r="G152" s="656">
        <f t="shared" si="30"/>
        <v>0</v>
      </c>
      <c r="H152" s="153">
        <v>0.2</v>
      </c>
      <c r="I152" s="472">
        <f t="shared" si="31"/>
        <v>0</v>
      </c>
      <c r="J152" s="472">
        <f t="shared" si="32"/>
        <v>0</v>
      </c>
      <c r="K152" s="79">
        <v>591017668</v>
      </c>
      <c r="M152" s="293"/>
      <c r="N152" s="293" t="str">
        <f>C152</f>
        <v>ООО Рассомаха</v>
      </c>
      <c r="O152" s="293">
        <f t="shared" si="36"/>
        <v>0</v>
      </c>
      <c r="P152" s="293">
        <f t="shared" si="36"/>
        <v>0.33048</v>
      </c>
      <c r="Q152" s="293">
        <f t="shared" si="36"/>
        <v>1.1080239999999999</v>
      </c>
      <c r="R152" s="524">
        <f t="shared" si="36"/>
        <v>0</v>
      </c>
      <c r="S152" s="293">
        <f t="shared" si="36"/>
        <v>0.2</v>
      </c>
      <c r="T152" s="524">
        <f t="shared" si="36"/>
        <v>0</v>
      </c>
      <c r="U152" s="524">
        <f t="shared" si="36"/>
        <v>0</v>
      </c>
    </row>
    <row r="153" spans="1:21" ht="18.75" x14ac:dyDescent="0.3">
      <c r="A153" s="116" t="s">
        <v>205</v>
      </c>
      <c r="B153" s="185"/>
      <c r="C153" s="140" t="s">
        <v>44</v>
      </c>
      <c r="D153" s="82">
        <v>0</v>
      </c>
      <c r="E153" s="436">
        <v>0.33048</v>
      </c>
      <c r="F153" s="36">
        <v>1.1080239999999999</v>
      </c>
      <c r="G153" s="656">
        <f t="shared" si="30"/>
        <v>0</v>
      </c>
      <c r="H153" s="153">
        <v>0.2</v>
      </c>
      <c r="I153" s="472">
        <f t="shared" si="31"/>
        <v>0</v>
      </c>
      <c r="J153" s="472">
        <f t="shared" si="32"/>
        <v>0</v>
      </c>
      <c r="K153" s="79">
        <v>591017668</v>
      </c>
      <c r="M153" s="293"/>
      <c r="N153" s="293" t="str">
        <f>C153</f>
        <v xml:space="preserve"> -//- эл-ро обогрев день</v>
      </c>
      <c r="O153" s="293">
        <f t="shared" si="36"/>
        <v>0</v>
      </c>
      <c r="P153" s="293">
        <f t="shared" si="36"/>
        <v>0.33048</v>
      </c>
      <c r="Q153" s="293">
        <f t="shared" si="36"/>
        <v>1.1080239999999999</v>
      </c>
      <c r="R153" s="524">
        <f t="shared" si="36"/>
        <v>0</v>
      </c>
      <c r="S153" s="285">
        <f>H152</f>
        <v>0.2</v>
      </c>
      <c r="T153" s="524">
        <f t="shared" si="36"/>
        <v>0</v>
      </c>
      <c r="U153" s="524">
        <f t="shared" si="36"/>
        <v>0</v>
      </c>
    </row>
    <row r="154" spans="1:21" ht="33" customHeight="1" thickBot="1" x14ac:dyDescent="0.35">
      <c r="A154" s="116">
        <v>1002</v>
      </c>
      <c r="B154" s="615" t="s">
        <v>477</v>
      </c>
      <c r="C154" s="140" t="s">
        <v>163</v>
      </c>
      <c r="D154" s="82">
        <v>16</v>
      </c>
      <c r="E154" s="435">
        <v>0.24295</v>
      </c>
      <c r="F154" s="36">
        <v>1.1080239999999999</v>
      </c>
      <c r="G154" s="656">
        <f t="shared" si="30"/>
        <v>4.3099999999999996</v>
      </c>
      <c r="H154" s="153">
        <v>0.2</v>
      </c>
      <c r="I154" s="472">
        <f t="shared" si="31"/>
        <v>0.86</v>
      </c>
      <c r="J154" s="472">
        <f t="shared" si="32"/>
        <v>5.17</v>
      </c>
      <c r="K154" s="79">
        <v>800005177</v>
      </c>
      <c r="M154" s="293"/>
      <c r="N154" s="293" t="str">
        <f>C154</f>
        <v>"Альтернативная цифр.сеть"</v>
      </c>
      <c r="O154" s="293">
        <f t="shared" si="36"/>
        <v>16</v>
      </c>
      <c r="P154" s="293">
        <f t="shared" si="36"/>
        <v>0.24295</v>
      </c>
      <c r="Q154" s="293">
        <f t="shared" si="36"/>
        <v>1.1080239999999999</v>
      </c>
      <c r="R154" s="524">
        <f t="shared" si="36"/>
        <v>4.3099999999999996</v>
      </c>
      <c r="S154" s="285">
        <f>H153</f>
        <v>0.2</v>
      </c>
      <c r="T154" s="524">
        <f t="shared" si="36"/>
        <v>0.86</v>
      </c>
      <c r="U154" s="524">
        <f t="shared" si="36"/>
        <v>5.17</v>
      </c>
    </row>
    <row r="155" spans="1:21" ht="21.75" customHeight="1" thickBot="1" x14ac:dyDescent="0.35">
      <c r="B155" s="195"/>
      <c r="C155" s="196"/>
      <c r="D155" s="197">
        <f>SUM(D140:D154)</f>
        <v>2625</v>
      </c>
      <c r="E155" s="199"/>
      <c r="F155" s="36"/>
      <c r="G155" s="662">
        <f>SUM(G140:G154)</f>
        <v>715.75999999999988</v>
      </c>
      <c r="H155" s="616"/>
      <c r="I155" s="617">
        <f>SUM(I140:I154)</f>
        <v>143.15</v>
      </c>
      <c r="J155" s="618">
        <f>SUM(J140:J154)</f>
        <v>858.91</v>
      </c>
      <c r="K155" s="79"/>
      <c r="M155" s="293"/>
      <c r="N155" s="293"/>
      <c r="O155" s="303"/>
      <c r="P155" s="303"/>
      <c r="Q155" s="307"/>
      <c r="R155" s="524"/>
      <c r="S155" s="285"/>
      <c r="T155" s="524"/>
      <c r="U155" s="524"/>
    </row>
    <row r="156" spans="1:21" ht="18.75" x14ac:dyDescent="0.3">
      <c r="A156" s="116">
        <v>2605</v>
      </c>
      <c r="B156" s="183">
        <v>15</v>
      </c>
      <c r="C156" s="375" t="s">
        <v>459</v>
      </c>
      <c r="D156" s="152">
        <v>0</v>
      </c>
      <c r="E156" s="436">
        <v>0.33048</v>
      </c>
      <c r="F156" s="36">
        <v>1.1080239999999999</v>
      </c>
      <c r="G156" s="656">
        <f t="shared" ref="G156:G163" si="37">ROUND(D156*E156*F156,2)</f>
        <v>0</v>
      </c>
      <c r="H156" s="153">
        <v>0.2</v>
      </c>
      <c r="I156" s="472">
        <f t="shared" ref="I156:I163" si="38">ROUND(G156*H156,2)</f>
        <v>0</v>
      </c>
      <c r="J156" s="472">
        <f t="shared" ref="J156:J163" si="39">G156+I156</f>
        <v>0</v>
      </c>
      <c r="K156" s="674">
        <v>500036445</v>
      </c>
      <c r="M156" s="293"/>
      <c r="N156" s="293"/>
      <c r="O156" s="303"/>
      <c r="P156" s="293"/>
      <c r="Q156" s="293"/>
      <c r="R156" s="524"/>
      <c r="S156" s="285"/>
      <c r="T156" s="524"/>
      <c r="U156" s="524"/>
    </row>
    <row r="157" spans="1:21" ht="18.75" x14ac:dyDescent="0.3">
      <c r="A157" s="116">
        <v>2705</v>
      </c>
      <c r="B157" s="189"/>
      <c r="C157" s="140" t="s">
        <v>393</v>
      </c>
      <c r="D157" s="82">
        <v>85</v>
      </c>
      <c r="E157" s="436">
        <v>0.33048</v>
      </c>
      <c r="F157" s="36">
        <v>1.1080239999999999</v>
      </c>
      <c r="G157" s="651">
        <f t="shared" si="37"/>
        <v>31.13</v>
      </c>
      <c r="H157" s="153">
        <v>0.2</v>
      </c>
      <c r="I157" s="599">
        <f t="shared" si="38"/>
        <v>6.23</v>
      </c>
      <c r="J157" s="599">
        <f t="shared" si="39"/>
        <v>37.36</v>
      </c>
      <c r="K157" s="670" t="s">
        <v>478</v>
      </c>
      <c r="M157" s="293"/>
      <c r="N157" s="293"/>
      <c r="O157" s="293"/>
      <c r="P157" s="293"/>
      <c r="Q157" s="293"/>
      <c r="R157" s="524"/>
      <c r="S157" s="285"/>
      <c r="T157" s="524"/>
      <c r="U157" s="524"/>
    </row>
    <row r="158" spans="1:21" ht="18.75" x14ac:dyDescent="0.3">
      <c r="A158" s="116" t="s">
        <v>205</v>
      </c>
      <c r="B158" s="189"/>
      <c r="C158" s="140" t="s">
        <v>44</v>
      </c>
      <c r="D158" s="82">
        <v>77</v>
      </c>
      <c r="E158" s="436">
        <v>0.33048</v>
      </c>
      <c r="F158" s="36">
        <v>1.1080239999999999</v>
      </c>
      <c r="G158" s="656">
        <f t="shared" si="37"/>
        <v>28.2</v>
      </c>
      <c r="H158" s="153">
        <v>0.2</v>
      </c>
      <c r="I158" s="472">
        <f t="shared" si="38"/>
        <v>5.64</v>
      </c>
      <c r="J158" s="472">
        <f t="shared" si="39"/>
        <v>33.839999999999996</v>
      </c>
      <c r="K158" s="670" t="s">
        <v>478</v>
      </c>
      <c r="M158" s="293"/>
      <c r="N158" s="293"/>
      <c r="O158" s="293"/>
      <c r="P158" s="293"/>
      <c r="Q158" s="293"/>
      <c r="R158" s="524"/>
      <c r="S158" s="285"/>
      <c r="T158" s="524"/>
      <c r="U158" s="524"/>
    </row>
    <row r="159" spans="1:21" ht="18.75" x14ac:dyDescent="0.3">
      <c r="A159" s="116" t="s">
        <v>204</v>
      </c>
      <c r="B159" s="189"/>
      <c r="C159" s="140" t="s">
        <v>45</v>
      </c>
      <c r="D159" s="234">
        <v>1</v>
      </c>
      <c r="E159" s="437">
        <v>0.15176999999999999</v>
      </c>
      <c r="F159" s="36">
        <v>1.1080239999999999</v>
      </c>
      <c r="G159" s="656">
        <f t="shared" si="37"/>
        <v>0.17</v>
      </c>
      <c r="H159" s="153">
        <v>0.2</v>
      </c>
      <c r="I159" s="472">
        <f t="shared" si="38"/>
        <v>0.03</v>
      </c>
      <c r="J159" s="472">
        <f t="shared" si="39"/>
        <v>0.2</v>
      </c>
      <c r="K159" s="670" t="s">
        <v>478</v>
      </c>
      <c r="M159" s="293"/>
      <c r="N159" s="293"/>
      <c r="O159" s="293"/>
      <c r="P159" s="293"/>
      <c r="Q159" s="293"/>
      <c r="R159" s="524"/>
      <c r="S159" s="285"/>
      <c r="T159" s="524"/>
      <c r="U159" s="524"/>
    </row>
    <row r="160" spans="1:21" ht="18.75" x14ac:dyDescent="0.3">
      <c r="A160" s="116">
        <v>1002</v>
      </c>
      <c r="B160" s="707" t="s">
        <v>532</v>
      </c>
      <c r="C160" s="140" t="s">
        <v>412</v>
      </c>
      <c r="D160" s="234">
        <v>0</v>
      </c>
      <c r="E160" s="435">
        <v>0.24295</v>
      </c>
      <c r="F160" s="36">
        <v>1.1080239999999999</v>
      </c>
      <c r="G160" s="656">
        <f t="shared" si="37"/>
        <v>0</v>
      </c>
      <c r="H160" s="153">
        <v>0.2</v>
      </c>
      <c r="I160" s="472">
        <f t="shared" si="38"/>
        <v>0</v>
      </c>
      <c r="J160" s="472">
        <f t="shared" si="39"/>
        <v>0</v>
      </c>
      <c r="K160" s="652">
        <v>691837115</v>
      </c>
      <c r="M160" s="293"/>
      <c r="N160" s="293"/>
      <c r="O160" s="293"/>
      <c r="P160" s="293"/>
      <c r="Q160" s="293"/>
      <c r="R160" s="524"/>
      <c r="S160" s="285"/>
      <c r="T160" s="524"/>
      <c r="U160" s="524"/>
    </row>
    <row r="161" spans="1:21" ht="19.5" customHeight="1" x14ac:dyDescent="0.3">
      <c r="A161" s="116">
        <v>2705</v>
      </c>
      <c r="B161" s="516"/>
      <c r="C161" s="140" t="s">
        <v>298</v>
      </c>
      <c r="D161" s="82">
        <v>280</v>
      </c>
      <c r="E161" s="436">
        <v>0.33048</v>
      </c>
      <c r="F161" s="36">
        <v>1.1080239999999999</v>
      </c>
      <c r="G161" s="651">
        <f t="shared" si="37"/>
        <v>102.53</v>
      </c>
      <c r="H161" s="153">
        <v>0.2</v>
      </c>
      <c r="I161" s="599">
        <f t="shared" si="38"/>
        <v>20.51</v>
      </c>
      <c r="J161" s="599">
        <f t="shared" si="39"/>
        <v>123.04</v>
      </c>
      <c r="K161" s="670" t="s">
        <v>479</v>
      </c>
      <c r="M161" s="293"/>
      <c r="N161" s="293"/>
      <c r="O161" s="293"/>
      <c r="P161" s="293"/>
      <c r="Q161" s="293"/>
      <c r="R161" s="524"/>
      <c r="S161" s="285"/>
      <c r="T161" s="524"/>
      <c r="U161" s="524"/>
    </row>
    <row r="162" spans="1:21" ht="19.5" customHeight="1" x14ac:dyDescent="0.3">
      <c r="A162" s="116" t="s">
        <v>205</v>
      </c>
      <c r="B162" s="516"/>
      <c r="C162" s="140" t="s">
        <v>44</v>
      </c>
      <c r="D162" s="82">
        <v>1</v>
      </c>
      <c r="E162" s="436">
        <v>0.33048</v>
      </c>
      <c r="F162" s="36">
        <v>1.1080239999999999</v>
      </c>
      <c r="G162" s="656">
        <f t="shared" si="37"/>
        <v>0.37</v>
      </c>
      <c r="H162" s="153">
        <v>0.2</v>
      </c>
      <c r="I162" s="472">
        <f t="shared" si="38"/>
        <v>7.0000000000000007E-2</v>
      </c>
      <c r="J162" s="472">
        <f t="shared" si="39"/>
        <v>0.44</v>
      </c>
      <c r="K162" s="670" t="s">
        <v>479</v>
      </c>
      <c r="M162" s="293"/>
      <c r="N162" s="293"/>
      <c r="O162" s="293"/>
      <c r="P162" s="293"/>
      <c r="Q162" s="293"/>
      <c r="R162" s="524"/>
      <c r="S162" s="285"/>
      <c r="T162" s="524"/>
      <c r="U162" s="524"/>
    </row>
    <row r="163" spans="1:21" ht="19.5" customHeight="1" thickBot="1" x14ac:dyDescent="0.35">
      <c r="A163" s="116" t="s">
        <v>204</v>
      </c>
      <c r="B163" s="516"/>
      <c r="C163" s="140" t="s">
        <v>45</v>
      </c>
      <c r="D163" s="234">
        <v>0</v>
      </c>
      <c r="E163" s="437">
        <v>0.15176999999999999</v>
      </c>
      <c r="F163" s="36">
        <v>1.1080239999999999</v>
      </c>
      <c r="G163" s="656">
        <f t="shared" si="37"/>
        <v>0</v>
      </c>
      <c r="H163" s="153">
        <v>0.2</v>
      </c>
      <c r="I163" s="472">
        <f t="shared" si="38"/>
        <v>0</v>
      </c>
      <c r="J163" s="472">
        <f t="shared" si="39"/>
        <v>0</v>
      </c>
      <c r="K163" s="670" t="s">
        <v>479</v>
      </c>
      <c r="M163" s="293"/>
      <c r="N163" s="293"/>
      <c r="O163" s="293"/>
      <c r="P163" s="293"/>
      <c r="Q163" s="293"/>
      <c r="R163" s="524"/>
      <c r="S163" s="285"/>
      <c r="T163" s="524"/>
      <c r="U163" s="524"/>
    </row>
    <row r="164" spans="1:21" ht="24" customHeight="1" thickBot="1" x14ac:dyDescent="0.35">
      <c r="B164" s="195"/>
      <c r="C164" s="196"/>
      <c r="D164" s="197">
        <f>SUM(D156:D163)</f>
        <v>444</v>
      </c>
      <c r="E164" s="199"/>
      <c r="F164" s="36"/>
      <c r="G164" s="662">
        <f>SUM(G156:G163)</f>
        <v>162.4</v>
      </c>
      <c r="H164" s="616"/>
      <c r="I164" s="617">
        <f>SUM(I156:I163)</f>
        <v>32.480000000000004</v>
      </c>
      <c r="J164" s="618">
        <f>SUM(J156:J163)</f>
        <v>194.88</v>
      </c>
      <c r="K164" s="79"/>
      <c r="M164" s="293"/>
      <c r="N164" s="293"/>
      <c r="O164" s="303"/>
      <c r="P164" s="293"/>
      <c r="Q164" s="293"/>
      <c r="R164" s="524"/>
      <c r="S164" s="285"/>
      <c r="T164" s="524"/>
      <c r="U164" s="524"/>
    </row>
    <row r="165" spans="1:21" ht="18.75" x14ac:dyDescent="0.3">
      <c r="A165" s="116">
        <v>2705</v>
      </c>
      <c r="B165" s="187">
        <v>17</v>
      </c>
      <c r="C165" s="193"/>
      <c r="D165" s="152"/>
      <c r="E165" s="436">
        <v>0.33048</v>
      </c>
      <c r="F165" s="36">
        <v>1.1080239999999999</v>
      </c>
      <c r="G165" s="656">
        <f t="shared" ref="G165:G175" si="40">ROUND(D165*E165*F165,2)</f>
        <v>0</v>
      </c>
      <c r="H165" s="253">
        <v>0.2</v>
      </c>
      <c r="I165" s="472">
        <f t="shared" ref="I165:I175" si="41">ROUND(G165*H165,2)</f>
        <v>0</v>
      </c>
      <c r="J165" s="472">
        <f t="shared" ref="J165:J175" si="42">G165+I165</f>
        <v>0</v>
      </c>
      <c r="K165" s="670">
        <v>500360701</v>
      </c>
      <c r="M165" s="293"/>
      <c r="N165" s="293">
        <f>C165</f>
        <v>0</v>
      </c>
      <c r="O165" s="293">
        <f>D165</f>
        <v>0</v>
      </c>
      <c r="P165" s="293">
        <f>E165</f>
        <v>0.33048</v>
      </c>
      <c r="Q165" s="293">
        <f>F165</f>
        <v>1.1080239999999999</v>
      </c>
      <c r="R165" s="524">
        <f>G165</f>
        <v>0</v>
      </c>
      <c r="S165" s="194">
        <v>0.2</v>
      </c>
      <c r="T165" s="524">
        <f>I165</f>
        <v>0</v>
      </c>
      <c r="U165" s="524">
        <f>J165</f>
        <v>0</v>
      </c>
    </row>
    <row r="166" spans="1:21" ht="18.75" x14ac:dyDescent="0.3">
      <c r="A166" s="116">
        <v>2705</v>
      </c>
      <c r="B166" s="187"/>
      <c r="C166" s="193" t="s">
        <v>443</v>
      </c>
      <c r="D166" s="152">
        <v>229</v>
      </c>
      <c r="E166" s="436">
        <v>0.33048</v>
      </c>
      <c r="F166" s="36">
        <v>1.1080239999999999</v>
      </c>
      <c r="G166" s="656">
        <f t="shared" si="40"/>
        <v>83.86</v>
      </c>
      <c r="H166" s="253">
        <v>0.2</v>
      </c>
      <c r="I166" s="472">
        <f t="shared" si="41"/>
        <v>16.77</v>
      </c>
      <c r="J166" s="472">
        <f t="shared" si="42"/>
        <v>100.63</v>
      </c>
      <c r="K166" s="652">
        <v>591907479</v>
      </c>
      <c r="M166" s="293"/>
      <c r="N166" s="293"/>
      <c r="O166" s="293"/>
      <c r="P166" s="293"/>
      <c r="Q166" s="293"/>
      <c r="R166" s="524"/>
      <c r="S166" s="194"/>
      <c r="T166" s="524"/>
      <c r="U166" s="524"/>
    </row>
    <row r="167" spans="1:21" ht="18.75" x14ac:dyDescent="0.3">
      <c r="A167" s="116" t="s">
        <v>204</v>
      </c>
      <c r="B167" s="189"/>
      <c r="C167" s="140" t="s">
        <v>45</v>
      </c>
      <c r="D167" s="234">
        <v>19</v>
      </c>
      <c r="E167" s="437">
        <v>0.15176999999999999</v>
      </c>
      <c r="F167" s="36">
        <v>1.1080239999999999</v>
      </c>
      <c r="G167" s="656">
        <f t="shared" si="40"/>
        <v>3.2</v>
      </c>
      <c r="H167" s="153">
        <v>0.2</v>
      </c>
      <c r="I167" s="472">
        <f t="shared" si="41"/>
        <v>0.64</v>
      </c>
      <c r="J167" s="472">
        <f t="shared" si="42"/>
        <v>3.8400000000000003</v>
      </c>
      <c r="K167" s="652">
        <v>591907479</v>
      </c>
      <c r="M167" s="293"/>
      <c r="N167" s="293"/>
      <c r="O167" s="293"/>
      <c r="P167" s="293"/>
      <c r="Q167" s="293"/>
      <c r="R167" s="524"/>
      <c r="S167" s="194"/>
      <c r="T167" s="524"/>
      <c r="U167" s="524"/>
    </row>
    <row r="168" spans="1:21" ht="18.75" x14ac:dyDescent="0.3">
      <c r="A168" s="113">
        <v>2705</v>
      </c>
      <c r="B168" s="516"/>
      <c r="C168" s="140" t="s">
        <v>444</v>
      </c>
      <c r="D168" s="82">
        <v>320</v>
      </c>
      <c r="E168" s="436">
        <v>0.33048</v>
      </c>
      <c r="F168" s="36">
        <v>1.1080239999999999</v>
      </c>
      <c r="G168" s="651">
        <f t="shared" si="40"/>
        <v>117.18</v>
      </c>
      <c r="H168" s="153">
        <v>0.2</v>
      </c>
      <c r="I168" s="599">
        <f t="shared" si="41"/>
        <v>23.44</v>
      </c>
      <c r="J168" s="599">
        <f t="shared" si="42"/>
        <v>140.62</v>
      </c>
      <c r="K168" s="652">
        <v>400078278</v>
      </c>
      <c r="M168" s="293"/>
      <c r="N168" s="293"/>
      <c r="O168" s="293"/>
      <c r="P168" s="293"/>
      <c r="Q168" s="293"/>
      <c r="R168" s="524"/>
      <c r="S168" s="194"/>
      <c r="T168" s="524"/>
      <c r="U168" s="524"/>
    </row>
    <row r="169" spans="1:21" ht="18.75" x14ac:dyDescent="0.3">
      <c r="A169" s="116" t="s">
        <v>205</v>
      </c>
      <c r="B169" s="516"/>
      <c r="C169" s="140" t="s">
        <v>44</v>
      </c>
      <c r="D169" s="82">
        <v>0</v>
      </c>
      <c r="E169" s="436">
        <v>0.33048</v>
      </c>
      <c r="F169" s="36">
        <v>1.1080239999999999</v>
      </c>
      <c r="G169" s="656">
        <f t="shared" si="40"/>
        <v>0</v>
      </c>
      <c r="H169" s="153">
        <v>0.2</v>
      </c>
      <c r="I169" s="472">
        <f t="shared" si="41"/>
        <v>0</v>
      </c>
      <c r="J169" s="472">
        <f t="shared" si="42"/>
        <v>0</v>
      </c>
      <c r="K169" s="652">
        <v>400078278</v>
      </c>
      <c r="M169" s="293"/>
      <c r="N169" s="293"/>
      <c r="O169" s="293"/>
      <c r="P169" s="293"/>
      <c r="Q169" s="293"/>
      <c r="R169" s="524"/>
      <c r="S169" s="194"/>
      <c r="T169" s="524"/>
      <c r="U169" s="524"/>
    </row>
    <row r="170" spans="1:21" ht="18.75" x14ac:dyDescent="0.3">
      <c r="A170" s="116" t="s">
        <v>204</v>
      </c>
      <c r="B170" s="516"/>
      <c r="C170" s="140" t="s">
        <v>45</v>
      </c>
      <c r="D170" s="82">
        <v>5</v>
      </c>
      <c r="E170" s="437">
        <v>0.15176999999999999</v>
      </c>
      <c r="F170" s="36">
        <v>1.1080239999999999</v>
      </c>
      <c r="G170" s="656">
        <f t="shared" si="40"/>
        <v>0.84</v>
      </c>
      <c r="H170" s="153">
        <v>0.2</v>
      </c>
      <c r="I170" s="472">
        <f t="shared" si="41"/>
        <v>0.17</v>
      </c>
      <c r="J170" s="472">
        <f t="shared" si="42"/>
        <v>1.01</v>
      </c>
      <c r="K170" s="652">
        <v>400078278</v>
      </c>
      <c r="M170" s="293"/>
      <c r="N170" s="293"/>
      <c r="O170" s="293"/>
      <c r="P170" s="293"/>
      <c r="Q170" s="293"/>
      <c r="R170" s="524"/>
      <c r="S170" s="194"/>
      <c r="T170" s="524"/>
      <c r="U170" s="524"/>
    </row>
    <row r="171" spans="1:21" ht="15.75" customHeight="1" x14ac:dyDescent="0.3">
      <c r="A171" s="116">
        <v>1002</v>
      </c>
      <c r="B171" s="675" t="s">
        <v>498</v>
      </c>
      <c r="C171" s="140" t="s">
        <v>412</v>
      </c>
      <c r="D171" s="82">
        <v>0</v>
      </c>
      <c r="E171" s="435">
        <v>0.24295</v>
      </c>
      <c r="F171" s="36">
        <v>1.1080239999999999</v>
      </c>
      <c r="G171" s="656">
        <f t="shared" si="40"/>
        <v>0</v>
      </c>
      <c r="H171" s="153">
        <v>0.2</v>
      </c>
      <c r="I171" s="472">
        <f t="shared" si="41"/>
        <v>0</v>
      </c>
      <c r="J171" s="472">
        <f t="shared" si="42"/>
        <v>0</v>
      </c>
      <c r="K171" s="79">
        <v>691837115</v>
      </c>
      <c r="M171" s="293"/>
      <c r="N171" s="293"/>
      <c r="O171" s="293"/>
      <c r="P171" s="293"/>
      <c r="Q171" s="293"/>
      <c r="R171" s="524"/>
      <c r="S171" s="194"/>
      <c r="T171" s="524"/>
      <c r="U171" s="524"/>
    </row>
    <row r="172" spans="1:21" ht="18.75" x14ac:dyDescent="0.3">
      <c r="A172" s="116">
        <v>1002</v>
      </c>
      <c r="B172" s="187"/>
      <c r="C172" s="140" t="s">
        <v>499</v>
      </c>
      <c r="D172" s="82">
        <v>0</v>
      </c>
      <c r="E172" s="435">
        <v>0.24295</v>
      </c>
      <c r="F172" s="36">
        <v>1.1080239999999999</v>
      </c>
      <c r="G172" s="656">
        <f>ROUND(D172*E172*F172,2)</f>
        <v>0</v>
      </c>
      <c r="H172" s="153">
        <v>0.2</v>
      </c>
      <c r="I172" s="472">
        <f>ROUND(G172*H172,2)</f>
        <v>0</v>
      </c>
      <c r="J172" s="472">
        <f>G172+I172</f>
        <v>0</v>
      </c>
      <c r="K172" s="652">
        <v>500033206</v>
      </c>
      <c r="M172" s="293"/>
      <c r="N172" s="293"/>
      <c r="O172" s="293"/>
      <c r="P172" s="293"/>
      <c r="Q172" s="293"/>
      <c r="R172" s="524"/>
      <c r="S172" s="194"/>
      <c r="T172" s="524"/>
      <c r="U172" s="524"/>
    </row>
    <row r="173" spans="1:21" ht="18.75" x14ac:dyDescent="0.3">
      <c r="A173" s="116">
        <v>1002</v>
      </c>
      <c r="B173" s="714" t="s">
        <v>564</v>
      </c>
      <c r="C173" s="715" t="s">
        <v>565</v>
      </c>
      <c r="D173" s="82">
        <v>0</v>
      </c>
      <c r="E173" s="435">
        <v>0.24295</v>
      </c>
      <c r="F173" s="36">
        <v>1.1080239999999999</v>
      </c>
      <c r="G173" s="656">
        <f>ROUND(D173*E173*F173,2)</f>
        <v>0</v>
      </c>
      <c r="H173" s="153">
        <v>0.2</v>
      </c>
      <c r="I173" s="472">
        <f>ROUND(G173*H173,2)</f>
        <v>0</v>
      </c>
      <c r="J173" s="472">
        <f>G173+I173</f>
        <v>0</v>
      </c>
      <c r="K173" s="658">
        <v>500577168</v>
      </c>
      <c r="M173" s="293"/>
      <c r="N173" s="293"/>
      <c r="O173" s="293"/>
      <c r="P173" s="293"/>
      <c r="Q173" s="293"/>
      <c r="R173" s="524"/>
      <c r="S173" s="194"/>
      <c r="T173" s="524"/>
      <c r="U173" s="524"/>
    </row>
    <row r="174" spans="1:21" ht="18.75" x14ac:dyDescent="0.3">
      <c r="A174" s="116">
        <v>1002</v>
      </c>
      <c r="B174" s="193" t="s">
        <v>602</v>
      </c>
      <c r="C174" s="193" t="s">
        <v>603</v>
      </c>
      <c r="D174" s="82">
        <v>458</v>
      </c>
      <c r="E174" s="435">
        <v>0.24295</v>
      </c>
      <c r="F174" s="36">
        <v>1.1080239999999999</v>
      </c>
      <c r="G174" s="656">
        <f t="shared" si="40"/>
        <v>123.29</v>
      </c>
      <c r="H174" s="153">
        <v>0.2</v>
      </c>
      <c r="I174" s="472">
        <f t="shared" si="41"/>
        <v>24.66</v>
      </c>
      <c r="J174" s="472">
        <f t="shared" si="42"/>
        <v>147.95000000000002</v>
      </c>
      <c r="K174" s="79">
        <v>500522565</v>
      </c>
      <c r="M174" s="293"/>
      <c r="N174" s="293" t="str">
        <f>C174</f>
        <v>"ТЕДОЛ"</v>
      </c>
      <c r="O174" s="293">
        <f>D174</f>
        <v>458</v>
      </c>
      <c r="P174" s="293">
        <f>E174</f>
        <v>0.24295</v>
      </c>
      <c r="Q174" s="293">
        <f>F174</f>
        <v>1.1080239999999999</v>
      </c>
      <c r="R174" s="524">
        <f>G174</f>
        <v>123.29</v>
      </c>
      <c r="S174" s="285">
        <f>H165</f>
        <v>0.2</v>
      </c>
      <c r="T174" s="524">
        <f>I174</f>
        <v>24.66</v>
      </c>
      <c r="U174" s="524">
        <f>J174</f>
        <v>147.95000000000002</v>
      </c>
    </row>
    <row r="175" spans="1:21" ht="18" customHeight="1" thickBot="1" x14ac:dyDescent="0.35">
      <c r="A175" s="113" t="s">
        <v>203</v>
      </c>
      <c r="B175" s="541"/>
      <c r="C175" s="140" t="s">
        <v>48</v>
      </c>
      <c r="D175" s="82">
        <v>8</v>
      </c>
      <c r="E175" s="598">
        <v>0.15842000000000001</v>
      </c>
      <c r="F175" s="36">
        <v>1</v>
      </c>
      <c r="G175" s="656">
        <f t="shared" si="40"/>
        <v>1.27</v>
      </c>
      <c r="H175" s="153">
        <v>0.2</v>
      </c>
      <c r="I175" s="472">
        <f t="shared" si="41"/>
        <v>0.25</v>
      </c>
      <c r="J175" s="472">
        <f t="shared" si="42"/>
        <v>1.52</v>
      </c>
      <c r="K175" s="79">
        <v>500175732</v>
      </c>
      <c r="M175" s="367"/>
      <c r="N175" s="368" t="str">
        <f>C175</f>
        <v>ЖСПК 78</v>
      </c>
      <c r="O175" s="368">
        <f t="shared" ref="O175:U175" si="43">D175</f>
        <v>8</v>
      </c>
      <c r="P175" s="368">
        <f t="shared" si="43"/>
        <v>0.15842000000000001</v>
      </c>
      <c r="Q175" s="368">
        <f t="shared" si="43"/>
        <v>1</v>
      </c>
      <c r="R175" s="526">
        <f t="shared" si="43"/>
        <v>1.27</v>
      </c>
      <c r="S175" s="368">
        <f>H175</f>
        <v>0.2</v>
      </c>
      <c r="T175" s="526">
        <f t="shared" si="43"/>
        <v>0.25</v>
      </c>
      <c r="U175" s="526">
        <f t="shared" si="43"/>
        <v>1.52</v>
      </c>
    </row>
    <row r="176" spans="1:21" ht="24.75" customHeight="1" thickBot="1" x14ac:dyDescent="0.35">
      <c r="B176" s="246"/>
      <c r="C176" s="196"/>
      <c r="D176" s="197">
        <f>SUM(D165:D175)</f>
        <v>1039</v>
      </c>
      <c r="E176" s="199"/>
      <c r="F176" s="36"/>
      <c r="G176" s="662">
        <f>SUM(G165:G175)</f>
        <v>329.64</v>
      </c>
      <c r="H176" s="663"/>
      <c r="I176" s="662">
        <f>SUM(I165:I175)</f>
        <v>65.930000000000007</v>
      </c>
      <c r="J176" s="664">
        <f>SUM(J165:J175)</f>
        <v>395.57</v>
      </c>
      <c r="K176" s="79"/>
      <c r="M176" s="367"/>
      <c r="N176" s="368"/>
      <c r="O176" s="368"/>
      <c r="P176" s="368"/>
      <c r="Q176" s="368"/>
      <c r="R176" s="526"/>
      <c r="S176" s="285"/>
      <c r="T176" s="526"/>
      <c r="U176" s="526"/>
    </row>
    <row r="177" spans="1:21" ht="19.5" customHeight="1" x14ac:dyDescent="0.3">
      <c r="A177" s="113" t="s">
        <v>203</v>
      </c>
      <c r="B177" s="183">
        <v>20</v>
      </c>
      <c r="C177" s="193" t="s">
        <v>49</v>
      </c>
      <c r="D177" s="152">
        <v>2</v>
      </c>
      <c r="E177" s="598">
        <v>0.15842000000000001</v>
      </c>
      <c r="F177" s="36">
        <v>1</v>
      </c>
      <c r="G177" s="656">
        <f>ROUND(D177*E177*F177,2)</f>
        <v>0.32</v>
      </c>
      <c r="H177" s="153">
        <v>0.2</v>
      </c>
      <c r="I177" s="472">
        <f>ROUND(G177*H177,2)</f>
        <v>0.06</v>
      </c>
      <c r="J177" s="472">
        <f>G177+I177</f>
        <v>0.38</v>
      </c>
      <c r="K177" s="79">
        <v>500164655</v>
      </c>
      <c r="M177" s="367"/>
      <c r="N177" s="369" t="str">
        <f>C177</f>
        <v>ЖСПК 81</v>
      </c>
      <c r="O177" s="369">
        <f t="shared" ref="O177:U177" si="44">D177</f>
        <v>2</v>
      </c>
      <c r="P177" s="369">
        <f t="shared" si="44"/>
        <v>0.15842000000000001</v>
      </c>
      <c r="Q177" s="369">
        <f t="shared" si="44"/>
        <v>1</v>
      </c>
      <c r="R177" s="527">
        <f t="shared" si="44"/>
        <v>0.32</v>
      </c>
      <c r="S177" s="369">
        <f t="shared" si="44"/>
        <v>0.2</v>
      </c>
      <c r="T177" s="527">
        <f t="shared" si="44"/>
        <v>0.06</v>
      </c>
      <c r="U177" s="527">
        <f t="shared" si="44"/>
        <v>0.38</v>
      </c>
    </row>
    <row r="178" spans="1:21" ht="25.5" hidden="1" customHeight="1" x14ac:dyDescent="0.3">
      <c r="B178" s="200"/>
      <c r="C178" s="140"/>
      <c r="D178" s="82"/>
      <c r="E178" s="436">
        <v>0.30286999999999997</v>
      </c>
      <c r="F178" s="36">
        <v>0.98398799999999997</v>
      </c>
      <c r="G178" s="656">
        <f t="shared" ref="G178:G196" si="45">ROUND(D178*E178*F178,2)</f>
        <v>0</v>
      </c>
      <c r="H178" s="253">
        <v>0.2</v>
      </c>
      <c r="I178" s="472">
        <f t="shared" ref="I178:I195" si="46">ROUND(G178*H178,2)</f>
        <v>0</v>
      </c>
      <c r="J178" s="472">
        <f t="shared" ref="J178:J196" si="47">G178+I178</f>
        <v>0</v>
      </c>
      <c r="K178" s="79"/>
      <c r="M178" s="367"/>
      <c r="N178" s="368"/>
      <c r="O178" s="368"/>
      <c r="P178" s="368"/>
      <c r="Q178" s="368"/>
      <c r="R178" s="526"/>
      <c r="S178" s="285">
        <f>H177</f>
        <v>0.2</v>
      </c>
      <c r="T178" s="526"/>
      <c r="U178" s="526"/>
    </row>
    <row r="179" spans="1:21" ht="18.75" hidden="1" customHeight="1" x14ac:dyDescent="0.3">
      <c r="B179" s="201"/>
      <c r="C179" s="140"/>
      <c r="D179" s="82"/>
      <c r="E179" s="436">
        <v>0.30286999999999997</v>
      </c>
      <c r="F179" s="36">
        <v>0.98398799999999997</v>
      </c>
      <c r="G179" s="656">
        <f t="shared" si="45"/>
        <v>0</v>
      </c>
      <c r="H179" s="253">
        <v>0.2</v>
      </c>
      <c r="I179" s="472">
        <f t="shared" si="46"/>
        <v>0</v>
      </c>
      <c r="J179" s="472">
        <f t="shared" si="47"/>
        <v>0</v>
      </c>
      <c r="K179" s="79"/>
      <c r="M179" s="367"/>
      <c r="N179" s="368"/>
      <c r="O179" s="368"/>
      <c r="P179" s="368"/>
      <c r="Q179" s="368"/>
      <c r="R179" s="526"/>
      <c r="S179" s="285">
        <f>H178</f>
        <v>0.2</v>
      </c>
      <c r="T179" s="526"/>
      <c r="U179" s="526"/>
    </row>
    <row r="180" spans="1:21" ht="18.75" hidden="1" customHeight="1" x14ac:dyDescent="0.3">
      <c r="B180" s="428"/>
      <c r="C180" s="140"/>
      <c r="D180" s="82"/>
      <c r="E180" s="436">
        <v>0.30286999999999997</v>
      </c>
      <c r="F180" s="36">
        <v>0.98398799999999997</v>
      </c>
      <c r="G180" s="656">
        <f t="shared" si="45"/>
        <v>0</v>
      </c>
      <c r="H180" s="253">
        <v>0.2</v>
      </c>
      <c r="I180" s="472">
        <f t="shared" si="46"/>
        <v>0</v>
      </c>
      <c r="J180" s="472">
        <f t="shared" si="47"/>
        <v>0</v>
      </c>
      <c r="K180" s="79"/>
      <c r="M180" s="367"/>
      <c r="N180" s="368"/>
      <c r="O180" s="368"/>
      <c r="P180" s="368"/>
      <c r="Q180" s="368"/>
      <c r="R180" s="526"/>
      <c r="S180" s="285">
        <f>H179</f>
        <v>0.2</v>
      </c>
      <c r="T180" s="526"/>
      <c r="U180" s="526"/>
    </row>
    <row r="181" spans="1:21" ht="18.75" x14ac:dyDescent="0.3">
      <c r="A181" s="116">
        <v>2702</v>
      </c>
      <c r="B181" s="428">
        <v>20</v>
      </c>
      <c r="C181" s="140" t="s">
        <v>289</v>
      </c>
      <c r="D181" s="82">
        <v>778</v>
      </c>
      <c r="E181" s="436">
        <v>0.24295</v>
      </c>
      <c r="F181" s="36">
        <v>1.1080239999999999</v>
      </c>
      <c r="G181" s="656">
        <f t="shared" si="45"/>
        <v>209.43</v>
      </c>
      <c r="H181" s="153">
        <v>0.2</v>
      </c>
      <c r="I181" s="472">
        <f t="shared" si="46"/>
        <v>41.89</v>
      </c>
      <c r="J181" s="472">
        <f t="shared" si="47"/>
        <v>251.32</v>
      </c>
      <c r="K181" s="79">
        <v>190579561</v>
      </c>
      <c r="M181" s="367"/>
      <c r="N181" s="368" t="str">
        <f>C181</f>
        <v>Бест</v>
      </c>
      <c r="O181" s="368">
        <f t="shared" ref="O181:U181" si="48">D181</f>
        <v>778</v>
      </c>
      <c r="P181" s="368">
        <f t="shared" si="48"/>
        <v>0.24295</v>
      </c>
      <c r="Q181" s="368">
        <f t="shared" si="48"/>
        <v>1.1080239999999999</v>
      </c>
      <c r="R181" s="526">
        <f t="shared" si="48"/>
        <v>209.43</v>
      </c>
      <c r="S181" s="368">
        <f t="shared" si="48"/>
        <v>0.2</v>
      </c>
      <c r="T181" s="526">
        <f t="shared" si="48"/>
        <v>41.89</v>
      </c>
      <c r="U181" s="526">
        <f t="shared" si="48"/>
        <v>251.32</v>
      </c>
    </row>
    <row r="182" spans="1:21" ht="18.75" x14ac:dyDescent="0.3">
      <c r="A182" s="116">
        <v>2702</v>
      </c>
      <c r="B182" s="428"/>
      <c r="C182" s="140" t="s">
        <v>383</v>
      </c>
      <c r="D182" s="82">
        <v>4947</v>
      </c>
      <c r="E182" s="436">
        <v>0.24295</v>
      </c>
      <c r="F182" s="36">
        <v>1.1080239999999999</v>
      </c>
      <c r="G182" s="656">
        <f>ROUND(D182*E182*F182,2)</f>
        <v>1331.7</v>
      </c>
      <c r="H182" s="153">
        <v>0.2</v>
      </c>
      <c r="I182" s="472">
        <f>ROUND(G182*H182,2)</f>
        <v>266.33999999999997</v>
      </c>
      <c r="J182" s="472">
        <f>G182+I182</f>
        <v>1598.04</v>
      </c>
      <c r="K182" s="79">
        <v>590661493</v>
      </c>
      <c r="M182" s="367"/>
      <c r="N182" s="368"/>
      <c r="O182" s="368"/>
      <c r="P182" s="368"/>
      <c r="Q182" s="368"/>
      <c r="R182" s="526"/>
      <c r="S182" s="368"/>
      <c r="T182" s="526"/>
      <c r="U182" s="526"/>
    </row>
    <row r="183" spans="1:21" ht="18.75" x14ac:dyDescent="0.3">
      <c r="A183" s="116">
        <v>2705</v>
      </c>
      <c r="B183" s="428" t="s">
        <v>120</v>
      </c>
      <c r="C183" s="140" t="s">
        <v>480</v>
      </c>
      <c r="D183" s="82">
        <v>68</v>
      </c>
      <c r="E183" s="436">
        <v>0.33048</v>
      </c>
      <c r="F183" s="36">
        <v>1.1080239999999999</v>
      </c>
      <c r="G183" s="656">
        <f>ROUND(D183*E183*F183,2)</f>
        <v>24.9</v>
      </c>
      <c r="H183" s="153">
        <v>0.2</v>
      </c>
      <c r="I183" s="472">
        <f>ROUND(G183*H183,2)</f>
        <v>4.9800000000000004</v>
      </c>
      <c r="J183" s="472">
        <f>G183+I183</f>
        <v>29.88</v>
      </c>
      <c r="K183" s="79">
        <v>500842802</v>
      </c>
      <c r="M183" s="367"/>
      <c r="N183" s="368"/>
      <c r="O183" s="368"/>
      <c r="P183" s="368"/>
      <c r="Q183" s="368"/>
      <c r="R183" s="526"/>
      <c r="S183" s="368"/>
      <c r="T183" s="526"/>
      <c r="U183" s="526"/>
    </row>
    <row r="184" spans="1:21" ht="29.25" customHeight="1" x14ac:dyDescent="0.3">
      <c r="A184" s="113">
        <v>2705</v>
      </c>
      <c r="B184" s="428"/>
      <c r="C184" s="655" t="s">
        <v>456</v>
      </c>
      <c r="D184" s="82">
        <v>510</v>
      </c>
      <c r="E184" s="436">
        <v>0.33048</v>
      </c>
      <c r="F184" s="36">
        <v>1.1080239999999999</v>
      </c>
      <c r="G184" s="656">
        <f t="shared" si="45"/>
        <v>186.75</v>
      </c>
      <c r="H184" s="153">
        <v>0.2</v>
      </c>
      <c r="I184" s="472">
        <f t="shared" si="46"/>
        <v>37.35</v>
      </c>
      <c r="J184" s="472">
        <f t="shared" si="47"/>
        <v>224.1</v>
      </c>
      <c r="K184" s="652">
        <v>591017099</v>
      </c>
      <c r="M184" s="367"/>
      <c r="N184" s="368"/>
      <c r="O184" s="368"/>
      <c r="P184" s="368"/>
      <c r="Q184" s="368"/>
      <c r="R184" s="526"/>
      <c r="S184" s="368"/>
      <c r="T184" s="526"/>
      <c r="U184" s="526"/>
    </row>
    <row r="185" spans="1:21" ht="0.75" hidden="1" customHeight="1" x14ac:dyDescent="0.3">
      <c r="B185" s="428"/>
      <c r="C185" s="140"/>
      <c r="D185" s="82"/>
      <c r="E185" s="436">
        <v>0.33048</v>
      </c>
      <c r="F185" s="36">
        <v>1.1080239999999999</v>
      </c>
      <c r="G185" s="656">
        <f t="shared" si="45"/>
        <v>0</v>
      </c>
      <c r="H185" s="153"/>
      <c r="I185" s="472">
        <f t="shared" si="46"/>
        <v>0</v>
      </c>
      <c r="J185" s="472">
        <f t="shared" si="47"/>
        <v>0</v>
      </c>
      <c r="K185" s="652">
        <v>591017099</v>
      </c>
      <c r="M185" s="367"/>
      <c r="N185" s="368"/>
      <c r="O185" s="368"/>
      <c r="P185" s="368"/>
      <c r="Q185" s="368"/>
      <c r="R185" s="526"/>
      <c r="S185" s="285">
        <f>H184</f>
        <v>0.2</v>
      </c>
      <c r="T185" s="526"/>
      <c r="U185" s="526"/>
    </row>
    <row r="186" spans="1:21" ht="18.75" hidden="1" customHeight="1" x14ac:dyDescent="0.3">
      <c r="B186" s="428"/>
      <c r="C186" s="140"/>
      <c r="D186" s="82"/>
      <c r="E186" s="436">
        <v>0.33048</v>
      </c>
      <c r="F186" s="36">
        <v>1.1080239999999999</v>
      </c>
      <c r="G186" s="656">
        <f t="shared" si="45"/>
        <v>0</v>
      </c>
      <c r="H186" s="153"/>
      <c r="I186" s="472">
        <f t="shared" si="46"/>
        <v>0</v>
      </c>
      <c r="J186" s="472">
        <f t="shared" si="47"/>
        <v>0</v>
      </c>
      <c r="K186" s="652">
        <v>591017099</v>
      </c>
      <c r="M186" s="367"/>
      <c r="N186" s="368"/>
      <c r="O186" s="368"/>
      <c r="P186" s="368"/>
      <c r="Q186" s="368"/>
      <c r="R186" s="526"/>
      <c r="S186" s="285">
        <f>H185</f>
        <v>0</v>
      </c>
      <c r="T186" s="526"/>
      <c r="U186" s="526"/>
    </row>
    <row r="187" spans="1:21" ht="16.5" customHeight="1" x14ac:dyDescent="0.3">
      <c r="A187" s="116" t="s">
        <v>205</v>
      </c>
      <c r="B187" s="428"/>
      <c r="C187" s="140" t="s">
        <v>44</v>
      </c>
      <c r="D187" s="234">
        <v>0</v>
      </c>
      <c r="E187" s="436">
        <v>0.33048</v>
      </c>
      <c r="F187" s="36">
        <v>1.1080239999999999</v>
      </c>
      <c r="G187" s="656">
        <f>ROUND(D187*E187*F187,2)</f>
        <v>0</v>
      </c>
      <c r="H187" s="153">
        <v>0.2</v>
      </c>
      <c r="I187" s="472">
        <f>ROUND(G187*H187,2)</f>
        <v>0</v>
      </c>
      <c r="J187" s="472">
        <f t="shared" si="47"/>
        <v>0</v>
      </c>
      <c r="K187" s="652">
        <v>591017099</v>
      </c>
      <c r="M187" s="367"/>
      <c r="N187" s="368"/>
      <c r="O187" s="368"/>
      <c r="P187" s="368"/>
      <c r="Q187" s="368"/>
      <c r="R187" s="526"/>
      <c r="S187" s="285"/>
      <c r="T187" s="526"/>
      <c r="U187" s="526"/>
    </row>
    <row r="188" spans="1:21" ht="18.75" x14ac:dyDescent="0.3">
      <c r="A188" s="116" t="s">
        <v>204</v>
      </c>
      <c r="B188" s="428"/>
      <c r="C188" s="140" t="s">
        <v>45</v>
      </c>
      <c r="D188" s="82">
        <v>0</v>
      </c>
      <c r="E188" s="437">
        <v>0.15176999999999999</v>
      </c>
      <c r="F188" s="36">
        <v>1.1080239999999999</v>
      </c>
      <c r="G188" s="656">
        <f t="shared" si="45"/>
        <v>0</v>
      </c>
      <c r="H188" s="153">
        <v>0.2</v>
      </c>
      <c r="I188" s="472">
        <f t="shared" si="46"/>
        <v>0</v>
      </c>
      <c r="J188" s="472">
        <f t="shared" si="47"/>
        <v>0</v>
      </c>
      <c r="K188" s="652">
        <v>591017099</v>
      </c>
      <c r="M188" s="367"/>
      <c r="N188" s="368"/>
      <c r="O188" s="368"/>
      <c r="P188" s="368"/>
      <c r="Q188" s="368"/>
      <c r="R188" s="526"/>
      <c r="S188" s="285"/>
      <c r="T188" s="526"/>
      <c r="U188" s="526"/>
    </row>
    <row r="189" spans="1:21" ht="18.75" x14ac:dyDescent="0.3">
      <c r="A189" s="116">
        <v>2705</v>
      </c>
      <c r="B189" s="428"/>
      <c r="C189" s="140" t="s">
        <v>485</v>
      </c>
      <c r="D189" s="82">
        <v>557</v>
      </c>
      <c r="E189" s="436">
        <v>0.33048</v>
      </c>
      <c r="F189" s="36">
        <v>1.1080239999999999</v>
      </c>
      <c r="G189" s="656">
        <f>ROUND(D189*E189*F189,2)</f>
        <v>203.96</v>
      </c>
      <c r="H189" s="153">
        <v>0.2</v>
      </c>
      <c r="I189" s="472">
        <f>ROUND(G189*H189,2)</f>
        <v>40.79</v>
      </c>
      <c r="J189" s="472">
        <f>G189+I189</f>
        <v>244.75</v>
      </c>
      <c r="K189" s="652"/>
      <c r="M189" s="676"/>
      <c r="N189" s="677"/>
      <c r="O189" s="677"/>
      <c r="P189" s="677"/>
      <c r="Q189" s="368"/>
      <c r="R189" s="678"/>
      <c r="S189" s="285"/>
      <c r="T189" s="678"/>
      <c r="U189" s="678"/>
    </row>
    <row r="190" spans="1:21" ht="16.5" customHeight="1" x14ac:dyDescent="0.3">
      <c r="A190" s="116">
        <v>1002</v>
      </c>
      <c r="B190" s="428" t="s">
        <v>515</v>
      </c>
      <c r="C190" s="140" t="s">
        <v>499</v>
      </c>
      <c r="D190" s="82">
        <v>0</v>
      </c>
      <c r="E190" s="435">
        <v>0.24295</v>
      </c>
      <c r="F190" s="36">
        <v>1.1080239999999999</v>
      </c>
      <c r="G190" s="656">
        <f>ROUND(D190*E190*F190,2)</f>
        <v>0</v>
      </c>
      <c r="H190" s="153">
        <v>0.2</v>
      </c>
      <c r="I190" s="472">
        <f>ROUND(G190*H190,2)</f>
        <v>0</v>
      </c>
      <c r="J190" s="472">
        <f>G190+I190</f>
        <v>0</v>
      </c>
      <c r="K190" s="652"/>
      <c r="M190" s="676"/>
      <c r="N190" s="677"/>
      <c r="O190" s="677"/>
      <c r="P190" s="677"/>
      <c r="Q190" s="368"/>
      <c r="R190" s="678"/>
      <c r="S190" s="285"/>
      <c r="T190" s="678"/>
      <c r="U190" s="678"/>
    </row>
    <row r="191" spans="1:21" ht="17.25" customHeight="1" x14ac:dyDescent="0.3">
      <c r="A191" s="116">
        <v>1002</v>
      </c>
      <c r="B191" s="201" t="s">
        <v>593</v>
      </c>
      <c r="C191" s="140" t="s">
        <v>500</v>
      </c>
      <c r="D191" s="82">
        <f>7+18+1+93+10</f>
        <v>129</v>
      </c>
      <c r="E191" s="435">
        <v>0.24295</v>
      </c>
      <c r="F191" s="36">
        <v>1.1080239999999999</v>
      </c>
      <c r="G191" s="656">
        <f>ROUND(D191*E191*F191,2)</f>
        <v>34.729999999999997</v>
      </c>
      <c r="H191" s="153">
        <v>0.2</v>
      </c>
      <c r="I191" s="472">
        <f>ROUND(G191*H191,2)</f>
        <v>6.95</v>
      </c>
      <c r="J191" s="472">
        <f>G191+I191</f>
        <v>41.68</v>
      </c>
      <c r="K191" s="79">
        <v>190176680</v>
      </c>
      <c r="M191" s="676"/>
      <c r="N191" s="677"/>
      <c r="O191" s="677"/>
      <c r="P191" s="677"/>
      <c r="Q191" s="368"/>
      <c r="R191" s="678"/>
      <c r="S191" s="285"/>
      <c r="T191" s="678"/>
      <c r="U191" s="678"/>
    </row>
    <row r="192" spans="1:21" ht="16.5" customHeight="1" x14ac:dyDescent="0.25">
      <c r="A192" s="116">
        <v>1002</v>
      </c>
      <c r="B192" s="201" t="s">
        <v>593</v>
      </c>
      <c r="C192" s="140"/>
      <c r="D192" s="82">
        <v>0</v>
      </c>
      <c r="E192" s="435">
        <v>0.24295</v>
      </c>
      <c r="F192" s="36">
        <v>1.1080239999999999</v>
      </c>
      <c r="G192" s="656">
        <f t="shared" si="45"/>
        <v>0</v>
      </c>
      <c r="H192" s="153">
        <v>0.2</v>
      </c>
      <c r="I192" s="472">
        <f t="shared" si="46"/>
        <v>0</v>
      </c>
      <c r="J192" s="472">
        <f t="shared" si="47"/>
        <v>0</v>
      </c>
      <c r="K192" s="79">
        <v>691837115</v>
      </c>
      <c r="M192" s="184"/>
      <c r="N192" s="193"/>
      <c r="O192" s="193"/>
      <c r="P192" s="193"/>
      <c r="Q192" s="140"/>
      <c r="R192" s="590"/>
      <c r="S192" s="83"/>
      <c r="T192" s="590"/>
      <c r="U192" s="590"/>
    </row>
    <row r="193" spans="1:21" ht="18.75" x14ac:dyDescent="0.3">
      <c r="A193" s="116">
        <v>1002</v>
      </c>
      <c r="B193" s="428" t="s">
        <v>466</v>
      </c>
      <c r="C193" s="668" t="s">
        <v>461</v>
      </c>
      <c r="D193" s="82">
        <v>0</v>
      </c>
      <c r="E193" s="435">
        <v>0.24295</v>
      </c>
      <c r="F193" s="36">
        <v>1.1080239999999999</v>
      </c>
      <c r="G193" s="656">
        <f>ROUND(D193*E193*F193,2)</f>
        <v>0</v>
      </c>
      <c r="H193" s="153">
        <v>0.2</v>
      </c>
      <c r="I193" s="472">
        <f>ROUND(G193*H193,2)</f>
        <v>0</v>
      </c>
      <c r="J193" s="472">
        <f t="shared" si="47"/>
        <v>0</v>
      </c>
      <c r="K193" s="652">
        <v>590646236</v>
      </c>
      <c r="M193" s="367"/>
      <c r="N193" s="368"/>
      <c r="O193" s="368"/>
      <c r="P193" s="368"/>
      <c r="Q193" s="368"/>
      <c r="R193" s="526"/>
      <c r="S193" s="285"/>
      <c r="T193" s="526"/>
      <c r="U193" s="526"/>
    </row>
    <row r="194" spans="1:21" ht="18.75" x14ac:dyDescent="0.3">
      <c r="A194" s="116">
        <v>2705</v>
      </c>
      <c r="B194" s="428"/>
      <c r="C194" s="668" t="s">
        <v>460</v>
      </c>
      <c r="D194" s="82">
        <v>358</v>
      </c>
      <c r="E194" s="436">
        <v>0.33048</v>
      </c>
      <c r="F194" s="36">
        <v>1.1080239999999999</v>
      </c>
      <c r="G194" s="656">
        <f>ROUND(D194*E194*F194,2)</f>
        <v>131.09</v>
      </c>
      <c r="H194" s="153">
        <v>0.2</v>
      </c>
      <c r="I194" s="472">
        <f>ROUND(G194*H194,2)</f>
        <v>26.22</v>
      </c>
      <c r="J194" s="472">
        <f t="shared" si="47"/>
        <v>157.31</v>
      </c>
      <c r="K194" s="652">
        <v>590762760</v>
      </c>
      <c r="M194" s="367"/>
      <c r="N194" s="368"/>
      <c r="O194" s="368"/>
      <c r="P194" s="368"/>
      <c r="Q194" s="368"/>
      <c r="R194" s="526"/>
      <c r="S194" s="285"/>
      <c r="T194" s="526"/>
      <c r="U194" s="526"/>
    </row>
    <row r="195" spans="1:21" ht="18.75" x14ac:dyDescent="0.3">
      <c r="A195" s="116">
        <v>1002</v>
      </c>
      <c r="B195" s="201" t="s">
        <v>422</v>
      </c>
      <c r="C195" s="140" t="s">
        <v>423</v>
      </c>
      <c r="D195" s="82">
        <v>0</v>
      </c>
      <c r="E195" s="435">
        <v>0.24295</v>
      </c>
      <c r="F195" s="36">
        <v>1.1080239999999999</v>
      </c>
      <c r="G195" s="656">
        <f t="shared" si="45"/>
        <v>0</v>
      </c>
      <c r="H195" s="153">
        <v>0.2</v>
      </c>
      <c r="I195" s="472">
        <f t="shared" si="46"/>
        <v>0</v>
      </c>
      <c r="J195" s="472">
        <f t="shared" si="47"/>
        <v>0</v>
      </c>
      <c r="K195" s="79">
        <v>500522565</v>
      </c>
      <c r="M195" s="369"/>
      <c r="N195" s="293" t="str">
        <f t="shared" ref="N195:U195" si="49">C195</f>
        <v xml:space="preserve">РСУ - 6 </v>
      </c>
      <c r="O195" s="303">
        <f t="shared" si="49"/>
        <v>0</v>
      </c>
      <c r="P195" s="303">
        <f t="shared" si="49"/>
        <v>0.24295</v>
      </c>
      <c r="Q195" s="293">
        <f t="shared" si="49"/>
        <v>1.1080239999999999</v>
      </c>
      <c r="R195" s="524">
        <f t="shared" si="49"/>
        <v>0</v>
      </c>
      <c r="S195" s="303">
        <f t="shared" si="49"/>
        <v>0.2</v>
      </c>
      <c r="T195" s="524">
        <f t="shared" si="49"/>
        <v>0</v>
      </c>
      <c r="U195" s="524">
        <f t="shared" si="49"/>
        <v>0</v>
      </c>
    </row>
    <row r="196" spans="1:21" ht="28.5" customHeight="1" thickBot="1" x14ac:dyDescent="0.35">
      <c r="A196" s="113">
        <v>2705</v>
      </c>
      <c r="B196" s="376" t="s">
        <v>189</v>
      </c>
      <c r="C196" s="143" t="s">
        <v>101</v>
      </c>
      <c r="D196" s="234">
        <v>0</v>
      </c>
      <c r="E196" s="436">
        <v>0.33048</v>
      </c>
      <c r="F196" s="36">
        <v>1.1080239999999999</v>
      </c>
      <c r="G196" s="656">
        <f t="shared" si="45"/>
        <v>0</v>
      </c>
      <c r="H196" s="345">
        <v>0.2</v>
      </c>
      <c r="I196" s="472">
        <f>G196*H196</f>
        <v>0</v>
      </c>
      <c r="J196" s="472">
        <f t="shared" si="47"/>
        <v>0</v>
      </c>
      <c r="K196" s="79">
        <v>500036445</v>
      </c>
      <c r="M196" s="367"/>
      <c r="N196" s="368"/>
      <c r="O196" s="368"/>
      <c r="P196" s="368"/>
      <c r="Q196" s="368"/>
      <c r="R196" s="526"/>
      <c r="S196" s="285"/>
      <c r="T196" s="526"/>
      <c r="U196" s="526"/>
    </row>
    <row r="197" spans="1:21" ht="19.5" customHeight="1" thickBot="1" x14ac:dyDescent="0.35">
      <c r="B197" s="195"/>
      <c r="C197" s="196"/>
      <c r="D197" s="197">
        <f>SUM(D177:D196)</f>
        <v>7349</v>
      </c>
      <c r="E197" s="199"/>
      <c r="F197" s="36"/>
      <c r="G197" s="470">
        <f>SUM(G177:G196)</f>
        <v>2122.88</v>
      </c>
      <c r="H197" s="616"/>
      <c r="I197" s="617">
        <f>SUM(I177:I196)</f>
        <v>424.58000000000004</v>
      </c>
      <c r="J197" s="617">
        <f>SUM(J177:J196)</f>
        <v>2547.46</v>
      </c>
      <c r="K197" s="79"/>
      <c r="M197" s="367"/>
      <c r="N197" s="368"/>
      <c r="O197" s="368"/>
      <c r="P197" s="368"/>
      <c r="Q197" s="368"/>
      <c r="R197" s="526"/>
      <c r="S197" s="285"/>
      <c r="T197" s="526"/>
      <c r="U197" s="526"/>
    </row>
    <row r="198" spans="1:21" ht="18.75" x14ac:dyDescent="0.3">
      <c r="A198" s="116">
        <v>2605</v>
      </c>
      <c r="B198" s="619">
        <v>21</v>
      </c>
      <c r="C198" s="193" t="s">
        <v>318</v>
      </c>
      <c r="D198" s="152">
        <v>148</v>
      </c>
      <c r="E198" s="436">
        <v>0.33048</v>
      </c>
      <c r="F198" s="36">
        <v>1.1080239999999999</v>
      </c>
      <c r="G198" s="656">
        <f>ROUND(D198*E198*F198,2)</f>
        <v>54.19</v>
      </c>
      <c r="H198" s="253">
        <v>0.2</v>
      </c>
      <c r="I198" s="472">
        <f>ROUND(G198*H198,2)</f>
        <v>10.84</v>
      </c>
      <c r="J198" s="472">
        <f>G198+I198</f>
        <v>65.03</v>
      </c>
      <c r="K198" s="79">
        <v>590626258</v>
      </c>
      <c r="M198" s="367"/>
      <c r="N198" s="368" t="str">
        <f>C198</f>
        <v>ИП Гуриш В.В.</v>
      </c>
      <c r="O198" s="368">
        <f t="shared" ref="O198:U198" si="50">D198</f>
        <v>148</v>
      </c>
      <c r="P198" s="368">
        <f t="shared" si="50"/>
        <v>0.33048</v>
      </c>
      <c r="Q198" s="368">
        <f t="shared" si="50"/>
        <v>1.1080239999999999</v>
      </c>
      <c r="R198" s="526">
        <f t="shared" si="50"/>
        <v>54.19</v>
      </c>
      <c r="S198" s="368">
        <f t="shared" si="50"/>
        <v>0.2</v>
      </c>
      <c r="T198" s="526">
        <f t="shared" si="50"/>
        <v>10.84</v>
      </c>
      <c r="U198" s="526">
        <f t="shared" si="50"/>
        <v>65.03</v>
      </c>
    </row>
    <row r="199" spans="1:21" ht="2.25" hidden="1" customHeight="1" thickBot="1" x14ac:dyDescent="0.35">
      <c r="B199" s="189"/>
      <c r="C199" s="193" t="s">
        <v>228</v>
      </c>
      <c r="D199" s="82"/>
      <c r="E199" s="436">
        <v>0.33048</v>
      </c>
      <c r="F199" s="36">
        <v>1.1080239999999999</v>
      </c>
      <c r="G199" s="656">
        <f t="shared" ref="G199:G213" si="51">ROUND(D199*E199*F199,2)</f>
        <v>0</v>
      </c>
      <c r="H199" s="253">
        <v>1.2</v>
      </c>
      <c r="I199" s="472">
        <f t="shared" ref="I199:I213" si="52">ROUND(G199*H199,2)</f>
        <v>0</v>
      </c>
      <c r="J199" s="472">
        <f t="shared" ref="J199:J213" si="53">G199+I199</f>
        <v>0</v>
      </c>
      <c r="K199" s="79"/>
      <c r="M199" s="367"/>
      <c r="N199" s="368"/>
      <c r="O199" s="368"/>
      <c r="P199" s="368"/>
      <c r="Q199" s="368"/>
      <c r="R199" s="526"/>
      <c r="S199" s="285">
        <f>H198</f>
        <v>0.2</v>
      </c>
      <c r="T199" s="526"/>
      <c r="U199" s="526"/>
    </row>
    <row r="200" spans="1:21" ht="18.75" hidden="1" customHeight="1" x14ac:dyDescent="0.3">
      <c r="B200" s="189"/>
      <c r="C200" s="193" t="s">
        <v>228</v>
      </c>
      <c r="D200" s="82"/>
      <c r="E200" s="436">
        <v>0.33048</v>
      </c>
      <c r="F200" s="36">
        <v>1.1080239999999999</v>
      </c>
      <c r="G200" s="656">
        <f t="shared" si="51"/>
        <v>0</v>
      </c>
      <c r="H200" s="253">
        <v>2.2000000000000002</v>
      </c>
      <c r="I200" s="472">
        <f t="shared" si="52"/>
        <v>0</v>
      </c>
      <c r="J200" s="472">
        <f t="shared" si="53"/>
        <v>0</v>
      </c>
      <c r="K200" s="79"/>
      <c r="M200" s="367"/>
      <c r="N200" s="368"/>
      <c r="O200" s="368"/>
      <c r="P200" s="368"/>
      <c r="Q200" s="368"/>
      <c r="R200" s="526"/>
      <c r="S200" s="285">
        <f>H199</f>
        <v>1.2</v>
      </c>
      <c r="T200" s="526"/>
      <c r="U200" s="526"/>
    </row>
    <row r="201" spans="1:21" ht="18.75" hidden="1" customHeight="1" x14ac:dyDescent="0.3">
      <c r="B201" s="189"/>
      <c r="C201" s="193" t="s">
        <v>228</v>
      </c>
      <c r="D201" s="82"/>
      <c r="E201" s="436">
        <v>0.33048</v>
      </c>
      <c r="F201" s="36">
        <v>1.1080239999999999</v>
      </c>
      <c r="G201" s="656">
        <f t="shared" si="51"/>
        <v>0</v>
      </c>
      <c r="H201" s="253">
        <v>3.2</v>
      </c>
      <c r="I201" s="472">
        <f t="shared" si="52"/>
        <v>0</v>
      </c>
      <c r="J201" s="472">
        <f t="shared" si="53"/>
        <v>0</v>
      </c>
      <c r="K201" s="79"/>
      <c r="M201" s="367"/>
      <c r="N201" s="368"/>
      <c r="O201" s="368"/>
      <c r="P201" s="368"/>
      <c r="Q201" s="368"/>
      <c r="R201" s="526"/>
      <c r="S201" s="285">
        <f>H200</f>
        <v>2.2000000000000002</v>
      </c>
      <c r="T201" s="526"/>
      <c r="U201" s="526"/>
    </row>
    <row r="202" spans="1:21" ht="18.75" hidden="1" customHeight="1" x14ac:dyDescent="0.3">
      <c r="B202" s="189"/>
      <c r="C202" s="193" t="s">
        <v>228</v>
      </c>
      <c r="D202" s="82"/>
      <c r="E202" s="436">
        <v>0.33048</v>
      </c>
      <c r="F202" s="36">
        <v>1.1080239999999999</v>
      </c>
      <c r="G202" s="656">
        <f t="shared" si="51"/>
        <v>0</v>
      </c>
      <c r="H202" s="253">
        <v>4.2</v>
      </c>
      <c r="I202" s="472">
        <f t="shared" si="52"/>
        <v>0</v>
      </c>
      <c r="J202" s="472">
        <f t="shared" si="53"/>
        <v>0</v>
      </c>
      <c r="K202" s="79"/>
      <c r="M202" s="367"/>
      <c r="N202" s="368"/>
      <c r="O202" s="368"/>
      <c r="P202" s="368"/>
      <c r="Q202" s="368"/>
      <c r="R202" s="526"/>
      <c r="S202" s="285">
        <f>H201</f>
        <v>3.2</v>
      </c>
      <c r="T202" s="526"/>
      <c r="U202" s="526"/>
    </row>
    <row r="203" spans="1:21" ht="18.75" hidden="1" customHeight="1" x14ac:dyDescent="0.3">
      <c r="B203" s="247"/>
      <c r="C203" s="193" t="s">
        <v>228</v>
      </c>
      <c r="D203" s="234"/>
      <c r="E203" s="436">
        <v>0.33048</v>
      </c>
      <c r="F203" s="36">
        <v>1.1080239999999999</v>
      </c>
      <c r="G203" s="656">
        <f t="shared" si="51"/>
        <v>0</v>
      </c>
      <c r="H203" s="253">
        <v>5.2</v>
      </c>
      <c r="I203" s="472">
        <f t="shared" si="52"/>
        <v>0</v>
      </c>
      <c r="J203" s="472">
        <f t="shared" si="53"/>
        <v>0</v>
      </c>
      <c r="K203" s="79"/>
      <c r="M203" s="367"/>
      <c r="N203" s="368"/>
      <c r="O203" s="368"/>
      <c r="P203" s="368"/>
      <c r="Q203" s="368"/>
      <c r="R203" s="526"/>
      <c r="S203" s="285">
        <f>H202</f>
        <v>4.2</v>
      </c>
      <c r="T203" s="526"/>
      <c r="U203" s="526"/>
    </row>
    <row r="204" spans="1:21" ht="18.75" x14ac:dyDescent="0.3">
      <c r="A204" s="116">
        <v>2705</v>
      </c>
      <c r="B204" s="189"/>
      <c r="C204" s="193" t="s">
        <v>319</v>
      </c>
      <c r="D204" s="82">
        <v>160</v>
      </c>
      <c r="E204" s="436">
        <v>0.33048</v>
      </c>
      <c r="F204" s="36">
        <v>1.1080239999999999</v>
      </c>
      <c r="G204" s="656">
        <f t="shared" si="51"/>
        <v>58.59</v>
      </c>
      <c r="H204" s="253">
        <v>0.2</v>
      </c>
      <c r="I204" s="472">
        <f t="shared" si="52"/>
        <v>11.72</v>
      </c>
      <c r="J204" s="472">
        <f t="shared" si="53"/>
        <v>70.31</v>
      </c>
      <c r="K204" s="79">
        <v>591240088</v>
      </c>
      <c r="M204" s="367"/>
      <c r="N204" s="368" t="str">
        <f t="shared" ref="N204:U204" si="54">C204</f>
        <v>ИП Гурш М.В.</v>
      </c>
      <c r="O204" s="368">
        <f t="shared" si="54"/>
        <v>160</v>
      </c>
      <c r="P204" s="368">
        <f t="shared" si="54"/>
        <v>0.33048</v>
      </c>
      <c r="Q204" s="368">
        <f t="shared" si="54"/>
        <v>1.1080239999999999</v>
      </c>
      <c r="R204" s="526">
        <f t="shared" si="54"/>
        <v>58.59</v>
      </c>
      <c r="S204" s="368">
        <f t="shared" si="54"/>
        <v>0.2</v>
      </c>
      <c r="T204" s="526">
        <f t="shared" si="54"/>
        <v>11.72</v>
      </c>
      <c r="U204" s="526">
        <f t="shared" si="54"/>
        <v>70.31</v>
      </c>
    </row>
    <row r="205" spans="1:21" ht="18.75" x14ac:dyDescent="0.3">
      <c r="A205" s="116">
        <v>1002</v>
      </c>
      <c r="B205" s="680" t="s">
        <v>604</v>
      </c>
      <c r="C205" s="193" t="s">
        <v>412</v>
      </c>
      <c r="D205" s="82">
        <f>5650</f>
        <v>5650</v>
      </c>
      <c r="E205" s="435">
        <v>0.24295</v>
      </c>
      <c r="F205" s="36">
        <v>1.1080239999999999</v>
      </c>
      <c r="G205" s="656">
        <f t="shared" si="51"/>
        <v>1520.95</v>
      </c>
      <c r="H205" s="153">
        <v>0.2</v>
      </c>
      <c r="I205" s="472">
        <f t="shared" si="52"/>
        <v>304.19</v>
      </c>
      <c r="J205" s="472">
        <f t="shared" si="53"/>
        <v>1825.14</v>
      </c>
      <c r="K205" s="79">
        <v>691837115</v>
      </c>
      <c r="M205" s="367"/>
      <c r="N205" s="368"/>
      <c r="O205" s="368"/>
      <c r="P205" s="368"/>
      <c r="Q205" s="368"/>
      <c r="R205" s="526"/>
      <c r="S205" s="368"/>
      <c r="T205" s="526"/>
      <c r="U205" s="526"/>
    </row>
    <row r="206" spans="1:21" ht="18.75" x14ac:dyDescent="0.3">
      <c r="A206" s="116">
        <v>1002</v>
      </c>
      <c r="B206" s="620"/>
      <c r="C206" s="140" t="s">
        <v>483</v>
      </c>
      <c r="D206" s="273">
        <v>0</v>
      </c>
      <c r="E206" s="435">
        <v>0.24295</v>
      </c>
      <c r="F206" s="36">
        <v>1.1080239999999999</v>
      </c>
      <c r="G206" s="656">
        <f>ROUND(D206*E206*F206,2)</f>
        <v>0</v>
      </c>
      <c r="H206" s="253">
        <v>0.2</v>
      </c>
      <c r="I206" s="472">
        <f>ROUND(G206*H206,2)</f>
        <v>0</v>
      </c>
      <c r="J206" s="472">
        <f t="shared" si="53"/>
        <v>0</v>
      </c>
      <c r="K206" s="79"/>
      <c r="M206" s="367"/>
      <c r="N206" s="368"/>
      <c r="O206" s="368"/>
      <c r="P206" s="368"/>
      <c r="Q206" s="368"/>
      <c r="R206" s="526"/>
      <c r="S206" s="368"/>
      <c r="T206" s="526"/>
      <c r="U206" s="526"/>
    </row>
    <row r="207" spans="1:21" ht="18.75" x14ac:dyDescent="0.3">
      <c r="A207" s="116">
        <v>2705</v>
      </c>
      <c r="B207" s="247"/>
      <c r="C207" s="140" t="s">
        <v>486</v>
      </c>
      <c r="D207" s="82">
        <v>35</v>
      </c>
      <c r="E207" s="436">
        <v>0.33048</v>
      </c>
      <c r="F207" s="36">
        <v>1.1080239999999999</v>
      </c>
      <c r="G207" s="656">
        <f>ROUND(D207*E207*F207,2)</f>
        <v>12.82</v>
      </c>
      <c r="H207" s="253">
        <v>0.2</v>
      </c>
      <c r="I207" s="472">
        <f>ROUND(G207*H207,2)</f>
        <v>2.56</v>
      </c>
      <c r="J207" s="472">
        <f t="shared" si="53"/>
        <v>15.38</v>
      </c>
      <c r="K207" s="79">
        <v>500547027</v>
      </c>
      <c r="M207" s="367"/>
      <c r="N207" s="368"/>
      <c r="O207" s="368"/>
      <c r="P207" s="368"/>
      <c r="Q207" s="368"/>
      <c r="R207" s="526"/>
      <c r="S207" s="368"/>
      <c r="T207" s="526"/>
      <c r="U207" s="526"/>
    </row>
    <row r="208" spans="1:21" ht="18.75" x14ac:dyDescent="0.3">
      <c r="A208" s="116">
        <v>2705</v>
      </c>
      <c r="B208" s="247"/>
      <c r="C208" s="193" t="s">
        <v>314</v>
      </c>
      <c r="D208" s="82">
        <v>144</v>
      </c>
      <c r="E208" s="436">
        <v>0.33048</v>
      </c>
      <c r="F208" s="36">
        <v>1.1080239999999999</v>
      </c>
      <c r="G208" s="656">
        <f t="shared" si="51"/>
        <v>52.73</v>
      </c>
      <c r="H208" s="253">
        <v>0.2</v>
      </c>
      <c r="I208" s="472">
        <f t="shared" si="52"/>
        <v>10.55</v>
      </c>
      <c r="J208" s="472">
        <f t="shared" si="53"/>
        <v>63.28</v>
      </c>
      <c r="K208" s="79">
        <v>500547027</v>
      </c>
      <c r="M208" s="367"/>
      <c r="N208" s="368"/>
      <c r="O208" s="368"/>
      <c r="P208" s="368"/>
      <c r="Q208" s="368"/>
      <c r="R208" s="526"/>
      <c r="S208" s="368"/>
      <c r="T208" s="526"/>
      <c r="U208" s="526"/>
    </row>
    <row r="209" spans="1:21" ht="18.75" x14ac:dyDescent="0.3">
      <c r="A209" s="116" t="s">
        <v>203</v>
      </c>
      <c r="B209" s="682" t="s">
        <v>536</v>
      </c>
      <c r="C209" s="193" t="s">
        <v>533</v>
      </c>
      <c r="D209" s="82">
        <v>12</v>
      </c>
      <c r="E209" s="435">
        <v>0.15842000000000001</v>
      </c>
      <c r="F209" s="36">
        <v>1</v>
      </c>
      <c r="G209" s="656">
        <f t="shared" si="51"/>
        <v>1.9</v>
      </c>
      <c r="H209" s="153">
        <v>0.2</v>
      </c>
      <c r="I209" s="472">
        <f t="shared" si="52"/>
        <v>0.38</v>
      </c>
      <c r="J209" s="472">
        <f t="shared" si="53"/>
        <v>2.2799999999999998</v>
      </c>
      <c r="K209" s="79">
        <v>500826567</v>
      </c>
      <c r="M209" s="367"/>
      <c r="N209" s="368"/>
      <c r="O209" s="368"/>
      <c r="P209" s="368"/>
      <c r="Q209" s="368"/>
      <c r="R209" s="526"/>
      <c r="S209" s="368"/>
      <c r="T209" s="526"/>
      <c r="U209" s="526"/>
    </row>
    <row r="210" spans="1:21" ht="18.75" x14ac:dyDescent="0.3">
      <c r="A210" s="116">
        <v>1002</v>
      </c>
      <c r="B210" s="682" t="s">
        <v>535</v>
      </c>
      <c r="C210" s="193" t="s">
        <v>534</v>
      </c>
      <c r="D210" s="82">
        <v>0</v>
      </c>
      <c r="E210" s="435">
        <v>0.24295</v>
      </c>
      <c r="F210" s="36">
        <v>1.1080239999999999</v>
      </c>
      <c r="G210" s="656">
        <f t="shared" si="51"/>
        <v>0</v>
      </c>
      <c r="H210" s="153">
        <v>0.2</v>
      </c>
      <c r="I210" s="472">
        <f t="shared" si="52"/>
        <v>0</v>
      </c>
      <c r="J210" s="472">
        <f t="shared" si="53"/>
        <v>0</v>
      </c>
      <c r="K210" s="79">
        <v>591027578</v>
      </c>
      <c r="M210" s="367"/>
      <c r="N210" s="368"/>
      <c r="O210" s="368"/>
      <c r="P210" s="368"/>
      <c r="Q210" s="368"/>
      <c r="R210" s="526"/>
      <c r="S210" s="368"/>
      <c r="T210" s="526"/>
      <c r="U210" s="526"/>
    </row>
    <row r="211" spans="1:21" ht="18.75" x14ac:dyDescent="0.3">
      <c r="A211" s="116">
        <v>2705</v>
      </c>
      <c r="B211" s="584" t="s">
        <v>375</v>
      </c>
      <c r="C211" s="36" t="s">
        <v>374</v>
      </c>
      <c r="D211" s="36">
        <v>4607</v>
      </c>
      <c r="E211" s="436">
        <v>0.33048</v>
      </c>
      <c r="F211" s="36">
        <v>1.1080239999999999</v>
      </c>
      <c r="G211" s="607">
        <f t="shared" si="51"/>
        <v>1686.99</v>
      </c>
      <c r="H211" s="270">
        <v>0.2</v>
      </c>
      <c r="I211" s="608">
        <f t="shared" si="52"/>
        <v>337.4</v>
      </c>
      <c r="J211" s="609">
        <f t="shared" si="53"/>
        <v>2024.3899999999999</v>
      </c>
      <c r="K211" s="79">
        <v>500048161</v>
      </c>
      <c r="M211" s="367"/>
      <c r="N211" s="368"/>
      <c r="O211" s="368"/>
      <c r="P211" s="368"/>
      <c r="Q211" s="368"/>
      <c r="R211" s="526"/>
      <c r="S211" s="368"/>
      <c r="T211" s="526"/>
      <c r="U211" s="526"/>
    </row>
    <row r="212" spans="1:21" ht="18.75" x14ac:dyDescent="0.3">
      <c r="A212" s="116" t="s">
        <v>205</v>
      </c>
      <c r="B212" s="584" t="s">
        <v>375</v>
      </c>
      <c r="C212" s="140" t="s">
        <v>44</v>
      </c>
      <c r="D212" s="82">
        <v>0</v>
      </c>
      <c r="E212" s="436">
        <v>0.33048</v>
      </c>
      <c r="F212" s="36">
        <v>1.1080239999999999</v>
      </c>
      <c r="G212" s="656">
        <f>ROUND(D212*E212*F212,2)</f>
        <v>0</v>
      </c>
      <c r="H212" s="153">
        <v>0.2</v>
      </c>
      <c r="I212" s="472">
        <f>ROUND(G212*H212,2)</f>
        <v>0</v>
      </c>
      <c r="J212" s="472">
        <f t="shared" si="53"/>
        <v>0</v>
      </c>
      <c r="K212" s="79">
        <v>500048161</v>
      </c>
      <c r="M212" s="367"/>
      <c r="N212" s="368"/>
      <c r="O212" s="368"/>
      <c r="P212" s="368"/>
      <c r="Q212" s="368"/>
      <c r="R212" s="526"/>
      <c r="S212" s="368"/>
      <c r="T212" s="526"/>
      <c r="U212" s="526"/>
    </row>
    <row r="213" spans="1:21" ht="23.25" customHeight="1" thickBot="1" x14ac:dyDescent="0.35">
      <c r="A213" s="116">
        <v>1002</v>
      </c>
      <c r="B213" s="620" t="s">
        <v>315</v>
      </c>
      <c r="C213" s="272" t="s">
        <v>481</v>
      </c>
      <c r="D213" s="273">
        <v>0</v>
      </c>
      <c r="E213" s="435">
        <v>0.24295</v>
      </c>
      <c r="F213" s="36">
        <v>1.1080239999999999</v>
      </c>
      <c r="G213" s="656">
        <f t="shared" si="51"/>
        <v>0</v>
      </c>
      <c r="H213" s="253">
        <v>0.2</v>
      </c>
      <c r="I213" s="472">
        <f t="shared" si="52"/>
        <v>0</v>
      </c>
      <c r="J213" s="472">
        <f t="shared" si="53"/>
        <v>0</v>
      </c>
      <c r="K213" s="79">
        <v>500522565</v>
      </c>
      <c r="M213" s="367"/>
      <c r="N213" s="368" t="str">
        <f t="shared" ref="N213:U213" si="55">C213</f>
        <v>РСУ-6</v>
      </c>
      <c r="O213" s="368">
        <f t="shared" si="55"/>
        <v>0</v>
      </c>
      <c r="P213" s="368">
        <f t="shared" si="55"/>
        <v>0.24295</v>
      </c>
      <c r="Q213" s="368">
        <f t="shared" si="55"/>
        <v>1.1080239999999999</v>
      </c>
      <c r="R213" s="526">
        <f t="shared" si="55"/>
        <v>0</v>
      </c>
      <c r="S213" s="526">
        <f t="shared" si="55"/>
        <v>0.2</v>
      </c>
      <c r="T213" s="526">
        <f t="shared" si="55"/>
        <v>0</v>
      </c>
      <c r="U213" s="526">
        <f t="shared" si="55"/>
        <v>0</v>
      </c>
    </row>
    <row r="214" spans="1:21" ht="20.25" customHeight="1" thickBot="1" x14ac:dyDescent="0.35">
      <c r="B214" s="195"/>
      <c r="C214" s="196"/>
      <c r="D214" s="197">
        <f>SUM(D198:D213)</f>
        <v>10756</v>
      </c>
      <c r="E214" s="199"/>
      <c r="F214" s="36"/>
      <c r="G214" s="662">
        <f>SUM(G198:G213)</f>
        <v>3388.17</v>
      </c>
      <c r="H214" s="616"/>
      <c r="I214" s="617">
        <f>SUM(I198:I213)</f>
        <v>677.64</v>
      </c>
      <c r="J214" s="617">
        <f>SUM(J198:J213)</f>
        <v>4065.81</v>
      </c>
      <c r="K214" s="79"/>
      <c r="M214" s="367"/>
      <c r="N214" s="368"/>
      <c r="O214" s="368"/>
      <c r="P214" s="368"/>
      <c r="Q214" s="368"/>
      <c r="R214" s="526"/>
      <c r="S214" s="285"/>
      <c r="T214" s="526"/>
      <c r="U214" s="526"/>
    </row>
    <row r="215" spans="1:21" ht="18.75" x14ac:dyDescent="0.3">
      <c r="A215" s="116">
        <v>2705</v>
      </c>
      <c r="B215" s="183">
        <v>22</v>
      </c>
      <c r="C215" s="193" t="s">
        <v>102</v>
      </c>
      <c r="D215" s="152">
        <f>73+61</f>
        <v>134</v>
      </c>
      <c r="E215" s="436">
        <v>0.33048</v>
      </c>
      <c r="F215" s="36">
        <v>1.1080239999999999</v>
      </c>
      <c r="G215" s="656">
        <f>ROUND(D215*E215*F215,2)</f>
        <v>49.07</v>
      </c>
      <c r="H215" s="253">
        <v>0.2</v>
      </c>
      <c r="I215" s="472">
        <f>ROUND(G215*H215,2)</f>
        <v>9.81</v>
      </c>
      <c r="J215" s="472">
        <f>G215+I215</f>
        <v>58.88</v>
      </c>
      <c r="K215" s="652">
        <v>500036445</v>
      </c>
      <c r="M215" s="367"/>
      <c r="N215" s="368"/>
      <c r="O215" s="368"/>
      <c r="P215" s="368"/>
      <c r="Q215" s="368"/>
      <c r="R215" s="526"/>
      <c r="S215" s="285"/>
      <c r="T215" s="526"/>
      <c r="U215" s="526"/>
    </row>
    <row r="216" spans="1:21" ht="18.75" x14ac:dyDescent="0.3">
      <c r="A216" s="116">
        <v>2705</v>
      </c>
      <c r="B216" s="183"/>
      <c r="C216" s="140" t="s">
        <v>137</v>
      </c>
      <c r="D216" s="82">
        <v>165</v>
      </c>
      <c r="E216" s="436">
        <v>0.33048</v>
      </c>
      <c r="F216" s="36">
        <v>1.1080239999999999</v>
      </c>
      <c r="G216" s="656">
        <f t="shared" ref="G216:G230" si="56">ROUND(D216*E216*F216,2)</f>
        <v>60.42</v>
      </c>
      <c r="H216" s="153">
        <v>0.2</v>
      </c>
      <c r="I216" s="472">
        <f t="shared" ref="I216:I230" si="57">ROUND(G216*H216,2)</f>
        <v>12.08</v>
      </c>
      <c r="J216" s="472">
        <f t="shared" ref="J216:J230" si="58">G216+I216</f>
        <v>72.5</v>
      </c>
      <c r="K216" s="79">
        <v>500476429</v>
      </c>
      <c r="M216" s="367"/>
      <c r="N216" s="368"/>
      <c r="O216" s="368"/>
      <c r="P216" s="368"/>
      <c r="Q216" s="368"/>
      <c r="R216" s="526"/>
      <c r="S216" s="285"/>
      <c r="T216" s="526"/>
      <c r="U216" s="526"/>
    </row>
    <row r="217" spans="1:21" ht="18.75" x14ac:dyDescent="0.3">
      <c r="A217" s="116">
        <v>2705</v>
      </c>
      <c r="B217" s="183"/>
      <c r="C217" s="140" t="s">
        <v>325</v>
      </c>
      <c r="D217" s="82">
        <v>12043</v>
      </c>
      <c r="E217" s="436">
        <v>0.33048</v>
      </c>
      <c r="F217" s="36">
        <v>1.1080239999999999</v>
      </c>
      <c r="G217" s="656">
        <f t="shared" si="56"/>
        <v>4409.8999999999996</v>
      </c>
      <c r="H217" s="153">
        <v>0.2</v>
      </c>
      <c r="I217" s="472">
        <f t="shared" si="57"/>
        <v>881.98</v>
      </c>
      <c r="J217" s="472">
        <f t="shared" si="58"/>
        <v>5291.8799999999992</v>
      </c>
      <c r="K217" s="79">
        <v>500476429</v>
      </c>
      <c r="M217" s="367"/>
      <c r="N217" s="368"/>
      <c r="O217" s="368"/>
      <c r="P217" s="368"/>
      <c r="Q217" s="368"/>
      <c r="R217" s="526"/>
      <c r="S217" s="285"/>
      <c r="T217" s="526"/>
      <c r="U217" s="526"/>
    </row>
    <row r="218" spans="1:21" ht="18.75" x14ac:dyDescent="0.3">
      <c r="A218" s="116" t="s">
        <v>205</v>
      </c>
      <c r="B218" s="183"/>
      <c r="C218" s="140" t="s">
        <v>44</v>
      </c>
      <c r="D218" s="234">
        <v>0</v>
      </c>
      <c r="E218" s="436">
        <v>0.33048</v>
      </c>
      <c r="F218" s="36">
        <v>1.1080239999999999</v>
      </c>
      <c r="G218" s="656">
        <f t="shared" si="56"/>
        <v>0</v>
      </c>
      <c r="H218" s="153">
        <v>0.2</v>
      </c>
      <c r="I218" s="472">
        <f t="shared" si="57"/>
        <v>0</v>
      </c>
      <c r="J218" s="472">
        <f t="shared" si="58"/>
        <v>0</v>
      </c>
      <c r="K218" s="79">
        <v>500476429</v>
      </c>
      <c r="M218" s="367"/>
      <c r="N218" s="368"/>
      <c r="O218" s="368"/>
      <c r="P218" s="368"/>
      <c r="Q218" s="368"/>
      <c r="R218" s="526"/>
      <c r="S218" s="285"/>
      <c r="T218" s="526"/>
      <c r="U218" s="526"/>
    </row>
    <row r="219" spans="1:21" ht="18.75" x14ac:dyDescent="0.3">
      <c r="A219" s="116" t="s">
        <v>204</v>
      </c>
      <c r="B219" s="183"/>
      <c r="C219" s="140" t="s">
        <v>45</v>
      </c>
      <c r="D219" s="234">
        <v>0</v>
      </c>
      <c r="E219" s="437">
        <v>0.15176999999999999</v>
      </c>
      <c r="F219" s="36">
        <v>1.1080239999999999</v>
      </c>
      <c r="G219" s="656">
        <f t="shared" si="56"/>
        <v>0</v>
      </c>
      <c r="H219" s="153">
        <v>0.2</v>
      </c>
      <c r="I219" s="472">
        <f t="shared" si="57"/>
        <v>0</v>
      </c>
      <c r="J219" s="472">
        <f t="shared" si="58"/>
        <v>0</v>
      </c>
      <c r="K219" s="79">
        <v>500476429</v>
      </c>
      <c r="M219" s="367"/>
      <c r="N219" s="368"/>
      <c r="O219" s="368"/>
      <c r="P219" s="368"/>
      <c r="Q219" s="368"/>
      <c r="R219" s="526"/>
      <c r="S219" s="285"/>
      <c r="T219" s="526"/>
      <c r="U219" s="526"/>
    </row>
    <row r="220" spans="1:21" ht="18.75" x14ac:dyDescent="0.3">
      <c r="A220" s="116">
        <v>2705</v>
      </c>
      <c r="B220" s="183"/>
      <c r="C220" s="140" t="s">
        <v>480</v>
      </c>
      <c r="D220" s="82">
        <v>176</v>
      </c>
      <c r="E220" s="436">
        <v>0.33048</v>
      </c>
      <c r="F220" s="36">
        <v>1.1080239999999999</v>
      </c>
      <c r="G220" s="656">
        <f t="shared" si="56"/>
        <v>64.45</v>
      </c>
      <c r="H220" s="153">
        <v>0.2</v>
      </c>
      <c r="I220" s="472">
        <f t="shared" si="57"/>
        <v>12.89</v>
      </c>
      <c r="J220" s="472">
        <f t="shared" si="58"/>
        <v>77.34</v>
      </c>
      <c r="K220" s="79">
        <v>500842802</v>
      </c>
      <c r="M220" s="367"/>
      <c r="N220" s="368"/>
      <c r="O220" s="368"/>
      <c r="P220" s="368"/>
      <c r="Q220" s="368"/>
      <c r="R220" s="526"/>
      <c r="S220" s="285"/>
      <c r="T220" s="526"/>
      <c r="U220" s="526"/>
    </row>
    <row r="221" spans="1:21" ht="18.75" x14ac:dyDescent="0.3">
      <c r="A221" s="175">
        <v>2705</v>
      </c>
      <c r="B221" s="31"/>
      <c r="C221" s="32" t="s">
        <v>220</v>
      </c>
      <c r="D221" s="36">
        <v>980</v>
      </c>
      <c r="E221" s="436">
        <v>0.33048</v>
      </c>
      <c r="F221" s="36">
        <v>1.1080239999999999</v>
      </c>
      <c r="G221" s="441">
        <f t="shared" si="56"/>
        <v>358.86</v>
      </c>
      <c r="H221" s="33">
        <v>0.2</v>
      </c>
      <c r="I221" s="442">
        <f t="shared" si="57"/>
        <v>71.77</v>
      </c>
      <c r="J221" s="443">
        <f t="shared" si="58"/>
        <v>430.63</v>
      </c>
      <c r="K221" s="79">
        <v>590782922</v>
      </c>
      <c r="M221" s="367"/>
      <c r="N221" s="368"/>
      <c r="O221" s="368"/>
      <c r="P221" s="368"/>
      <c r="Q221" s="368"/>
      <c r="R221" s="526"/>
      <c r="S221" s="285"/>
      <c r="T221" s="526"/>
      <c r="U221" s="526"/>
    </row>
    <row r="222" spans="1:21" ht="18.75" x14ac:dyDescent="0.3">
      <c r="A222" s="116">
        <v>2705</v>
      </c>
      <c r="B222" s="183"/>
      <c r="C222" s="668" t="s">
        <v>583</v>
      </c>
      <c r="D222" s="82">
        <v>200</v>
      </c>
      <c r="E222" s="436">
        <v>0.33048</v>
      </c>
      <c r="F222" s="36">
        <v>1.1080239999999999</v>
      </c>
      <c r="G222" s="656">
        <f t="shared" si="56"/>
        <v>73.239999999999995</v>
      </c>
      <c r="H222" s="153">
        <v>0.2</v>
      </c>
      <c r="I222" s="472">
        <f t="shared" si="57"/>
        <v>14.65</v>
      </c>
      <c r="J222" s="472">
        <f t="shared" si="58"/>
        <v>87.89</v>
      </c>
      <c r="K222" s="79">
        <v>591904347</v>
      </c>
      <c r="M222" s="367"/>
      <c r="N222" s="368"/>
      <c r="O222" s="368"/>
      <c r="P222" s="368"/>
      <c r="Q222" s="368"/>
      <c r="R222" s="526"/>
      <c r="S222" s="285"/>
      <c r="T222" s="526"/>
      <c r="U222" s="526"/>
    </row>
    <row r="223" spans="1:21" ht="21" customHeight="1" x14ac:dyDescent="0.3">
      <c r="A223" s="116">
        <v>1002</v>
      </c>
      <c r="B223" s="620" t="s">
        <v>537</v>
      </c>
      <c r="C223" s="140" t="s">
        <v>534</v>
      </c>
      <c r="D223" s="82">
        <v>0</v>
      </c>
      <c r="E223" s="435">
        <v>0.24295</v>
      </c>
      <c r="F223" s="36">
        <v>1.1080239999999999</v>
      </c>
      <c r="G223" s="656">
        <f t="shared" si="56"/>
        <v>0</v>
      </c>
      <c r="H223" s="253">
        <v>0.2</v>
      </c>
      <c r="I223" s="472">
        <f t="shared" si="57"/>
        <v>0</v>
      </c>
      <c r="J223" s="472">
        <f t="shared" si="58"/>
        <v>0</v>
      </c>
      <c r="K223" s="79">
        <v>591027578</v>
      </c>
      <c r="M223" s="367"/>
      <c r="N223" s="368" t="str">
        <f t="shared" ref="N223:U225" si="59">C223</f>
        <v>СтройКапител</v>
      </c>
      <c r="O223" s="368">
        <f t="shared" si="59"/>
        <v>0</v>
      </c>
      <c r="P223" s="368">
        <f t="shared" si="59"/>
        <v>0.24295</v>
      </c>
      <c r="Q223" s="368">
        <f t="shared" si="59"/>
        <v>1.1080239999999999</v>
      </c>
      <c r="R223" s="526">
        <f t="shared" si="59"/>
        <v>0</v>
      </c>
      <c r="S223" s="526">
        <f t="shared" si="59"/>
        <v>0.2</v>
      </c>
      <c r="T223" s="526">
        <f t="shared" si="59"/>
        <v>0</v>
      </c>
      <c r="U223" s="526">
        <f t="shared" si="59"/>
        <v>0</v>
      </c>
    </row>
    <row r="224" spans="1:21" ht="21" customHeight="1" x14ac:dyDescent="0.3">
      <c r="A224" s="116">
        <v>1002</v>
      </c>
      <c r="B224" s="620" t="s">
        <v>538</v>
      </c>
      <c r="C224" s="140" t="s">
        <v>412</v>
      </c>
      <c r="D224" s="82">
        <v>17</v>
      </c>
      <c r="E224" s="435">
        <v>0.24295</v>
      </c>
      <c r="F224" s="36">
        <v>1.1080239999999999</v>
      </c>
      <c r="G224" s="656">
        <f t="shared" si="56"/>
        <v>4.58</v>
      </c>
      <c r="H224" s="253">
        <v>0.2</v>
      </c>
      <c r="I224" s="472">
        <f t="shared" si="57"/>
        <v>0.92</v>
      </c>
      <c r="J224" s="472">
        <f t="shared" si="58"/>
        <v>5.5</v>
      </c>
      <c r="K224" s="79">
        <v>691837115</v>
      </c>
      <c r="M224" s="367"/>
      <c r="N224" s="368" t="str">
        <f t="shared" si="59"/>
        <v>Ойкодомос</v>
      </c>
      <c r="O224" s="368">
        <f t="shared" si="59"/>
        <v>17</v>
      </c>
      <c r="P224" s="368">
        <f t="shared" si="59"/>
        <v>0.24295</v>
      </c>
      <c r="Q224" s="368">
        <f t="shared" si="59"/>
        <v>1.1080239999999999</v>
      </c>
      <c r="R224" s="526">
        <f t="shared" si="59"/>
        <v>4.58</v>
      </c>
      <c r="S224" s="526">
        <f t="shared" si="59"/>
        <v>0.2</v>
      </c>
      <c r="T224" s="526">
        <f t="shared" si="59"/>
        <v>0.92</v>
      </c>
      <c r="U224" s="526">
        <f t="shared" si="59"/>
        <v>5.5</v>
      </c>
    </row>
    <row r="225" spans="1:21" ht="18.75" x14ac:dyDescent="0.3">
      <c r="A225" s="116">
        <v>2705</v>
      </c>
      <c r="B225" s="185"/>
      <c r="C225" s="140" t="s">
        <v>501</v>
      </c>
      <c r="D225" s="82">
        <v>106</v>
      </c>
      <c r="E225" s="436">
        <v>0.33048</v>
      </c>
      <c r="F225" s="36">
        <v>1.1080239999999999</v>
      </c>
      <c r="G225" s="656">
        <f t="shared" si="56"/>
        <v>38.82</v>
      </c>
      <c r="H225" s="153">
        <v>0.2</v>
      </c>
      <c r="I225" s="472">
        <f t="shared" si="57"/>
        <v>7.76</v>
      </c>
      <c r="J225" s="472">
        <f t="shared" si="58"/>
        <v>46.58</v>
      </c>
      <c r="K225" s="652">
        <v>591031132</v>
      </c>
      <c r="M225" s="367"/>
      <c r="N225" s="368" t="str">
        <f>C225</f>
        <v>НиДаНат</v>
      </c>
      <c r="O225" s="368">
        <f t="shared" si="59"/>
        <v>106</v>
      </c>
      <c r="P225" s="368">
        <f t="shared" si="59"/>
        <v>0.33048</v>
      </c>
      <c r="Q225" s="368">
        <f t="shared" si="59"/>
        <v>1.1080239999999999</v>
      </c>
      <c r="R225" s="368">
        <f t="shared" si="59"/>
        <v>38.82</v>
      </c>
      <c r="S225" s="368">
        <f t="shared" si="59"/>
        <v>0.2</v>
      </c>
      <c r="T225" s="368">
        <f t="shared" si="59"/>
        <v>7.76</v>
      </c>
      <c r="U225" s="368">
        <f t="shared" si="59"/>
        <v>46.58</v>
      </c>
    </row>
    <row r="226" spans="1:21" ht="18.75" x14ac:dyDescent="0.3">
      <c r="A226" s="116" t="s">
        <v>205</v>
      </c>
      <c r="B226" s="587"/>
      <c r="C226" s="140" t="s">
        <v>44</v>
      </c>
      <c r="D226" s="234">
        <v>0</v>
      </c>
      <c r="E226" s="436">
        <v>0.33048</v>
      </c>
      <c r="F226" s="36">
        <v>1.1080239999999999</v>
      </c>
      <c r="G226" s="656">
        <f t="shared" si="56"/>
        <v>0</v>
      </c>
      <c r="H226" s="153">
        <v>0.2</v>
      </c>
      <c r="I226" s="472">
        <f t="shared" si="57"/>
        <v>0</v>
      </c>
      <c r="J226" s="472">
        <f t="shared" si="58"/>
        <v>0</v>
      </c>
      <c r="K226" s="652">
        <v>591031132</v>
      </c>
      <c r="M226" s="367"/>
      <c r="N226" s="368"/>
      <c r="O226" s="368"/>
      <c r="P226" s="368"/>
      <c r="Q226" s="368"/>
      <c r="R226" s="368"/>
      <c r="S226" s="368"/>
      <c r="T226" s="368"/>
      <c r="U226" s="368"/>
    </row>
    <row r="227" spans="1:21" ht="18.75" customHeight="1" x14ac:dyDescent="0.3">
      <c r="A227" s="116" t="s">
        <v>203</v>
      </c>
      <c r="B227" s="541">
        <v>0.14330000000000001</v>
      </c>
      <c r="C227" s="140" t="s">
        <v>50</v>
      </c>
      <c r="D227" s="82">
        <v>0</v>
      </c>
      <c r="E227" s="598">
        <v>0.15842000000000001</v>
      </c>
      <c r="F227" s="36">
        <v>1</v>
      </c>
      <c r="G227" s="656">
        <f t="shared" si="56"/>
        <v>0</v>
      </c>
      <c r="H227" s="153">
        <v>0.2</v>
      </c>
      <c r="I227" s="472">
        <f t="shared" si="57"/>
        <v>0</v>
      </c>
      <c r="J227" s="472">
        <f t="shared" si="58"/>
        <v>0</v>
      </c>
      <c r="K227" s="652">
        <v>500044457</v>
      </c>
      <c r="M227" s="367"/>
      <c r="N227" s="368"/>
      <c r="O227" s="368"/>
      <c r="P227" s="368"/>
      <c r="Q227" s="368"/>
      <c r="R227" s="526"/>
      <c r="S227" s="285"/>
      <c r="T227" s="526"/>
      <c r="U227" s="526"/>
    </row>
    <row r="228" spans="1:21" ht="18.75" x14ac:dyDescent="0.3">
      <c r="A228" s="116" t="s">
        <v>203</v>
      </c>
      <c r="B228" s="188"/>
      <c r="C228" s="140" t="s">
        <v>51</v>
      </c>
      <c r="D228" s="82">
        <v>12009</v>
      </c>
      <c r="E228" s="598">
        <v>0.15842000000000001</v>
      </c>
      <c r="F228" s="36">
        <v>1</v>
      </c>
      <c r="G228" s="656">
        <f t="shared" si="56"/>
        <v>1902.47</v>
      </c>
      <c r="H228" s="153">
        <v>0.2</v>
      </c>
      <c r="I228" s="472">
        <f t="shared" si="57"/>
        <v>380.49</v>
      </c>
      <c r="J228" s="472">
        <f t="shared" si="58"/>
        <v>2282.96</v>
      </c>
      <c r="K228" s="652">
        <v>500044457</v>
      </c>
      <c r="M228" s="367"/>
      <c r="N228" s="368"/>
      <c r="O228" s="368"/>
      <c r="P228" s="368"/>
      <c r="Q228" s="368"/>
      <c r="R228" s="526"/>
      <c r="S228" s="285"/>
      <c r="T228" s="526"/>
      <c r="U228" s="526"/>
    </row>
    <row r="229" spans="1:21" ht="18.75" x14ac:dyDescent="0.3">
      <c r="A229" s="116" t="s">
        <v>203</v>
      </c>
      <c r="B229" s="185"/>
      <c r="C229" s="140" t="s">
        <v>153</v>
      </c>
      <c r="D229" s="82">
        <v>2241</v>
      </c>
      <c r="E229" s="598">
        <v>0.15842000000000001</v>
      </c>
      <c r="F229" s="36">
        <v>1</v>
      </c>
      <c r="G229" s="656">
        <f t="shared" si="56"/>
        <v>355.02</v>
      </c>
      <c r="H229" s="153">
        <v>0.2</v>
      </c>
      <c r="I229" s="472">
        <f t="shared" si="57"/>
        <v>71</v>
      </c>
      <c r="J229" s="472">
        <f t="shared" si="58"/>
        <v>426.02</v>
      </c>
      <c r="K229" s="79">
        <v>590661493</v>
      </c>
      <c r="M229" s="367"/>
      <c r="N229" s="368" t="str">
        <f>C229</f>
        <v>ООО "Гродн.инф.сети"</v>
      </c>
      <c r="O229" s="368">
        <f t="shared" ref="O229:U230" si="60">D229</f>
        <v>2241</v>
      </c>
      <c r="P229" s="368">
        <f t="shared" si="60"/>
        <v>0.15842000000000001</v>
      </c>
      <c r="Q229" s="368">
        <f t="shared" si="60"/>
        <v>1</v>
      </c>
      <c r="R229" s="526">
        <f t="shared" si="60"/>
        <v>355.02</v>
      </c>
      <c r="S229" s="368">
        <f t="shared" si="60"/>
        <v>0.2</v>
      </c>
      <c r="T229" s="526">
        <f t="shared" si="60"/>
        <v>71</v>
      </c>
      <c r="U229" s="526">
        <f t="shared" si="60"/>
        <v>426.02</v>
      </c>
    </row>
    <row r="230" spans="1:21" ht="21" customHeight="1" thickBot="1" x14ac:dyDescent="0.35">
      <c r="A230" s="113">
        <v>2702</v>
      </c>
      <c r="B230" s="430" t="s">
        <v>300</v>
      </c>
      <c r="C230" s="140" t="s">
        <v>153</v>
      </c>
      <c r="D230" s="82">
        <v>478</v>
      </c>
      <c r="E230" s="598">
        <v>0.24295</v>
      </c>
      <c r="F230" s="36">
        <v>1.1080239999999999</v>
      </c>
      <c r="G230" s="656">
        <f t="shared" si="56"/>
        <v>128.66999999999999</v>
      </c>
      <c r="H230" s="153">
        <v>0.2</v>
      </c>
      <c r="I230" s="472">
        <f t="shared" si="57"/>
        <v>25.73</v>
      </c>
      <c r="J230" s="472">
        <f t="shared" si="58"/>
        <v>154.39999999999998</v>
      </c>
      <c r="K230" s="79">
        <v>590661493</v>
      </c>
      <c r="M230" s="367"/>
      <c r="N230" s="368" t="str">
        <f>C230</f>
        <v>ООО "Гродн.инф.сети"</v>
      </c>
      <c r="O230" s="368">
        <f t="shared" si="60"/>
        <v>478</v>
      </c>
      <c r="P230" s="368">
        <f t="shared" si="60"/>
        <v>0.24295</v>
      </c>
      <c r="Q230" s="368">
        <f t="shared" si="60"/>
        <v>1.1080239999999999</v>
      </c>
      <c r="R230" s="526">
        <f t="shared" si="60"/>
        <v>128.66999999999999</v>
      </c>
      <c r="S230" s="368">
        <f t="shared" si="60"/>
        <v>0.2</v>
      </c>
      <c r="T230" s="526">
        <f t="shared" si="60"/>
        <v>25.73</v>
      </c>
      <c r="U230" s="526">
        <f t="shared" si="60"/>
        <v>154.39999999999998</v>
      </c>
    </row>
    <row r="231" spans="1:21" ht="18.75" customHeight="1" thickBot="1" x14ac:dyDescent="0.35">
      <c r="B231" s="195"/>
      <c r="C231" s="196"/>
      <c r="D231" s="610">
        <f>SUM(D215:D230)</f>
        <v>28549</v>
      </c>
      <c r="E231" s="199"/>
      <c r="F231" s="36"/>
      <c r="G231" s="662">
        <f>SUM(G215:G230)</f>
        <v>7445.4999999999982</v>
      </c>
      <c r="H231" s="616"/>
      <c r="I231" s="617">
        <f>SUM(I215:I230)</f>
        <v>1489.08</v>
      </c>
      <c r="J231" s="618">
        <f>SUM(J215:J230)</f>
        <v>8934.58</v>
      </c>
      <c r="K231" s="79"/>
      <c r="M231" s="367"/>
      <c r="N231" s="368"/>
      <c r="O231" s="368"/>
      <c r="P231" s="368"/>
      <c r="Q231" s="368"/>
      <c r="R231" s="526"/>
      <c r="S231" s="285"/>
      <c r="T231" s="526"/>
      <c r="U231" s="526"/>
    </row>
    <row r="232" spans="1:21" ht="18.75" x14ac:dyDescent="0.3">
      <c r="A232" s="116">
        <v>2705</v>
      </c>
      <c r="B232" s="183">
        <v>23</v>
      </c>
      <c r="C232" s="140" t="s">
        <v>384</v>
      </c>
      <c r="D232" s="82">
        <v>0</v>
      </c>
      <c r="E232" s="436">
        <v>0.33048</v>
      </c>
      <c r="F232" s="36">
        <v>1.1080239999999999</v>
      </c>
      <c r="G232" s="651">
        <f t="shared" ref="G232:G238" si="61">ROUND(D232*E232*F232,2)</f>
        <v>0</v>
      </c>
      <c r="H232" s="153">
        <v>0.2</v>
      </c>
      <c r="I232" s="599">
        <f t="shared" ref="I232:I238" si="62">ROUND(G232*H232,2)</f>
        <v>0</v>
      </c>
      <c r="J232" s="599">
        <f t="shared" ref="J232:J238" si="63">G232+I232</f>
        <v>0</v>
      </c>
      <c r="K232" s="670" t="s">
        <v>482</v>
      </c>
      <c r="M232" s="367"/>
      <c r="N232" s="368"/>
      <c r="O232" s="368"/>
      <c r="P232" s="368"/>
      <c r="Q232" s="368"/>
      <c r="R232" s="526"/>
      <c r="S232" s="285"/>
      <c r="T232" s="526"/>
      <c r="U232" s="526"/>
    </row>
    <row r="233" spans="1:21" ht="24.75" hidden="1" customHeight="1" x14ac:dyDescent="0.3">
      <c r="B233" s="254"/>
      <c r="C233" s="140"/>
      <c r="D233" s="82"/>
      <c r="E233" s="436">
        <v>0.33048</v>
      </c>
      <c r="F233" s="36">
        <v>1.1080239999999999</v>
      </c>
      <c r="G233" s="651">
        <f t="shared" si="61"/>
        <v>0</v>
      </c>
      <c r="H233" s="153"/>
      <c r="I233" s="599">
        <f t="shared" si="62"/>
        <v>0</v>
      </c>
      <c r="J233" s="599">
        <f t="shared" si="63"/>
        <v>0</v>
      </c>
      <c r="K233" s="79"/>
      <c r="M233" s="367"/>
      <c r="N233" s="368"/>
      <c r="O233" s="368"/>
      <c r="P233" s="368"/>
      <c r="Q233" s="368"/>
      <c r="R233" s="526"/>
      <c r="S233" s="285" t="e">
        <f>#REF!</f>
        <v>#REF!</v>
      </c>
      <c r="T233" s="526"/>
      <c r="U233" s="526"/>
    </row>
    <row r="234" spans="1:21" ht="17.25" customHeight="1" x14ac:dyDescent="0.3">
      <c r="A234" s="116" t="s">
        <v>205</v>
      </c>
      <c r="B234" s="587"/>
      <c r="C234" s="140" t="s">
        <v>44</v>
      </c>
      <c r="D234" s="234">
        <v>0</v>
      </c>
      <c r="E234" s="436">
        <v>0.33048</v>
      </c>
      <c r="F234" s="36">
        <v>1.1080239999999999</v>
      </c>
      <c r="G234" s="656">
        <f t="shared" si="61"/>
        <v>0</v>
      </c>
      <c r="H234" s="153">
        <v>0.2</v>
      </c>
      <c r="I234" s="472">
        <f t="shared" si="62"/>
        <v>0</v>
      </c>
      <c r="J234" s="472">
        <f t="shared" si="63"/>
        <v>0</v>
      </c>
      <c r="K234" s="670" t="s">
        <v>482</v>
      </c>
      <c r="M234" s="367"/>
      <c r="N234" s="368"/>
      <c r="O234" s="368"/>
      <c r="P234" s="368"/>
      <c r="Q234" s="368"/>
      <c r="R234" s="526"/>
      <c r="S234" s="285"/>
      <c r="T234" s="526"/>
      <c r="U234" s="526"/>
    </row>
    <row r="235" spans="1:21" ht="17.25" customHeight="1" x14ac:dyDescent="0.3">
      <c r="A235" s="116" t="s">
        <v>203</v>
      </c>
      <c r="B235" s="708" t="s">
        <v>539</v>
      </c>
      <c r="C235" s="140" t="s">
        <v>533</v>
      </c>
      <c r="D235" s="234">
        <f>39+39+25+20+20</f>
        <v>143</v>
      </c>
      <c r="E235" s="598">
        <v>0.15842000000000001</v>
      </c>
      <c r="F235" s="36">
        <v>1</v>
      </c>
      <c r="G235" s="656">
        <f t="shared" si="61"/>
        <v>22.65</v>
      </c>
      <c r="H235" s="153">
        <v>0.2</v>
      </c>
      <c r="I235" s="472">
        <f t="shared" si="62"/>
        <v>4.53</v>
      </c>
      <c r="J235" s="472">
        <f t="shared" si="63"/>
        <v>27.18</v>
      </c>
      <c r="K235" s="670">
        <v>500826567</v>
      </c>
      <c r="M235" s="367"/>
      <c r="N235" s="368"/>
      <c r="O235" s="368"/>
      <c r="P235" s="368"/>
      <c r="Q235" s="368"/>
      <c r="R235" s="526"/>
      <c r="S235" s="285"/>
      <c r="T235" s="526"/>
      <c r="U235" s="526"/>
    </row>
    <row r="236" spans="1:21" ht="17.25" customHeight="1" x14ac:dyDescent="0.3">
      <c r="A236" s="116">
        <v>1002</v>
      </c>
      <c r="B236" s="428" t="s">
        <v>462</v>
      </c>
      <c r="C236" s="668" t="s">
        <v>461</v>
      </c>
      <c r="D236" s="82">
        <v>0</v>
      </c>
      <c r="E236" s="435">
        <v>0.24295</v>
      </c>
      <c r="F236" s="36">
        <v>1.1080239999999999</v>
      </c>
      <c r="G236" s="656">
        <f t="shared" si="61"/>
        <v>0</v>
      </c>
      <c r="H236" s="153">
        <v>0.2</v>
      </c>
      <c r="I236" s="472">
        <f t="shared" si="62"/>
        <v>0</v>
      </c>
      <c r="J236" s="472">
        <f t="shared" si="63"/>
        <v>0</v>
      </c>
      <c r="K236" s="652">
        <v>590646236</v>
      </c>
      <c r="M236" s="367"/>
      <c r="N236" s="368"/>
      <c r="O236" s="368"/>
      <c r="P236" s="368"/>
      <c r="Q236" s="368"/>
      <c r="R236" s="526"/>
      <c r="S236" s="285"/>
      <c r="T236" s="526"/>
      <c r="U236" s="526"/>
    </row>
    <row r="237" spans="1:21" ht="19.5" customHeight="1" x14ac:dyDescent="0.3">
      <c r="A237" s="116">
        <v>2705</v>
      </c>
      <c r="B237" s="247"/>
      <c r="C237" s="143" t="s">
        <v>250</v>
      </c>
      <c r="D237" s="234">
        <v>83</v>
      </c>
      <c r="E237" s="436">
        <v>0.33048</v>
      </c>
      <c r="F237" s="36">
        <v>1.1080239999999999</v>
      </c>
      <c r="G237" s="651">
        <f t="shared" si="61"/>
        <v>30.39</v>
      </c>
      <c r="H237" s="345">
        <v>0.2</v>
      </c>
      <c r="I237" s="599">
        <f t="shared" si="62"/>
        <v>6.08</v>
      </c>
      <c r="J237" s="599">
        <f t="shared" si="63"/>
        <v>36.47</v>
      </c>
      <c r="K237" s="670">
        <v>591179016</v>
      </c>
      <c r="M237" s="367"/>
      <c r="N237" s="368"/>
      <c r="O237" s="368"/>
      <c r="P237" s="368"/>
      <c r="Q237" s="368"/>
      <c r="R237" s="526"/>
      <c r="S237" s="368"/>
      <c r="T237" s="526"/>
      <c r="U237" s="526"/>
    </row>
    <row r="238" spans="1:21" ht="19.5" customHeight="1" thickBot="1" x14ac:dyDescent="0.35">
      <c r="A238" s="116" t="s">
        <v>205</v>
      </c>
      <c r="B238" s="247"/>
      <c r="C238" s="140" t="s">
        <v>44</v>
      </c>
      <c r="D238" s="234">
        <v>135</v>
      </c>
      <c r="E238" s="436">
        <v>0.33048</v>
      </c>
      <c r="F238" s="36">
        <v>1.1080239999999999</v>
      </c>
      <c r="G238" s="651">
        <f t="shared" si="61"/>
        <v>49.43</v>
      </c>
      <c r="H238" s="345">
        <v>0.2</v>
      </c>
      <c r="I238" s="599">
        <f t="shared" si="62"/>
        <v>9.89</v>
      </c>
      <c r="J238" s="599">
        <f t="shared" si="63"/>
        <v>59.32</v>
      </c>
      <c r="K238" s="670">
        <v>591179016</v>
      </c>
      <c r="M238" s="367"/>
      <c r="N238" s="368"/>
      <c r="O238" s="368"/>
      <c r="P238" s="368"/>
      <c r="Q238" s="368"/>
      <c r="R238" s="526"/>
      <c r="S238" s="368"/>
      <c r="T238" s="526"/>
      <c r="U238" s="526"/>
    </row>
    <row r="239" spans="1:21" ht="21" customHeight="1" thickBot="1" x14ac:dyDescent="0.35">
      <c r="B239" s="210"/>
      <c r="C239" s="211"/>
      <c r="D239" s="621">
        <f>SUM(D232:D238)</f>
        <v>361</v>
      </c>
      <c r="E239" s="212"/>
      <c r="F239" s="622"/>
      <c r="G239" s="665">
        <f>SUM(G232:G238)</f>
        <v>102.47</v>
      </c>
      <c r="H239" s="623"/>
      <c r="I239" s="624">
        <f>SUM(I232:I238)</f>
        <v>20.5</v>
      </c>
      <c r="J239" s="624">
        <f>SUM(J232:J238)</f>
        <v>122.97</v>
      </c>
      <c r="K239" s="79"/>
      <c r="M239" s="367"/>
      <c r="N239" s="368"/>
      <c r="O239" s="368"/>
      <c r="P239" s="368"/>
      <c r="Q239" s="368"/>
      <c r="R239" s="526"/>
      <c r="S239" s="368"/>
      <c r="T239" s="526"/>
      <c r="U239" s="526"/>
    </row>
    <row r="240" spans="1:21" ht="22.5" customHeight="1" thickBot="1" x14ac:dyDescent="0.35">
      <c r="B240" s="625"/>
      <c r="C240" s="626" t="s">
        <v>52</v>
      </c>
      <c r="D240" s="627">
        <f>D36+D69+D93+D139+D155+D164+D176+D197+D214+D231+D239</f>
        <v>90278</v>
      </c>
      <c r="E240" s="628">
        <f>E36+E69+E93+E139+E155+E164+E176+E197+E214+E231+E239</f>
        <v>0</v>
      </c>
      <c r="F240" s="628"/>
      <c r="G240" s="629">
        <f>G36+G69+G93+G139+G155+G164+G176+G197+G214+G231+G239</f>
        <v>28265.625615600642</v>
      </c>
      <c r="H240" s="628"/>
      <c r="I240" s="630">
        <f>I36+I69+I93+I139+I155+I164+I176+I197+I214+I231+I239</f>
        <v>5653.0999999999995</v>
      </c>
      <c r="J240" s="629">
        <f>J36+J69+J93+J139+J155+J164+J176+J197+J214+J231+J239</f>
        <v>33918.725615600641</v>
      </c>
      <c r="K240" s="79"/>
      <c r="M240" s="367"/>
      <c r="N240" s="368"/>
      <c r="O240" s="368"/>
      <c r="P240" s="368"/>
      <c r="Q240" s="368"/>
      <c r="R240" s="526"/>
      <c r="S240" s="368"/>
      <c r="T240" s="526"/>
      <c r="U240" s="526"/>
    </row>
    <row r="241" spans="2:23" ht="18.75" x14ac:dyDescent="0.3">
      <c r="B241" s="631"/>
      <c r="C241" s="729" t="s">
        <v>116</v>
      </c>
      <c r="D241" s="730">
        <f>D240-D242</f>
        <v>48839</v>
      </c>
      <c r="E241" s="204"/>
      <c r="F241" s="204"/>
      <c r="G241" s="632">
        <f>G240-G242</f>
        <v>23104.400164661281</v>
      </c>
      <c r="H241" s="204"/>
      <c r="I241" s="632">
        <f>I240-I242</f>
        <v>4620.8689098121276</v>
      </c>
      <c r="J241" s="632">
        <f>G241+I241</f>
        <v>27725.26907447341</v>
      </c>
      <c r="K241" s="79"/>
      <c r="M241" s="367"/>
      <c r="N241" s="368"/>
      <c r="O241" s="370">
        <f>SUM(O5:O240)</f>
        <v>41439</v>
      </c>
      <c r="P241" s="370"/>
      <c r="Q241" s="370"/>
      <c r="R241" s="526">
        <f>SUM(R5:R240)</f>
        <v>5161.2254509393606</v>
      </c>
      <c r="S241" s="370"/>
      <c r="T241" s="526">
        <f>SUM(T5:T240)</f>
        <v>1032.2310901878718</v>
      </c>
      <c r="U241" s="526">
        <f>SUM(U5:U240)</f>
        <v>6193.4565411272324</v>
      </c>
      <c r="V241" s="370"/>
      <c r="W241" s="370"/>
    </row>
    <row r="242" spans="2:23" ht="18.75" x14ac:dyDescent="0.3">
      <c r="B242" s="631"/>
      <c r="C242" s="729" t="s">
        <v>395</v>
      </c>
      <c r="D242" s="730">
        <f>O241</f>
        <v>41439</v>
      </c>
      <c r="E242" s="204"/>
      <c r="F242" s="204"/>
      <c r="G242" s="632">
        <f>R241</f>
        <v>5161.2254509393606</v>
      </c>
      <c r="H242" s="204"/>
      <c r="I242" s="632">
        <f>T241</f>
        <v>1032.2310901878718</v>
      </c>
      <c r="J242" s="632">
        <f>G242+I242</f>
        <v>6193.4565411272324</v>
      </c>
      <c r="K242" s="23"/>
      <c r="M242" s="367"/>
      <c r="N242" s="368"/>
      <c r="O242" s="368"/>
      <c r="P242" s="368"/>
      <c r="Q242" s="368"/>
      <c r="R242" s="368"/>
      <c r="S242" s="368"/>
      <c r="T242" s="368"/>
      <c r="U242" s="368"/>
    </row>
    <row r="243" spans="2:23" ht="17.25" customHeight="1" x14ac:dyDescent="0.3">
      <c r="B243" s="92"/>
      <c r="C243" s="122"/>
      <c r="D243" s="204"/>
      <c r="E243" s="93"/>
      <c r="F243" s="93"/>
      <c r="G243" s="471"/>
      <c r="H243" s="93"/>
      <c r="I243" s="93"/>
      <c r="J243" s="93"/>
      <c r="K243" s="23"/>
      <c r="N243" s="366"/>
      <c r="O243" s="366"/>
      <c r="P243" s="366"/>
      <c r="Q243" s="366"/>
      <c r="R243" s="366"/>
      <c r="S243" s="366"/>
      <c r="T243" s="366"/>
      <c r="U243" s="366"/>
    </row>
    <row r="244" spans="2:23" ht="15.75" customHeight="1" x14ac:dyDescent="0.3">
      <c r="B244" s="6" t="s">
        <v>605</v>
      </c>
      <c r="D244" s="59" t="s">
        <v>606</v>
      </c>
      <c r="E244" s="59"/>
      <c r="G244" s="59"/>
      <c r="H244" s="59"/>
      <c r="I244" s="59"/>
      <c r="J244" s="59"/>
      <c r="K244" s="23"/>
      <c r="N244" s="366"/>
      <c r="O244" s="366"/>
      <c r="P244" s="366"/>
      <c r="Q244" s="366"/>
      <c r="R244" s="366"/>
      <c r="S244" s="366"/>
      <c r="T244" s="366"/>
      <c r="U244" s="366"/>
    </row>
    <row r="245" spans="2:23" ht="15.75" customHeight="1" x14ac:dyDescent="0.3">
      <c r="B245" s="58"/>
      <c r="C245" s="6"/>
      <c r="D245" s="192"/>
      <c r="E245" s="59"/>
      <c r="F245" s="59"/>
      <c r="G245" s="59"/>
      <c r="H245" s="59"/>
      <c r="I245" s="59"/>
      <c r="J245" s="59"/>
      <c r="K245" s="23"/>
      <c r="N245" s="366"/>
      <c r="O245" s="366"/>
      <c r="P245" s="366"/>
      <c r="Q245" s="366"/>
      <c r="R245" s="366"/>
      <c r="S245" s="366"/>
      <c r="T245" s="366"/>
      <c r="U245" s="366"/>
    </row>
    <row r="246" spans="2:23" ht="15.75" customHeight="1" x14ac:dyDescent="0.3">
      <c r="B246" s="58"/>
      <c r="C246" s="6"/>
      <c r="D246" s="192"/>
      <c r="E246" s="59"/>
      <c r="F246" s="59"/>
      <c r="G246" s="59"/>
      <c r="H246" s="59"/>
      <c r="I246" s="59"/>
      <c r="J246" s="59"/>
      <c r="K246" s="23"/>
      <c r="N246" s="366"/>
      <c r="O246" s="366"/>
      <c r="P246" s="366"/>
      <c r="Q246" s="366"/>
      <c r="R246" s="366"/>
      <c r="S246" s="366"/>
      <c r="T246" s="366"/>
      <c r="U246" s="366"/>
    </row>
    <row r="247" spans="2:23" ht="15.75" customHeight="1" x14ac:dyDescent="0.3">
      <c r="B247" s="58"/>
      <c r="C247" s="6"/>
      <c r="D247" s="192"/>
      <c r="E247" s="59"/>
      <c r="F247" s="59"/>
      <c r="G247" s="59"/>
      <c r="H247" s="59"/>
      <c r="I247" s="59"/>
      <c r="J247" s="59"/>
      <c r="K247" s="23"/>
    </row>
    <row r="248" spans="2:23" ht="15.75" customHeight="1" x14ac:dyDescent="0.3">
      <c r="B248" s="58"/>
      <c r="C248" s="6"/>
      <c r="D248" s="192"/>
      <c r="E248" s="59"/>
      <c r="F248" s="59"/>
      <c r="G248" s="59"/>
      <c r="H248" s="59"/>
      <c r="I248" s="59"/>
      <c r="J248" s="59"/>
      <c r="K248" s="23"/>
    </row>
    <row r="250" spans="2:23" ht="14.25" customHeight="1" x14ac:dyDescent="0.25"/>
    <row r="251" spans="2:23" ht="13.5" customHeight="1" x14ac:dyDescent="0.3">
      <c r="B251" s="758"/>
      <c r="C251" s="758"/>
      <c r="D251" s="758"/>
      <c r="E251" s="758"/>
      <c r="F251" s="758"/>
      <c r="G251" s="758"/>
      <c r="H251" s="758"/>
      <c r="I251" s="758"/>
    </row>
    <row r="252" spans="2:23" ht="15" customHeight="1" x14ac:dyDescent="0.3">
      <c r="B252" s="718"/>
      <c r="C252" s="718"/>
      <c r="D252" s="48"/>
      <c r="E252" s="88"/>
      <c r="F252" s="88"/>
      <c r="G252" s="567"/>
      <c r="H252" s="567"/>
      <c r="I252" s="568" t="s">
        <v>357</v>
      </c>
    </row>
    <row r="253" spans="2:23" ht="15.75" x14ac:dyDescent="0.25">
      <c r="B253" s="724"/>
      <c r="C253" s="724"/>
      <c r="D253" s="724"/>
      <c r="E253" s="429"/>
      <c r="F253" s="724"/>
      <c r="G253" s="724"/>
      <c r="H253" s="767"/>
      <c r="I253" s="767"/>
    </row>
    <row r="254" spans="2:23" ht="16.5" customHeight="1" x14ac:dyDescent="0.3">
      <c r="B254" s="724"/>
      <c r="C254" s="758" t="s">
        <v>358</v>
      </c>
      <c r="D254" s="758"/>
      <c r="E254" s="758"/>
      <c r="F254" s="758"/>
      <c r="G254" s="758"/>
      <c r="H254" s="758"/>
      <c r="I254" s="758"/>
      <c r="J254" s="758"/>
    </row>
    <row r="255" spans="2:23" ht="14.25" customHeight="1" x14ac:dyDescent="0.25">
      <c r="B255" s="767"/>
      <c r="C255" s="769"/>
      <c r="D255" s="769"/>
      <c r="E255" s="769"/>
      <c r="F255" s="769"/>
      <c r="G255" s="769"/>
      <c r="H255" s="769"/>
      <c r="I255" s="769"/>
      <c r="J255" s="769"/>
    </row>
    <row r="256" spans="2:23" ht="15" customHeight="1" thickBot="1" x14ac:dyDescent="0.3">
      <c r="B256" s="310"/>
      <c r="C256" s="140" t="s">
        <v>50</v>
      </c>
      <c r="D256" s="773" t="s">
        <v>348</v>
      </c>
      <c r="E256" s="774"/>
      <c r="F256" s="170"/>
      <c r="G256" s="725"/>
      <c r="H256" s="768"/>
      <c r="I256" s="768"/>
    </row>
    <row r="257" spans="2:10" ht="27" thickBot="1" x14ac:dyDescent="0.3">
      <c r="B257" s="180" t="s">
        <v>0</v>
      </c>
      <c r="C257" s="40" t="s">
        <v>362</v>
      </c>
      <c r="D257" s="182" t="s">
        <v>2</v>
      </c>
      <c r="E257" s="182" t="s">
        <v>3</v>
      </c>
      <c r="F257" s="182" t="s">
        <v>4</v>
      </c>
      <c r="G257" s="181" t="s">
        <v>5</v>
      </c>
      <c r="H257" s="190" t="s">
        <v>6</v>
      </c>
      <c r="I257" s="181" t="s">
        <v>7</v>
      </c>
      <c r="J257" s="181" t="s">
        <v>8</v>
      </c>
    </row>
    <row r="258" spans="2:10" ht="15.75" x14ac:dyDescent="0.25">
      <c r="B258" s="430">
        <v>20</v>
      </c>
      <c r="C258" s="140" t="s">
        <v>361</v>
      </c>
      <c r="D258" s="152">
        <v>19</v>
      </c>
      <c r="E258" s="436">
        <v>9.9320000000000006E-2</v>
      </c>
      <c r="F258" s="24">
        <v>1</v>
      </c>
      <c r="G258" s="666">
        <f>ROUND(D258*E258,2)-0.01</f>
        <v>1.88</v>
      </c>
      <c r="H258" s="194">
        <v>0.2</v>
      </c>
      <c r="I258" s="469">
        <f>ROUND(G258*H258,2)</f>
        <v>0.38</v>
      </c>
      <c r="J258" s="469">
        <f>G258+I258</f>
        <v>2.2599999999999998</v>
      </c>
    </row>
    <row r="259" spans="2:10" ht="15.75" x14ac:dyDescent="0.25">
      <c r="B259" s="430"/>
      <c r="C259" s="140"/>
      <c r="D259" s="82"/>
      <c r="E259" s="473"/>
      <c r="F259" s="24"/>
      <c r="G259" s="666"/>
      <c r="H259" s="153"/>
      <c r="I259" s="469"/>
      <c r="J259" s="469"/>
    </row>
    <row r="260" spans="2:10" ht="15.75" x14ac:dyDescent="0.25">
      <c r="B260" s="430"/>
      <c r="C260" s="140" t="s">
        <v>359</v>
      </c>
      <c r="D260" s="152">
        <v>19</v>
      </c>
      <c r="E260" s="436">
        <v>9.9320000000000006E-2</v>
      </c>
      <c r="F260" s="24">
        <v>1</v>
      </c>
      <c r="G260" s="666">
        <f>ROUND(D260*E260,2)-0.01</f>
        <v>1.88</v>
      </c>
      <c r="H260" s="194">
        <v>0.2</v>
      </c>
      <c r="I260" s="469">
        <f>ROUND(G260*H260,2)</f>
        <v>0.38</v>
      </c>
      <c r="J260" s="469">
        <f>G260+I260</f>
        <v>2.2599999999999998</v>
      </c>
    </row>
    <row r="261" spans="2:10" ht="15.75" x14ac:dyDescent="0.25">
      <c r="B261" s="430"/>
      <c r="C261" s="140"/>
      <c r="D261" s="82"/>
      <c r="E261" s="473"/>
      <c r="F261" s="24"/>
      <c r="G261" s="666"/>
      <c r="H261" s="153"/>
      <c r="I261" s="469"/>
      <c r="J261" s="469"/>
    </row>
    <row r="262" spans="2:10" ht="15.75" x14ac:dyDescent="0.25">
      <c r="B262" s="430"/>
      <c r="C262" s="140" t="s">
        <v>360</v>
      </c>
      <c r="D262" s="152">
        <v>19</v>
      </c>
      <c r="E262" s="436">
        <v>9.9320000000000006E-2</v>
      </c>
      <c r="F262" s="24">
        <v>1</v>
      </c>
      <c r="G262" s="666">
        <f>ROUND(D262*E262,2)-0.01</f>
        <v>1.88</v>
      </c>
      <c r="H262" s="194">
        <v>0.2</v>
      </c>
      <c r="I262" s="469">
        <f>ROUND(G262*H262,2)</f>
        <v>0.38</v>
      </c>
      <c r="J262" s="469">
        <f>G262+I262</f>
        <v>2.2599999999999998</v>
      </c>
    </row>
    <row r="263" spans="2:10" ht="15.75" x14ac:dyDescent="0.25">
      <c r="B263" s="430"/>
      <c r="C263" s="140"/>
      <c r="D263" s="82"/>
      <c r="E263" s="473"/>
      <c r="F263" s="24"/>
      <c r="G263" s="666"/>
      <c r="H263" s="153"/>
      <c r="I263" s="469"/>
      <c r="J263" s="469"/>
    </row>
    <row r="264" spans="2:10" ht="15.75" x14ac:dyDescent="0.25">
      <c r="B264" s="430"/>
      <c r="C264" s="140" t="s">
        <v>363</v>
      </c>
      <c r="D264" s="152">
        <v>19</v>
      </c>
      <c r="E264" s="436">
        <v>9.9320000000000006E-2</v>
      </c>
      <c r="F264" s="24">
        <v>1</v>
      </c>
      <c r="G264" s="666">
        <f>ROUND(D264*E264,2)-0.01</f>
        <v>1.88</v>
      </c>
      <c r="H264" s="194">
        <v>0.2</v>
      </c>
      <c r="I264" s="469">
        <f>ROUND(G264*H264,2)</f>
        <v>0.38</v>
      </c>
      <c r="J264" s="469">
        <f>G264+I264</f>
        <v>2.2599999999999998</v>
      </c>
    </row>
    <row r="265" spans="2:10" ht="15.75" x14ac:dyDescent="0.25">
      <c r="B265" s="430"/>
      <c r="C265" s="140"/>
      <c r="D265" s="82"/>
      <c r="E265" s="473"/>
      <c r="F265" s="24"/>
      <c r="G265" s="666"/>
      <c r="H265" s="153"/>
      <c r="I265" s="469"/>
      <c r="J265" s="469"/>
    </row>
    <row r="266" spans="2:10" ht="15.75" x14ac:dyDescent="0.25">
      <c r="B266" s="430"/>
      <c r="C266" s="140" t="s">
        <v>364</v>
      </c>
      <c r="D266" s="152">
        <v>19</v>
      </c>
      <c r="E266" s="436">
        <v>9.9320000000000006E-2</v>
      </c>
      <c r="F266" s="24">
        <v>1</v>
      </c>
      <c r="G266" s="666">
        <f>ROUND(D266*E266,2)-0.01</f>
        <v>1.88</v>
      </c>
      <c r="H266" s="194">
        <v>0.2</v>
      </c>
      <c r="I266" s="469">
        <f>ROUND(G266*H266,2)</f>
        <v>0.38</v>
      </c>
      <c r="J266" s="469">
        <f>G266+I266</f>
        <v>2.2599999999999998</v>
      </c>
    </row>
    <row r="267" spans="2:10" ht="15.75" x14ac:dyDescent="0.25">
      <c r="B267" s="430"/>
      <c r="C267" s="140"/>
      <c r="D267" s="82"/>
      <c r="E267" s="473"/>
      <c r="F267" s="24"/>
      <c r="G267" s="666"/>
      <c r="H267" s="153"/>
      <c r="I267" s="469"/>
      <c r="J267" s="469"/>
    </row>
    <row r="268" spans="2:10" ht="15.75" x14ac:dyDescent="0.25">
      <c r="B268" s="430"/>
      <c r="C268" s="140" t="s">
        <v>365</v>
      </c>
      <c r="D268" s="152">
        <v>19</v>
      </c>
      <c r="E268" s="436">
        <v>0.10730000000000001</v>
      </c>
      <c r="F268" s="24">
        <v>1</v>
      </c>
      <c r="G268" s="666">
        <f>ROUND(D268*E268,2)</f>
        <v>2.04</v>
      </c>
      <c r="H268" s="194">
        <v>0.2</v>
      </c>
      <c r="I268" s="469">
        <f>ROUND(G268*H268,2)</f>
        <v>0.41</v>
      </c>
      <c r="J268" s="469">
        <f>G268+I268</f>
        <v>2.4500000000000002</v>
      </c>
    </row>
    <row r="269" spans="2:10" ht="15.75" x14ac:dyDescent="0.25">
      <c r="B269" s="430"/>
      <c r="C269" s="140" t="s">
        <v>56</v>
      </c>
      <c r="D269" s="82">
        <f>D258+D260+D262+D264+D266+D268</f>
        <v>114</v>
      </c>
      <c r="E269" s="473"/>
      <c r="F269" s="24"/>
      <c r="G269" s="666">
        <f>G258+G260+G262+G264+G266+G268</f>
        <v>11.439999999999998</v>
      </c>
      <c r="H269" s="153"/>
      <c r="I269" s="469">
        <f>I258+I260+I262+I264+I266+I268</f>
        <v>2.31</v>
      </c>
      <c r="J269" s="469">
        <f>J258+J260+J262+J264+J266+J268</f>
        <v>13.75</v>
      </c>
    </row>
    <row r="270" spans="2:10" ht="18.75" x14ac:dyDescent="0.3">
      <c r="B270" s="718"/>
      <c r="C270" s="718"/>
      <c r="D270" s="48"/>
      <c r="E270" s="88"/>
      <c r="F270" s="88"/>
      <c r="G270" s="89"/>
      <c r="H270" s="89"/>
      <c r="I270" s="320"/>
      <c r="J270" s="116"/>
    </row>
    <row r="271" spans="2:10" ht="15.75" x14ac:dyDescent="0.25">
      <c r="B271" s="723"/>
      <c r="C271" s="312"/>
      <c r="D271" s="312"/>
      <c r="E271" s="321"/>
      <c r="F271" s="723"/>
      <c r="G271" s="723"/>
      <c r="H271" s="765"/>
      <c r="I271" s="765"/>
      <c r="J271" s="116"/>
    </row>
    <row r="272" spans="2:10" ht="18.75" x14ac:dyDescent="0.3">
      <c r="B272" s="720"/>
      <c r="C272" s="766"/>
      <c r="D272" s="766"/>
      <c r="E272" s="766"/>
      <c r="F272" s="766"/>
      <c r="G272" s="766"/>
      <c r="H272" s="766"/>
      <c r="I272" s="766"/>
      <c r="J272" s="766"/>
    </row>
    <row r="273" spans="2:10" ht="15.75" x14ac:dyDescent="0.25">
      <c r="B273" s="771"/>
      <c r="C273" s="772"/>
      <c r="D273" s="772"/>
      <c r="E273" s="772"/>
      <c r="F273" s="772"/>
      <c r="G273" s="772"/>
      <c r="H273" s="772"/>
      <c r="I273" s="772"/>
      <c r="J273" s="772"/>
    </row>
    <row r="274" spans="2:10" ht="18.75" x14ac:dyDescent="0.3">
      <c r="B274" s="569"/>
      <c r="C274" s="6" t="s">
        <v>89</v>
      </c>
      <c r="D274" s="192"/>
      <c r="E274" s="59"/>
      <c r="F274" s="59" t="s">
        <v>253</v>
      </c>
      <c r="G274" s="721"/>
      <c r="H274" s="764"/>
      <c r="I274" s="764"/>
      <c r="J274" s="570"/>
    </row>
    <row r="275" spans="2:10" ht="24.75" customHeight="1" x14ac:dyDescent="0.25">
      <c r="B275" s="100"/>
      <c r="C275" s="96"/>
      <c r="D275" s="571"/>
      <c r="E275" s="571"/>
      <c r="F275" s="571"/>
      <c r="G275" s="571"/>
      <c r="H275" s="572"/>
      <c r="I275" s="571"/>
      <c r="J275" s="571"/>
    </row>
    <row r="276" spans="2:10" ht="24.75" customHeight="1" x14ac:dyDescent="0.25">
      <c r="B276" s="100"/>
      <c r="C276" s="96"/>
      <c r="D276" s="571"/>
      <c r="E276" s="571"/>
      <c r="F276" s="571"/>
      <c r="G276" s="571"/>
      <c r="H276" s="572"/>
      <c r="I276" s="571"/>
      <c r="J276" s="571"/>
    </row>
    <row r="277" spans="2:10" ht="24.75" customHeight="1" x14ac:dyDescent="0.25">
      <c r="B277" s="100"/>
      <c r="C277" s="96"/>
      <c r="D277" s="571"/>
      <c r="E277" s="571"/>
      <c r="F277" s="571"/>
      <c r="G277" s="571"/>
      <c r="H277" s="572"/>
      <c r="I277" s="571"/>
      <c r="J277" s="571"/>
    </row>
    <row r="278" spans="2:10" ht="24.75" customHeight="1" x14ac:dyDescent="0.25">
      <c r="B278" s="100"/>
      <c r="C278" s="96"/>
      <c r="D278" s="571"/>
      <c r="E278" s="571"/>
      <c r="F278" s="571"/>
      <c r="G278" s="571"/>
      <c r="H278" s="572"/>
      <c r="I278" s="571"/>
      <c r="J278" s="571"/>
    </row>
    <row r="279" spans="2:10" ht="24.75" customHeight="1" x14ac:dyDescent="0.3">
      <c r="B279" s="758"/>
      <c r="C279" s="758"/>
      <c r="D279" s="758"/>
      <c r="E279" s="758"/>
      <c r="F279" s="758"/>
      <c r="G279" s="758"/>
      <c r="H279" s="758"/>
      <c r="I279" s="758"/>
    </row>
    <row r="280" spans="2:10" ht="18.75" x14ac:dyDescent="0.3">
      <c r="B280" s="718"/>
      <c r="C280" s="718"/>
      <c r="D280" s="48"/>
      <c r="E280" s="88"/>
      <c r="F280" s="88"/>
      <c r="G280" s="567"/>
      <c r="H280" s="567"/>
      <c r="I280" s="568" t="s">
        <v>357</v>
      </c>
    </row>
    <row r="281" spans="2:10" ht="15" customHeight="1" x14ac:dyDescent="0.25">
      <c r="B281" s="724"/>
      <c r="C281" s="724"/>
      <c r="D281" s="724"/>
      <c r="E281" s="429"/>
      <c r="F281" s="724"/>
      <c r="G281" s="724"/>
      <c r="H281" s="767"/>
      <c r="I281" s="767"/>
    </row>
    <row r="282" spans="2:10" ht="25.5" customHeight="1" x14ac:dyDescent="0.3">
      <c r="B282" s="724"/>
      <c r="C282" s="758" t="s">
        <v>358</v>
      </c>
      <c r="D282" s="758"/>
      <c r="E282" s="758"/>
      <c r="F282" s="758"/>
      <c r="G282" s="758"/>
      <c r="H282" s="758"/>
      <c r="I282" s="758"/>
      <c r="J282" s="758"/>
    </row>
    <row r="283" spans="2:10" ht="24.75" customHeight="1" x14ac:dyDescent="0.25">
      <c r="B283" s="767"/>
      <c r="C283" s="769"/>
      <c r="D283" s="769"/>
      <c r="E283" s="769"/>
      <c r="F283" s="769"/>
      <c r="G283" s="769"/>
      <c r="H283" s="769"/>
      <c r="I283" s="769"/>
      <c r="J283" s="769"/>
    </row>
    <row r="284" spans="2:10" ht="16.5" thickBot="1" x14ac:dyDescent="0.3">
      <c r="B284" s="310"/>
      <c r="C284" s="140" t="s">
        <v>50</v>
      </c>
      <c r="D284" s="773" t="s">
        <v>348</v>
      </c>
      <c r="E284" s="774"/>
      <c r="F284" s="170"/>
      <c r="G284" s="725"/>
      <c r="H284" s="768"/>
      <c r="I284" s="768"/>
    </row>
    <row r="285" spans="2:10" ht="27" thickBot="1" x14ac:dyDescent="0.3">
      <c r="B285" s="180" t="s">
        <v>0</v>
      </c>
      <c r="C285" s="40" t="s">
        <v>362</v>
      </c>
      <c r="D285" s="182" t="s">
        <v>2</v>
      </c>
      <c r="E285" s="182" t="s">
        <v>3</v>
      </c>
      <c r="F285" s="182" t="s">
        <v>4</v>
      </c>
      <c r="G285" s="181" t="s">
        <v>5</v>
      </c>
      <c r="H285" s="190" t="s">
        <v>6</v>
      </c>
      <c r="I285" s="181" t="s">
        <v>7</v>
      </c>
      <c r="J285" s="181" t="s">
        <v>8</v>
      </c>
    </row>
    <row r="286" spans="2:10" ht="15.75" x14ac:dyDescent="0.25">
      <c r="B286" s="430">
        <v>20</v>
      </c>
      <c r="C286" s="140" t="s">
        <v>361</v>
      </c>
      <c r="D286" s="152">
        <v>19</v>
      </c>
      <c r="E286" s="436">
        <v>9.9320000000000006E-2</v>
      </c>
      <c r="F286" s="24">
        <v>1</v>
      </c>
      <c r="G286" s="666">
        <f>ROUND(D286*E286,2)-0.01</f>
        <v>1.88</v>
      </c>
      <c r="H286" s="194">
        <v>0.2</v>
      </c>
      <c r="I286" s="469">
        <f>ROUND(G286*H286,2)</f>
        <v>0.38</v>
      </c>
      <c r="J286" s="469">
        <f>G286+I286</f>
        <v>2.2599999999999998</v>
      </c>
    </row>
    <row r="287" spans="2:10" ht="15.75" x14ac:dyDescent="0.25">
      <c r="B287" s="430"/>
      <c r="C287" s="140"/>
      <c r="D287" s="82"/>
      <c r="E287" s="473"/>
      <c r="F287" s="24"/>
      <c r="G287" s="666"/>
      <c r="H287" s="153"/>
      <c r="I287" s="469"/>
      <c r="J287" s="469"/>
    </row>
    <row r="288" spans="2:10" ht="15.75" x14ac:dyDescent="0.25">
      <c r="B288" s="430"/>
      <c r="C288" s="140" t="s">
        <v>359</v>
      </c>
      <c r="D288" s="152">
        <v>19</v>
      </c>
      <c r="E288" s="436">
        <v>9.9320000000000006E-2</v>
      </c>
      <c r="F288" s="24">
        <v>1</v>
      </c>
      <c r="G288" s="666">
        <f>ROUND(D288*E288,2)-0.01</f>
        <v>1.88</v>
      </c>
      <c r="H288" s="194">
        <v>0.2</v>
      </c>
      <c r="I288" s="469">
        <f>ROUND(G288*H288,2)</f>
        <v>0.38</v>
      </c>
      <c r="J288" s="469">
        <f>G288+I288</f>
        <v>2.2599999999999998</v>
      </c>
    </row>
    <row r="289" spans="2:10" ht="15.75" x14ac:dyDescent="0.25">
      <c r="B289" s="430"/>
      <c r="C289" s="140"/>
      <c r="D289" s="82"/>
      <c r="E289" s="473"/>
      <c r="F289" s="24"/>
      <c r="G289" s="666"/>
      <c r="H289" s="153"/>
      <c r="I289" s="469"/>
      <c r="J289" s="469"/>
    </row>
    <row r="290" spans="2:10" ht="15.75" x14ac:dyDescent="0.25">
      <c r="B290" s="430"/>
      <c r="C290" s="140" t="s">
        <v>360</v>
      </c>
      <c r="D290" s="152">
        <v>19</v>
      </c>
      <c r="E290" s="436">
        <v>9.9320000000000006E-2</v>
      </c>
      <c r="F290" s="24">
        <v>1</v>
      </c>
      <c r="G290" s="666">
        <f>ROUND(D290*E290,2)-0.01</f>
        <v>1.88</v>
      </c>
      <c r="H290" s="194">
        <v>0.2</v>
      </c>
      <c r="I290" s="469">
        <f>ROUND(G290*H290,2)</f>
        <v>0.38</v>
      </c>
      <c r="J290" s="469">
        <f>G290+I290</f>
        <v>2.2599999999999998</v>
      </c>
    </row>
    <row r="291" spans="2:10" ht="15.75" x14ac:dyDescent="0.25">
      <c r="B291" s="430"/>
      <c r="C291" s="140"/>
      <c r="D291" s="82"/>
      <c r="E291" s="473"/>
      <c r="F291" s="24"/>
      <c r="G291" s="666"/>
      <c r="H291" s="153"/>
      <c r="I291" s="469"/>
      <c r="J291" s="469"/>
    </row>
    <row r="292" spans="2:10" ht="15.75" x14ac:dyDescent="0.25">
      <c r="B292" s="430"/>
      <c r="C292" s="140" t="s">
        <v>363</v>
      </c>
      <c r="D292" s="152">
        <v>19</v>
      </c>
      <c r="E292" s="436">
        <v>9.9320000000000006E-2</v>
      </c>
      <c r="F292" s="24">
        <v>1</v>
      </c>
      <c r="G292" s="666">
        <f>ROUND(D292*E292,2)-0.01</f>
        <v>1.88</v>
      </c>
      <c r="H292" s="194">
        <v>0.2</v>
      </c>
      <c r="I292" s="469">
        <f>ROUND(G292*H292,2)</f>
        <v>0.38</v>
      </c>
      <c r="J292" s="469">
        <f>G292+I292</f>
        <v>2.2599999999999998</v>
      </c>
    </row>
    <row r="293" spans="2:10" ht="13.5" customHeight="1" x14ac:dyDescent="0.25">
      <c r="B293" s="430"/>
      <c r="C293" s="140"/>
      <c r="D293" s="82"/>
      <c r="E293" s="473"/>
      <c r="F293" s="24"/>
      <c r="G293" s="666"/>
      <c r="H293" s="153"/>
      <c r="I293" s="469"/>
      <c r="J293" s="469"/>
    </row>
    <row r="294" spans="2:10" ht="16.5" customHeight="1" x14ac:dyDescent="0.25">
      <c r="B294" s="430"/>
      <c r="C294" s="140" t="s">
        <v>364</v>
      </c>
      <c r="D294" s="152">
        <v>19</v>
      </c>
      <c r="E294" s="436">
        <v>9.9320000000000006E-2</v>
      </c>
      <c r="F294" s="24">
        <v>1</v>
      </c>
      <c r="G294" s="666">
        <f>ROUND(D294*E294,2)-0.01</f>
        <v>1.88</v>
      </c>
      <c r="H294" s="194">
        <v>0.2</v>
      </c>
      <c r="I294" s="469">
        <f>ROUND(G294*H294,2)</f>
        <v>0.38</v>
      </c>
      <c r="J294" s="469">
        <f>G294+I294</f>
        <v>2.2599999999999998</v>
      </c>
    </row>
    <row r="295" spans="2:10" ht="15" customHeight="1" x14ac:dyDescent="0.25">
      <c r="B295" s="430"/>
      <c r="C295" s="140"/>
      <c r="D295" s="82"/>
      <c r="E295" s="473"/>
      <c r="F295" s="24"/>
      <c r="G295" s="666"/>
      <c r="H295" s="153"/>
      <c r="I295" s="469"/>
      <c r="J295" s="469"/>
    </row>
    <row r="296" spans="2:10" ht="18.75" customHeight="1" x14ac:dyDescent="0.25">
      <c r="B296" s="430"/>
      <c r="C296" s="140" t="s">
        <v>365</v>
      </c>
      <c r="D296" s="152">
        <v>19</v>
      </c>
      <c r="E296" s="436">
        <v>0.10730000000000001</v>
      </c>
      <c r="F296" s="24">
        <v>1</v>
      </c>
      <c r="G296" s="666">
        <f>ROUND(D296*E296,2)</f>
        <v>2.04</v>
      </c>
      <c r="H296" s="194">
        <v>0.2</v>
      </c>
      <c r="I296" s="469">
        <f>ROUND(G296*H296,2)</f>
        <v>0.41</v>
      </c>
      <c r="J296" s="469">
        <f>G296+I296</f>
        <v>2.4500000000000002</v>
      </c>
    </row>
    <row r="297" spans="2:10" ht="15.75" x14ac:dyDescent="0.25">
      <c r="B297" s="430"/>
      <c r="C297" s="140" t="s">
        <v>56</v>
      </c>
      <c r="D297" s="82">
        <f>D286+D288+D290+D292+D294+D296</f>
        <v>114</v>
      </c>
      <c r="E297" s="473"/>
      <c r="F297" s="24"/>
      <c r="G297" s="666">
        <f>G286+G288+G290+G292+G294+G296</f>
        <v>11.439999999999998</v>
      </c>
      <c r="H297" s="153"/>
      <c r="I297" s="469">
        <f>I286+I288+I290+I292+I294+I296</f>
        <v>2.31</v>
      </c>
      <c r="J297" s="469">
        <f>J286+J288+J290+J292+J294+J296</f>
        <v>13.75</v>
      </c>
    </row>
    <row r="298" spans="2:10" ht="15" customHeight="1" x14ac:dyDescent="0.3">
      <c r="B298" s="718"/>
      <c r="C298" s="718"/>
      <c r="D298" s="48"/>
      <c r="E298" s="88"/>
      <c r="F298" s="88"/>
      <c r="G298" s="89"/>
      <c r="H298" s="89"/>
      <c r="I298" s="320"/>
      <c r="J298" s="116"/>
    </row>
    <row r="299" spans="2:10" ht="15.75" x14ac:dyDescent="0.25">
      <c r="B299" s="723"/>
      <c r="C299" s="312"/>
      <c r="D299" s="312"/>
      <c r="E299" s="321"/>
      <c r="F299" s="723"/>
      <c r="G299" s="723"/>
      <c r="H299" s="765"/>
      <c r="I299" s="765"/>
      <c r="J299" s="116"/>
    </row>
    <row r="300" spans="2:10" ht="18.75" x14ac:dyDescent="0.3">
      <c r="B300" s="720"/>
      <c r="C300" s="766"/>
      <c r="D300" s="766"/>
      <c r="E300" s="766"/>
      <c r="F300" s="766"/>
      <c r="G300" s="766"/>
      <c r="H300" s="766"/>
      <c r="I300" s="766"/>
      <c r="J300" s="766"/>
    </row>
    <row r="301" spans="2:10" ht="15.75" x14ac:dyDescent="0.25">
      <c r="B301" s="771"/>
      <c r="C301" s="772"/>
      <c r="D301" s="772"/>
      <c r="E301" s="772"/>
      <c r="F301" s="772"/>
      <c r="G301" s="772"/>
      <c r="H301" s="772"/>
      <c r="I301" s="772"/>
      <c r="J301" s="772"/>
    </row>
    <row r="302" spans="2:10" ht="18.75" x14ac:dyDescent="0.3">
      <c r="B302" s="569"/>
      <c r="C302" s="6" t="s">
        <v>89</v>
      </c>
      <c r="D302" s="192"/>
      <c r="E302" s="59"/>
      <c r="F302" s="59" t="s">
        <v>253</v>
      </c>
      <c r="G302" s="721"/>
      <c r="H302" s="764"/>
      <c r="I302" s="764"/>
      <c r="J302" s="570"/>
    </row>
    <row r="303" spans="2:10" ht="15.75" x14ac:dyDescent="0.25">
      <c r="B303" s="771"/>
      <c r="C303" s="772"/>
      <c r="D303" s="772"/>
      <c r="E303" s="772"/>
      <c r="F303" s="772"/>
      <c r="G303" s="772"/>
      <c r="H303" s="772"/>
      <c r="I303" s="772"/>
      <c r="J303" s="772"/>
    </row>
    <row r="304" spans="2:10" ht="18.75" x14ac:dyDescent="0.3">
      <c r="B304" s="569"/>
      <c r="C304" s="6"/>
      <c r="D304" s="192"/>
      <c r="E304" s="59"/>
      <c r="F304" s="59"/>
      <c r="G304" s="721"/>
      <c r="H304" s="764"/>
      <c r="I304" s="764"/>
      <c r="J304" s="570"/>
    </row>
    <row r="306" spans="2:11" ht="15.75" x14ac:dyDescent="0.25">
      <c r="B306" s="310"/>
      <c r="C306" s="322"/>
      <c r="D306" s="316"/>
      <c r="E306" s="722"/>
      <c r="F306" s="317"/>
      <c r="G306" s="722"/>
      <c r="H306" s="770"/>
      <c r="I306" s="770"/>
    </row>
    <row r="307" spans="2:11" ht="15.75" x14ac:dyDescent="0.25">
      <c r="B307" s="310"/>
      <c r="C307" s="310"/>
      <c r="D307" s="310"/>
      <c r="E307" s="310"/>
      <c r="F307" s="310"/>
      <c r="G307" s="310"/>
      <c r="H307" s="310"/>
      <c r="I307" s="320"/>
    </row>
    <row r="308" spans="2:11" ht="15.75" x14ac:dyDescent="0.25">
      <c r="B308" s="309"/>
      <c r="C308" s="309"/>
      <c r="D308" s="309"/>
      <c r="E308" s="310"/>
      <c r="F308" s="310"/>
      <c r="G308" s="310"/>
      <c r="H308" s="310"/>
      <c r="I308" s="320"/>
    </row>
    <row r="309" spans="2:11" ht="18.75" x14ac:dyDescent="0.3">
      <c r="B309" s="174"/>
      <c r="C309" s="323"/>
      <c r="D309" s="323"/>
      <c r="E309" s="323"/>
      <c r="F309" s="323"/>
      <c r="G309" s="324"/>
      <c r="H309" s="324"/>
      <c r="I309" s="320"/>
    </row>
    <row r="310" spans="2:11" x14ac:dyDescent="0.25">
      <c r="B310" s="174"/>
      <c r="C310" s="174"/>
      <c r="D310" s="320"/>
      <c r="E310" s="320"/>
      <c r="F310" s="320"/>
      <c r="G310" s="320"/>
      <c r="H310" s="320"/>
      <c r="I310" s="320"/>
    </row>
    <row r="311" spans="2:11" ht="21.75" customHeight="1" x14ac:dyDescent="0.25">
      <c r="B311" s="174"/>
      <c r="C311" s="174"/>
      <c r="D311" s="320"/>
      <c r="E311" s="320"/>
      <c r="F311" s="320"/>
      <c r="G311" s="320"/>
      <c r="H311" s="320"/>
      <c r="I311" s="320"/>
    </row>
    <row r="314" spans="2:11" ht="18.75" customHeight="1" x14ac:dyDescent="0.3">
      <c r="H314" s="567"/>
      <c r="I314" s="567"/>
      <c r="J314" s="568" t="s">
        <v>357</v>
      </c>
      <c r="K314" s="568"/>
    </row>
    <row r="316" spans="2:11" ht="20.25" x14ac:dyDescent="0.3">
      <c r="B316" s="760" t="s">
        <v>584</v>
      </c>
      <c r="C316" s="760"/>
      <c r="D316" s="760"/>
      <c r="E316" s="760"/>
      <c r="F316" s="760"/>
      <c r="G316" s="760"/>
      <c r="H316" s="760"/>
      <c r="I316" s="760"/>
      <c r="J316" s="760"/>
    </row>
    <row r="318" spans="2:11" ht="18.75" x14ac:dyDescent="0.3">
      <c r="B318" s="719"/>
      <c r="C318" s="719" t="s">
        <v>558</v>
      </c>
      <c r="D318" s="48"/>
      <c r="E318" s="88"/>
      <c r="F318" s="88"/>
      <c r="G318" s="89"/>
      <c r="H318" s="89"/>
    </row>
    <row r="319" spans="2:11" ht="26.25" x14ac:dyDescent="0.25">
      <c r="B319" s="176" t="s">
        <v>191</v>
      </c>
      <c r="C319" s="176" t="s">
        <v>1</v>
      </c>
      <c r="D319" s="340" t="s">
        <v>2</v>
      </c>
      <c r="E319" s="340" t="s">
        <v>3</v>
      </c>
      <c r="F319" s="340" t="s">
        <v>4</v>
      </c>
      <c r="G319" s="341" t="s">
        <v>5</v>
      </c>
      <c r="H319" s="342" t="s">
        <v>6</v>
      </c>
      <c r="I319" s="341" t="s">
        <v>7</v>
      </c>
      <c r="J319" s="341" t="s">
        <v>8</v>
      </c>
    </row>
    <row r="320" spans="2:11" ht="22.5" customHeight="1" x14ac:dyDescent="0.3">
      <c r="B320" s="335"/>
      <c r="C320" s="655" t="s">
        <v>585</v>
      </c>
      <c r="D320" s="336">
        <v>-309</v>
      </c>
      <c r="E320" s="436"/>
      <c r="F320" s="684"/>
      <c r="G320" s="656">
        <v>-112.19</v>
      </c>
      <c r="H320" s="153">
        <v>0.2</v>
      </c>
      <c r="I320" s="472">
        <f>ROUND(G320*H320,2)</f>
        <v>-22.44</v>
      </c>
      <c r="J320" s="472">
        <f>G320+I320</f>
        <v>-134.63</v>
      </c>
    </row>
    <row r="321" spans="2:10" ht="18.75" x14ac:dyDescent="0.25">
      <c r="B321" s="176"/>
      <c r="C321" s="245"/>
      <c r="D321" s="338"/>
      <c r="E321" s="338"/>
      <c r="F321" s="337"/>
      <c r="G321" s="667"/>
      <c r="H321" s="339"/>
      <c r="I321" s="586"/>
      <c r="J321" s="586"/>
    </row>
    <row r="322" spans="2:10" ht="18.75" x14ac:dyDescent="0.25">
      <c r="B322" s="215"/>
      <c r="C322" s="214" t="s">
        <v>192</v>
      </c>
      <c r="D322" s="335">
        <f>SUM(D320:D321)</f>
        <v>-309</v>
      </c>
      <c r="E322" s="335"/>
      <c r="F322" s="335"/>
      <c r="G322" s="585">
        <f>SUM(G320:G321)</f>
        <v>-112.19</v>
      </c>
      <c r="H322" s="335"/>
      <c r="I322" s="585">
        <f>SUM(I320:I321)</f>
        <v>-22.44</v>
      </c>
      <c r="J322" s="585">
        <f>SUM(J320:J321)</f>
        <v>-134.63</v>
      </c>
    </row>
    <row r="323" spans="2:10" ht="15.75" x14ac:dyDescent="0.25">
      <c r="B323" s="216"/>
      <c r="C323" s="216"/>
      <c r="D323" s="216"/>
      <c r="E323" s="216"/>
      <c r="F323" s="216"/>
      <c r="G323" s="216"/>
      <c r="H323" s="216"/>
    </row>
    <row r="324" spans="2:10" ht="15.75" x14ac:dyDescent="0.25">
      <c r="B324" s="179"/>
      <c r="C324" s="179"/>
      <c r="D324" s="179"/>
      <c r="E324" s="216"/>
      <c r="F324" s="216"/>
      <c r="G324" s="216"/>
      <c r="H324" s="216"/>
    </row>
    <row r="325" spans="2:10" ht="18.75" x14ac:dyDescent="0.3">
      <c r="B325" s="761" t="s">
        <v>382</v>
      </c>
      <c r="C325" s="761"/>
      <c r="D325" s="761"/>
      <c r="E325" s="761"/>
      <c r="F325" s="761"/>
      <c r="G325" s="761"/>
      <c r="H325" s="761"/>
      <c r="I325" s="761"/>
      <c r="J325" s="761"/>
    </row>
    <row r="328" spans="2:10" ht="15.75" x14ac:dyDescent="0.25">
      <c r="B328" s="310"/>
      <c r="C328" s="322"/>
      <c r="D328" s="316"/>
      <c r="E328" s="722"/>
      <c r="F328" s="317"/>
      <c r="G328" s="722"/>
      <c r="H328" s="770"/>
      <c r="I328" s="770"/>
    </row>
    <row r="329" spans="2:10" ht="15.75" x14ac:dyDescent="0.25">
      <c r="B329" s="310"/>
      <c r="C329" s="310"/>
      <c r="D329" s="310"/>
      <c r="E329" s="310"/>
      <c r="F329" s="310"/>
      <c r="G329" s="310"/>
      <c r="H329" s="310"/>
      <c r="I329" s="320"/>
    </row>
    <row r="330" spans="2:10" ht="15.75" x14ac:dyDescent="0.25">
      <c r="B330" s="309"/>
      <c r="C330" s="309"/>
      <c r="D330" s="309"/>
      <c r="E330" s="310"/>
      <c r="F330" s="310"/>
      <c r="G330" s="310"/>
      <c r="H330" s="310"/>
      <c r="I330" s="320"/>
    </row>
    <row r="331" spans="2:10" ht="18.75" x14ac:dyDescent="0.3">
      <c r="B331" s="174"/>
      <c r="C331" s="323"/>
      <c r="D331" s="323"/>
      <c r="E331" s="323"/>
      <c r="F331" s="323"/>
      <c r="G331" s="324"/>
      <c r="H331" s="324"/>
      <c r="I331" s="320"/>
    </row>
    <row r="332" spans="2:10" ht="15.75" x14ac:dyDescent="0.25">
      <c r="B332" s="310"/>
      <c r="C332" s="322"/>
      <c r="D332" s="316"/>
      <c r="E332" s="722"/>
      <c r="F332" s="317"/>
      <c r="G332" s="722"/>
      <c r="H332" s="770"/>
      <c r="I332" s="770"/>
    </row>
    <row r="333" spans="2:10" ht="15.75" x14ac:dyDescent="0.25">
      <c r="B333" s="310"/>
      <c r="C333" s="310"/>
      <c r="D333" s="310"/>
      <c r="E333" s="310"/>
      <c r="F333" s="310"/>
      <c r="G333" s="310"/>
      <c r="H333" s="310"/>
      <c r="I333" s="320"/>
    </row>
    <row r="334" spans="2:10" ht="15.75" x14ac:dyDescent="0.25">
      <c r="B334" s="309"/>
      <c r="C334" s="309"/>
      <c r="D334" s="309"/>
      <c r="E334" s="310"/>
      <c r="F334" s="310"/>
      <c r="G334" s="310"/>
      <c r="H334" s="310"/>
      <c r="I334" s="320"/>
    </row>
    <row r="341" spans="2:10" ht="18.75" x14ac:dyDescent="0.3">
      <c r="H341" s="567"/>
      <c r="I341" s="567"/>
      <c r="J341" s="568" t="s">
        <v>357</v>
      </c>
    </row>
    <row r="343" spans="2:10" ht="20.25" x14ac:dyDescent="0.3">
      <c r="B343" s="760" t="s">
        <v>584</v>
      </c>
      <c r="C343" s="760"/>
      <c r="D343" s="760"/>
      <c r="E343" s="760"/>
      <c r="F343" s="760"/>
      <c r="G343" s="760"/>
      <c r="H343" s="760"/>
      <c r="I343" s="760"/>
      <c r="J343" s="760"/>
    </row>
    <row r="345" spans="2:10" ht="18.75" x14ac:dyDescent="0.3">
      <c r="B345" s="726"/>
      <c r="C345" s="726" t="s">
        <v>558</v>
      </c>
      <c r="D345" s="48"/>
      <c r="E345" s="88"/>
      <c r="F345" s="88"/>
      <c r="G345" s="89"/>
      <c r="H345" s="89"/>
    </row>
    <row r="346" spans="2:10" ht="24" customHeight="1" x14ac:dyDescent="0.25">
      <c r="B346" s="176" t="s">
        <v>191</v>
      </c>
      <c r="C346" s="176" t="s">
        <v>1</v>
      </c>
      <c r="D346" s="340" t="s">
        <v>2</v>
      </c>
      <c r="E346" s="340" t="s">
        <v>3</v>
      </c>
      <c r="F346" s="340" t="s">
        <v>4</v>
      </c>
      <c r="G346" s="341" t="s">
        <v>5</v>
      </c>
      <c r="H346" s="342" t="s">
        <v>6</v>
      </c>
      <c r="I346" s="341" t="s">
        <v>7</v>
      </c>
      <c r="J346" s="341" t="s">
        <v>8</v>
      </c>
    </row>
    <row r="347" spans="2:10" ht="18.75" x14ac:dyDescent="0.3">
      <c r="B347" s="335"/>
      <c r="C347" s="655" t="s">
        <v>585</v>
      </c>
      <c r="D347" s="336">
        <v>-309</v>
      </c>
      <c r="E347" s="436"/>
      <c r="F347" s="684"/>
      <c r="G347" s="656">
        <v>-112.19</v>
      </c>
      <c r="H347" s="153">
        <v>0.2</v>
      </c>
      <c r="I347" s="472">
        <f>ROUND(G347*H347,2)</f>
        <v>-22.44</v>
      </c>
      <c r="J347" s="472">
        <f>G347+I347</f>
        <v>-134.63</v>
      </c>
    </row>
    <row r="348" spans="2:10" ht="18.75" x14ac:dyDescent="0.25">
      <c r="B348" s="176"/>
      <c r="C348" s="245"/>
      <c r="D348" s="338"/>
      <c r="E348" s="338"/>
      <c r="F348" s="337"/>
      <c r="G348" s="667"/>
      <c r="H348" s="339"/>
      <c r="I348" s="586"/>
      <c r="J348" s="586"/>
    </row>
    <row r="349" spans="2:10" ht="18.75" x14ac:dyDescent="0.25">
      <c r="B349" s="215"/>
      <c r="C349" s="214" t="s">
        <v>192</v>
      </c>
      <c r="D349" s="335">
        <f>SUM(D347:D348)</f>
        <v>-309</v>
      </c>
      <c r="E349" s="335"/>
      <c r="F349" s="335"/>
      <c r="G349" s="585">
        <f>SUM(G347:G348)</f>
        <v>-112.19</v>
      </c>
      <c r="H349" s="335"/>
      <c r="I349" s="585">
        <f>SUM(I347:I348)</f>
        <v>-22.44</v>
      </c>
      <c r="J349" s="585">
        <f>SUM(J347:J348)</f>
        <v>-134.63</v>
      </c>
    </row>
    <row r="350" spans="2:10" ht="15.75" x14ac:dyDescent="0.25">
      <c r="B350" s="216"/>
      <c r="C350" s="216"/>
      <c r="D350" s="216"/>
      <c r="E350" s="216"/>
      <c r="F350" s="216"/>
      <c r="G350" s="216"/>
      <c r="H350" s="216"/>
    </row>
    <row r="351" spans="2:10" ht="15.75" x14ac:dyDescent="0.25">
      <c r="B351" s="179"/>
      <c r="C351" s="179"/>
      <c r="D351" s="179"/>
      <c r="E351" s="216"/>
      <c r="F351" s="216"/>
      <c r="G351" s="216"/>
      <c r="H351" s="216"/>
    </row>
    <row r="352" spans="2:10" ht="18.75" x14ac:dyDescent="0.3">
      <c r="B352" s="761" t="s">
        <v>382</v>
      </c>
      <c r="C352" s="761"/>
      <c r="D352" s="761"/>
      <c r="E352" s="761"/>
      <c r="F352" s="761"/>
      <c r="G352" s="761"/>
      <c r="H352" s="761"/>
      <c r="I352" s="761"/>
      <c r="J352" s="761"/>
    </row>
  </sheetData>
  <mergeCells count="30">
    <mergeCell ref="H284:I284"/>
    <mergeCell ref="C300:J300"/>
    <mergeCell ref="H328:I328"/>
    <mergeCell ref="B301:J301"/>
    <mergeCell ref="D256:E256"/>
    <mergeCell ref="B325:J325"/>
    <mergeCell ref="B273:J273"/>
    <mergeCell ref="B279:I279"/>
    <mergeCell ref="H304:I304"/>
    <mergeCell ref="H306:I306"/>
    <mergeCell ref="H299:I299"/>
    <mergeCell ref="B283:J283"/>
    <mergeCell ref="D284:E284"/>
    <mergeCell ref="C282:J282"/>
    <mergeCell ref="B343:J343"/>
    <mergeCell ref="B352:J352"/>
    <mergeCell ref="B3:C3"/>
    <mergeCell ref="H274:I274"/>
    <mergeCell ref="H271:I271"/>
    <mergeCell ref="C254:J254"/>
    <mergeCell ref="C272:J272"/>
    <mergeCell ref="H281:I281"/>
    <mergeCell ref="H253:I253"/>
    <mergeCell ref="H256:I256"/>
    <mergeCell ref="B251:I251"/>
    <mergeCell ref="B255:J255"/>
    <mergeCell ref="H302:I302"/>
    <mergeCell ref="H332:I332"/>
    <mergeCell ref="B303:J303"/>
    <mergeCell ref="B316:J316"/>
  </mergeCells>
  <phoneticPr fontId="30" type="noConversion"/>
  <pageMargins left="0.25" right="0.25" top="0.75" bottom="0.75" header="0.3" footer="0.3"/>
  <pageSetup paperSize="9" scale="6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workbookViewId="0">
      <selection activeCell="D18" sqref="D18"/>
    </sheetView>
  </sheetViews>
  <sheetFormatPr defaultRowHeight="15" x14ac:dyDescent="0.25"/>
  <cols>
    <col min="1" max="1" width="8" customWidth="1"/>
    <col min="2" max="2" width="37.42578125" customWidth="1"/>
    <col min="3" max="3" width="12.28515625" customWidth="1"/>
    <col min="4" max="4" width="11.42578125" customWidth="1"/>
    <col min="5" max="5" width="11.85546875" customWidth="1"/>
    <col min="6" max="6" width="16.42578125" customWidth="1"/>
  </cols>
  <sheetData>
    <row r="3" spans="1:6" ht="21" x14ac:dyDescent="0.35">
      <c r="A3" s="775" t="s">
        <v>320</v>
      </c>
      <c r="B3" s="775"/>
      <c r="C3" s="2"/>
      <c r="D3" s="2"/>
      <c r="E3" s="2"/>
      <c r="F3" s="2"/>
    </row>
    <row r="4" spans="1:6" ht="18.75" thickBot="1" x14ac:dyDescent="0.3">
      <c r="A4" s="3"/>
      <c r="B4" s="248"/>
      <c r="C4" s="3"/>
      <c r="D4" s="3" t="s">
        <v>305</v>
      </c>
      <c r="E4" s="3"/>
      <c r="F4" s="3"/>
    </row>
    <row r="5" spans="1:6" ht="32.25" thickBot="1" x14ac:dyDescent="0.3">
      <c r="A5" s="26" t="s">
        <v>0</v>
      </c>
      <c r="B5" s="27" t="s">
        <v>1</v>
      </c>
      <c r="C5" s="28" t="s">
        <v>5</v>
      </c>
      <c r="D5" s="28" t="s">
        <v>6</v>
      </c>
      <c r="E5" s="29" t="s">
        <v>7</v>
      </c>
      <c r="F5" s="30" t="s">
        <v>8</v>
      </c>
    </row>
    <row r="6" spans="1:6" ht="15.75" x14ac:dyDescent="0.25">
      <c r="A6" s="31"/>
      <c r="B6" s="536">
        <v>42826</v>
      </c>
      <c r="C6" s="441">
        <v>2944.55</v>
      </c>
      <c r="D6" s="33">
        <v>0.2</v>
      </c>
      <c r="E6" s="442">
        <f>D6*C6</f>
        <v>588.91000000000008</v>
      </c>
      <c r="F6" s="443">
        <f>E6+C6</f>
        <v>3533.46</v>
      </c>
    </row>
    <row r="7" spans="1:6" ht="15.75" x14ac:dyDescent="0.25">
      <c r="A7" s="24"/>
      <c r="B7" s="537"/>
      <c r="C7" s="441"/>
      <c r="D7" s="33"/>
      <c r="E7" s="442"/>
      <c r="F7" s="443"/>
    </row>
    <row r="8" spans="1:6" ht="15.75" x14ac:dyDescent="0.25">
      <c r="A8" s="24"/>
      <c r="B8" s="538"/>
      <c r="C8" s="441"/>
      <c r="D8" s="33"/>
      <c r="E8" s="442"/>
      <c r="F8" s="443"/>
    </row>
    <row r="9" spans="1:6" ht="15.75" x14ac:dyDescent="0.25">
      <c r="A9" s="24"/>
      <c r="B9" s="34"/>
      <c r="C9" s="441"/>
      <c r="D9" s="33"/>
      <c r="E9" s="442"/>
      <c r="F9" s="505"/>
    </row>
    <row r="10" spans="1:6" ht="15.75" x14ac:dyDescent="0.25">
      <c r="A10" s="25"/>
      <c r="B10" s="37"/>
      <c r="C10" s="441"/>
      <c r="D10" s="33"/>
      <c r="E10" s="442"/>
      <c r="F10" s="443"/>
    </row>
    <row r="11" spans="1:6" ht="15.75" x14ac:dyDescent="0.25">
      <c r="A11" s="25"/>
      <c r="B11" s="37"/>
      <c r="C11" s="441"/>
      <c r="D11" s="33"/>
      <c r="E11" s="442"/>
      <c r="F11" s="443"/>
    </row>
    <row r="12" spans="1:6" ht="15.75" x14ac:dyDescent="0.25">
      <c r="A12" s="25"/>
      <c r="B12" s="37"/>
      <c r="C12" s="441"/>
      <c r="D12" s="33"/>
      <c r="E12" s="442"/>
      <c r="F12" s="505"/>
    </row>
    <row r="13" spans="1:6" ht="16.5" thickBot="1" x14ac:dyDescent="0.3">
      <c r="A13" s="25"/>
      <c r="B13" s="37"/>
      <c r="C13" s="532"/>
      <c r="D13" s="45"/>
      <c r="E13" s="533"/>
      <c r="F13" s="534"/>
    </row>
    <row r="14" spans="1:6" ht="16.5" thickBot="1" x14ac:dyDescent="0.3">
      <c r="A14" s="30"/>
      <c r="B14" s="30" t="s">
        <v>12</v>
      </c>
      <c r="C14" s="438">
        <f>SUM(C6:C13)</f>
        <v>2944.55</v>
      </c>
      <c r="D14" s="94"/>
      <c r="E14" s="438">
        <f>SUM(E6:E13)</f>
        <v>588.91000000000008</v>
      </c>
      <c r="F14" s="438">
        <f>SUM(F6:F13)</f>
        <v>3533.46</v>
      </c>
    </row>
    <row r="17" spans="2:3" ht="15.75" x14ac:dyDescent="0.25">
      <c r="B17" s="776" t="s">
        <v>254</v>
      </c>
      <c r="C17" s="776"/>
    </row>
  </sheetData>
  <mergeCells count="2">
    <mergeCell ref="A3:B3"/>
    <mergeCell ref="B17:C17"/>
  </mergeCells>
  <pageMargins left="0.25" right="0.25" top="0.75" bottom="0.75" header="0.3" footer="0.3"/>
  <pageSetup paperSize="9" scale="9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3:L44"/>
  <sheetViews>
    <sheetView zoomScale="90" zoomScaleNormal="90" workbookViewId="0">
      <selection activeCell="B15" sqref="B15"/>
    </sheetView>
  </sheetViews>
  <sheetFormatPr defaultRowHeight="15" x14ac:dyDescent="0.25"/>
  <cols>
    <col min="1" max="1" width="22.85546875" customWidth="1"/>
    <col min="2" max="2" width="15" customWidth="1"/>
    <col min="3" max="3" width="12.28515625" customWidth="1"/>
    <col min="4" max="4" width="18.42578125" customWidth="1"/>
    <col min="5" max="5" width="21.28515625" customWidth="1"/>
    <col min="6" max="6" width="15.28515625" customWidth="1"/>
    <col min="7" max="7" width="22" customWidth="1"/>
    <col min="8" max="8" width="20.85546875" customWidth="1"/>
  </cols>
  <sheetData>
    <row r="3" spans="1:12" ht="18.75" x14ac:dyDescent="0.3">
      <c r="A3" s="17" t="s">
        <v>588</v>
      </c>
      <c r="D3" s="17"/>
    </row>
    <row r="4" spans="1:12" ht="15.75" thickBot="1" x14ac:dyDescent="0.3"/>
    <row r="5" spans="1:12" ht="36.75" thickBot="1" x14ac:dyDescent="0.3">
      <c r="A5" s="75" t="s">
        <v>90</v>
      </c>
      <c r="B5" s="224" t="s">
        <v>2</v>
      </c>
      <c r="C5" s="60" t="s">
        <v>3</v>
      </c>
      <c r="D5" s="60" t="s">
        <v>4</v>
      </c>
      <c r="E5" s="73" t="s">
        <v>5</v>
      </c>
      <c r="F5" s="73" t="s">
        <v>6</v>
      </c>
      <c r="G5" s="61" t="s">
        <v>7</v>
      </c>
      <c r="H5" s="62" t="s">
        <v>8</v>
      </c>
      <c r="J5" s="250"/>
    </row>
    <row r="6" spans="1:12" ht="18" x14ac:dyDescent="0.25">
      <c r="A6" s="74" t="s">
        <v>91</v>
      </c>
      <c r="B6" s="356">
        <v>86422</v>
      </c>
      <c r="C6" s="357">
        <v>0.24295</v>
      </c>
      <c r="D6" s="461">
        <v>1.1080239999999999</v>
      </c>
      <c r="E6" s="465">
        <f>ROUND(B6*C6*D6,2)</f>
        <v>23264.32</v>
      </c>
      <c r="F6" s="64">
        <v>0.2</v>
      </c>
      <c r="G6" s="463">
        <f>ROUND(E6*F6,2)</f>
        <v>4652.8599999999997</v>
      </c>
      <c r="H6" s="464">
        <f>E6+G6</f>
        <v>27917.18</v>
      </c>
      <c r="J6" s="250">
        <v>2502</v>
      </c>
    </row>
    <row r="7" spans="1:12" s="116" customFormat="1" ht="18" x14ac:dyDescent="0.25">
      <c r="A7" s="156"/>
      <c r="B7" s="105"/>
      <c r="C7" s="149"/>
      <c r="D7" s="155"/>
      <c r="E7" s="465"/>
      <c r="F7" s="64"/>
      <c r="G7" s="463"/>
      <c r="H7" s="464"/>
      <c r="J7" s="250"/>
    </row>
    <row r="8" spans="1:12" ht="18" x14ac:dyDescent="0.25">
      <c r="A8" s="63" t="s">
        <v>12</v>
      </c>
      <c r="B8" s="149"/>
      <c r="C8" s="149"/>
      <c r="D8" s="202"/>
      <c r="E8" s="465">
        <f>E6-E7</f>
        <v>23264.32</v>
      </c>
      <c r="F8" s="64"/>
      <c r="G8" s="462">
        <f>G6-G7</f>
        <v>4652.8599999999997</v>
      </c>
      <c r="H8" s="462">
        <f>H6-H7</f>
        <v>27917.18</v>
      </c>
      <c r="J8" s="250"/>
    </row>
    <row r="9" spans="1:12" x14ac:dyDescent="0.25">
      <c r="B9" s="113"/>
      <c r="C9" s="113"/>
      <c r="D9" s="113"/>
      <c r="J9" s="250"/>
    </row>
    <row r="10" spans="1:12" x14ac:dyDescent="0.25">
      <c r="B10" s="113"/>
      <c r="C10" s="113"/>
      <c r="D10" s="113"/>
      <c r="J10" s="250"/>
      <c r="L10">
        <v>106663</v>
      </c>
    </row>
    <row r="11" spans="1:12" ht="18.75" x14ac:dyDescent="0.3">
      <c r="A11" s="17" t="s">
        <v>589</v>
      </c>
      <c r="B11" s="113"/>
      <c r="C11" s="113"/>
      <c r="D11" s="257"/>
      <c r="J11" s="250"/>
    </row>
    <row r="12" spans="1:12" ht="15.75" thickBot="1" x14ac:dyDescent="0.3">
      <c r="B12" s="113"/>
      <c r="C12" s="113"/>
      <c r="D12" s="113"/>
      <c r="J12" s="250"/>
    </row>
    <row r="13" spans="1:12" ht="36.75" thickBot="1" x14ac:dyDescent="0.3">
      <c r="A13" s="75" t="s">
        <v>90</v>
      </c>
      <c r="B13" s="224" t="s">
        <v>2</v>
      </c>
      <c r="C13" s="258" t="s">
        <v>3</v>
      </c>
      <c r="D13" s="258" t="s">
        <v>4</v>
      </c>
      <c r="E13" s="73" t="s">
        <v>5</v>
      </c>
      <c r="F13" s="73" t="s">
        <v>6</v>
      </c>
      <c r="G13" s="61" t="s">
        <v>7</v>
      </c>
      <c r="H13" s="62" t="s">
        <v>8</v>
      </c>
      <c r="J13" s="250"/>
    </row>
    <row r="14" spans="1:12" ht="18" x14ac:dyDescent="0.25">
      <c r="A14" s="74" t="s">
        <v>91</v>
      </c>
      <c r="B14" s="356">
        <v>8054</v>
      </c>
      <c r="C14" s="357">
        <v>0.24295</v>
      </c>
      <c r="D14" s="359">
        <f>D6</f>
        <v>1.1080239999999999</v>
      </c>
      <c r="E14" s="462">
        <f>ROUND(B14*C14*D14,2)</f>
        <v>2168.09</v>
      </c>
      <c r="F14" s="64">
        <v>0.2</v>
      </c>
      <c r="G14" s="463">
        <f>ROUND(E14*F14,2)</f>
        <v>433.62</v>
      </c>
      <c r="H14" s="588">
        <f>E14+G14</f>
        <v>2601.71</v>
      </c>
      <c r="J14" s="250">
        <v>2502</v>
      </c>
    </row>
    <row r="15" spans="1:12" s="116" customFormat="1" ht="18" x14ac:dyDescent="0.25">
      <c r="A15" s="156"/>
      <c r="B15" s="105"/>
      <c r="C15" s="149"/>
      <c r="D15" s="155"/>
      <c r="E15" s="462"/>
      <c r="F15" s="64"/>
      <c r="G15" s="463"/>
      <c r="H15" s="464"/>
      <c r="J15" s="250"/>
    </row>
    <row r="16" spans="1:12" ht="18" x14ac:dyDescent="0.25">
      <c r="A16" s="63" t="s">
        <v>12</v>
      </c>
      <c r="B16" s="149"/>
      <c r="C16" s="149"/>
      <c r="D16" s="202"/>
      <c r="E16" s="462">
        <f>E14-E15</f>
        <v>2168.09</v>
      </c>
      <c r="F16" s="64"/>
      <c r="G16" s="462">
        <f>G14-G15</f>
        <v>433.62</v>
      </c>
      <c r="H16" s="462">
        <f>H14-H15</f>
        <v>2601.71</v>
      </c>
      <c r="J16" s="250"/>
    </row>
    <row r="17" spans="1:10" x14ac:dyDescent="0.25">
      <c r="B17" s="113"/>
      <c r="C17" s="113"/>
      <c r="D17" s="113"/>
      <c r="J17" s="250"/>
    </row>
    <row r="18" spans="1:10" x14ac:dyDescent="0.25">
      <c r="B18" s="113"/>
      <c r="C18" s="113"/>
      <c r="D18" s="113"/>
      <c r="J18" s="250"/>
    </row>
    <row r="19" spans="1:10" ht="18.75" x14ac:dyDescent="0.3">
      <c r="A19" s="17" t="s">
        <v>522</v>
      </c>
      <c r="B19" s="113"/>
      <c r="C19" s="113"/>
      <c r="D19" s="257"/>
      <c r="J19" s="250"/>
    </row>
    <row r="20" spans="1:10" ht="15.75" thickBot="1" x14ac:dyDescent="0.3">
      <c r="B20" s="113"/>
      <c r="C20" s="113"/>
      <c r="D20" s="113"/>
      <c r="J20" s="250"/>
    </row>
    <row r="21" spans="1:10" ht="36.75" thickBot="1" x14ac:dyDescent="0.3">
      <c r="A21" s="75" t="s">
        <v>90</v>
      </c>
      <c r="B21" s="224" t="s">
        <v>2</v>
      </c>
      <c r="C21" s="258" t="s">
        <v>3</v>
      </c>
      <c r="D21" s="258" t="s">
        <v>4</v>
      </c>
      <c r="E21" s="73" t="s">
        <v>5</v>
      </c>
      <c r="F21" s="73" t="s">
        <v>6</v>
      </c>
      <c r="G21" s="61" t="s">
        <v>7</v>
      </c>
      <c r="H21" s="62" t="s">
        <v>8</v>
      </c>
      <c r="J21" s="250"/>
    </row>
    <row r="22" spans="1:10" ht="18" x14ac:dyDescent="0.25">
      <c r="A22" s="74" t="s">
        <v>91</v>
      </c>
      <c r="B22" s="356">
        <v>0</v>
      </c>
      <c r="C22" s="357">
        <v>0.33048</v>
      </c>
      <c r="D22" s="359">
        <f>D14</f>
        <v>1.1080239999999999</v>
      </c>
      <c r="E22" s="462">
        <f>ROUND(B22*C22*D22,2)</f>
        <v>0</v>
      </c>
      <c r="F22" s="64">
        <v>0.2</v>
      </c>
      <c r="G22" s="463">
        <f>ROUND(E22*F22,2)</f>
        <v>0</v>
      </c>
      <c r="H22" s="464">
        <f>E22+G22</f>
        <v>0</v>
      </c>
      <c r="J22" s="250" t="s">
        <v>221</v>
      </c>
    </row>
    <row r="23" spans="1:10" s="116" customFormat="1" ht="18" x14ac:dyDescent="0.25">
      <c r="A23" s="156"/>
      <c r="B23" s="105"/>
      <c r="C23" s="149"/>
      <c r="D23" s="155"/>
      <c r="E23" s="462"/>
      <c r="F23" s="64"/>
      <c r="G23" s="463"/>
      <c r="H23" s="464"/>
      <c r="J23" s="250"/>
    </row>
    <row r="24" spans="1:10" ht="18" x14ac:dyDescent="0.25">
      <c r="A24" s="63" t="s">
        <v>12</v>
      </c>
      <c r="B24" s="149"/>
      <c r="C24" s="149"/>
      <c r="D24" s="202"/>
      <c r="E24" s="462">
        <f>E22-E23</f>
        <v>0</v>
      </c>
      <c r="F24" s="64"/>
      <c r="G24" s="462">
        <f>G22-G23</f>
        <v>0</v>
      </c>
      <c r="H24" s="462">
        <f>H22-H23</f>
        <v>0</v>
      </c>
      <c r="J24" s="250"/>
    </row>
    <row r="25" spans="1:10" x14ac:dyDescent="0.25">
      <c r="B25" s="113"/>
      <c r="C25" s="113"/>
      <c r="D25" s="113"/>
      <c r="J25" s="250"/>
    </row>
    <row r="26" spans="1:10" x14ac:dyDescent="0.25">
      <c r="B26" s="113"/>
      <c r="C26" s="113"/>
      <c r="D26" s="113"/>
      <c r="J26" s="250"/>
    </row>
    <row r="27" spans="1:10" ht="18.75" x14ac:dyDescent="0.3">
      <c r="A27" s="17" t="s">
        <v>522</v>
      </c>
      <c r="B27" s="113"/>
      <c r="C27" s="113"/>
      <c r="D27" s="257"/>
      <c r="J27" s="250"/>
    </row>
    <row r="28" spans="1:10" ht="15.75" thickBot="1" x14ac:dyDescent="0.3">
      <c r="B28" s="113"/>
      <c r="C28" s="113"/>
      <c r="D28" s="113"/>
      <c r="J28" s="250"/>
    </row>
    <row r="29" spans="1:10" ht="36.75" thickBot="1" x14ac:dyDescent="0.3">
      <c r="A29" s="75" t="s">
        <v>90</v>
      </c>
      <c r="B29" s="224" t="s">
        <v>2</v>
      </c>
      <c r="C29" s="258" t="s">
        <v>3</v>
      </c>
      <c r="D29" s="258" t="s">
        <v>4</v>
      </c>
      <c r="E29" s="73" t="s">
        <v>5</v>
      </c>
      <c r="F29" s="73" t="s">
        <v>6</v>
      </c>
      <c r="G29" s="61" t="s">
        <v>7</v>
      </c>
      <c r="H29" s="62" t="s">
        <v>8</v>
      </c>
      <c r="J29" s="250"/>
    </row>
    <row r="30" spans="1:10" ht="18" x14ac:dyDescent="0.25">
      <c r="A30" s="74" t="s">
        <v>91</v>
      </c>
      <c r="B30" s="356">
        <v>0</v>
      </c>
      <c r="C30" s="357">
        <v>0.14291999999999999</v>
      </c>
      <c r="D30" s="359">
        <f>D22</f>
        <v>1.1080239999999999</v>
      </c>
      <c r="E30" s="466">
        <f>ROUND(B30*C30*D30,)</f>
        <v>0</v>
      </c>
      <c r="F30" s="64">
        <v>0.2</v>
      </c>
      <c r="G30" s="463">
        <f>ROUND(E30*F30,2)</f>
        <v>0</v>
      </c>
      <c r="H30" s="464">
        <f>E30+G30</f>
        <v>0</v>
      </c>
      <c r="J30" s="250" t="s">
        <v>222</v>
      </c>
    </row>
    <row r="31" spans="1:10" ht="18" x14ac:dyDescent="0.25">
      <c r="A31" s="63" t="s">
        <v>12</v>
      </c>
      <c r="B31" s="149"/>
      <c r="C31" s="149"/>
      <c r="D31" s="202"/>
      <c r="E31" s="466">
        <f>E30</f>
        <v>0</v>
      </c>
      <c r="F31" s="64"/>
      <c r="G31" s="463">
        <f>G30</f>
        <v>0</v>
      </c>
      <c r="H31" s="464">
        <f>H30</f>
        <v>0</v>
      </c>
      <c r="J31" s="250"/>
    </row>
    <row r="33" spans="1:8" ht="18.75" x14ac:dyDescent="0.3">
      <c r="A33" s="17" t="s">
        <v>89</v>
      </c>
      <c r="C33" s="17" t="s">
        <v>253</v>
      </c>
    </row>
    <row r="36" spans="1:8" x14ac:dyDescent="0.25">
      <c r="H36" s="157">
        <f>H8+H16+H24+H30</f>
        <v>30518.89</v>
      </c>
    </row>
    <row r="37" spans="1:8" x14ac:dyDescent="0.25">
      <c r="E37" s="157"/>
      <c r="G37" s="157"/>
      <c r="H37" s="157"/>
    </row>
    <row r="38" spans="1:8" ht="18.75" x14ac:dyDescent="0.3">
      <c r="A38" s="358">
        <f>B6+B14+B22+B30</f>
        <v>94476</v>
      </c>
    </row>
    <row r="44" spans="1:8" ht="18.75" x14ac:dyDescent="0.3">
      <c r="A44" s="17"/>
      <c r="C44" s="17"/>
    </row>
  </sheetData>
  <phoneticPr fontId="30" type="noConversion"/>
  <pageMargins left="0.25" right="0.25" top="0.75" bottom="0.75" header="0.3" footer="0.3"/>
  <pageSetup paperSize="9" scale="8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2"/>
  <sheetViews>
    <sheetView topLeftCell="A52" zoomScale="75" zoomScaleNormal="75" workbookViewId="0">
      <selection activeCell="G5" sqref="G5"/>
    </sheetView>
  </sheetViews>
  <sheetFormatPr defaultColWidth="15.85546875" defaultRowHeight="17.25" x14ac:dyDescent="0.3"/>
  <cols>
    <col min="1" max="1" width="22.140625" style="9" customWidth="1"/>
    <col min="2" max="2" width="15.7109375" style="9" customWidth="1"/>
    <col min="3" max="3" width="16.85546875" style="9" customWidth="1"/>
    <col min="4" max="5" width="16.5703125" style="9" customWidth="1"/>
    <col min="6" max="6" width="17.140625" style="9" customWidth="1"/>
    <col min="7" max="7" width="16.5703125" style="9" customWidth="1"/>
    <col min="8" max="9" width="15.85546875" style="9" customWidth="1"/>
    <col min="10" max="10" width="16.5703125" style="9" customWidth="1"/>
    <col min="11" max="13" width="15.85546875" style="9" customWidth="1"/>
    <col min="14" max="14" width="17" style="9" customWidth="1"/>
    <col min="15" max="15" width="14.7109375" style="9" customWidth="1"/>
    <col min="16" max="16" width="19.5703125" style="9" customWidth="1"/>
    <col min="17" max="17" width="20.140625" style="9" customWidth="1"/>
    <col min="18" max="19" width="20" style="9" customWidth="1"/>
    <col min="20" max="20" width="16.140625" style="9" bestFit="1" customWidth="1"/>
    <col min="21" max="22" width="15.85546875" style="9"/>
    <col min="23" max="23" width="23" style="9" bestFit="1" customWidth="1"/>
    <col min="24" max="16384" width="15.85546875" style="9"/>
  </cols>
  <sheetData>
    <row r="1" spans="1:243" ht="26.25" x14ac:dyDescent="0.4">
      <c r="A1" s="259" t="s">
        <v>270</v>
      </c>
      <c r="B1" s="259"/>
      <c r="C1" s="259"/>
      <c r="D1" s="259"/>
      <c r="E1" s="259"/>
      <c r="F1" s="259"/>
      <c r="G1" s="259"/>
      <c r="H1" s="15"/>
      <c r="I1" s="6"/>
      <c r="J1" s="6"/>
      <c r="K1" s="206"/>
      <c r="L1" s="6"/>
      <c r="M1" s="6"/>
      <c r="N1" s="6"/>
      <c r="O1" s="6"/>
      <c r="P1" s="6"/>
      <c r="Q1" s="6"/>
      <c r="R1" s="6"/>
      <c r="T1" s="10"/>
      <c r="U1" s="10"/>
    </row>
    <row r="2" spans="1:243" ht="26.25" x14ac:dyDescent="0.4">
      <c r="A2" s="305" t="s">
        <v>231</v>
      </c>
      <c r="B2" s="30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 t="s">
        <v>79</v>
      </c>
      <c r="R2" s="6"/>
      <c r="T2" s="10"/>
      <c r="U2" s="10"/>
    </row>
    <row r="3" spans="1:243" ht="23.25" x14ac:dyDescent="0.35">
      <c r="A3" s="17" t="s">
        <v>80</v>
      </c>
      <c r="B3" s="6"/>
      <c r="C3" s="6"/>
      <c r="D3" s="206"/>
      <c r="E3" s="271"/>
      <c r="F3" s="6"/>
      <c r="G3" s="6"/>
      <c r="H3" s="6"/>
      <c r="I3" s="6"/>
      <c r="J3" s="206"/>
      <c r="K3" s="206"/>
      <c r="L3" s="6"/>
      <c r="M3" s="271"/>
      <c r="N3" s="18" t="s">
        <v>261</v>
      </c>
      <c r="O3" s="6"/>
      <c r="P3" s="6"/>
      <c r="Q3" s="6">
        <v>26.1</v>
      </c>
      <c r="R3" s="6"/>
      <c r="T3" s="10"/>
      <c r="U3" s="10"/>
    </row>
    <row r="4" spans="1:243" ht="30.75" customHeight="1" x14ac:dyDescent="0.3">
      <c r="A4" s="18"/>
      <c r="B4" s="18"/>
      <c r="C4" s="18">
        <v>4</v>
      </c>
      <c r="D4" s="18">
        <v>6</v>
      </c>
      <c r="E4" s="18">
        <v>7</v>
      </c>
      <c r="F4" s="18">
        <v>12</v>
      </c>
      <c r="G4" s="18">
        <v>14</v>
      </c>
      <c r="H4" s="18">
        <v>15</v>
      </c>
      <c r="I4" s="18">
        <v>17</v>
      </c>
      <c r="J4" s="18">
        <v>20</v>
      </c>
      <c r="K4" s="18">
        <v>21</v>
      </c>
      <c r="L4" s="18">
        <v>22</v>
      </c>
      <c r="M4" s="18">
        <v>23</v>
      </c>
      <c r="N4" s="18" t="s">
        <v>260</v>
      </c>
      <c r="O4" s="18" t="s">
        <v>114</v>
      </c>
      <c r="P4" s="18" t="s">
        <v>114</v>
      </c>
      <c r="Q4" s="18" t="s">
        <v>57</v>
      </c>
      <c r="R4" s="18" t="s">
        <v>56</v>
      </c>
      <c r="T4" s="10"/>
      <c r="U4" s="10"/>
    </row>
    <row r="5" spans="1:243" ht="18.75" x14ac:dyDescent="0.3">
      <c r="A5" s="70" t="s">
        <v>58</v>
      </c>
      <c r="B5" s="67" t="s">
        <v>59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109">
        <f>SUM(C5:Q5)</f>
        <v>0</v>
      </c>
      <c r="T5" s="10"/>
      <c r="U5" s="10"/>
    </row>
    <row r="6" spans="1:243" ht="18.75" x14ac:dyDescent="0.3">
      <c r="A6" s="18"/>
      <c r="B6" s="20"/>
      <c r="C6" s="72">
        <v>841.5</v>
      </c>
      <c r="D6" s="72">
        <v>841.5</v>
      </c>
      <c r="E6" s="72">
        <v>841.5</v>
      </c>
      <c r="F6" s="72">
        <v>841.5</v>
      </c>
      <c r="G6" s="72">
        <v>841.5</v>
      </c>
      <c r="H6" s="72">
        <v>841.5</v>
      </c>
      <c r="I6" s="72">
        <v>841.5</v>
      </c>
      <c r="J6" s="72">
        <v>841.5</v>
      </c>
      <c r="K6" s="72">
        <v>841.5</v>
      </c>
      <c r="L6" s="72">
        <v>841.5</v>
      </c>
      <c r="M6" s="72">
        <v>841.5</v>
      </c>
      <c r="N6" s="72">
        <v>841.5</v>
      </c>
      <c r="O6" s="72">
        <v>841.5</v>
      </c>
      <c r="P6" s="72">
        <v>841.5</v>
      </c>
      <c r="Q6" s="72">
        <v>841.5</v>
      </c>
      <c r="R6" s="72"/>
      <c r="T6" s="10"/>
      <c r="U6" s="10"/>
    </row>
    <row r="7" spans="1:243" ht="18.75" x14ac:dyDescent="0.3">
      <c r="A7" s="18"/>
      <c r="B7" s="21" t="s">
        <v>60</v>
      </c>
      <c r="C7" s="54">
        <f>C5*C6</f>
        <v>0</v>
      </c>
      <c r="D7" s="54">
        <f t="shared" ref="D7:Q7" si="0">D5*D6</f>
        <v>0</v>
      </c>
      <c r="E7" s="54">
        <f t="shared" si="0"/>
        <v>0</v>
      </c>
      <c r="F7" s="54">
        <f t="shared" si="0"/>
        <v>0</v>
      </c>
      <c r="G7" s="54">
        <f t="shared" si="0"/>
        <v>0</v>
      </c>
      <c r="H7" s="54">
        <f t="shared" si="0"/>
        <v>0</v>
      </c>
      <c r="I7" s="54">
        <f t="shared" si="0"/>
        <v>0</v>
      </c>
      <c r="J7" s="54">
        <f t="shared" si="0"/>
        <v>0</v>
      </c>
      <c r="K7" s="54">
        <f t="shared" si="0"/>
        <v>0</v>
      </c>
      <c r="L7" s="54">
        <f t="shared" si="0"/>
        <v>0</v>
      </c>
      <c r="M7" s="54">
        <f t="shared" si="0"/>
        <v>0</v>
      </c>
      <c r="N7" s="54">
        <f t="shared" si="0"/>
        <v>0</v>
      </c>
      <c r="O7" s="54">
        <f t="shared" si="0"/>
        <v>0</v>
      </c>
      <c r="P7" s="54">
        <f t="shared" si="0"/>
        <v>0</v>
      </c>
      <c r="Q7" s="54">
        <f t="shared" si="0"/>
        <v>0</v>
      </c>
      <c r="R7" s="54">
        <f>ROUND(SUM(C7:Q7),0)</f>
        <v>0</v>
      </c>
      <c r="T7" s="10"/>
      <c r="U7" s="10"/>
    </row>
    <row r="8" spans="1:243" s="71" customFormat="1" ht="18.75" x14ac:dyDescent="0.3">
      <c r="A8" s="70" t="s">
        <v>58</v>
      </c>
      <c r="B8" s="67" t="s">
        <v>59</v>
      </c>
      <c r="C8" s="109"/>
      <c r="D8" s="109"/>
      <c r="E8" s="109"/>
      <c r="F8" s="109"/>
      <c r="G8" s="109"/>
      <c r="H8" s="67"/>
      <c r="I8" s="109"/>
      <c r="J8" s="109"/>
      <c r="K8" s="109"/>
      <c r="L8" s="109"/>
      <c r="M8" s="109"/>
      <c r="N8" s="67"/>
      <c r="O8" s="67"/>
      <c r="P8" s="67"/>
      <c r="Q8" s="67"/>
      <c r="R8" s="109">
        <f>SUM(C8:Q8)</f>
        <v>0</v>
      </c>
      <c r="S8" s="154"/>
      <c r="T8" s="115"/>
      <c r="U8" s="115"/>
      <c r="V8" s="154"/>
      <c r="W8" s="154"/>
      <c r="X8" s="158"/>
      <c r="Y8" s="158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154"/>
      <c r="CB8" s="154"/>
      <c r="CC8" s="154"/>
      <c r="CD8" s="154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4"/>
      <c r="CR8" s="154"/>
      <c r="CS8" s="154"/>
      <c r="CT8" s="154"/>
      <c r="CU8" s="154"/>
      <c r="CV8" s="154"/>
      <c r="CW8" s="154"/>
      <c r="CX8" s="154"/>
      <c r="CY8" s="154"/>
      <c r="CZ8" s="154"/>
      <c r="DA8" s="154"/>
      <c r="DB8" s="154"/>
      <c r="DC8" s="154"/>
      <c r="DD8" s="154"/>
      <c r="DE8" s="154"/>
      <c r="DF8" s="154"/>
      <c r="DG8" s="154"/>
      <c r="DH8" s="154"/>
      <c r="DI8" s="154"/>
      <c r="DJ8" s="154"/>
      <c r="DK8" s="154"/>
      <c r="DL8" s="154"/>
      <c r="DM8" s="154"/>
      <c r="DN8" s="154"/>
      <c r="DO8" s="154"/>
      <c r="DP8" s="154"/>
      <c r="DQ8" s="154"/>
      <c r="DR8" s="154"/>
      <c r="DS8" s="154"/>
      <c r="DT8" s="154"/>
      <c r="DU8" s="154"/>
      <c r="DV8" s="154"/>
      <c r="DW8" s="154"/>
      <c r="DX8" s="154"/>
      <c r="DY8" s="154"/>
      <c r="DZ8" s="154"/>
      <c r="EA8" s="154"/>
      <c r="EB8" s="154"/>
      <c r="EC8" s="154"/>
      <c r="ED8" s="154"/>
      <c r="EE8" s="154"/>
      <c r="EF8" s="154"/>
      <c r="EG8" s="154"/>
      <c r="EH8" s="154"/>
      <c r="EI8" s="154"/>
      <c r="EJ8" s="154"/>
      <c r="EK8" s="154"/>
      <c r="EL8" s="154"/>
      <c r="EM8" s="154"/>
      <c r="EN8" s="154"/>
      <c r="EO8" s="154"/>
      <c r="EP8" s="154"/>
      <c r="EQ8" s="154"/>
      <c r="ER8" s="154"/>
      <c r="ES8" s="154"/>
      <c r="ET8" s="154"/>
      <c r="EU8" s="154"/>
      <c r="EV8" s="154"/>
      <c r="EW8" s="154"/>
      <c r="EX8" s="154"/>
      <c r="EY8" s="154"/>
      <c r="EZ8" s="154"/>
      <c r="FA8" s="154"/>
      <c r="FB8" s="154"/>
      <c r="FC8" s="154"/>
      <c r="FD8" s="154"/>
      <c r="FE8" s="154"/>
      <c r="FF8" s="154"/>
      <c r="FG8" s="154"/>
      <c r="FH8" s="154"/>
      <c r="FI8" s="154"/>
      <c r="FJ8" s="154"/>
      <c r="FK8" s="154"/>
      <c r="FL8" s="154"/>
      <c r="FM8" s="154"/>
      <c r="FN8" s="154"/>
      <c r="FO8" s="154"/>
      <c r="FP8" s="154"/>
      <c r="FQ8" s="154"/>
      <c r="FR8" s="154"/>
      <c r="FS8" s="154"/>
      <c r="FT8" s="154"/>
      <c r="FU8" s="154"/>
      <c r="FV8" s="154"/>
      <c r="FW8" s="154"/>
      <c r="FX8" s="154"/>
      <c r="FY8" s="154"/>
      <c r="FZ8" s="154"/>
      <c r="GA8" s="154"/>
      <c r="GB8" s="154"/>
      <c r="GC8" s="154"/>
      <c r="GD8" s="154"/>
      <c r="GE8" s="154"/>
      <c r="GF8" s="154"/>
      <c r="GG8" s="154"/>
      <c r="GH8" s="154"/>
      <c r="GI8" s="154"/>
      <c r="GJ8" s="154"/>
      <c r="GK8" s="154"/>
      <c r="GL8" s="154"/>
      <c r="GM8" s="154"/>
      <c r="GN8" s="154"/>
      <c r="GO8" s="154"/>
      <c r="GP8" s="154"/>
      <c r="GQ8" s="154"/>
      <c r="GR8" s="154"/>
      <c r="GS8" s="154"/>
      <c r="GT8" s="154"/>
      <c r="GU8" s="154"/>
      <c r="GV8" s="154"/>
      <c r="GW8" s="154"/>
      <c r="GX8" s="154"/>
      <c r="GY8" s="154"/>
      <c r="GZ8" s="154"/>
      <c r="HA8" s="154"/>
      <c r="HB8" s="154"/>
      <c r="HC8" s="154"/>
      <c r="HD8" s="154"/>
      <c r="HE8" s="154"/>
      <c r="HF8" s="154"/>
      <c r="HG8" s="154"/>
      <c r="HH8" s="154"/>
      <c r="HI8" s="154"/>
      <c r="HJ8" s="154"/>
      <c r="HK8" s="154"/>
      <c r="HL8" s="154"/>
      <c r="HM8" s="154"/>
      <c r="HN8" s="154"/>
      <c r="HO8" s="154"/>
      <c r="HP8" s="154"/>
      <c r="HQ8" s="154"/>
      <c r="HR8" s="154"/>
      <c r="HS8" s="154"/>
      <c r="HT8" s="154"/>
      <c r="HU8" s="154"/>
      <c r="HV8" s="154"/>
      <c r="HW8" s="154"/>
      <c r="HX8" s="154"/>
      <c r="HY8" s="154"/>
      <c r="HZ8" s="154"/>
      <c r="IA8" s="154"/>
      <c r="IB8" s="154"/>
      <c r="IC8" s="154"/>
      <c r="ID8" s="154"/>
      <c r="IE8" s="154"/>
      <c r="IF8" s="154"/>
      <c r="IG8" s="154"/>
      <c r="IH8" s="154"/>
      <c r="II8" s="154"/>
    </row>
    <row r="9" spans="1:243" ht="18.75" x14ac:dyDescent="0.3">
      <c r="A9" s="18"/>
      <c r="B9" s="20"/>
      <c r="C9" s="72">
        <v>990</v>
      </c>
      <c r="D9" s="72">
        <v>990</v>
      </c>
      <c r="E9" s="72">
        <v>990</v>
      </c>
      <c r="F9" s="72">
        <v>990</v>
      </c>
      <c r="G9" s="72">
        <v>990</v>
      </c>
      <c r="H9" s="72">
        <v>990</v>
      </c>
      <c r="I9" s="72">
        <v>990</v>
      </c>
      <c r="J9" s="72">
        <v>990</v>
      </c>
      <c r="K9" s="72">
        <v>990</v>
      </c>
      <c r="L9" s="72">
        <v>990</v>
      </c>
      <c r="M9" s="72">
        <v>990</v>
      </c>
      <c r="N9" s="72">
        <v>990</v>
      </c>
      <c r="O9" s="72">
        <v>990</v>
      </c>
      <c r="P9" s="72">
        <v>990</v>
      </c>
      <c r="Q9" s="72">
        <v>990</v>
      </c>
      <c r="R9" s="72"/>
      <c r="S9" s="154"/>
      <c r="T9" s="115"/>
      <c r="U9" s="115"/>
      <c r="V9" s="154"/>
      <c r="W9" s="154"/>
      <c r="X9" s="158"/>
      <c r="Y9" s="158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  <c r="CI9" s="154"/>
      <c r="CJ9" s="154"/>
      <c r="CK9" s="154"/>
      <c r="CL9" s="154"/>
      <c r="CM9" s="154"/>
      <c r="CN9" s="154"/>
      <c r="CO9" s="154"/>
      <c r="CP9" s="154"/>
      <c r="CQ9" s="154"/>
      <c r="CR9" s="154"/>
      <c r="CS9" s="154"/>
      <c r="CT9" s="154"/>
      <c r="CU9" s="154"/>
      <c r="CV9" s="154"/>
      <c r="CW9" s="154"/>
      <c r="CX9" s="154"/>
      <c r="CY9" s="154"/>
      <c r="CZ9" s="154"/>
      <c r="DA9" s="154"/>
      <c r="DB9" s="154"/>
      <c r="DC9" s="154"/>
      <c r="DD9" s="154"/>
      <c r="DE9" s="154"/>
      <c r="DF9" s="154"/>
      <c r="DG9" s="154"/>
      <c r="DH9" s="154"/>
      <c r="DI9" s="154"/>
      <c r="DJ9" s="154"/>
      <c r="DK9" s="154"/>
      <c r="DL9" s="154"/>
      <c r="DM9" s="154"/>
      <c r="DN9" s="154"/>
      <c r="DO9" s="154"/>
      <c r="DP9" s="154"/>
      <c r="DQ9" s="154"/>
      <c r="DR9" s="154"/>
      <c r="DS9" s="154"/>
      <c r="DT9" s="154"/>
      <c r="DU9" s="154"/>
      <c r="DV9" s="154"/>
      <c r="DW9" s="154"/>
      <c r="DX9" s="154"/>
      <c r="DY9" s="154"/>
      <c r="DZ9" s="154"/>
      <c r="EA9" s="154"/>
      <c r="EB9" s="154"/>
      <c r="EC9" s="154"/>
      <c r="ED9" s="154"/>
      <c r="EE9" s="154"/>
      <c r="EF9" s="154"/>
      <c r="EG9" s="154"/>
      <c r="EH9" s="154"/>
      <c r="EI9" s="154"/>
      <c r="EJ9" s="154"/>
      <c r="EK9" s="154"/>
      <c r="EL9" s="154"/>
      <c r="EM9" s="154"/>
      <c r="EN9" s="154"/>
      <c r="EO9" s="154"/>
      <c r="EP9" s="154"/>
      <c r="EQ9" s="154"/>
      <c r="ER9" s="154"/>
      <c r="ES9" s="154"/>
      <c r="ET9" s="154"/>
      <c r="EU9" s="154"/>
      <c r="EV9" s="154"/>
      <c r="EW9" s="154"/>
      <c r="EX9" s="154"/>
      <c r="EY9" s="154"/>
      <c r="EZ9" s="154"/>
      <c r="FA9" s="154"/>
      <c r="FB9" s="154"/>
      <c r="FC9" s="154"/>
      <c r="FD9" s="154"/>
      <c r="FE9" s="154"/>
      <c r="FF9" s="154"/>
      <c r="FG9" s="154"/>
      <c r="FH9" s="154"/>
      <c r="FI9" s="154"/>
      <c r="FJ9" s="154"/>
      <c r="FK9" s="154"/>
      <c r="FL9" s="154"/>
      <c r="FM9" s="154"/>
      <c r="FN9" s="154"/>
      <c r="FO9" s="154"/>
      <c r="FP9" s="154"/>
      <c r="FQ9" s="154"/>
      <c r="FR9" s="154"/>
      <c r="FS9" s="154"/>
      <c r="FT9" s="154"/>
      <c r="FU9" s="154"/>
      <c r="FV9" s="154"/>
      <c r="FW9" s="154"/>
      <c r="FX9" s="154"/>
      <c r="FY9" s="154"/>
      <c r="FZ9" s="154"/>
      <c r="GA9" s="154"/>
      <c r="GB9" s="154"/>
      <c r="GC9" s="154"/>
      <c r="GD9" s="154"/>
      <c r="GE9" s="154"/>
      <c r="GF9" s="154"/>
      <c r="GG9" s="154"/>
      <c r="GH9" s="154"/>
      <c r="GI9" s="154"/>
      <c r="GJ9" s="154"/>
      <c r="GK9" s="154"/>
      <c r="GL9" s="154"/>
      <c r="GM9" s="154"/>
      <c r="GN9" s="154"/>
      <c r="GO9" s="154"/>
      <c r="GP9" s="154"/>
      <c r="GQ9" s="154"/>
      <c r="GR9" s="154"/>
      <c r="GS9" s="154"/>
      <c r="GT9" s="154"/>
      <c r="GU9" s="154"/>
      <c r="GV9" s="154"/>
      <c r="GW9" s="154"/>
      <c r="GX9" s="154"/>
      <c r="GY9" s="154"/>
      <c r="GZ9" s="154"/>
      <c r="HA9" s="154"/>
      <c r="HB9" s="154"/>
      <c r="HC9" s="154"/>
      <c r="HD9" s="154"/>
      <c r="HE9" s="154"/>
      <c r="HF9" s="154"/>
      <c r="HG9" s="154"/>
      <c r="HH9" s="154"/>
      <c r="HI9" s="154"/>
      <c r="HJ9" s="154"/>
      <c r="HK9" s="154"/>
      <c r="HL9" s="154"/>
      <c r="HM9" s="154"/>
      <c r="HN9" s="154"/>
      <c r="HO9" s="154"/>
      <c r="HP9" s="154"/>
      <c r="HQ9" s="154"/>
      <c r="HR9" s="154"/>
      <c r="HS9" s="154"/>
      <c r="HT9" s="154"/>
      <c r="HU9" s="154"/>
      <c r="HV9" s="154"/>
      <c r="HW9" s="154"/>
      <c r="HX9" s="154"/>
      <c r="HY9" s="154"/>
      <c r="HZ9" s="154"/>
      <c r="IA9" s="154"/>
      <c r="IB9" s="154"/>
      <c r="IC9" s="154"/>
      <c r="ID9" s="154"/>
      <c r="IE9" s="154"/>
      <c r="IF9" s="154"/>
      <c r="IG9" s="154"/>
      <c r="IH9" s="154"/>
      <c r="II9" s="154"/>
    </row>
    <row r="10" spans="1:243" ht="18.75" x14ac:dyDescent="0.3">
      <c r="A10" s="99"/>
      <c r="B10" s="54" t="s">
        <v>60</v>
      </c>
      <c r="C10" s="54">
        <f>ROUND(C8*C9,0)+25000000</f>
        <v>25000000</v>
      </c>
      <c r="D10" s="54">
        <f>ROUND(D8*D9,0)+15000000</f>
        <v>15000000</v>
      </c>
      <c r="E10" s="54">
        <f>ROUND(E8*E9,0)+5000000</f>
        <v>5000000</v>
      </c>
      <c r="F10" s="54">
        <f>ROUND(F8*F9,0)+5000000</f>
        <v>5000000</v>
      </c>
      <c r="G10" s="54">
        <f>ROUND(G8*G9,0)+5000000</f>
        <v>5000000</v>
      </c>
      <c r="H10" s="54">
        <f>ROUND(H8*H9,0)+10000000</f>
        <v>10000000</v>
      </c>
      <c r="I10" s="54">
        <f t="shared" ref="I10:Q10" si="1">ROUND(I8*I9,0)</f>
        <v>0</v>
      </c>
      <c r="J10" s="54">
        <f>ROUND(J8*J9,0)+10000000</f>
        <v>10000000</v>
      </c>
      <c r="K10" s="54">
        <f>ROUND(K8*K9,0)+5000000</f>
        <v>5000000</v>
      </c>
      <c r="L10" s="54">
        <f>ROUND(L8*L9,0)+10000000</f>
        <v>10000000</v>
      </c>
      <c r="M10" s="54">
        <f>ROUND(M8*M9,0)+3041347</f>
        <v>3041347</v>
      </c>
      <c r="N10" s="54">
        <f t="shared" si="1"/>
        <v>0</v>
      </c>
      <c r="O10" s="54">
        <f t="shared" si="1"/>
        <v>0</v>
      </c>
      <c r="P10" s="54">
        <f t="shared" si="1"/>
        <v>0</v>
      </c>
      <c r="Q10" s="54">
        <f t="shared" si="1"/>
        <v>0</v>
      </c>
      <c r="R10" s="54">
        <f>ROUND(SUM(C10:Q10),0)</f>
        <v>93041347</v>
      </c>
      <c r="S10" s="166"/>
      <c r="T10" s="115"/>
      <c r="U10" s="115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54"/>
      <c r="BW10" s="154"/>
      <c r="BX10" s="154"/>
      <c r="BY10" s="154"/>
      <c r="BZ10" s="154"/>
      <c r="CA10" s="154"/>
      <c r="CB10" s="154"/>
      <c r="CC10" s="154"/>
      <c r="CD10" s="154"/>
      <c r="CE10" s="154"/>
      <c r="CF10" s="154"/>
      <c r="CG10" s="154"/>
      <c r="CH10" s="154"/>
      <c r="CI10" s="154"/>
      <c r="CJ10" s="154"/>
      <c r="CK10" s="154"/>
      <c r="CL10" s="154"/>
      <c r="CM10" s="154"/>
      <c r="CN10" s="154"/>
      <c r="CO10" s="154"/>
      <c r="CP10" s="154"/>
      <c r="CQ10" s="154"/>
      <c r="CR10" s="154"/>
      <c r="CS10" s="154"/>
      <c r="CT10" s="154"/>
      <c r="CU10" s="154"/>
      <c r="CV10" s="154"/>
      <c r="CW10" s="154"/>
      <c r="CX10" s="154"/>
      <c r="CY10" s="154"/>
      <c r="CZ10" s="154"/>
      <c r="DA10" s="154"/>
      <c r="DB10" s="154"/>
      <c r="DC10" s="154"/>
      <c r="DD10" s="154"/>
      <c r="DE10" s="154"/>
      <c r="DF10" s="154"/>
      <c r="DG10" s="154"/>
      <c r="DH10" s="154"/>
      <c r="DI10" s="154"/>
      <c r="DJ10" s="154"/>
      <c r="DK10" s="154"/>
      <c r="DL10" s="154"/>
      <c r="DM10" s="154"/>
      <c r="DN10" s="154"/>
      <c r="DO10" s="154"/>
      <c r="DP10" s="154"/>
      <c r="DQ10" s="154"/>
      <c r="DR10" s="154"/>
      <c r="DS10" s="154"/>
      <c r="DT10" s="154"/>
      <c r="DU10" s="154"/>
      <c r="DV10" s="154"/>
      <c r="DW10" s="154"/>
      <c r="DX10" s="154"/>
      <c r="DY10" s="154"/>
      <c r="DZ10" s="154"/>
      <c r="EA10" s="154"/>
      <c r="EB10" s="154"/>
      <c r="EC10" s="154"/>
      <c r="ED10" s="154"/>
      <c r="EE10" s="154"/>
      <c r="EF10" s="154"/>
      <c r="EG10" s="154"/>
      <c r="EH10" s="154"/>
      <c r="EI10" s="154"/>
      <c r="EJ10" s="154"/>
      <c r="EK10" s="154"/>
      <c r="EL10" s="154"/>
      <c r="EM10" s="154"/>
      <c r="EN10" s="154"/>
      <c r="EO10" s="154"/>
      <c r="EP10" s="154"/>
      <c r="EQ10" s="154"/>
      <c r="ER10" s="154"/>
      <c r="ES10" s="154"/>
      <c r="ET10" s="154"/>
      <c r="EU10" s="154"/>
      <c r="EV10" s="154"/>
      <c r="EW10" s="154"/>
      <c r="EX10" s="154"/>
      <c r="EY10" s="154"/>
      <c r="EZ10" s="154"/>
      <c r="FA10" s="154"/>
      <c r="FB10" s="154"/>
      <c r="FC10" s="154"/>
      <c r="FD10" s="154"/>
      <c r="FE10" s="154"/>
      <c r="FF10" s="154"/>
      <c r="FG10" s="154"/>
      <c r="FH10" s="154"/>
      <c r="FI10" s="154"/>
      <c r="FJ10" s="154"/>
      <c r="FK10" s="154"/>
      <c r="FL10" s="154"/>
      <c r="FM10" s="154"/>
      <c r="FN10" s="154"/>
      <c r="FO10" s="154"/>
      <c r="FP10" s="154"/>
      <c r="FQ10" s="154"/>
      <c r="FR10" s="154"/>
      <c r="FS10" s="154"/>
      <c r="FT10" s="154"/>
      <c r="FU10" s="154"/>
      <c r="FV10" s="154"/>
      <c r="FW10" s="154"/>
      <c r="FX10" s="154"/>
      <c r="FY10" s="154"/>
      <c r="FZ10" s="154"/>
      <c r="GA10" s="154"/>
      <c r="GB10" s="154"/>
      <c r="GC10" s="154"/>
      <c r="GD10" s="154"/>
      <c r="GE10" s="154"/>
      <c r="GF10" s="154"/>
      <c r="GG10" s="154"/>
      <c r="GH10" s="154"/>
      <c r="GI10" s="154"/>
      <c r="GJ10" s="154"/>
      <c r="GK10" s="154"/>
      <c r="GL10" s="154"/>
      <c r="GM10" s="154"/>
      <c r="GN10" s="154"/>
      <c r="GO10" s="154"/>
      <c r="GP10" s="154"/>
      <c r="GQ10" s="154"/>
      <c r="GR10" s="154"/>
      <c r="GS10" s="154"/>
      <c r="GT10" s="154"/>
      <c r="GU10" s="154"/>
      <c r="GV10" s="154"/>
      <c r="GW10" s="154"/>
      <c r="GX10" s="154"/>
      <c r="GY10" s="154"/>
      <c r="GZ10" s="154"/>
      <c r="HA10" s="154"/>
      <c r="HB10" s="154"/>
      <c r="HC10" s="154"/>
      <c r="HD10" s="154"/>
      <c r="HE10" s="154"/>
      <c r="HF10" s="154"/>
      <c r="HG10" s="154"/>
      <c r="HH10" s="154"/>
      <c r="HI10" s="154"/>
      <c r="HJ10" s="154"/>
      <c r="HK10" s="154"/>
      <c r="HL10" s="154"/>
      <c r="HM10" s="154"/>
      <c r="HN10" s="154"/>
      <c r="HO10" s="154"/>
      <c r="HP10" s="154"/>
      <c r="HQ10" s="154"/>
      <c r="HR10" s="154"/>
      <c r="HS10" s="154"/>
      <c r="HT10" s="154"/>
      <c r="HU10" s="154"/>
      <c r="HV10" s="154"/>
      <c r="HW10" s="154"/>
      <c r="HX10" s="154"/>
      <c r="HY10" s="154"/>
      <c r="HZ10" s="154"/>
      <c r="IA10" s="154"/>
      <c r="IB10" s="154"/>
      <c r="IC10" s="154"/>
      <c r="ID10" s="154"/>
      <c r="IE10" s="154"/>
      <c r="IF10" s="154"/>
      <c r="IG10" s="154"/>
      <c r="IH10" s="154"/>
      <c r="II10" s="154"/>
    </row>
    <row r="11" spans="1:243" ht="18.75" x14ac:dyDescent="0.3">
      <c r="A11" s="120" t="s">
        <v>58</v>
      </c>
      <c r="B11" s="67" t="s">
        <v>59</v>
      </c>
      <c r="C11" s="108"/>
      <c r="D11" s="108">
        <v>0</v>
      </c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9">
        <f>SUM(C11:Q11)</f>
        <v>0</v>
      </c>
      <c r="S11" s="166"/>
      <c r="T11" s="115"/>
      <c r="U11" s="115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54"/>
      <c r="BA11" s="154"/>
      <c r="BB11" s="154"/>
      <c r="BC11" s="154"/>
      <c r="BD11" s="154"/>
      <c r="BE11" s="154"/>
      <c r="BF11" s="154"/>
      <c r="BG11" s="154"/>
      <c r="BH11" s="154"/>
      <c r="BI11" s="154"/>
      <c r="BJ11" s="154"/>
      <c r="BK11" s="154"/>
      <c r="BL11" s="154"/>
      <c r="BM11" s="154"/>
      <c r="BN11" s="154"/>
      <c r="BO11" s="154"/>
      <c r="BP11" s="154"/>
      <c r="BQ11" s="154"/>
      <c r="BR11" s="154"/>
      <c r="BS11" s="154"/>
      <c r="BT11" s="154"/>
      <c r="BU11" s="154"/>
      <c r="BV11" s="154"/>
      <c r="BW11" s="154"/>
      <c r="BX11" s="154"/>
      <c r="BY11" s="154"/>
      <c r="BZ11" s="154"/>
      <c r="CA11" s="154"/>
      <c r="CB11" s="154"/>
      <c r="CC11" s="154"/>
      <c r="CD11" s="154"/>
      <c r="CE11" s="154"/>
      <c r="CF11" s="154"/>
      <c r="CG11" s="154"/>
      <c r="CH11" s="154"/>
      <c r="CI11" s="154"/>
      <c r="CJ11" s="154"/>
      <c r="CK11" s="154"/>
      <c r="CL11" s="154"/>
      <c r="CM11" s="154"/>
      <c r="CN11" s="154"/>
      <c r="CO11" s="154"/>
      <c r="CP11" s="154"/>
      <c r="CQ11" s="154"/>
      <c r="CR11" s="154"/>
      <c r="CS11" s="154"/>
      <c r="CT11" s="154"/>
      <c r="CU11" s="154"/>
      <c r="CV11" s="154"/>
      <c r="CW11" s="154"/>
      <c r="CX11" s="154"/>
      <c r="CY11" s="154"/>
      <c r="CZ11" s="154"/>
      <c r="DA11" s="154"/>
      <c r="DB11" s="154"/>
      <c r="DC11" s="154"/>
      <c r="DD11" s="154"/>
      <c r="DE11" s="154"/>
      <c r="DF11" s="154"/>
      <c r="DG11" s="154"/>
      <c r="DH11" s="154"/>
      <c r="DI11" s="154"/>
      <c r="DJ11" s="154"/>
      <c r="DK11" s="154"/>
      <c r="DL11" s="154"/>
      <c r="DM11" s="154"/>
      <c r="DN11" s="154"/>
      <c r="DO11" s="154"/>
      <c r="DP11" s="154"/>
      <c r="DQ11" s="154"/>
      <c r="DR11" s="154"/>
      <c r="DS11" s="154"/>
      <c r="DT11" s="154"/>
      <c r="DU11" s="154"/>
      <c r="DV11" s="154"/>
      <c r="DW11" s="154"/>
      <c r="DX11" s="154"/>
      <c r="DY11" s="154"/>
      <c r="DZ11" s="154"/>
      <c r="EA11" s="154"/>
      <c r="EB11" s="154"/>
      <c r="EC11" s="154"/>
      <c r="ED11" s="154"/>
      <c r="EE11" s="154"/>
      <c r="EF11" s="154"/>
      <c r="EG11" s="154"/>
      <c r="EH11" s="154"/>
      <c r="EI11" s="154"/>
      <c r="EJ11" s="154"/>
      <c r="EK11" s="154"/>
      <c r="EL11" s="154"/>
      <c r="EM11" s="154"/>
      <c r="EN11" s="154"/>
      <c r="EO11" s="154"/>
      <c r="EP11" s="154"/>
      <c r="EQ11" s="154"/>
      <c r="ER11" s="154"/>
      <c r="ES11" s="154"/>
      <c r="ET11" s="154"/>
      <c r="EU11" s="154"/>
      <c r="EV11" s="154"/>
      <c r="EW11" s="154"/>
      <c r="EX11" s="154"/>
      <c r="EY11" s="154"/>
      <c r="EZ11" s="154"/>
      <c r="FA11" s="154"/>
      <c r="FB11" s="154"/>
      <c r="FC11" s="154"/>
      <c r="FD11" s="154"/>
      <c r="FE11" s="154"/>
      <c r="FF11" s="154"/>
      <c r="FG11" s="154"/>
      <c r="FH11" s="154"/>
      <c r="FI11" s="154"/>
      <c r="FJ11" s="154"/>
      <c r="FK11" s="154"/>
      <c r="FL11" s="154"/>
      <c r="FM11" s="154"/>
      <c r="FN11" s="154"/>
      <c r="FO11" s="154"/>
      <c r="FP11" s="154"/>
      <c r="FQ11" s="154"/>
      <c r="FR11" s="154"/>
      <c r="FS11" s="154"/>
      <c r="FT11" s="154"/>
      <c r="FU11" s="154"/>
      <c r="FV11" s="154"/>
      <c r="FW11" s="154"/>
      <c r="FX11" s="154"/>
      <c r="FY11" s="154"/>
      <c r="FZ11" s="154"/>
      <c r="GA11" s="154"/>
      <c r="GB11" s="154"/>
      <c r="GC11" s="154"/>
      <c r="GD11" s="154"/>
      <c r="GE11" s="154"/>
      <c r="GF11" s="154"/>
      <c r="GG11" s="154"/>
      <c r="GH11" s="154"/>
      <c r="GI11" s="154"/>
      <c r="GJ11" s="154"/>
      <c r="GK11" s="154"/>
      <c r="GL11" s="154"/>
      <c r="GM11" s="154"/>
      <c r="GN11" s="154"/>
      <c r="GO11" s="154"/>
      <c r="GP11" s="154"/>
      <c r="GQ11" s="154"/>
      <c r="GR11" s="154"/>
      <c r="GS11" s="154"/>
      <c r="GT11" s="154"/>
      <c r="GU11" s="154"/>
      <c r="GV11" s="154"/>
      <c r="GW11" s="154"/>
      <c r="GX11" s="154"/>
      <c r="GY11" s="154"/>
      <c r="GZ11" s="154"/>
      <c r="HA11" s="154"/>
      <c r="HB11" s="154"/>
      <c r="HC11" s="154"/>
      <c r="HD11" s="154"/>
      <c r="HE11" s="154"/>
      <c r="HF11" s="154"/>
      <c r="HG11" s="154"/>
      <c r="HH11" s="154"/>
      <c r="HI11" s="154"/>
      <c r="HJ11" s="154"/>
      <c r="HK11" s="154"/>
      <c r="HL11" s="154"/>
      <c r="HM11" s="154"/>
      <c r="HN11" s="154"/>
      <c r="HO11" s="154"/>
      <c r="HP11" s="154"/>
      <c r="HQ11" s="154"/>
      <c r="HR11" s="154"/>
      <c r="HS11" s="154"/>
      <c r="HT11" s="154"/>
      <c r="HU11" s="154"/>
      <c r="HV11" s="154"/>
      <c r="HW11" s="154"/>
      <c r="HX11" s="154"/>
      <c r="HY11" s="154"/>
      <c r="HZ11" s="154"/>
      <c r="IA11" s="154"/>
      <c r="IB11" s="154"/>
      <c r="IC11" s="154"/>
      <c r="ID11" s="154"/>
      <c r="IE11" s="154"/>
      <c r="IF11" s="154"/>
      <c r="IG11" s="154"/>
      <c r="IH11" s="154"/>
      <c r="II11" s="154"/>
    </row>
    <row r="12" spans="1:243" ht="18.75" x14ac:dyDescent="0.3">
      <c r="A12" s="99">
        <v>76.3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166"/>
      <c r="T12" s="115"/>
      <c r="U12" s="115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4"/>
      <c r="BO12" s="154"/>
      <c r="BP12" s="154"/>
      <c r="BQ12" s="154"/>
      <c r="BR12" s="154"/>
      <c r="BS12" s="154"/>
      <c r="BT12" s="154"/>
      <c r="BU12" s="154"/>
      <c r="BV12" s="154"/>
      <c r="BW12" s="154"/>
      <c r="BX12" s="154"/>
      <c r="BY12" s="154"/>
      <c r="BZ12" s="154"/>
      <c r="CA12" s="154"/>
      <c r="CB12" s="154"/>
      <c r="CC12" s="154"/>
      <c r="CD12" s="154"/>
      <c r="CE12" s="154"/>
      <c r="CF12" s="154"/>
      <c r="CG12" s="154"/>
      <c r="CH12" s="154"/>
      <c r="CI12" s="154"/>
      <c r="CJ12" s="154"/>
      <c r="CK12" s="154"/>
      <c r="CL12" s="154"/>
      <c r="CM12" s="154"/>
      <c r="CN12" s="154"/>
      <c r="CO12" s="154"/>
      <c r="CP12" s="154"/>
      <c r="CQ12" s="154"/>
      <c r="CR12" s="154"/>
      <c r="CS12" s="154"/>
      <c r="CT12" s="154"/>
      <c r="CU12" s="154"/>
      <c r="CV12" s="154"/>
      <c r="CW12" s="154"/>
      <c r="CX12" s="154"/>
      <c r="CY12" s="154"/>
      <c r="CZ12" s="154"/>
      <c r="DA12" s="154"/>
      <c r="DB12" s="154"/>
      <c r="DC12" s="154"/>
      <c r="DD12" s="154"/>
      <c r="DE12" s="154"/>
      <c r="DF12" s="154"/>
      <c r="DG12" s="154"/>
      <c r="DH12" s="154"/>
      <c r="DI12" s="154"/>
      <c r="DJ12" s="154"/>
      <c r="DK12" s="154"/>
      <c r="DL12" s="154"/>
      <c r="DM12" s="154"/>
      <c r="DN12" s="154"/>
      <c r="DO12" s="154"/>
      <c r="DP12" s="154"/>
      <c r="DQ12" s="154"/>
      <c r="DR12" s="154"/>
      <c r="DS12" s="154"/>
      <c r="DT12" s="154"/>
      <c r="DU12" s="154"/>
      <c r="DV12" s="154"/>
      <c r="DW12" s="154"/>
      <c r="DX12" s="154"/>
      <c r="DY12" s="154"/>
      <c r="DZ12" s="154"/>
      <c r="EA12" s="154"/>
      <c r="EB12" s="154"/>
      <c r="EC12" s="154"/>
      <c r="ED12" s="154"/>
      <c r="EE12" s="154"/>
      <c r="EF12" s="154"/>
      <c r="EG12" s="154"/>
      <c r="EH12" s="154"/>
      <c r="EI12" s="154"/>
      <c r="EJ12" s="154"/>
      <c r="EK12" s="154"/>
      <c r="EL12" s="154"/>
      <c r="EM12" s="154"/>
      <c r="EN12" s="154"/>
      <c r="EO12" s="154"/>
      <c r="EP12" s="154"/>
      <c r="EQ12" s="154"/>
      <c r="ER12" s="154"/>
      <c r="ES12" s="154"/>
      <c r="ET12" s="154"/>
      <c r="EU12" s="154"/>
      <c r="EV12" s="154"/>
      <c r="EW12" s="154"/>
      <c r="EX12" s="154"/>
      <c r="EY12" s="154"/>
      <c r="EZ12" s="154"/>
      <c r="FA12" s="154"/>
      <c r="FB12" s="154"/>
      <c r="FC12" s="154"/>
      <c r="FD12" s="154"/>
      <c r="FE12" s="154"/>
      <c r="FF12" s="154"/>
      <c r="FG12" s="154"/>
      <c r="FH12" s="154"/>
      <c r="FI12" s="154"/>
      <c r="FJ12" s="154"/>
      <c r="FK12" s="154"/>
      <c r="FL12" s="154"/>
      <c r="FM12" s="154"/>
      <c r="FN12" s="154"/>
      <c r="FO12" s="154"/>
      <c r="FP12" s="154"/>
      <c r="FQ12" s="154"/>
      <c r="FR12" s="154"/>
      <c r="FS12" s="154"/>
      <c r="FT12" s="154"/>
      <c r="FU12" s="154"/>
      <c r="FV12" s="154"/>
      <c r="FW12" s="154"/>
      <c r="FX12" s="154"/>
      <c r="FY12" s="154"/>
      <c r="FZ12" s="154"/>
      <c r="GA12" s="154"/>
      <c r="GB12" s="154"/>
      <c r="GC12" s="154"/>
      <c r="GD12" s="154"/>
      <c r="GE12" s="154"/>
      <c r="GF12" s="154"/>
      <c r="GG12" s="154"/>
      <c r="GH12" s="154"/>
      <c r="GI12" s="154"/>
      <c r="GJ12" s="154"/>
      <c r="GK12" s="154"/>
      <c r="GL12" s="154"/>
      <c r="GM12" s="154"/>
      <c r="GN12" s="154"/>
      <c r="GO12" s="154"/>
      <c r="GP12" s="154"/>
      <c r="GQ12" s="154"/>
      <c r="GR12" s="154"/>
      <c r="GS12" s="154"/>
      <c r="GT12" s="154"/>
      <c r="GU12" s="154"/>
      <c r="GV12" s="154"/>
      <c r="GW12" s="154"/>
      <c r="GX12" s="154"/>
      <c r="GY12" s="154"/>
      <c r="GZ12" s="154"/>
      <c r="HA12" s="154"/>
      <c r="HB12" s="154"/>
      <c r="HC12" s="154"/>
      <c r="HD12" s="154"/>
      <c r="HE12" s="154"/>
      <c r="HF12" s="154"/>
      <c r="HG12" s="154"/>
      <c r="HH12" s="154"/>
      <c r="HI12" s="154"/>
      <c r="HJ12" s="154"/>
      <c r="HK12" s="154"/>
      <c r="HL12" s="154"/>
      <c r="HM12" s="154"/>
      <c r="HN12" s="154"/>
      <c r="HO12" s="154"/>
      <c r="HP12" s="154"/>
      <c r="HQ12" s="154"/>
      <c r="HR12" s="154"/>
      <c r="HS12" s="154"/>
      <c r="HT12" s="154"/>
      <c r="HU12" s="154"/>
      <c r="HV12" s="154"/>
      <c r="HW12" s="154"/>
      <c r="HX12" s="154"/>
      <c r="HY12" s="154"/>
      <c r="HZ12" s="154"/>
      <c r="IA12" s="154"/>
      <c r="IB12" s="154"/>
      <c r="IC12" s="154"/>
      <c r="ID12" s="154"/>
      <c r="IE12" s="154"/>
      <c r="IF12" s="154"/>
      <c r="IG12" s="154"/>
      <c r="IH12" s="154"/>
      <c r="II12" s="154"/>
    </row>
    <row r="13" spans="1:243" ht="18.75" x14ac:dyDescent="0.3">
      <c r="A13" s="99" t="s">
        <v>190</v>
      </c>
      <c r="B13" s="54"/>
      <c r="C13" s="54"/>
      <c r="D13" s="54">
        <v>0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>
        <f>ROUND(SUM(C13:Q13),0)</f>
        <v>0</v>
      </c>
      <c r="S13" s="166"/>
      <c r="T13" s="115"/>
      <c r="U13" s="115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  <c r="BM13" s="154"/>
      <c r="BN13" s="154"/>
      <c r="BO13" s="154"/>
      <c r="BP13" s="154"/>
      <c r="BQ13" s="154"/>
      <c r="BR13" s="154"/>
      <c r="BS13" s="154"/>
      <c r="BT13" s="154"/>
      <c r="BU13" s="154"/>
      <c r="BV13" s="154"/>
      <c r="BW13" s="154"/>
      <c r="BX13" s="154"/>
      <c r="BY13" s="154"/>
      <c r="BZ13" s="154"/>
      <c r="CA13" s="154"/>
      <c r="CB13" s="154"/>
      <c r="CC13" s="154"/>
      <c r="CD13" s="154"/>
      <c r="CE13" s="154"/>
      <c r="CF13" s="154"/>
      <c r="CG13" s="154"/>
      <c r="CH13" s="154"/>
      <c r="CI13" s="154"/>
      <c r="CJ13" s="154"/>
      <c r="CK13" s="154"/>
      <c r="CL13" s="154"/>
      <c r="CM13" s="154"/>
      <c r="CN13" s="154"/>
      <c r="CO13" s="154"/>
      <c r="CP13" s="154"/>
      <c r="CQ13" s="154"/>
      <c r="CR13" s="154"/>
      <c r="CS13" s="154"/>
      <c r="CT13" s="154"/>
      <c r="CU13" s="154"/>
      <c r="CV13" s="154"/>
      <c r="CW13" s="154"/>
      <c r="CX13" s="154"/>
      <c r="CY13" s="154"/>
      <c r="CZ13" s="154"/>
      <c r="DA13" s="154"/>
      <c r="DB13" s="154"/>
      <c r="DC13" s="154"/>
      <c r="DD13" s="154"/>
      <c r="DE13" s="154"/>
      <c r="DF13" s="154"/>
      <c r="DG13" s="154"/>
      <c r="DH13" s="154"/>
      <c r="DI13" s="154"/>
      <c r="DJ13" s="154"/>
      <c r="DK13" s="154"/>
      <c r="DL13" s="154"/>
      <c r="DM13" s="154"/>
      <c r="DN13" s="154"/>
      <c r="DO13" s="154"/>
      <c r="DP13" s="154"/>
      <c r="DQ13" s="154"/>
      <c r="DR13" s="154"/>
      <c r="DS13" s="154"/>
      <c r="DT13" s="154"/>
      <c r="DU13" s="154"/>
      <c r="DV13" s="154"/>
      <c r="DW13" s="154"/>
      <c r="DX13" s="154"/>
      <c r="DY13" s="154"/>
      <c r="DZ13" s="154"/>
      <c r="EA13" s="154"/>
      <c r="EB13" s="154"/>
      <c r="EC13" s="154"/>
      <c r="ED13" s="154"/>
      <c r="EE13" s="154"/>
      <c r="EF13" s="154"/>
      <c r="EG13" s="154"/>
      <c r="EH13" s="154"/>
      <c r="EI13" s="154"/>
      <c r="EJ13" s="154"/>
      <c r="EK13" s="154"/>
      <c r="EL13" s="154"/>
      <c r="EM13" s="154"/>
      <c r="EN13" s="154"/>
      <c r="EO13" s="154"/>
      <c r="EP13" s="154"/>
      <c r="EQ13" s="154"/>
      <c r="ER13" s="154"/>
      <c r="ES13" s="154"/>
      <c r="ET13" s="154"/>
      <c r="EU13" s="154"/>
      <c r="EV13" s="154"/>
      <c r="EW13" s="154"/>
      <c r="EX13" s="154"/>
      <c r="EY13" s="154"/>
      <c r="EZ13" s="154"/>
      <c r="FA13" s="154"/>
      <c r="FB13" s="154"/>
      <c r="FC13" s="154"/>
      <c r="FD13" s="154"/>
      <c r="FE13" s="154"/>
      <c r="FF13" s="154"/>
      <c r="FG13" s="154"/>
      <c r="FH13" s="154"/>
      <c r="FI13" s="154"/>
      <c r="FJ13" s="154"/>
      <c r="FK13" s="154"/>
      <c r="FL13" s="154"/>
      <c r="FM13" s="154"/>
      <c r="FN13" s="154"/>
      <c r="FO13" s="154"/>
      <c r="FP13" s="154"/>
      <c r="FQ13" s="154"/>
      <c r="FR13" s="154"/>
      <c r="FS13" s="154"/>
      <c r="FT13" s="154"/>
      <c r="FU13" s="154"/>
      <c r="FV13" s="154"/>
      <c r="FW13" s="154"/>
      <c r="FX13" s="154"/>
      <c r="FY13" s="154"/>
      <c r="FZ13" s="154"/>
      <c r="GA13" s="154"/>
      <c r="GB13" s="154"/>
      <c r="GC13" s="154"/>
      <c r="GD13" s="154"/>
      <c r="GE13" s="154"/>
      <c r="GF13" s="154"/>
      <c r="GG13" s="154"/>
      <c r="GH13" s="154"/>
      <c r="GI13" s="154"/>
      <c r="GJ13" s="154"/>
      <c r="GK13" s="154"/>
      <c r="GL13" s="154"/>
      <c r="GM13" s="154"/>
      <c r="GN13" s="154"/>
      <c r="GO13" s="154"/>
      <c r="GP13" s="154"/>
      <c r="GQ13" s="154"/>
      <c r="GR13" s="154"/>
      <c r="GS13" s="154"/>
      <c r="GT13" s="154"/>
      <c r="GU13" s="154"/>
      <c r="GV13" s="154"/>
      <c r="GW13" s="154"/>
      <c r="GX13" s="154"/>
      <c r="GY13" s="154"/>
      <c r="GZ13" s="154"/>
      <c r="HA13" s="154"/>
      <c r="HB13" s="154"/>
      <c r="HC13" s="154"/>
      <c r="HD13" s="154"/>
      <c r="HE13" s="154"/>
      <c r="HF13" s="154"/>
      <c r="HG13" s="154"/>
      <c r="HH13" s="154"/>
      <c r="HI13" s="154"/>
      <c r="HJ13" s="154"/>
      <c r="HK13" s="154"/>
      <c r="HL13" s="154"/>
      <c r="HM13" s="154"/>
      <c r="HN13" s="154"/>
      <c r="HO13" s="154"/>
      <c r="HP13" s="154"/>
      <c r="HQ13" s="154"/>
      <c r="HR13" s="154"/>
      <c r="HS13" s="154"/>
      <c r="HT13" s="154"/>
      <c r="HU13" s="154"/>
      <c r="HV13" s="154"/>
      <c r="HW13" s="154"/>
      <c r="HX13" s="154"/>
      <c r="HY13" s="154"/>
      <c r="HZ13" s="154"/>
      <c r="IA13" s="154"/>
      <c r="IB13" s="154"/>
      <c r="IC13" s="154"/>
      <c r="ID13" s="154"/>
      <c r="IE13" s="154"/>
      <c r="IF13" s="154"/>
      <c r="IG13" s="154"/>
      <c r="IH13" s="154"/>
      <c r="II13" s="154"/>
    </row>
    <row r="14" spans="1:243" ht="18.75" x14ac:dyDescent="0.3">
      <c r="A14" s="121" t="s">
        <v>146</v>
      </c>
      <c r="B14" s="67" t="s">
        <v>59</v>
      </c>
      <c r="C14" s="67">
        <v>4876</v>
      </c>
      <c r="D14" s="67">
        <v>1715</v>
      </c>
      <c r="E14" s="67">
        <v>870</v>
      </c>
      <c r="F14" s="67">
        <v>0</v>
      </c>
      <c r="G14" s="67">
        <v>1428</v>
      </c>
      <c r="H14" s="67">
        <v>0</v>
      </c>
      <c r="I14" s="67">
        <v>1369</v>
      </c>
      <c r="J14" s="67">
        <v>3140</v>
      </c>
      <c r="K14" s="67">
        <v>2760</v>
      </c>
      <c r="L14" s="67">
        <v>487</v>
      </c>
      <c r="M14" s="67">
        <v>1406</v>
      </c>
      <c r="N14" s="109"/>
      <c r="O14" s="109"/>
      <c r="P14" s="109"/>
      <c r="Q14" s="108"/>
      <c r="R14" s="109">
        <f>SUM(C14:Q14)</f>
        <v>18051</v>
      </c>
      <c r="S14" s="159"/>
      <c r="T14" s="115"/>
      <c r="U14" s="115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  <c r="BM14" s="154"/>
      <c r="BN14" s="154"/>
      <c r="BO14" s="154"/>
      <c r="BP14" s="154"/>
      <c r="BQ14" s="154"/>
      <c r="BR14" s="154"/>
      <c r="BS14" s="154"/>
      <c r="BT14" s="154"/>
      <c r="BU14" s="154"/>
      <c r="BV14" s="154"/>
      <c r="BW14" s="154"/>
      <c r="BX14" s="154"/>
      <c r="BY14" s="154"/>
      <c r="BZ14" s="154"/>
      <c r="CA14" s="154"/>
      <c r="CB14" s="154"/>
      <c r="CC14" s="154"/>
      <c r="CD14" s="154"/>
      <c r="CE14" s="154"/>
      <c r="CF14" s="154"/>
      <c r="CG14" s="154"/>
      <c r="CH14" s="154"/>
      <c r="CI14" s="154"/>
      <c r="CJ14" s="154"/>
      <c r="CK14" s="154"/>
      <c r="CL14" s="154"/>
      <c r="CM14" s="154"/>
      <c r="CN14" s="154"/>
      <c r="CO14" s="154"/>
      <c r="CP14" s="154"/>
      <c r="CQ14" s="154"/>
      <c r="CR14" s="154"/>
      <c r="CS14" s="154"/>
      <c r="CT14" s="154"/>
      <c r="CU14" s="154"/>
      <c r="CV14" s="154"/>
      <c r="CW14" s="154"/>
      <c r="CX14" s="154"/>
      <c r="CY14" s="154"/>
      <c r="CZ14" s="154"/>
      <c r="DA14" s="154"/>
      <c r="DB14" s="154"/>
      <c r="DC14" s="154"/>
      <c r="DD14" s="154"/>
      <c r="DE14" s="154"/>
      <c r="DF14" s="154"/>
      <c r="DG14" s="154"/>
      <c r="DH14" s="154"/>
      <c r="DI14" s="154"/>
      <c r="DJ14" s="154"/>
      <c r="DK14" s="154"/>
      <c r="DL14" s="154"/>
      <c r="DM14" s="154"/>
      <c r="DN14" s="154"/>
      <c r="DO14" s="154"/>
      <c r="DP14" s="154"/>
      <c r="DQ14" s="154"/>
      <c r="DR14" s="154"/>
      <c r="DS14" s="154"/>
      <c r="DT14" s="154"/>
      <c r="DU14" s="154"/>
      <c r="DV14" s="154"/>
      <c r="DW14" s="154"/>
      <c r="DX14" s="154"/>
      <c r="DY14" s="154"/>
      <c r="DZ14" s="154"/>
      <c r="EA14" s="154"/>
      <c r="EB14" s="154"/>
      <c r="EC14" s="154"/>
      <c r="ED14" s="154"/>
      <c r="EE14" s="154"/>
      <c r="EF14" s="154"/>
      <c r="EG14" s="154"/>
      <c r="EH14" s="154"/>
      <c r="EI14" s="154"/>
      <c r="EJ14" s="154"/>
      <c r="EK14" s="154"/>
      <c r="EL14" s="154"/>
      <c r="EM14" s="154"/>
      <c r="EN14" s="154"/>
      <c r="EO14" s="154"/>
      <c r="EP14" s="154"/>
      <c r="EQ14" s="154"/>
      <c r="ER14" s="154"/>
      <c r="ES14" s="154"/>
      <c r="ET14" s="154"/>
      <c r="EU14" s="154"/>
      <c r="EV14" s="154"/>
      <c r="EW14" s="154"/>
      <c r="EX14" s="154"/>
      <c r="EY14" s="154"/>
      <c r="EZ14" s="154"/>
      <c r="FA14" s="154"/>
      <c r="FB14" s="154"/>
      <c r="FC14" s="154"/>
      <c r="FD14" s="154"/>
      <c r="FE14" s="154"/>
      <c r="FF14" s="154"/>
      <c r="FG14" s="154"/>
      <c r="FH14" s="154"/>
      <c r="FI14" s="154"/>
      <c r="FJ14" s="154"/>
      <c r="FK14" s="154"/>
      <c r="FL14" s="154"/>
      <c r="FM14" s="154"/>
      <c r="FN14" s="154"/>
      <c r="FO14" s="154"/>
      <c r="FP14" s="154"/>
      <c r="FQ14" s="154"/>
      <c r="FR14" s="154"/>
      <c r="FS14" s="154"/>
      <c r="FT14" s="154"/>
      <c r="FU14" s="154"/>
      <c r="FV14" s="154"/>
      <c r="FW14" s="154"/>
      <c r="FX14" s="154"/>
      <c r="FY14" s="154"/>
      <c r="FZ14" s="154"/>
      <c r="GA14" s="154"/>
      <c r="GB14" s="154"/>
      <c r="GC14" s="154"/>
      <c r="GD14" s="154"/>
      <c r="GE14" s="154"/>
      <c r="GF14" s="154"/>
      <c r="GG14" s="154"/>
      <c r="GH14" s="154"/>
      <c r="GI14" s="154"/>
      <c r="GJ14" s="154"/>
      <c r="GK14" s="154"/>
      <c r="GL14" s="154"/>
      <c r="GM14" s="154"/>
      <c r="GN14" s="154"/>
      <c r="GO14" s="154"/>
      <c r="GP14" s="154"/>
      <c r="GQ14" s="154"/>
      <c r="GR14" s="154"/>
      <c r="GS14" s="154"/>
      <c r="GT14" s="154"/>
      <c r="GU14" s="154"/>
      <c r="GV14" s="154"/>
      <c r="GW14" s="154"/>
      <c r="GX14" s="154"/>
      <c r="GY14" s="154"/>
      <c r="GZ14" s="154"/>
      <c r="HA14" s="154"/>
      <c r="HB14" s="154"/>
      <c r="HC14" s="154"/>
      <c r="HD14" s="154"/>
      <c r="HE14" s="154"/>
      <c r="HF14" s="154"/>
      <c r="HG14" s="154"/>
      <c r="HH14" s="154"/>
      <c r="HI14" s="154"/>
      <c r="HJ14" s="154"/>
      <c r="HK14" s="154"/>
      <c r="HL14" s="154"/>
      <c r="HM14" s="154"/>
      <c r="HN14" s="154"/>
      <c r="HO14" s="154"/>
      <c r="HP14" s="154"/>
      <c r="HQ14" s="154"/>
      <c r="HR14" s="154"/>
      <c r="HS14" s="154"/>
      <c r="HT14" s="154"/>
      <c r="HU14" s="154"/>
      <c r="HV14" s="154"/>
      <c r="HW14" s="154"/>
      <c r="HX14" s="154"/>
      <c r="HY14" s="154"/>
      <c r="HZ14" s="154"/>
      <c r="IA14" s="154"/>
      <c r="IB14" s="154"/>
      <c r="IC14" s="154"/>
      <c r="ID14" s="154"/>
      <c r="IE14" s="154"/>
      <c r="IF14" s="154"/>
      <c r="IG14" s="154"/>
      <c r="IH14" s="154"/>
      <c r="II14" s="154"/>
    </row>
    <row r="15" spans="1:243" ht="18.75" x14ac:dyDescent="0.3">
      <c r="A15" s="106" t="s">
        <v>152</v>
      </c>
      <c r="B15" s="21"/>
      <c r="C15" s="72">
        <v>990</v>
      </c>
      <c r="D15" s="72">
        <v>990</v>
      </c>
      <c r="E15" s="72">
        <v>990</v>
      </c>
      <c r="F15" s="72">
        <v>990</v>
      </c>
      <c r="G15" s="72">
        <v>990</v>
      </c>
      <c r="H15" s="72">
        <v>990</v>
      </c>
      <c r="I15" s="72">
        <v>990</v>
      </c>
      <c r="J15" s="72">
        <v>990</v>
      </c>
      <c r="K15" s="72">
        <v>990</v>
      </c>
      <c r="L15" s="72">
        <v>990</v>
      </c>
      <c r="M15" s="72">
        <v>990</v>
      </c>
      <c r="N15" s="72">
        <v>990</v>
      </c>
      <c r="O15" s="72">
        <v>990</v>
      </c>
      <c r="P15" s="72">
        <v>990</v>
      </c>
      <c r="Q15" s="72">
        <v>990</v>
      </c>
      <c r="R15" s="72"/>
      <c r="S15" s="159"/>
      <c r="T15" s="115"/>
      <c r="U15" s="115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/>
      <c r="BA15" s="154"/>
      <c r="BB15" s="154"/>
      <c r="BC15" s="154"/>
      <c r="BD15" s="154"/>
      <c r="BE15" s="154"/>
      <c r="BF15" s="154"/>
      <c r="BG15" s="154"/>
      <c r="BH15" s="154"/>
      <c r="BI15" s="154"/>
      <c r="BJ15" s="154"/>
      <c r="BK15" s="154"/>
      <c r="BL15" s="154"/>
      <c r="BM15" s="154"/>
      <c r="BN15" s="154"/>
      <c r="BO15" s="154"/>
      <c r="BP15" s="154"/>
      <c r="BQ15" s="154"/>
      <c r="BR15" s="154"/>
      <c r="BS15" s="154"/>
      <c r="BT15" s="154"/>
      <c r="BU15" s="154"/>
      <c r="BV15" s="154"/>
      <c r="BW15" s="154"/>
      <c r="BX15" s="154"/>
      <c r="BY15" s="154"/>
      <c r="BZ15" s="154"/>
      <c r="CA15" s="154"/>
      <c r="CB15" s="154"/>
      <c r="CC15" s="154"/>
      <c r="CD15" s="154"/>
      <c r="CE15" s="154"/>
      <c r="CF15" s="154"/>
      <c r="CG15" s="154"/>
      <c r="CH15" s="154"/>
      <c r="CI15" s="154"/>
      <c r="CJ15" s="154"/>
      <c r="CK15" s="154"/>
      <c r="CL15" s="154"/>
      <c r="CM15" s="154"/>
      <c r="CN15" s="154"/>
      <c r="CO15" s="154"/>
      <c r="CP15" s="154"/>
      <c r="CQ15" s="154"/>
      <c r="CR15" s="154"/>
      <c r="CS15" s="154"/>
      <c r="CT15" s="154"/>
      <c r="CU15" s="154"/>
      <c r="CV15" s="154"/>
      <c r="CW15" s="154"/>
      <c r="CX15" s="154"/>
      <c r="CY15" s="154"/>
      <c r="CZ15" s="154"/>
      <c r="DA15" s="154"/>
      <c r="DB15" s="154"/>
      <c r="DC15" s="154"/>
      <c r="DD15" s="154"/>
      <c r="DE15" s="154"/>
      <c r="DF15" s="154"/>
      <c r="DG15" s="154"/>
      <c r="DH15" s="154"/>
      <c r="DI15" s="154"/>
      <c r="DJ15" s="154"/>
      <c r="DK15" s="154"/>
      <c r="DL15" s="154"/>
      <c r="DM15" s="154"/>
      <c r="DN15" s="154"/>
      <c r="DO15" s="154"/>
      <c r="DP15" s="154"/>
      <c r="DQ15" s="154"/>
      <c r="DR15" s="154"/>
      <c r="DS15" s="154"/>
      <c r="DT15" s="154"/>
      <c r="DU15" s="154"/>
      <c r="DV15" s="154"/>
      <c r="DW15" s="154"/>
      <c r="DX15" s="154"/>
      <c r="DY15" s="154"/>
      <c r="DZ15" s="154"/>
      <c r="EA15" s="154"/>
      <c r="EB15" s="154"/>
      <c r="EC15" s="154"/>
      <c r="ED15" s="154"/>
      <c r="EE15" s="154"/>
      <c r="EF15" s="154"/>
      <c r="EG15" s="154"/>
      <c r="EH15" s="154"/>
      <c r="EI15" s="154"/>
      <c r="EJ15" s="154"/>
      <c r="EK15" s="154"/>
      <c r="EL15" s="154"/>
      <c r="EM15" s="154"/>
      <c r="EN15" s="154"/>
      <c r="EO15" s="154"/>
      <c r="EP15" s="154"/>
      <c r="EQ15" s="154"/>
      <c r="ER15" s="154"/>
      <c r="ES15" s="154"/>
      <c r="ET15" s="154"/>
      <c r="EU15" s="154"/>
      <c r="EV15" s="154"/>
      <c r="EW15" s="154"/>
      <c r="EX15" s="154"/>
      <c r="EY15" s="154"/>
      <c r="EZ15" s="154"/>
      <c r="FA15" s="154"/>
      <c r="FB15" s="154"/>
      <c r="FC15" s="154"/>
      <c r="FD15" s="154"/>
      <c r="FE15" s="154"/>
      <c r="FF15" s="154"/>
      <c r="FG15" s="154"/>
      <c r="FH15" s="154"/>
      <c r="FI15" s="154"/>
      <c r="FJ15" s="154"/>
      <c r="FK15" s="154"/>
      <c r="FL15" s="154"/>
      <c r="FM15" s="154"/>
      <c r="FN15" s="154"/>
      <c r="FO15" s="154"/>
      <c r="FP15" s="154"/>
      <c r="FQ15" s="154"/>
      <c r="FR15" s="154"/>
      <c r="FS15" s="154"/>
      <c r="FT15" s="154"/>
      <c r="FU15" s="154"/>
      <c r="FV15" s="154"/>
      <c r="FW15" s="154"/>
      <c r="FX15" s="154"/>
      <c r="FY15" s="154"/>
      <c r="FZ15" s="154"/>
      <c r="GA15" s="154"/>
      <c r="GB15" s="154"/>
      <c r="GC15" s="154"/>
      <c r="GD15" s="154"/>
      <c r="GE15" s="154"/>
      <c r="GF15" s="154"/>
      <c r="GG15" s="154"/>
      <c r="GH15" s="154"/>
      <c r="GI15" s="154"/>
      <c r="GJ15" s="154"/>
      <c r="GK15" s="154"/>
      <c r="GL15" s="154"/>
      <c r="GM15" s="154"/>
      <c r="GN15" s="154"/>
      <c r="GO15" s="154"/>
      <c r="GP15" s="154"/>
      <c r="GQ15" s="154"/>
      <c r="GR15" s="154"/>
      <c r="GS15" s="154"/>
      <c r="GT15" s="154"/>
      <c r="GU15" s="154"/>
      <c r="GV15" s="154"/>
      <c r="GW15" s="154"/>
      <c r="GX15" s="154"/>
      <c r="GY15" s="154"/>
      <c r="GZ15" s="154"/>
      <c r="HA15" s="154"/>
      <c r="HB15" s="154"/>
      <c r="HC15" s="154"/>
      <c r="HD15" s="154"/>
      <c r="HE15" s="154"/>
      <c r="HF15" s="154"/>
      <c r="HG15" s="154"/>
      <c r="HH15" s="154"/>
      <c r="HI15" s="154"/>
      <c r="HJ15" s="154"/>
      <c r="HK15" s="154"/>
      <c r="HL15" s="154"/>
      <c r="HM15" s="154"/>
      <c r="HN15" s="154"/>
      <c r="HO15" s="154"/>
      <c r="HP15" s="154"/>
      <c r="HQ15" s="154"/>
      <c r="HR15" s="154"/>
      <c r="HS15" s="154"/>
      <c r="HT15" s="154"/>
      <c r="HU15" s="154"/>
      <c r="HV15" s="154"/>
      <c r="HW15" s="154"/>
      <c r="HX15" s="154"/>
      <c r="HY15" s="154"/>
      <c r="HZ15" s="154"/>
      <c r="IA15" s="154"/>
      <c r="IB15" s="154"/>
      <c r="IC15" s="154"/>
      <c r="ID15" s="154"/>
      <c r="IE15" s="154"/>
      <c r="IF15" s="154"/>
      <c r="IG15" s="154"/>
      <c r="IH15" s="154"/>
      <c r="II15" s="154"/>
    </row>
    <row r="16" spans="1:243" ht="18.75" x14ac:dyDescent="0.3">
      <c r="A16" s="106" t="s">
        <v>150</v>
      </c>
      <c r="B16" s="53" t="s">
        <v>76</v>
      </c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21"/>
      <c r="S16" s="159"/>
      <c r="T16" s="115"/>
      <c r="U16" s="115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  <c r="AT16" s="154"/>
      <c r="AU16" s="154"/>
      <c r="AV16" s="154"/>
      <c r="AW16" s="154"/>
      <c r="AX16" s="154"/>
      <c r="AY16" s="154"/>
      <c r="AZ16" s="154"/>
      <c r="BA16" s="154"/>
      <c r="BB16" s="154"/>
      <c r="BC16" s="154"/>
      <c r="BD16" s="154"/>
      <c r="BE16" s="154"/>
      <c r="BF16" s="154"/>
      <c r="BG16" s="154"/>
      <c r="BH16" s="154"/>
      <c r="BI16" s="154"/>
      <c r="BJ16" s="154"/>
      <c r="BK16" s="154"/>
      <c r="BL16" s="154"/>
      <c r="BM16" s="154"/>
      <c r="BN16" s="154"/>
      <c r="BO16" s="154"/>
      <c r="BP16" s="154"/>
      <c r="BQ16" s="154"/>
      <c r="BR16" s="154"/>
      <c r="BS16" s="154"/>
      <c r="BT16" s="154"/>
      <c r="BU16" s="154"/>
      <c r="BV16" s="154"/>
      <c r="BW16" s="154"/>
      <c r="BX16" s="154"/>
      <c r="BY16" s="154"/>
      <c r="BZ16" s="154"/>
      <c r="CA16" s="154"/>
      <c r="CB16" s="154"/>
      <c r="CC16" s="154"/>
      <c r="CD16" s="154"/>
      <c r="CE16" s="154"/>
      <c r="CF16" s="154"/>
      <c r="CG16" s="154"/>
      <c r="CH16" s="154"/>
      <c r="CI16" s="154"/>
      <c r="CJ16" s="154"/>
      <c r="CK16" s="154"/>
      <c r="CL16" s="154"/>
      <c r="CM16" s="154"/>
      <c r="CN16" s="154"/>
      <c r="CO16" s="154"/>
      <c r="CP16" s="154"/>
      <c r="CQ16" s="154"/>
      <c r="CR16" s="154"/>
      <c r="CS16" s="154"/>
      <c r="CT16" s="154"/>
      <c r="CU16" s="154"/>
      <c r="CV16" s="154"/>
      <c r="CW16" s="154"/>
      <c r="CX16" s="154"/>
      <c r="CY16" s="154"/>
      <c r="CZ16" s="154"/>
      <c r="DA16" s="154"/>
      <c r="DB16" s="154"/>
      <c r="DC16" s="154"/>
      <c r="DD16" s="154"/>
      <c r="DE16" s="154"/>
      <c r="DF16" s="154"/>
      <c r="DG16" s="154"/>
      <c r="DH16" s="154"/>
      <c r="DI16" s="154"/>
      <c r="DJ16" s="154"/>
      <c r="DK16" s="154"/>
      <c r="DL16" s="154"/>
      <c r="DM16" s="154"/>
      <c r="DN16" s="154"/>
      <c r="DO16" s="154"/>
      <c r="DP16" s="154"/>
      <c r="DQ16" s="154"/>
      <c r="DR16" s="154"/>
      <c r="DS16" s="154"/>
      <c r="DT16" s="154"/>
      <c r="DU16" s="154"/>
      <c r="DV16" s="154"/>
      <c r="DW16" s="154"/>
      <c r="DX16" s="154"/>
      <c r="DY16" s="154"/>
      <c r="DZ16" s="154"/>
      <c r="EA16" s="154"/>
      <c r="EB16" s="154"/>
      <c r="EC16" s="154"/>
      <c r="ED16" s="154"/>
      <c r="EE16" s="154"/>
      <c r="EF16" s="154"/>
      <c r="EG16" s="154"/>
      <c r="EH16" s="154"/>
      <c r="EI16" s="154"/>
      <c r="EJ16" s="154"/>
      <c r="EK16" s="154"/>
      <c r="EL16" s="154"/>
      <c r="EM16" s="154"/>
      <c r="EN16" s="154"/>
      <c r="EO16" s="154"/>
      <c r="EP16" s="154"/>
      <c r="EQ16" s="154"/>
      <c r="ER16" s="154"/>
      <c r="ES16" s="154"/>
      <c r="ET16" s="154"/>
      <c r="EU16" s="154"/>
      <c r="EV16" s="154"/>
      <c r="EW16" s="154"/>
      <c r="EX16" s="154"/>
      <c r="EY16" s="154"/>
      <c r="EZ16" s="154"/>
      <c r="FA16" s="154"/>
      <c r="FB16" s="154"/>
      <c r="FC16" s="154"/>
      <c r="FD16" s="154"/>
      <c r="FE16" s="154"/>
      <c r="FF16" s="154"/>
      <c r="FG16" s="154"/>
      <c r="FH16" s="154"/>
      <c r="FI16" s="154"/>
      <c r="FJ16" s="154"/>
      <c r="FK16" s="154"/>
      <c r="FL16" s="154"/>
      <c r="FM16" s="154"/>
      <c r="FN16" s="154"/>
      <c r="FO16" s="154"/>
      <c r="FP16" s="154"/>
      <c r="FQ16" s="154"/>
      <c r="FR16" s="154"/>
      <c r="FS16" s="154"/>
      <c r="FT16" s="154"/>
      <c r="FU16" s="154"/>
      <c r="FV16" s="154"/>
      <c r="FW16" s="154"/>
      <c r="FX16" s="154"/>
      <c r="FY16" s="154"/>
      <c r="FZ16" s="154"/>
      <c r="GA16" s="154"/>
      <c r="GB16" s="154"/>
      <c r="GC16" s="154"/>
      <c r="GD16" s="154"/>
      <c r="GE16" s="154"/>
      <c r="GF16" s="154"/>
      <c r="GG16" s="154"/>
      <c r="GH16" s="154"/>
      <c r="GI16" s="154"/>
      <c r="GJ16" s="154"/>
      <c r="GK16" s="154"/>
      <c r="GL16" s="154"/>
      <c r="GM16" s="154"/>
      <c r="GN16" s="154"/>
      <c r="GO16" s="154"/>
      <c r="GP16" s="154"/>
      <c r="GQ16" s="154"/>
      <c r="GR16" s="154"/>
      <c r="GS16" s="154"/>
      <c r="GT16" s="154"/>
      <c r="GU16" s="154"/>
      <c r="GV16" s="154"/>
      <c r="GW16" s="154"/>
      <c r="GX16" s="154"/>
      <c r="GY16" s="154"/>
      <c r="GZ16" s="154"/>
      <c r="HA16" s="154"/>
      <c r="HB16" s="154"/>
      <c r="HC16" s="154"/>
      <c r="HD16" s="154"/>
      <c r="HE16" s="154"/>
      <c r="HF16" s="154"/>
      <c r="HG16" s="154"/>
      <c r="HH16" s="154"/>
      <c r="HI16" s="154"/>
      <c r="HJ16" s="154"/>
      <c r="HK16" s="154"/>
      <c r="HL16" s="154"/>
      <c r="HM16" s="154"/>
      <c r="HN16" s="154"/>
      <c r="HO16" s="154"/>
      <c r="HP16" s="154"/>
      <c r="HQ16" s="154"/>
      <c r="HR16" s="154"/>
      <c r="HS16" s="154"/>
      <c r="HT16" s="154"/>
      <c r="HU16" s="154"/>
      <c r="HV16" s="154"/>
      <c r="HW16" s="154"/>
      <c r="HX16" s="154"/>
      <c r="HY16" s="154"/>
      <c r="HZ16" s="154"/>
      <c r="IA16" s="154"/>
      <c r="IB16" s="154"/>
      <c r="IC16" s="154"/>
      <c r="ID16" s="154"/>
      <c r="IE16" s="154"/>
      <c r="IF16" s="154"/>
      <c r="IG16" s="154"/>
      <c r="IH16" s="154"/>
      <c r="II16" s="154"/>
    </row>
    <row r="17" spans="1:243" ht="18.75" x14ac:dyDescent="0.3">
      <c r="A17" s="106"/>
      <c r="B17" s="21" t="s">
        <v>60</v>
      </c>
      <c r="C17" s="54">
        <f>ROUND(C14*C15,0)</f>
        <v>4827240</v>
      </c>
      <c r="D17" s="54">
        <f t="shared" ref="D17:M17" si="2">ROUND(D14*D15,0)</f>
        <v>1697850</v>
      </c>
      <c r="E17" s="54">
        <f t="shared" si="2"/>
        <v>861300</v>
      </c>
      <c r="F17" s="54">
        <f t="shared" si="2"/>
        <v>0</v>
      </c>
      <c r="G17" s="54">
        <f t="shared" si="2"/>
        <v>1413720</v>
      </c>
      <c r="H17" s="54">
        <f t="shared" si="2"/>
        <v>0</v>
      </c>
      <c r="I17" s="54">
        <f t="shared" si="2"/>
        <v>1355310</v>
      </c>
      <c r="J17" s="54">
        <f t="shared" si="2"/>
        <v>3108600</v>
      </c>
      <c r="K17" s="54">
        <f t="shared" si="2"/>
        <v>2732400</v>
      </c>
      <c r="L17" s="54">
        <f t="shared" si="2"/>
        <v>482130</v>
      </c>
      <c r="M17" s="54">
        <f t="shared" si="2"/>
        <v>1391940</v>
      </c>
      <c r="N17" s="54">
        <f>N14*N15</f>
        <v>0</v>
      </c>
      <c r="O17" s="54">
        <f>O14*O15</f>
        <v>0</v>
      </c>
      <c r="P17" s="54">
        <f>P14*P15</f>
        <v>0</v>
      </c>
      <c r="Q17" s="54">
        <f>Q14*Q15</f>
        <v>0</v>
      </c>
      <c r="R17" s="54">
        <f>ROUND(SUM(C17:Q17),0)</f>
        <v>17870490</v>
      </c>
      <c r="S17" s="159"/>
      <c r="T17" s="115"/>
      <c r="U17" s="115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4"/>
      <c r="BE17" s="154"/>
      <c r="BF17" s="154"/>
      <c r="BG17" s="154"/>
      <c r="BH17" s="154"/>
      <c r="BI17" s="154"/>
      <c r="BJ17" s="154"/>
      <c r="BK17" s="154"/>
      <c r="BL17" s="154"/>
      <c r="BM17" s="154"/>
      <c r="BN17" s="154"/>
      <c r="BO17" s="154"/>
      <c r="BP17" s="154"/>
      <c r="BQ17" s="154"/>
      <c r="BR17" s="154"/>
      <c r="BS17" s="154"/>
      <c r="BT17" s="154"/>
      <c r="BU17" s="154"/>
      <c r="BV17" s="154"/>
      <c r="BW17" s="154"/>
      <c r="BX17" s="154"/>
      <c r="BY17" s="154"/>
      <c r="BZ17" s="154"/>
      <c r="CA17" s="154"/>
      <c r="CB17" s="154"/>
      <c r="CC17" s="154"/>
      <c r="CD17" s="154"/>
      <c r="CE17" s="154"/>
      <c r="CF17" s="154"/>
      <c r="CG17" s="154"/>
      <c r="CH17" s="154"/>
      <c r="CI17" s="154"/>
      <c r="CJ17" s="154"/>
      <c r="CK17" s="154"/>
      <c r="CL17" s="154"/>
      <c r="CM17" s="154"/>
      <c r="CN17" s="154"/>
      <c r="CO17" s="154"/>
      <c r="CP17" s="154"/>
      <c r="CQ17" s="154"/>
      <c r="CR17" s="154"/>
      <c r="CS17" s="154"/>
      <c r="CT17" s="154"/>
      <c r="CU17" s="154"/>
      <c r="CV17" s="154"/>
      <c r="CW17" s="154"/>
      <c r="CX17" s="154"/>
      <c r="CY17" s="154"/>
      <c r="CZ17" s="154"/>
      <c r="DA17" s="154"/>
      <c r="DB17" s="154"/>
      <c r="DC17" s="154"/>
      <c r="DD17" s="154"/>
      <c r="DE17" s="154"/>
      <c r="DF17" s="154"/>
      <c r="DG17" s="154"/>
      <c r="DH17" s="154"/>
      <c r="DI17" s="154"/>
      <c r="DJ17" s="154"/>
      <c r="DK17" s="154"/>
      <c r="DL17" s="154"/>
      <c r="DM17" s="154"/>
      <c r="DN17" s="154"/>
      <c r="DO17" s="154"/>
      <c r="DP17" s="154"/>
      <c r="DQ17" s="154"/>
      <c r="DR17" s="154"/>
      <c r="DS17" s="154"/>
      <c r="DT17" s="154"/>
      <c r="DU17" s="154"/>
      <c r="DV17" s="154"/>
      <c r="DW17" s="154"/>
      <c r="DX17" s="154"/>
      <c r="DY17" s="154"/>
      <c r="DZ17" s="154"/>
      <c r="EA17" s="154"/>
      <c r="EB17" s="154"/>
      <c r="EC17" s="154"/>
      <c r="ED17" s="154"/>
      <c r="EE17" s="154"/>
      <c r="EF17" s="154"/>
      <c r="EG17" s="154"/>
      <c r="EH17" s="154"/>
      <c r="EI17" s="154"/>
      <c r="EJ17" s="154"/>
      <c r="EK17" s="154"/>
      <c r="EL17" s="154"/>
      <c r="EM17" s="154"/>
      <c r="EN17" s="154"/>
      <c r="EO17" s="154"/>
      <c r="EP17" s="154"/>
      <c r="EQ17" s="154"/>
      <c r="ER17" s="154"/>
      <c r="ES17" s="154"/>
      <c r="ET17" s="154"/>
      <c r="EU17" s="154"/>
      <c r="EV17" s="154"/>
      <c r="EW17" s="154"/>
      <c r="EX17" s="154"/>
      <c r="EY17" s="154"/>
      <c r="EZ17" s="154"/>
      <c r="FA17" s="154"/>
      <c r="FB17" s="154"/>
      <c r="FC17" s="154"/>
      <c r="FD17" s="154"/>
      <c r="FE17" s="154"/>
      <c r="FF17" s="154"/>
      <c r="FG17" s="154"/>
      <c r="FH17" s="154"/>
      <c r="FI17" s="154"/>
      <c r="FJ17" s="154"/>
      <c r="FK17" s="154"/>
      <c r="FL17" s="154"/>
      <c r="FM17" s="154"/>
      <c r="FN17" s="154"/>
      <c r="FO17" s="154"/>
      <c r="FP17" s="154"/>
      <c r="FQ17" s="154"/>
      <c r="FR17" s="154"/>
      <c r="FS17" s="154"/>
      <c r="FT17" s="154"/>
      <c r="FU17" s="154"/>
      <c r="FV17" s="154"/>
      <c r="FW17" s="154"/>
      <c r="FX17" s="154"/>
      <c r="FY17" s="154"/>
      <c r="FZ17" s="154"/>
      <c r="GA17" s="154"/>
      <c r="GB17" s="154"/>
      <c r="GC17" s="154"/>
      <c r="GD17" s="154"/>
      <c r="GE17" s="154"/>
      <c r="GF17" s="154"/>
      <c r="GG17" s="154"/>
      <c r="GH17" s="154"/>
      <c r="GI17" s="154"/>
      <c r="GJ17" s="154"/>
      <c r="GK17" s="154"/>
      <c r="GL17" s="154"/>
      <c r="GM17" s="154"/>
      <c r="GN17" s="154"/>
      <c r="GO17" s="154"/>
      <c r="GP17" s="154"/>
      <c r="GQ17" s="154"/>
      <c r="GR17" s="154"/>
      <c r="GS17" s="154"/>
      <c r="GT17" s="154"/>
      <c r="GU17" s="154"/>
      <c r="GV17" s="154"/>
      <c r="GW17" s="154"/>
      <c r="GX17" s="154"/>
      <c r="GY17" s="154"/>
      <c r="GZ17" s="154"/>
      <c r="HA17" s="154"/>
      <c r="HB17" s="154"/>
      <c r="HC17" s="154"/>
      <c r="HD17" s="154"/>
      <c r="HE17" s="154"/>
      <c r="HF17" s="154"/>
      <c r="HG17" s="154"/>
      <c r="HH17" s="154"/>
      <c r="HI17" s="154"/>
      <c r="HJ17" s="154"/>
      <c r="HK17" s="154"/>
      <c r="HL17" s="154"/>
      <c r="HM17" s="154"/>
      <c r="HN17" s="154"/>
      <c r="HO17" s="154"/>
      <c r="HP17" s="154"/>
      <c r="HQ17" s="154"/>
      <c r="HR17" s="154"/>
      <c r="HS17" s="154"/>
      <c r="HT17" s="154"/>
      <c r="HU17" s="154"/>
      <c r="HV17" s="154"/>
      <c r="HW17" s="154"/>
      <c r="HX17" s="154"/>
      <c r="HY17" s="154"/>
      <c r="HZ17" s="154"/>
      <c r="IA17" s="154"/>
      <c r="IB17" s="154"/>
      <c r="IC17" s="154"/>
      <c r="ID17" s="154"/>
      <c r="IE17" s="154"/>
      <c r="IF17" s="154"/>
      <c r="IG17" s="154"/>
      <c r="IH17" s="154"/>
      <c r="II17" s="154"/>
    </row>
    <row r="18" spans="1:243" ht="18.75" x14ac:dyDescent="0.3">
      <c r="A18" s="121" t="s">
        <v>147</v>
      </c>
      <c r="B18" s="67" t="s">
        <v>59</v>
      </c>
      <c r="C18" s="67">
        <v>6287</v>
      </c>
      <c r="D18" s="67">
        <v>0</v>
      </c>
      <c r="E18" s="67">
        <v>777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109">
        <v>1637</v>
      </c>
      <c r="L18" s="65"/>
      <c r="M18" s="65"/>
      <c r="N18" s="108"/>
      <c r="O18" s="108"/>
      <c r="P18" s="108"/>
      <c r="Q18" s="108"/>
      <c r="R18" s="109">
        <f>SUM(C18:Q18)</f>
        <v>8701</v>
      </c>
      <c r="S18" s="159"/>
      <c r="T18" s="115"/>
      <c r="U18" s="115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G18" s="154"/>
      <c r="BH18" s="154"/>
      <c r="BI18" s="154"/>
      <c r="BJ18" s="154"/>
      <c r="BK18" s="154"/>
      <c r="BL18" s="154"/>
      <c r="BM18" s="154"/>
      <c r="BN18" s="154"/>
      <c r="BO18" s="154"/>
      <c r="BP18" s="154"/>
      <c r="BQ18" s="154"/>
      <c r="BR18" s="154"/>
      <c r="BS18" s="154"/>
      <c r="BT18" s="154"/>
      <c r="BU18" s="154"/>
      <c r="BV18" s="154"/>
      <c r="BW18" s="154"/>
      <c r="BX18" s="154"/>
      <c r="BY18" s="154"/>
      <c r="BZ18" s="154"/>
      <c r="CA18" s="154"/>
      <c r="CB18" s="154"/>
      <c r="CC18" s="154"/>
      <c r="CD18" s="154"/>
      <c r="CE18" s="154"/>
      <c r="CF18" s="154"/>
      <c r="CG18" s="154"/>
      <c r="CH18" s="154"/>
      <c r="CI18" s="154"/>
      <c r="CJ18" s="154"/>
      <c r="CK18" s="154"/>
      <c r="CL18" s="154"/>
      <c r="CM18" s="154"/>
      <c r="CN18" s="154"/>
      <c r="CO18" s="154"/>
      <c r="CP18" s="154"/>
      <c r="CQ18" s="154"/>
      <c r="CR18" s="154"/>
      <c r="CS18" s="154"/>
      <c r="CT18" s="154"/>
      <c r="CU18" s="154"/>
      <c r="CV18" s="154"/>
      <c r="CW18" s="154"/>
      <c r="CX18" s="154"/>
      <c r="CY18" s="154"/>
      <c r="CZ18" s="154"/>
      <c r="DA18" s="154"/>
      <c r="DB18" s="154"/>
      <c r="DC18" s="154"/>
      <c r="DD18" s="154"/>
      <c r="DE18" s="154"/>
      <c r="DF18" s="154"/>
      <c r="DG18" s="154"/>
      <c r="DH18" s="154"/>
      <c r="DI18" s="154"/>
      <c r="DJ18" s="154"/>
      <c r="DK18" s="154"/>
      <c r="DL18" s="154"/>
      <c r="DM18" s="154"/>
      <c r="DN18" s="154"/>
      <c r="DO18" s="154"/>
      <c r="DP18" s="154"/>
      <c r="DQ18" s="154"/>
      <c r="DR18" s="154"/>
      <c r="DS18" s="154"/>
      <c r="DT18" s="154"/>
      <c r="DU18" s="154"/>
      <c r="DV18" s="154"/>
      <c r="DW18" s="154"/>
      <c r="DX18" s="154"/>
      <c r="DY18" s="154"/>
      <c r="DZ18" s="154"/>
      <c r="EA18" s="154"/>
      <c r="EB18" s="154"/>
      <c r="EC18" s="154"/>
      <c r="ED18" s="154"/>
      <c r="EE18" s="154"/>
      <c r="EF18" s="154"/>
      <c r="EG18" s="154"/>
      <c r="EH18" s="154"/>
      <c r="EI18" s="154"/>
      <c r="EJ18" s="154"/>
      <c r="EK18" s="154"/>
      <c r="EL18" s="154"/>
      <c r="EM18" s="154"/>
      <c r="EN18" s="154"/>
      <c r="EO18" s="154"/>
      <c r="EP18" s="154"/>
      <c r="EQ18" s="154"/>
      <c r="ER18" s="154"/>
      <c r="ES18" s="154"/>
      <c r="ET18" s="154"/>
      <c r="EU18" s="154"/>
      <c r="EV18" s="154"/>
      <c r="EW18" s="154"/>
      <c r="EX18" s="154"/>
      <c r="EY18" s="154"/>
      <c r="EZ18" s="154"/>
      <c r="FA18" s="154"/>
      <c r="FB18" s="154"/>
      <c r="FC18" s="154"/>
      <c r="FD18" s="154"/>
      <c r="FE18" s="154"/>
      <c r="FF18" s="154"/>
      <c r="FG18" s="154"/>
      <c r="FH18" s="154"/>
      <c r="FI18" s="154"/>
      <c r="FJ18" s="154"/>
      <c r="FK18" s="154"/>
      <c r="FL18" s="154"/>
      <c r="FM18" s="154"/>
      <c r="FN18" s="154"/>
      <c r="FO18" s="154"/>
      <c r="FP18" s="154"/>
      <c r="FQ18" s="154"/>
      <c r="FR18" s="154"/>
      <c r="FS18" s="154"/>
      <c r="FT18" s="154"/>
      <c r="FU18" s="154"/>
      <c r="FV18" s="154"/>
      <c r="FW18" s="154"/>
      <c r="FX18" s="154"/>
      <c r="FY18" s="154"/>
      <c r="FZ18" s="154"/>
      <c r="GA18" s="154"/>
      <c r="GB18" s="154"/>
      <c r="GC18" s="154"/>
      <c r="GD18" s="154"/>
      <c r="GE18" s="154"/>
      <c r="GF18" s="154"/>
      <c r="GG18" s="154"/>
      <c r="GH18" s="154"/>
      <c r="GI18" s="154"/>
      <c r="GJ18" s="154"/>
      <c r="GK18" s="154"/>
      <c r="GL18" s="154"/>
      <c r="GM18" s="154"/>
      <c r="GN18" s="154"/>
      <c r="GO18" s="154"/>
      <c r="GP18" s="154"/>
      <c r="GQ18" s="154"/>
      <c r="GR18" s="154"/>
      <c r="GS18" s="154"/>
      <c r="GT18" s="154"/>
      <c r="GU18" s="154"/>
      <c r="GV18" s="154"/>
      <c r="GW18" s="154"/>
      <c r="GX18" s="154"/>
      <c r="GY18" s="154"/>
      <c r="GZ18" s="154"/>
      <c r="HA18" s="154"/>
      <c r="HB18" s="154"/>
      <c r="HC18" s="154"/>
      <c r="HD18" s="154"/>
      <c r="HE18" s="154"/>
      <c r="HF18" s="154"/>
      <c r="HG18" s="154"/>
      <c r="HH18" s="154"/>
      <c r="HI18" s="154"/>
      <c r="HJ18" s="154"/>
      <c r="HK18" s="154"/>
      <c r="HL18" s="154"/>
      <c r="HM18" s="154"/>
      <c r="HN18" s="154"/>
      <c r="HO18" s="154"/>
      <c r="HP18" s="154"/>
      <c r="HQ18" s="154"/>
      <c r="HR18" s="154"/>
      <c r="HS18" s="154"/>
      <c r="HT18" s="154"/>
      <c r="HU18" s="154"/>
      <c r="HV18" s="154"/>
      <c r="HW18" s="154"/>
      <c r="HX18" s="154"/>
      <c r="HY18" s="154"/>
      <c r="HZ18" s="154"/>
      <c r="IA18" s="154"/>
      <c r="IB18" s="154"/>
      <c r="IC18" s="154"/>
      <c r="ID18" s="154"/>
      <c r="IE18" s="154"/>
      <c r="IF18" s="154"/>
      <c r="IG18" s="154"/>
      <c r="IH18" s="154"/>
      <c r="II18" s="154"/>
    </row>
    <row r="19" spans="1:243" ht="18.75" x14ac:dyDescent="0.3">
      <c r="A19" s="110" t="s">
        <v>172</v>
      </c>
      <c r="B19" s="22"/>
      <c r="C19" s="72">
        <v>990</v>
      </c>
      <c r="D19" s="72">
        <v>990</v>
      </c>
      <c r="E19" s="72">
        <v>990</v>
      </c>
      <c r="F19" s="72">
        <v>990</v>
      </c>
      <c r="G19" s="72">
        <v>990</v>
      </c>
      <c r="H19" s="72">
        <v>990</v>
      </c>
      <c r="I19" s="72">
        <v>990</v>
      </c>
      <c r="J19" s="72">
        <v>990</v>
      </c>
      <c r="K19" s="72">
        <v>990</v>
      </c>
      <c r="L19" s="72">
        <v>990</v>
      </c>
      <c r="M19" s="72">
        <v>990</v>
      </c>
      <c r="N19" s="72">
        <v>990</v>
      </c>
      <c r="O19" s="72">
        <v>990</v>
      </c>
      <c r="P19" s="72">
        <v>990</v>
      </c>
      <c r="Q19" s="72">
        <v>990</v>
      </c>
      <c r="R19" s="72"/>
      <c r="S19" s="159"/>
      <c r="T19" s="115"/>
      <c r="U19" s="115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54"/>
      <c r="AZ19" s="154"/>
      <c r="BA19" s="154"/>
      <c r="BB19" s="154"/>
      <c r="BC19" s="154"/>
      <c r="BD19" s="154"/>
      <c r="BE19" s="154"/>
      <c r="BF19" s="154"/>
      <c r="BG19" s="154"/>
      <c r="BH19" s="154"/>
      <c r="BI19" s="154"/>
      <c r="BJ19" s="154"/>
      <c r="BK19" s="154"/>
      <c r="BL19" s="154"/>
      <c r="BM19" s="154"/>
      <c r="BN19" s="154"/>
      <c r="BO19" s="154"/>
      <c r="BP19" s="154"/>
      <c r="BQ19" s="154"/>
      <c r="BR19" s="154"/>
      <c r="BS19" s="154"/>
      <c r="BT19" s="154"/>
      <c r="BU19" s="154"/>
      <c r="BV19" s="154"/>
      <c r="BW19" s="154"/>
      <c r="BX19" s="154"/>
      <c r="BY19" s="154"/>
      <c r="BZ19" s="154"/>
      <c r="CA19" s="154"/>
      <c r="CB19" s="154"/>
      <c r="CC19" s="154"/>
      <c r="CD19" s="154"/>
      <c r="CE19" s="154"/>
      <c r="CF19" s="154"/>
      <c r="CG19" s="154"/>
      <c r="CH19" s="154"/>
      <c r="CI19" s="154"/>
      <c r="CJ19" s="154"/>
      <c r="CK19" s="154"/>
      <c r="CL19" s="154"/>
      <c r="CM19" s="154"/>
      <c r="CN19" s="154"/>
      <c r="CO19" s="154"/>
      <c r="CP19" s="154"/>
      <c r="CQ19" s="154"/>
      <c r="CR19" s="154"/>
      <c r="CS19" s="154"/>
      <c r="CT19" s="154"/>
      <c r="CU19" s="154"/>
      <c r="CV19" s="154"/>
      <c r="CW19" s="154"/>
      <c r="CX19" s="154"/>
      <c r="CY19" s="154"/>
      <c r="CZ19" s="154"/>
      <c r="DA19" s="154"/>
      <c r="DB19" s="154"/>
      <c r="DC19" s="154"/>
      <c r="DD19" s="154"/>
      <c r="DE19" s="154"/>
      <c r="DF19" s="154"/>
      <c r="DG19" s="154"/>
      <c r="DH19" s="154"/>
      <c r="DI19" s="154"/>
      <c r="DJ19" s="154"/>
      <c r="DK19" s="154"/>
      <c r="DL19" s="154"/>
      <c r="DM19" s="154"/>
      <c r="DN19" s="154"/>
      <c r="DO19" s="154"/>
      <c r="DP19" s="154"/>
      <c r="DQ19" s="154"/>
      <c r="DR19" s="154"/>
      <c r="DS19" s="154"/>
      <c r="DT19" s="154"/>
      <c r="DU19" s="154"/>
      <c r="DV19" s="154"/>
      <c r="DW19" s="154"/>
      <c r="DX19" s="154"/>
      <c r="DY19" s="154"/>
      <c r="DZ19" s="154"/>
      <c r="EA19" s="154"/>
      <c r="EB19" s="154"/>
      <c r="EC19" s="154"/>
      <c r="ED19" s="154"/>
      <c r="EE19" s="154"/>
      <c r="EF19" s="154"/>
      <c r="EG19" s="154"/>
      <c r="EH19" s="154"/>
      <c r="EI19" s="154"/>
      <c r="EJ19" s="154"/>
      <c r="EK19" s="154"/>
      <c r="EL19" s="154"/>
      <c r="EM19" s="154"/>
      <c r="EN19" s="154"/>
      <c r="EO19" s="154"/>
      <c r="EP19" s="154"/>
      <c r="EQ19" s="154"/>
      <c r="ER19" s="154"/>
      <c r="ES19" s="154"/>
      <c r="ET19" s="154"/>
      <c r="EU19" s="154"/>
      <c r="EV19" s="154"/>
      <c r="EW19" s="154"/>
      <c r="EX19" s="154"/>
      <c r="EY19" s="154"/>
      <c r="EZ19" s="154"/>
      <c r="FA19" s="154"/>
      <c r="FB19" s="154"/>
      <c r="FC19" s="154"/>
      <c r="FD19" s="154"/>
      <c r="FE19" s="154"/>
      <c r="FF19" s="154"/>
      <c r="FG19" s="154"/>
      <c r="FH19" s="154"/>
      <c r="FI19" s="154"/>
      <c r="FJ19" s="154"/>
      <c r="FK19" s="154"/>
      <c r="FL19" s="154"/>
      <c r="FM19" s="154"/>
      <c r="FN19" s="154"/>
      <c r="FO19" s="154"/>
      <c r="FP19" s="154"/>
      <c r="FQ19" s="154"/>
      <c r="FR19" s="154"/>
      <c r="FS19" s="154"/>
      <c r="FT19" s="154"/>
      <c r="FU19" s="154"/>
      <c r="FV19" s="154"/>
      <c r="FW19" s="154"/>
      <c r="FX19" s="154"/>
      <c r="FY19" s="154"/>
      <c r="FZ19" s="154"/>
      <c r="GA19" s="154"/>
      <c r="GB19" s="154"/>
      <c r="GC19" s="154"/>
      <c r="GD19" s="154"/>
      <c r="GE19" s="154"/>
      <c r="GF19" s="154"/>
      <c r="GG19" s="154"/>
      <c r="GH19" s="154"/>
      <c r="GI19" s="154"/>
      <c r="GJ19" s="154"/>
      <c r="GK19" s="154"/>
      <c r="GL19" s="154"/>
      <c r="GM19" s="154"/>
      <c r="GN19" s="154"/>
      <c r="GO19" s="154"/>
      <c r="GP19" s="154"/>
      <c r="GQ19" s="154"/>
      <c r="GR19" s="154"/>
      <c r="GS19" s="154"/>
      <c r="GT19" s="154"/>
      <c r="GU19" s="154"/>
      <c r="GV19" s="154"/>
      <c r="GW19" s="154"/>
      <c r="GX19" s="154"/>
      <c r="GY19" s="154"/>
      <c r="GZ19" s="154"/>
      <c r="HA19" s="154"/>
      <c r="HB19" s="154"/>
      <c r="HC19" s="154"/>
      <c r="HD19" s="154"/>
      <c r="HE19" s="154"/>
      <c r="HF19" s="154"/>
      <c r="HG19" s="154"/>
      <c r="HH19" s="154"/>
      <c r="HI19" s="154"/>
      <c r="HJ19" s="154"/>
      <c r="HK19" s="154"/>
      <c r="HL19" s="154"/>
      <c r="HM19" s="154"/>
      <c r="HN19" s="154"/>
      <c r="HO19" s="154"/>
      <c r="HP19" s="154"/>
      <c r="HQ19" s="154"/>
      <c r="HR19" s="154"/>
      <c r="HS19" s="154"/>
      <c r="HT19" s="154"/>
      <c r="HU19" s="154"/>
      <c r="HV19" s="154"/>
      <c r="HW19" s="154"/>
      <c r="HX19" s="154"/>
      <c r="HY19" s="154"/>
      <c r="HZ19" s="154"/>
      <c r="IA19" s="154"/>
      <c r="IB19" s="154"/>
      <c r="IC19" s="154"/>
      <c r="ID19" s="154"/>
      <c r="IE19" s="154"/>
      <c r="IF19" s="154"/>
      <c r="IG19" s="154"/>
      <c r="IH19" s="154"/>
      <c r="II19" s="154"/>
    </row>
    <row r="20" spans="1:243" ht="18.75" x14ac:dyDescent="0.3">
      <c r="A20" s="106"/>
      <c r="B20" s="107" t="s">
        <v>76</v>
      </c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21"/>
      <c r="S20" s="159"/>
      <c r="T20" s="115"/>
      <c r="U20" s="115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  <c r="BD20" s="154"/>
      <c r="BE20" s="154"/>
      <c r="BF20" s="154"/>
      <c r="BG20" s="154"/>
      <c r="BH20" s="154"/>
      <c r="BI20" s="154"/>
      <c r="BJ20" s="154"/>
      <c r="BK20" s="154"/>
      <c r="BL20" s="154"/>
      <c r="BM20" s="154"/>
      <c r="BN20" s="154"/>
      <c r="BO20" s="154"/>
      <c r="BP20" s="154"/>
      <c r="BQ20" s="154"/>
      <c r="BR20" s="154"/>
      <c r="BS20" s="154"/>
      <c r="BT20" s="154"/>
      <c r="BU20" s="154"/>
      <c r="BV20" s="154"/>
      <c r="BW20" s="154"/>
      <c r="BX20" s="154"/>
      <c r="BY20" s="154"/>
      <c r="BZ20" s="154"/>
      <c r="CA20" s="154"/>
      <c r="CB20" s="154"/>
      <c r="CC20" s="154"/>
      <c r="CD20" s="154"/>
      <c r="CE20" s="154"/>
      <c r="CF20" s="154"/>
      <c r="CG20" s="154"/>
      <c r="CH20" s="154"/>
      <c r="CI20" s="154"/>
      <c r="CJ20" s="154"/>
      <c r="CK20" s="154"/>
      <c r="CL20" s="154"/>
      <c r="CM20" s="154"/>
      <c r="CN20" s="154"/>
      <c r="CO20" s="154"/>
      <c r="CP20" s="154"/>
      <c r="CQ20" s="154"/>
      <c r="CR20" s="154"/>
      <c r="CS20" s="154"/>
      <c r="CT20" s="154"/>
      <c r="CU20" s="154"/>
      <c r="CV20" s="154"/>
      <c r="CW20" s="154"/>
      <c r="CX20" s="154"/>
      <c r="CY20" s="154"/>
      <c r="CZ20" s="154"/>
      <c r="DA20" s="154"/>
      <c r="DB20" s="154"/>
      <c r="DC20" s="154"/>
      <c r="DD20" s="154"/>
      <c r="DE20" s="154"/>
      <c r="DF20" s="154"/>
      <c r="DG20" s="154"/>
      <c r="DH20" s="154"/>
      <c r="DI20" s="154"/>
      <c r="DJ20" s="154"/>
      <c r="DK20" s="154"/>
      <c r="DL20" s="154"/>
      <c r="DM20" s="154"/>
      <c r="DN20" s="154"/>
      <c r="DO20" s="154"/>
      <c r="DP20" s="154"/>
      <c r="DQ20" s="154"/>
      <c r="DR20" s="154"/>
      <c r="DS20" s="154"/>
      <c r="DT20" s="154"/>
      <c r="DU20" s="154"/>
      <c r="DV20" s="154"/>
      <c r="DW20" s="154"/>
      <c r="DX20" s="154"/>
      <c r="DY20" s="154"/>
      <c r="DZ20" s="154"/>
      <c r="EA20" s="154"/>
      <c r="EB20" s="154"/>
      <c r="EC20" s="154"/>
      <c r="ED20" s="154"/>
      <c r="EE20" s="154"/>
      <c r="EF20" s="154"/>
      <c r="EG20" s="154"/>
      <c r="EH20" s="154"/>
      <c r="EI20" s="154"/>
      <c r="EJ20" s="154"/>
      <c r="EK20" s="154"/>
      <c r="EL20" s="154"/>
      <c r="EM20" s="154"/>
      <c r="EN20" s="154"/>
      <c r="EO20" s="154"/>
      <c r="EP20" s="154"/>
      <c r="EQ20" s="154"/>
      <c r="ER20" s="154"/>
      <c r="ES20" s="154"/>
      <c r="ET20" s="154"/>
      <c r="EU20" s="154"/>
      <c r="EV20" s="154"/>
      <c r="EW20" s="154"/>
      <c r="EX20" s="154"/>
      <c r="EY20" s="154"/>
      <c r="EZ20" s="154"/>
      <c r="FA20" s="154"/>
      <c r="FB20" s="154"/>
      <c r="FC20" s="154"/>
      <c r="FD20" s="154"/>
      <c r="FE20" s="154"/>
      <c r="FF20" s="154"/>
      <c r="FG20" s="154"/>
      <c r="FH20" s="154"/>
      <c r="FI20" s="154"/>
      <c r="FJ20" s="154"/>
      <c r="FK20" s="154"/>
      <c r="FL20" s="154"/>
      <c r="FM20" s="154"/>
      <c r="FN20" s="154"/>
      <c r="FO20" s="154"/>
      <c r="FP20" s="154"/>
      <c r="FQ20" s="154"/>
      <c r="FR20" s="154"/>
      <c r="FS20" s="154"/>
      <c r="FT20" s="154"/>
      <c r="FU20" s="154"/>
      <c r="FV20" s="154"/>
      <c r="FW20" s="154"/>
      <c r="FX20" s="154"/>
      <c r="FY20" s="154"/>
      <c r="FZ20" s="154"/>
      <c r="GA20" s="154"/>
      <c r="GB20" s="154"/>
      <c r="GC20" s="154"/>
      <c r="GD20" s="154"/>
      <c r="GE20" s="154"/>
      <c r="GF20" s="154"/>
      <c r="GG20" s="154"/>
      <c r="GH20" s="154"/>
      <c r="GI20" s="154"/>
      <c r="GJ20" s="154"/>
      <c r="GK20" s="154"/>
      <c r="GL20" s="154"/>
      <c r="GM20" s="154"/>
      <c r="GN20" s="154"/>
      <c r="GO20" s="154"/>
      <c r="GP20" s="154"/>
      <c r="GQ20" s="154"/>
      <c r="GR20" s="154"/>
      <c r="GS20" s="154"/>
      <c r="GT20" s="154"/>
      <c r="GU20" s="154"/>
      <c r="GV20" s="154"/>
      <c r="GW20" s="154"/>
      <c r="GX20" s="154"/>
      <c r="GY20" s="154"/>
      <c r="GZ20" s="154"/>
      <c r="HA20" s="154"/>
      <c r="HB20" s="154"/>
      <c r="HC20" s="154"/>
      <c r="HD20" s="154"/>
      <c r="HE20" s="154"/>
      <c r="HF20" s="154"/>
      <c r="HG20" s="154"/>
      <c r="HH20" s="154"/>
      <c r="HI20" s="154"/>
      <c r="HJ20" s="154"/>
      <c r="HK20" s="154"/>
      <c r="HL20" s="154"/>
      <c r="HM20" s="154"/>
      <c r="HN20" s="154"/>
      <c r="HO20" s="154"/>
      <c r="HP20" s="154"/>
      <c r="HQ20" s="154"/>
      <c r="HR20" s="154"/>
      <c r="HS20" s="154"/>
      <c r="HT20" s="154"/>
      <c r="HU20" s="154"/>
      <c r="HV20" s="154"/>
      <c r="HW20" s="154"/>
      <c r="HX20" s="154"/>
      <c r="HY20" s="154"/>
      <c r="HZ20" s="154"/>
      <c r="IA20" s="154"/>
      <c r="IB20" s="154"/>
      <c r="IC20" s="154"/>
      <c r="ID20" s="154"/>
      <c r="IE20" s="154"/>
      <c r="IF20" s="154"/>
      <c r="IG20" s="154"/>
      <c r="IH20" s="154"/>
      <c r="II20" s="154"/>
    </row>
    <row r="21" spans="1:243" ht="18.75" x14ac:dyDescent="0.3">
      <c r="A21" s="106"/>
      <c r="B21" s="21" t="s">
        <v>60</v>
      </c>
      <c r="C21" s="54">
        <f>ROUND(C18*C19,0)</f>
        <v>6224130</v>
      </c>
      <c r="D21" s="54">
        <f t="shared" ref="D21:Q21" si="3">ROUND(D18*D19,0)</f>
        <v>0</v>
      </c>
      <c r="E21" s="54">
        <f t="shared" si="3"/>
        <v>769230</v>
      </c>
      <c r="F21" s="54">
        <f t="shared" si="3"/>
        <v>0</v>
      </c>
      <c r="G21" s="54">
        <f t="shared" si="3"/>
        <v>0</v>
      </c>
      <c r="H21" s="54">
        <f t="shared" si="3"/>
        <v>0</v>
      </c>
      <c r="I21" s="54">
        <f t="shared" si="3"/>
        <v>0</v>
      </c>
      <c r="J21" s="54">
        <f t="shared" si="3"/>
        <v>0</v>
      </c>
      <c r="K21" s="54">
        <f t="shared" si="3"/>
        <v>1620630</v>
      </c>
      <c r="L21" s="54">
        <f t="shared" si="3"/>
        <v>0</v>
      </c>
      <c r="M21" s="54">
        <f t="shared" si="3"/>
        <v>0</v>
      </c>
      <c r="N21" s="54">
        <f t="shared" si="3"/>
        <v>0</v>
      </c>
      <c r="O21" s="54">
        <f t="shared" si="3"/>
        <v>0</v>
      </c>
      <c r="P21" s="54">
        <f t="shared" si="3"/>
        <v>0</v>
      </c>
      <c r="Q21" s="54">
        <f t="shared" si="3"/>
        <v>0</v>
      </c>
      <c r="R21" s="21">
        <f>ROUND(SUM(C21:Q21),0)</f>
        <v>8613990</v>
      </c>
      <c r="S21" s="159"/>
      <c r="T21" s="115"/>
      <c r="U21" s="115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54"/>
      <c r="BK21" s="154"/>
      <c r="BL21" s="154"/>
      <c r="BM21" s="154"/>
      <c r="BN21" s="154"/>
      <c r="BO21" s="154"/>
      <c r="BP21" s="154"/>
      <c r="BQ21" s="154"/>
      <c r="BR21" s="154"/>
      <c r="BS21" s="154"/>
      <c r="BT21" s="154"/>
      <c r="BU21" s="154"/>
      <c r="BV21" s="154"/>
      <c r="BW21" s="154"/>
      <c r="BX21" s="154"/>
      <c r="BY21" s="154"/>
      <c r="BZ21" s="154"/>
      <c r="CA21" s="154"/>
      <c r="CB21" s="154"/>
      <c r="CC21" s="154"/>
      <c r="CD21" s="154"/>
      <c r="CE21" s="154"/>
      <c r="CF21" s="154"/>
      <c r="CG21" s="154"/>
      <c r="CH21" s="154"/>
      <c r="CI21" s="154"/>
      <c r="CJ21" s="154"/>
      <c r="CK21" s="154"/>
      <c r="CL21" s="154"/>
      <c r="CM21" s="154"/>
      <c r="CN21" s="154"/>
      <c r="CO21" s="154"/>
      <c r="CP21" s="154"/>
      <c r="CQ21" s="154"/>
      <c r="CR21" s="154"/>
      <c r="CS21" s="154"/>
      <c r="CT21" s="154"/>
      <c r="CU21" s="154"/>
      <c r="CV21" s="154"/>
      <c r="CW21" s="154"/>
      <c r="CX21" s="154"/>
      <c r="CY21" s="154"/>
      <c r="CZ21" s="154"/>
      <c r="DA21" s="154"/>
      <c r="DB21" s="154"/>
      <c r="DC21" s="154"/>
      <c r="DD21" s="154"/>
      <c r="DE21" s="154"/>
      <c r="DF21" s="154"/>
      <c r="DG21" s="154"/>
      <c r="DH21" s="154"/>
      <c r="DI21" s="154"/>
      <c r="DJ21" s="154"/>
      <c r="DK21" s="154"/>
      <c r="DL21" s="154"/>
      <c r="DM21" s="154"/>
      <c r="DN21" s="154"/>
      <c r="DO21" s="154"/>
      <c r="DP21" s="154"/>
      <c r="DQ21" s="154"/>
      <c r="DR21" s="154"/>
      <c r="DS21" s="154"/>
      <c r="DT21" s="154"/>
      <c r="DU21" s="154"/>
      <c r="DV21" s="154"/>
      <c r="DW21" s="154"/>
      <c r="DX21" s="154"/>
      <c r="DY21" s="154"/>
      <c r="DZ21" s="154"/>
      <c r="EA21" s="154"/>
      <c r="EB21" s="154"/>
      <c r="EC21" s="154"/>
      <c r="ED21" s="154"/>
      <c r="EE21" s="154"/>
      <c r="EF21" s="154"/>
      <c r="EG21" s="154"/>
      <c r="EH21" s="154"/>
      <c r="EI21" s="154"/>
      <c r="EJ21" s="154"/>
      <c r="EK21" s="154"/>
      <c r="EL21" s="154"/>
      <c r="EM21" s="154"/>
      <c r="EN21" s="154"/>
      <c r="EO21" s="154"/>
      <c r="EP21" s="154"/>
      <c r="EQ21" s="154"/>
      <c r="ER21" s="154"/>
      <c r="ES21" s="154"/>
      <c r="ET21" s="154"/>
      <c r="EU21" s="154"/>
      <c r="EV21" s="154"/>
      <c r="EW21" s="154"/>
      <c r="EX21" s="154"/>
      <c r="EY21" s="154"/>
      <c r="EZ21" s="154"/>
      <c r="FA21" s="154"/>
      <c r="FB21" s="154"/>
      <c r="FC21" s="154"/>
      <c r="FD21" s="154"/>
      <c r="FE21" s="154"/>
      <c r="FF21" s="154"/>
      <c r="FG21" s="154"/>
      <c r="FH21" s="154"/>
      <c r="FI21" s="154"/>
      <c r="FJ21" s="154"/>
      <c r="FK21" s="154"/>
      <c r="FL21" s="154"/>
      <c r="FM21" s="154"/>
      <c r="FN21" s="154"/>
      <c r="FO21" s="154"/>
      <c r="FP21" s="154"/>
      <c r="FQ21" s="154"/>
      <c r="FR21" s="154"/>
      <c r="FS21" s="154"/>
      <c r="FT21" s="154"/>
      <c r="FU21" s="154"/>
      <c r="FV21" s="154"/>
      <c r="FW21" s="154"/>
      <c r="FX21" s="154"/>
      <c r="FY21" s="154"/>
      <c r="FZ21" s="154"/>
      <c r="GA21" s="154"/>
      <c r="GB21" s="154"/>
      <c r="GC21" s="154"/>
      <c r="GD21" s="154"/>
      <c r="GE21" s="154"/>
      <c r="GF21" s="154"/>
      <c r="GG21" s="154"/>
      <c r="GH21" s="154"/>
      <c r="GI21" s="154"/>
      <c r="GJ21" s="154"/>
      <c r="GK21" s="154"/>
      <c r="GL21" s="154"/>
      <c r="GM21" s="154"/>
      <c r="GN21" s="154"/>
      <c r="GO21" s="154"/>
      <c r="GP21" s="154"/>
      <c r="GQ21" s="154"/>
      <c r="GR21" s="154"/>
      <c r="GS21" s="154"/>
      <c r="GT21" s="154"/>
      <c r="GU21" s="154"/>
      <c r="GV21" s="154"/>
      <c r="GW21" s="154"/>
      <c r="GX21" s="154"/>
      <c r="GY21" s="154"/>
      <c r="GZ21" s="154"/>
      <c r="HA21" s="154"/>
      <c r="HB21" s="154"/>
      <c r="HC21" s="154"/>
      <c r="HD21" s="154"/>
      <c r="HE21" s="154"/>
      <c r="HF21" s="154"/>
      <c r="HG21" s="154"/>
      <c r="HH21" s="154"/>
      <c r="HI21" s="154"/>
      <c r="HJ21" s="154"/>
      <c r="HK21" s="154"/>
      <c r="HL21" s="154"/>
      <c r="HM21" s="154"/>
      <c r="HN21" s="154"/>
      <c r="HO21" s="154"/>
      <c r="HP21" s="154"/>
      <c r="HQ21" s="154"/>
      <c r="HR21" s="154"/>
      <c r="HS21" s="154"/>
      <c r="HT21" s="154"/>
      <c r="HU21" s="154"/>
      <c r="HV21" s="154"/>
      <c r="HW21" s="154"/>
      <c r="HX21" s="154"/>
      <c r="HY21" s="154"/>
      <c r="HZ21" s="154"/>
      <c r="IA21" s="154"/>
      <c r="IB21" s="154"/>
      <c r="IC21" s="154"/>
      <c r="ID21" s="154"/>
      <c r="IE21" s="154"/>
      <c r="IF21" s="154"/>
      <c r="IG21" s="154"/>
      <c r="IH21" s="154"/>
      <c r="II21" s="154"/>
    </row>
    <row r="22" spans="1:243" ht="18.75" x14ac:dyDescent="0.3">
      <c r="A22" s="121" t="s">
        <v>149</v>
      </c>
      <c r="B22" s="67" t="s">
        <v>59</v>
      </c>
      <c r="C22" s="67">
        <v>15272</v>
      </c>
      <c r="D22" s="67">
        <v>0</v>
      </c>
      <c r="E22" s="67">
        <v>8317</v>
      </c>
      <c r="F22" s="67">
        <v>0</v>
      </c>
      <c r="G22" s="67">
        <v>7663</v>
      </c>
      <c r="H22" s="67">
        <v>0</v>
      </c>
      <c r="I22" s="67">
        <v>2009</v>
      </c>
      <c r="J22" s="67">
        <v>13838</v>
      </c>
      <c r="K22" s="67">
        <v>893</v>
      </c>
      <c r="L22" s="67">
        <v>1681</v>
      </c>
      <c r="M22" s="67">
        <v>1362</v>
      </c>
      <c r="N22" s="109"/>
      <c r="O22" s="109"/>
      <c r="P22" s="109"/>
      <c r="Q22" s="109"/>
      <c r="R22" s="109">
        <f>SUM(C22:Q22)</f>
        <v>51035</v>
      </c>
      <c r="S22" s="159"/>
      <c r="T22" s="115"/>
      <c r="U22" s="115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  <c r="BG22" s="154"/>
      <c r="BH22" s="154"/>
      <c r="BI22" s="154"/>
      <c r="BJ22" s="154"/>
      <c r="BK22" s="154"/>
      <c r="BL22" s="154"/>
      <c r="BM22" s="154"/>
      <c r="BN22" s="154"/>
      <c r="BO22" s="154"/>
      <c r="BP22" s="154"/>
      <c r="BQ22" s="154"/>
      <c r="BR22" s="154"/>
      <c r="BS22" s="154"/>
      <c r="BT22" s="154"/>
      <c r="BU22" s="154"/>
      <c r="BV22" s="154"/>
      <c r="BW22" s="154"/>
      <c r="BX22" s="154"/>
      <c r="BY22" s="154"/>
      <c r="BZ22" s="154"/>
      <c r="CA22" s="154"/>
      <c r="CB22" s="154"/>
      <c r="CC22" s="154"/>
      <c r="CD22" s="154"/>
      <c r="CE22" s="154"/>
      <c r="CF22" s="154"/>
      <c r="CG22" s="154"/>
      <c r="CH22" s="154"/>
      <c r="CI22" s="154"/>
      <c r="CJ22" s="154"/>
      <c r="CK22" s="154"/>
      <c r="CL22" s="154"/>
      <c r="CM22" s="154"/>
      <c r="CN22" s="154"/>
      <c r="CO22" s="154"/>
      <c r="CP22" s="154"/>
      <c r="CQ22" s="154"/>
      <c r="CR22" s="154"/>
      <c r="CS22" s="154"/>
      <c r="CT22" s="154"/>
      <c r="CU22" s="154"/>
      <c r="CV22" s="154"/>
      <c r="CW22" s="154"/>
      <c r="CX22" s="154"/>
      <c r="CY22" s="154"/>
      <c r="CZ22" s="154"/>
      <c r="DA22" s="154"/>
      <c r="DB22" s="154"/>
      <c r="DC22" s="154"/>
      <c r="DD22" s="154"/>
      <c r="DE22" s="154"/>
      <c r="DF22" s="154"/>
      <c r="DG22" s="154"/>
      <c r="DH22" s="154"/>
      <c r="DI22" s="154"/>
      <c r="DJ22" s="154"/>
      <c r="DK22" s="154"/>
      <c r="DL22" s="154"/>
      <c r="DM22" s="154"/>
      <c r="DN22" s="154"/>
      <c r="DO22" s="154"/>
      <c r="DP22" s="154"/>
      <c r="DQ22" s="154"/>
      <c r="DR22" s="154"/>
      <c r="DS22" s="154"/>
      <c r="DT22" s="154"/>
      <c r="DU22" s="154"/>
      <c r="DV22" s="154"/>
      <c r="DW22" s="154"/>
      <c r="DX22" s="154"/>
      <c r="DY22" s="154"/>
      <c r="DZ22" s="154"/>
      <c r="EA22" s="154"/>
      <c r="EB22" s="154"/>
      <c r="EC22" s="154"/>
      <c r="ED22" s="154"/>
      <c r="EE22" s="154"/>
      <c r="EF22" s="154"/>
      <c r="EG22" s="154"/>
      <c r="EH22" s="154"/>
      <c r="EI22" s="154"/>
      <c r="EJ22" s="154"/>
      <c r="EK22" s="154"/>
      <c r="EL22" s="154"/>
      <c r="EM22" s="154"/>
      <c r="EN22" s="154"/>
      <c r="EO22" s="154"/>
      <c r="EP22" s="154"/>
      <c r="EQ22" s="154"/>
      <c r="ER22" s="154"/>
      <c r="ES22" s="154"/>
      <c r="ET22" s="154"/>
      <c r="EU22" s="154"/>
      <c r="EV22" s="154"/>
      <c r="EW22" s="154"/>
      <c r="EX22" s="154"/>
      <c r="EY22" s="154"/>
      <c r="EZ22" s="154"/>
      <c r="FA22" s="154"/>
      <c r="FB22" s="154"/>
      <c r="FC22" s="154"/>
      <c r="FD22" s="154"/>
      <c r="FE22" s="154"/>
      <c r="FF22" s="154"/>
      <c r="FG22" s="154"/>
      <c r="FH22" s="154"/>
      <c r="FI22" s="154"/>
      <c r="FJ22" s="154"/>
      <c r="FK22" s="154"/>
      <c r="FL22" s="154"/>
      <c r="FM22" s="154"/>
      <c r="FN22" s="154"/>
      <c r="FO22" s="154"/>
      <c r="FP22" s="154"/>
      <c r="FQ22" s="154"/>
      <c r="FR22" s="154"/>
      <c r="FS22" s="154"/>
      <c r="FT22" s="154"/>
      <c r="FU22" s="154"/>
      <c r="FV22" s="154"/>
      <c r="FW22" s="154"/>
      <c r="FX22" s="154"/>
      <c r="FY22" s="154"/>
      <c r="FZ22" s="154"/>
      <c r="GA22" s="154"/>
      <c r="GB22" s="154"/>
      <c r="GC22" s="154"/>
      <c r="GD22" s="154"/>
      <c r="GE22" s="154"/>
      <c r="GF22" s="154"/>
      <c r="GG22" s="154"/>
      <c r="GH22" s="154"/>
      <c r="GI22" s="154"/>
      <c r="GJ22" s="154"/>
      <c r="GK22" s="154"/>
      <c r="GL22" s="154"/>
      <c r="GM22" s="154"/>
      <c r="GN22" s="154"/>
      <c r="GO22" s="154"/>
      <c r="GP22" s="154"/>
      <c r="GQ22" s="154"/>
      <c r="GR22" s="154"/>
      <c r="GS22" s="154"/>
      <c r="GT22" s="154"/>
      <c r="GU22" s="154"/>
      <c r="GV22" s="154"/>
      <c r="GW22" s="154"/>
      <c r="GX22" s="154"/>
      <c r="GY22" s="154"/>
      <c r="GZ22" s="154"/>
      <c r="HA22" s="154"/>
      <c r="HB22" s="154"/>
      <c r="HC22" s="154"/>
      <c r="HD22" s="154"/>
      <c r="HE22" s="154"/>
      <c r="HF22" s="154"/>
      <c r="HG22" s="154"/>
      <c r="HH22" s="154"/>
      <c r="HI22" s="154"/>
      <c r="HJ22" s="154"/>
      <c r="HK22" s="154"/>
      <c r="HL22" s="154"/>
      <c r="HM22" s="154"/>
      <c r="HN22" s="154"/>
      <c r="HO22" s="154"/>
      <c r="HP22" s="154"/>
      <c r="HQ22" s="154"/>
      <c r="HR22" s="154"/>
      <c r="HS22" s="154"/>
      <c r="HT22" s="154"/>
      <c r="HU22" s="154"/>
      <c r="HV22" s="154"/>
      <c r="HW22" s="154"/>
      <c r="HX22" s="154"/>
      <c r="HY22" s="154"/>
      <c r="HZ22" s="154"/>
      <c r="IA22" s="154"/>
      <c r="IB22" s="154"/>
      <c r="IC22" s="154"/>
      <c r="ID22" s="154"/>
      <c r="IE22" s="154"/>
      <c r="IF22" s="154"/>
      <c r="IG22" s="154"/>
      <c r="IH22" s="154"/>
      <c r="II22" s="154"/>
    </row>
    <row r="23" spans="1:243" ht="18.75" x14ac:dyDescent="0.3">
      <c r="A23" s="110" t="s">
        <v>151</v>
      </c>
      <c r="B23" s="22"/>
      <c r="C23" s="72">
        <v>990</v>
      </c>
      <c r="D23" s="72">
        <v>990</v>
      </c>
      <c r="E23" s="72">
        <v>990</v>
      </c>
      <c r="F23" s="72">
        <v>990</v>
      </c>
      <c r="G23" s="72">
        <v>990</v>
      </c>
      <c r="H23" s="72">
        <v>990</v>
      </c>
      <c r="I23" s="72">
        <v>990</v>
      </c>
      <c r="J23" s="72">
        <v>990</v>
      </c>
      <c r="K23" s="72">
        <v>990</v>
      </c>
      <c r="L23" s="72">
        <v>990</v>
      </c>
      <c r="M23" s="72">
        <v>990</v>
      </c>
      <c r="N23" s="72">
        <v>990</v>
      </c>
      <c r="O23" s="72">
        <v>990</v>
      </c>
      <c r="P23" s="72">
        <v>990</v>
      </c>
      <c r="Q23" s="72">
        <v>990</v>
      </c>
      <c r="R23" s="72"/>
      <c r="S23" s="159"/>
      <c r="T23" s="115"/>
      <c r="U23" s="115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4"/>
      <c r="BA23" s="154"/>
      <c r="BB23" s="154"/>
      <c r="BC23" s="154"/>
      <c r="BD23" s="154"/>
      <c r="BE23" s="154"/>
      <c r="BF23" s="154"/>
      <c r="BG23" s="154"/>
      <c r="BH23" s="154"/>
      <c r="BI23" s="154"/>
      <c r="BJ23" s="154"/>
      <c r="BK23" s="154"/>
      <c r="BL23" s="154"/>
      <c r="BM23" s="154"/>
      <c r="BN23" s="154"/>
      <c r="BO23" s="154"/>
      <c r="BP23" s="154"/>
      <c r="BQ23" s="154"/>
      <c r="BR23" s="154"/>
      <c r="BS23" s="154"/>
      <c r="BT23" s="154"/>
      <c r="BU23" s="154"/>
      <c r="BV23" s="154"/>
      <c r="BW23" s="154"/>
      <c r="BX23" s="154"/>
      <c r="BY23" s="154"/>
      <c r="BZ23" s="154"/>
      <c r="CA23" s="154"/>
      <c r="CB23" s="154"/>
      <c r="CC23" s="154"/>
      <c r="CD23" s="154"/>
      <c r="CE23" s="154"/>
      <c r="CF23" s="154"/>
      <c r="CG23" s="154"/>
      <c r="CH23" s="154"/>
      <c r="CI23" s="154"/>
      <c r="CJ23" s="154"/>
      <c r="CK23" s="154"/>
      <c r="CL23" s="154"/>
      <c r="CM23" s="154"/>
      <c r="CN23" s="154"/>
      <c r="CO23" s="154"/>
      <c r="CP23" s="154"/>
      <c r="CQ23" s="154"/>
      <c r="CR23" s="154"/>
      <c r="CS23" s="154"/>
      <c r="CT23" s="154"/>
      <c r="CU23" s="154"/>
      <c r="CV23" s="154"/>
      <c r="CW23" s="154"/>
      <c r="CX23" s="154"/>
      <c r="CY23" s="154"/>
      <c r="CZ23" s="154"/>
      <c r="DA23" s="154"/>
      <c r="DB23" s="154"/>
      <c r="DC23" s="154"/>
      <c r="DD23" s="154"/>
      <c r="DE23" s="154"/>
      <c r="DF23" s="154"/>
      <c r="DG23" s="154"/>
      <c r="DH23" s="154"/>
      <c r="DI23" s="154"/>
      <c r="DJ23" s="154"/>
      <c r="DK23" s="154"/>
      <c r="DL23" s="154"/>
      <c r="DM23" s="154"/>
      <c r="DN23" s="154"/>
      <c r="DO23" s="154"/>
      <c r="DP23" s="154"/>
      <c r="DQ23" s="154"/>
      <c r="DR23" s="154"/>
      <c r="DS23" s="154"/>
      <c r="DT23" s="154"/>
      <c r="DU23" s="154"/>
      <c r="DV23" s="154"/>
      <c r="DW23" s="154"/>
      <c r="DX23" s="154"/>
      <c r="DY23" s="154"/>
      <c r="DZ23" s="154"/>
      <c r="EA23" s="154"/>
      <c r="EB23" s="154"/>
      <c r="EC23" s="154"/>
      <c r="ED23" s="154"/>
      <c r="EE23" s="154"/>
      <c r="EF23" s="154"/>
      <c r="EG23" s="154"/>
      <c r="EH23" s="154"/>
      <c r="EI23" s="154"/>
      <c r="EJ23" s="154"/>
      <c r="EK23" s="154"/>
      <c r="EL23" s="154"/>
      <c r="EM23" s="154"/>
      <c r="EN23" s="154"/>
      <c r="EO23" s="154"/>
      <c r="EP23" s="154"/>
      <c r="EQ23" s="154"/>
      <c r="ER23" s="154"/>
      <c r="ES23" s="154"/>
      <c r="ET23" s="154"/>
      <c r="EU23" s="154"/>
      <c r="EV23" s="154"/>
      <c r="EW23" s="154"/>
      <c r="EX23" s="154"/>
      <c r="EY23" s="154"/>
      <c r="EZ23" s="154"/>
      <c r="FA23" s="154"/>
      <c r="FB23" s="154"/>
      <c r="FC23" s="154"/>
      <c r="FD23" s="154"/>
      <c r="FE23" s="154"/>
      <c r="FF23" s="154"/>
      <c r="FG23" s="154"/>
      <c r="FH23" s="154"/>
      <c r="FI23" s="154"/>
      <c r="FJ23" s="154"/>
      <c r="FK23" s="154"/>
      <c r="FL23" s="154"/>
      <c r="FM23" s="154"/>
      <c r="FN23" s="154"/>
      <c r="FO23" s="154"/>
      <c r="FP23" s="154"/>
      <c r="FQ23" s="154"/>
      <c r="FR23" s="154"/>
      <c r="FS23" s="154"/>
      <c r="FT23" s="154"/>
      <c r="FU23" s="154"/>
      <c r="FV23" s="154"/>
      <c r="FW23" s="154"/>
      <c r="FX23" s="154"/>
      <c r="FY23" s="154"/>
      <c r="FZ23" s="154"/>
      <c r="GA23" s="154"/>
      <c r="GB23" s="154"/>
      <c r="GC23" s="154"/>
      <c r="GD23" s="154"/>
      <c r="GE23" s="154"/>
      <c r="GF23" s="154"/>
      <c r="GG23" s="154"/>
      <c r="GH23" s="154"/>
      <c r="GI23" s="154"/>
      <c r="GJ23" s="154"/>
      <c r="GK23" s="154"/>
      <c r="GL23" s="154"/>
      <c r="GM23" s="154"/>
      <c r="GN23" s="154"/>
      <c r="GO23" s="154"/>
      <c r="GP23" s="154"/>
      <c r="GQ23" s="154"/>
      <c r="GR23" s="154"/>
      <c r="GS23" s="154"/>
      <c r="GT23" s="154"/>
      <c r="GU23" s="154"/>
      <c r="GV23" s="154"/>
      <c r="GW23" s="154"/>
      <c r="GX23" s="154"/>
      <c r="GY23" s="154"/>
      <c r="GZ23" s="154"/>
      <c r="HA23" s="154"/>
      <c r="HB23" s="154"/>
      <c r="HC23" s="154"/>
      <c r="HD23" s="154"/>
      <c r="HE23" s="154"/>
      <c r="HF23" s="154"/>
      <c r="HG23" s="154"/>
      <c r="HH23" s="154"/>
      <c r="HI23" s="154"/>
      <c r="HJ23" s="154"/>
      <c r="HK23" s="154"/>
      <c r="HL23" s="154"/>
      <c r="HM23" s="154"/>
      <c r="HN23" s="154"/>
      <c r="HO23" s="154"/>
      <c r="HP23" s="154"/>
      <c r="HQ23" s="154"/>
      <c r="HR23" s="154"/>
      <c r="HS23" s="154"/>
      <c r="HT23" s="154"/>
      <c r="HU23" s="154"/>
      <c r="HV23" s="154"/>
      <c r="HW23" s="154"/>
      <c r="HX23" s="154"/>
      <c r="HY23" s="154"/>
      <c r="HZ23" s="154"/>
      <c r="IA23" s="154"/>
      <c r="IB23" s="154"/>
      <c r="IC23" s="154"/>
      <c r="ID23" s="154"/>
      <c r="IE23" s="154"/>
      <c r="IF23" s="154"/>
      <c r="IG23" s="154"/>
      <c r="IH23" s="154"/>
      <c r="II23" s="154"/>
    </row>
    <row r="24" spans="1:243" ht="18.75" x14ac:dyDescent="0.3">
      <c r="A24" s="106"/>
      <c r="B24" s="53" t="s">
        <v>76</v>
      </c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21"/>
      <c r="S24" s="159"/>
      <c r="T24" s="115"/>
      <c r="U24" s="115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  <c r="BG24" s="154"/>
      <c r="BH24" s="154"/>
      <c r="BI24" s="154"/>
      <c r="BJ24" s="154"/>
      <c r="BK24" s="154"/>
      <c r="BL24" s="154"/>
      <c r="BM24" s="154"/>
      <c r="BN24" s="154"/>
      <c r="BO24" s="154"/>
      <c r="BP24" s="154"/>
      <c r="BQ24" s="154"/>
      <c r="BR24" s="154"/>
      <c r="BS24" s="154"/>
      <c r="BT24" s="154"/>
      <c r="BU24" s="154"/>
      <c r="BV24" s="154"/>
      <c r="BW24" s="154"/>
      <c r="BX24" s="154"/>
      <c r="BY24" s="154"/>
      <c r="BZ24" s="154"/>
      <c r="CA24" s="154"/>
      <c r="CB24" s="154"/>
      <c r="CC24" s="154"/>
      <c r="CD24" s="154"/>
      <c r="CE24" s="154"/>
      <c r="CF24" s="154"/>
      <c r="CG24" s="154"/>
      <c r="CH24" s="154"/>
      <c r="CI24" s="154"/>
      <c r="CJ24" s="154"/>
      <c r="CK24" s="154"/>
      <c r="CL24" s="154"/>
      <c r="CM24" s="154"/>
      <c r="CN24" s="154"/>
      <c r="CO24" s="154"/>
      <c r="CP24" s="154"/>
      <c r="CQ24" s="154"/>
      <c r="CR24" s="154"/>
      <c r="CS24" s="154"/>
      <c r="CT24" s="154"/>
      <c r="CU24" s="154"/>
      <c r="CV24" s="154"/>
      <c r="CW24" s="154"/>
      <c r="CX24" s="154"/>
      <c r="CY24" s="154"/>
      <c r="CZ24" s="154"/>
      <c r="DA24" s="154"/>
      <c r="DB24" s="154"/>
      <c r="DC24" s="154"/>
      <c r="DD24" s="154"/>
      <c r="DE24" s="154"/>
      <c r="DF24" s="154"/>
      <c r="DG24" s="154"/>
      <c r="DH24" s="154"/>
      <c r="DI24" s="154"/>
      <c r="DJ24" s="154"/>
      <c r="DK24" s="154"/>
      <c r="DL24" s="154"/>
      <c r="DM24" s="154"/>
      <c r="DN24" s="154"/>
      <c r="DO24" s="154"/>
      <c r="DP24" s="154"/>
      <c r="DQ24" s="154"/>
      <c r="DR24" s="154"/>
      <c r="DS24" s="154"/>
      <c r="DT24" s="154"/>
      <c r="DU24" s="154"/>
      <c r="DV24" s="154"/>
      <c r="DW24" s="154"/>
      <c r="DX24" s="154"/>
      <c r="DY24" s="154"/>
      <c r="DZ24" s="154"/>
      <c r="EA24" s="154"/>
      <c r="EB24" s="154"/>
      <c r="EC24" s="154"/>
      <c r="ED24" s="154"/>
      <c r="EE24" s="154"/>
      <c r="EF24" s="154"/>
      <c r="EG24" s="154"/>
      <c r="EH24" s="154"/>
      <c r="EI24" s="154"/>
      <c r="EJ24" s="154"/>
      <c r="EK24" s="154"/>
      <c r="EL24" s="154"/>
      <c r="EM24" s="154"/>
      <c r="EN24" s="154"/>
      <c r="EO24" s="154"/>
      <c r="EP24" s="154"/>
      <c r="EQ24" s="154"/>
      <c r="ER24" s="154"/>
      <c r="ES24" s="154"/>
      <c r="ET24" s="154"/>
      <c r="EU24" s="154"/>
      <c r="EV24" s="154"/>
      <c r="EW24" s="154"/>
      <c r="EX24" s="154"/>
      <c r="EY24" s="154"/>
      <c r="EZ24" s="154"/>
      <c r="FA24" s="154"/>
      <c r="FB24" s="154"/>
      <c r="FC24" s="154"/>
      <c r="FD24" s="154"/>
      <c r="FE24" s="154"/>
      <c r="FF24" s="154"/>
      <c r="FG24" s="154"/>
      <c r="FH24" s="154"/>
      <c r="FI24" s="154"/>
      <c r="FJ24" s="154"/>
      <c r="FK24" s="154"/>
      <c r="FL24" s="154"/>
      <c r="FM24" s="154"/>
      <c r="FN24" s="154"/>
      <c r="FO24" s="154"/>
      <c r="FP24" s="154"/>
      <c r="FQ24" s="154"/>
      <c r="FR24" s="154"/>
      <c r="FS24" s="154"/>
      <c r="FT24" s="154"/>
      <c r="FU24" s="154"/>
      <c r="FV24" s="154"/>
      <c r="FW24" s="154"/>
      <c r="FX24" s="154"/>
      <c r="FY24" s="154"/>
      <c r="FZ24" s="154"/>
      <c r="GA24" s="154"/>
      <c r="GB24" s="154"/>
      <c r="GC24" s="154"/>
      <c r="GD24" s="154"/>
      <c r="GE24" s="154"/>
      <c r="GF24" s="154"/>
      <c r="GG24" s="154"/>
      <c r="GH24" s="154"/>
      <c r="GI24" s="154"/>
      <c r="GJ24" s="154"/>
      <c r="GK24" s="154"/>
      <c r="GL24" s="154"/>
      <c r="GM24" s="154"/>
      <c r="GN24" s="154"/>
      <c r="GO24" s="154"/>
      <c r="GP24" s="154"/>
      <c r="GQ24" s="154"/>
      <c r="GR24" s="154"/>
      <c r="GS24" s="154"/>
      <c r="GT24" s="154"/>
      <c r="GU24" s="154"/>
      <c r="GV24" s="154"/>
      <c r="GW24" s="154"/>
      <c r="GX24" s="154"/>
      <c r="GY24" s="154"/>
      <c r="GZ24" s="154"/>
      <c r="HA24" s="154"/>
      <c r="HB24" s="154"/>
      <c r="HC24" s="154"/>
      <c r="HD24" s="154"/>
      <c r="HE24" s="154"/>
      <c r="HF24" s="154"/>
      <c r="HG24" s="154"/>
      <c r="HH24" s="154"/>
      <c r="HI24" s="154"/>
      <c r="HJ24" s="154"/>
      <c r="HK24" s="154"/>
      <c r="HL24" s="154"/>
      <c r="HM24" s="154"/>
      <c r="HN24" s="154"/>
      <c r="HO24" s="154"/>
      <c r="HP24" s="154"/>
      <c r="HQ24" s="154"/>
      <c r="HR24" s="154"/>
      <c r="HS24" s="154"/>
      <c r="HT24" s="154"/>
      <c r="HU24" s="154"/>
      <c r="HV24" s="154"/>
      <c r="HW24" s="154"/>
      <c r="HX24" s="154"/>
      <c r="HY24" s="154"/>
      <c r="HZ24" s="154"/>
      <c r="IA24" s="154"/>
      <c r="IB24" s="154"/>
      <c r="IC24" s="154"/>
      <c r="ID24" s="154"/>
      <c r="IE24" s="154"/>
      <c r="IF24" s="154"/>
      <c r="IG24" s="154"/>
      <c r="IH24" s="154"/>
      <c r="II24" s="154"/>
    </row>
    <row r="25" spans="1:243" ht="18.75" x14ac:dyDescent="0.3">
      <c r="A25" s="106"/>
      <c r="B25" s="21" t="s">
        <v>60</v>
      </c>
      <c r="C25" s="54">
        <f>ROUND(C22*C23,0)</f>
        <v>15119280</v>
      </c>
      <c r="D25" s="54">
        <f t="shared" ref="D25:M25" si="4">ROUND(D22*D23,0)</f>
        <v>0</v>
      </c>
      <c r="E25" s="54">
        <f t="shared" si="4"/>
        <v>8233830</v>
      </c>
      <c r="F25" s="54">
        <f t="shared" si="4"/>
        <v>0</v>
      </c>
      <c r="G25" s="54">
        <f>ROUND(G22*G23,0)+2000000</f>
        <v>9586370</v>
      </c>
      <c r="H25" s="54">
        <f t="shared" si="4"/>
        <v>0</v>
      </c>
      <c r="I25" s="54">
        <f t="shared" si="4"/>
        <v>1988910</v>
      </c>
      <c r="J25" s="54">
        <f t="shared" si="4"/>
        <v>13699620</v>
      </c>
      <c r="K25" s="54">
        <f t="shared" si="4"/>
        <v>884070</v>
      </c>
      <c r="L25" s="54">
        <f t="shared" si="4"/>
        <v>1664190</v>
      </c>
      <c r="M25" s="54">
        <f t="shared" si="4"/>
        <v>1348380</v>
      </c>
      <c r="N25" s="54">
        <f>N23*N22</f>
        <v>0</v>
      </c>
      <c r="O25" s="54">
        <f>O23*O22</f>
        <v>0</v>
      </c>
      <c r="P25" s="54">
        <f>P23*P22</f>
        <v>0</v>
      </c>
      <c r="Q25" s="54">
        <f>Q23*Q22</f>
        <v>0</v>
      </c>
      <c r="R25" s="21">
        <f>SUM(C25:Q25)</f>
        <v>52524650</v>
      </c>
      <c r="S25" s="164"/>
      <c r="T25" s="115"/>
      <c r="U25" s="115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  <c r="BM25" s="154"/>
      <c r="BN25" s="154"/>
      <c r="BO25" s="154"/>
      <c r="BP25" s="154"/>
      <c r="BQ25" s="154"/>
      <c r="BR25" s="154"/>
      <c r="BS25" s="154"/>
      <c r="BT25" s="154"/>
      <c r="BU25" s="154"/>
      <c r="BV25" s="154"/>
      <c r="BW25" s="154"/>
      <c r="BX25" s="154"/>
      <c r="BY25" s="154"/>
      <c r="BZ25" s="154"/>
      <c r="CA25" s="154"/>
      <c r="CB25" s="154"/>
      <c r="CC25" s="154"/>
      <c r="CD25" s="154"/>
      <c r="CE25" s="154"/>
      <c r="CF25" s="154"/>
      <c r="CG25" s="154"/>
      <c r="CH25" s="154"/>
      <c r="CI25" s="154"/>
      <c r="CJ25" s="154"/>
      <c r="CK25" s="154"/>
      <c r="CL25" s="154"/>
      <c r="CM25" s="154"/>
      <c r="CN25" s="154"/>
      <c r="CO25" s="154"/>
      <c r="CP25" s="154"/>
      <c r="CQ25" s="154"/>
      <c r="CR25" s="154"/>
      <c r="CS25" s="154"/>
      <c r="CT25" s="154"/>
      <c r="CU25" s="154"/>
      <c r="CV25" s="154"/>
      <c r="CW25" s="154"/>
      <c r="CX25" s="154"/>
      <c r="CY25" s="154"/>
      <c r="CZ25" s="154"/>
      <c r="DA25" s="154"/>
      <c r="DB25" s="154"/>
      <c r="DC25" s="154"/>
      <c r="DD25" s="154"/>
      <c r="DE25" s="154"/>
      <c r="DF25" s="154"/>
      <c r="DG25" s="154"/>
      <c r="DH25" s="154"/>
      <c r="DI25" s="154"/>
      <c r="DJ25" s="154"/>
      <c r="DK25" s="154"/>
      <c r="DL25" s="154"/>
      <c r="DM25" s="154"/>
      <c r="DN25" s="154"/>
      <c r="DO25" s="154"/>
      <c r="DP25" s="154"/>
      <c r="DQ25" s="154"/>
      <c r="DR25" s="154"/>
      <c r="DS25" s="154"/>
      <c r="DT25" s="154"/>
      <c r="DU25" s="154"/>
      <c r="DV25" s="154"/>
      <c r="DW25" s="154"/>
      <c r="DX25" s="154"/>
      <c r="DY25" s="154"/>
      <c r="DZ25" s="154"/>
      <c r="EA25" s="154"/>
      <c r="EB25" s="154"/>
      <c r="EC25" s="154"/>
      <c r="ED25" s="154"/>
      <c r="EE25" s="154"/>
      <c r="EF25" s="154"/>
      <c r="EG25" s="154"/>
      <c r="EH25" s="154"/>
      <c r="EI25" s="154"/>
      <c r="EJ25" s="154"/>
      <c r="EK25" s="154"/>
      <c r="EL25" s="154"/>
      <c r="EM25" s="154"/>
      <c r="EN25" s="154"/>
      <c r="EO25" s="154"/>
      <c r="EP25" s="154"/>
      <c r="EQ25" s="154"/>
      <c r="ER25" s="154"/>
      <c r="ES25" s="154"/>
      <c r="ET25" s="154"/>
      <c r="EU25" s="154"/>
      <c r="EV25" s="154"/>
      <c r="EW25" s="154"/>
      <c r="EX25" s="154"/>
      <c r="EY25" s="154"/>
      <c r="EZ25" s="154"/>
      <c r="FA25" s="154"/>
      <c r="FB25" s="154"/>
      <c r="FC25" s="154"/>
      <c r="FD25" s="154"/>
      <c r="FE25" s="154"/>
      <c r="FF25" s="154"/>
      <c r="FG25" s="154"/>
      <c r="FH25" s="154"/>
      <c r="FI25" s="154"/>
      <c r="FJ25" s="154"/>
      <c r="FK25" s="154"/>
      <c r="FL25" s="154"/>
      <c r="FM25" s="154"/>
      <c r="FN25" s="154"/>
      <c r="FO25" s="154"/>
      <c r="FP25" s="154"/>
      <c r="FQ25" s="154"/>
      <c r="FR25" s="154"/>
      <c r="FS25" s="154"/>
      <c r="FT25" s="154"/>
      <c r="FU25" s="154"/>
      <c r="FV25" s="154"/>
      <c r="FW25" s="154"/>
      <c r="FX25" s="154"/>
      <c r="FY25" s="154"/>
      <c r="FZ25" s="154"/>
      <c r="GA25" s="154"/>
      <c r="GB25" s="154"/>
      <c r="GC25" s="154"/>
      <c r="GD25" s="154"/>
      <c r="GE25" s="154"/>
      <c r="GF25" s="154"/>
      <c r="GG25" s="154"/>
      <c r="GH25" s="154"/>
      <c r="GI25" s="154"/>
      <c r="GJ25" s="154"/>
      <c r="GK25" s="154"/>
      <c r="GL25" s="154"/>
      <c r="GM25" s="154"/>
      <c r="GN25" s="154"/>
      <c r="GO25" s="154"/>
      <c r="GP25" s="154"/>
      <c r="GQ25" s="154"/>
      <c r="GR25" s="154"/>
      <c r="GS25" s="154"/>
      <c r="GT25" s="154"/>
      <c r="GU25" s="154"/>
      <c r="GV25" s="154"/>
      <c r="GW25" s="154"/>
      <c r="GX25" s="154"/>
      <c r="GY25" s="154"/>
      <c r="GZ25" s="154"/>
      <c r="HA25" s="154"/>
      <c r="HB25" s="154"/>
      <c r="HC25" s="154"/>
      <c r="HD25" s="154"/>
      <c r="HE25" s="154"/>
      <c r="HF25" s="154"/>
      <c r="HG25" s="154"/>
      <c r="HH25" s="154"/>
      <c r="HI25" s="154"/>
      <c r="HJ25" s="154"/>
      <c r="HK25" s="154"/>
      <c r="HL25" s="154"/>
      <c r="HM25" s="154"/>
      <c r="HN25" s="154"/>
      <c r="HO25" s="154"/>
      <c r="HP25" s="154"/>
      <c r="HQ25" s="154"/>
      <c r="HR25" s="154"/>
      <c r="HS25" s="154"/>
      <c r="HT25" s="154"/>
      <c r="HU25" s="154"/>
      <c r="HV25" s="154"/>
      <c r="HW25" s="154"/>
      <c r="HX25" s="154"/>
      <c r="HY25" s="154"/>
      <c r="HZ25" s="154"/>
      <c r="IA25" s="154"/>
      <c r="IB25" s="154"/>
      <c r="IC25" s="154"/>
      <c r="ID25" s="154"/>
      <c r="IE25" s="154"/>
      <c r="IF25" s="154"/>
      <c r="IG25" s="154"/>
      <c r="IH25" s="154"/>
      <c r="II25" s="154"/>
    </row>
    <row r="26" spans="1:243" s="71" customFormat="1" ht="18.75" x14ac:dyDescent="0.3">
      <c r="A26" s="70" t="s">
        <v>61</v>
      </c>
      <c r="B26" s="67" t="s">
        <v>59</v>
      </c>
      <c r="C26" s="109">
        <v>36493</v>
      </c>
      <c r="D26" s="109">
        <v>11521</v>
      </c>
      <c r="E26" s="109">
        <v>8684</v>
      </c>
      <c r="F26" s="109">
        <v>37931</v>
      </c>
      <c r="G26" s="109">
        <v>23930</v>
      </c>
      <c r="H26" s="109">
        <v>17378</v>
      </c>
      <c r="I26" s="109">
        <v>41989</v>
      </c>
      <c r="J26" s="109">
        <v>39379</v>
      </c>
      <c r="K26" s="109">
        <v>15096</v>
      </c>
      <c r="L26" s="67">
        <v>8230</v>
      </c>
      <c r="M26" s="67">
        <v>25250</v>
      </c>
      <c r="N26" s="67"/>
      <c r="O26" s="67"/>
      <c r="P26" s="67"/>
      <c r="Q26" s="67"/>
      <c r="R26" s="109">
        <f>SUM(C26:Q26)</f>
        <v>265881</v>
      </c>
      <c r="S26" s="159"/>
      <c r="T26" s="115"/>
      <c r="U26" s="115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4"/>
      <c r="BI26" s="154"/>
      <c r="BJ26" s="154"/>
      <c r="BK26" s="154"/>
      <c r="BL26" s="154"/>
      <c r="BM26" s="154"/>
      <c r="BN26" s="154"/>
      <c r="BO26" s="154"/>
      <c r="BP26" s="154"/>
      <c r="BQ26" s="154"/>
      <c r="BR26" s="154"/>
      <c r="BS26" s="154"/>
      <c r="BT26" s="154"/>
      <c r="BU26" s="154"/>
      <c r="BV26" s="154"/>
      <c r="BW26" s="154"/>
      <c r="BX26" s="154"/>
      <c r="BY26" s="154"/>
      <c r="BZ26" s="154"/>
      <c r="CA26" s="154"/>
      <c r="CB26" s="154"/>
      <c r="CC26" s="154"/>
      <c r="CD26" s="154"/>
      <c r="CE26" s="154"/>
      <c r="CF26" s="154"/>
      <c r="CG26" s="154"/>
      <c r="CH26" s="154"/>
      <c r="CI26" s="154"/>
      <c r="CJ26" s="154"/>
      <c r="CK26" s="154"/>
      <c r="CL26" s="154"/>
      <c r="CM26" s="154"/>
      <c r="CN26" s="154"/>
      <c r="CO26" s="154"/>
      <c r="CP26" s="154"/>
      <c r="CQ26" s="154"/>
      <c r="CR26" s="154"/>
      <c r="CS26" s="154"/>
      <c r="CT26" s="154"/>
      <c r="CU26" s="154"/>
      <c r="CV26" s="154"/>
      <c r="CW26" s="154"/>
      <c r="CX26" s="154"/>
      <c r="CY26" s="154"/>
      <c r="CZ26" s="154"/>
      <c r="DA26" s="154"/>
      <c r="DB26" s="154"/>
      <c r="DC26" s="154"/>
      <c r="DD26" s="154"/>
      <c r="DE26" s="154"/>
      <c r="DF26" s="154"/>
      <c r="DG26" s="154"/>
      <c r="DH26" s="154"/>
      <c r="DI26" s="154"/>
      <c r="DJ26" s="154"/>
      <c r="DK26" s="154"/>
      <c r="DL26" s="154"/>
      <c r="DM26" s="154"/>
      <c r="DN26" s="154"/>
      <c r="DO26" s="154"/>
      <c r="DP26" s="154"/>
      <c r="DQ26" s="154"/>
      <c r="DR26" s="154"/>
      <c r="DS26" s="154"/>
      <c r="DT26" s="154"/>
      <c r="DU26" s="154"/>
      <c r="DV26" s="154"/>
      <c r="DW26" s="154"/>
      <c r="DX26" s="154"/>
      <c r="DY26" s="154"/>
      <c r="DZ26" s="154"/>
      <c r="EA26" s="154"/>
      <c r="EB26" s="154"/>
      <c r="EC26" s="154"/>
      <c r="ED26" s="154"/>
      <c r="EE26" s="154"/>
      <c r="EF26" s="154"/>
      <c r="EG26" s="154"/>
      <c r="EH26" s="154"/>
      <c r="EI26" s="154"/>
      <c r="EJ26" s="154"/>
      <c r="EK26" s="154"/>
      <c r="EL26" s="154"/>
      <c r="EM26" s="154"/>
      <c r="EN26" s="154"/>
      <c r="EO26" s="154"/>
      <c r="EP26" s="154"/>
      <c r="EQ26" s="154"/>
      <c r="ER26" s="154"/>
      <c r="ES26" s="154"/>
      <c r="ET26" s="154"/>
      <c r="EU26" s="154"/>
      <c r="EV26" s="154"/>
      <c r="EW26" s="154"/>
      <c r="EX26" s="154"/>
      <c r="EY26" s="154"/>
      <c r="EZ26" s="154"/>
      <c r="FA26" s="154"/>
      <c r="FB26" s="154"/>
      <c r="FC26" s="154"/>
      <c r="FD26" s="154"/>
      <c r="FE26" s="154"/>
      <c r="FF26" s="154"/>
      <c r="FG26" s="154"/>
      <c r="FH26" s="154"/>
      <c r="FI26" s="154"/>
      <c r="FJ26" s="154"/>
      <c r="FK26" s="154"/>
      <c r="FL26" s="154"/>
      <c r="FM26" s="154"/>
      <c r="FN26" s="154"/>
      <c r="FO26" s="154"/>
      <c r="FP26" s="154"/>
      <c r="FQ26" s="154"/>
      <c r="FR26" s="154"/>
      <c r="FS26" s="154"/>
      <c r="FT26" s="154"/>
      <c r="FU26" s="154"/>
      <c r="FV26" s="154"/>
      <c r="FW26" s="154"/>
      <c r="FX26" s="154"/>
      <c r="FY26" s="154"/>
      <c r="FZ26" s="154"/>
      <c r="GA26" s="154"/>
      <c r="GB26" s="154"/>
      <c r="GC26" s="154"/>
      <c r="GD26" s="154"/>
      <c r="GE26" s="154"/>
      <c r="GF26" s="154"/>
      <c r="GG26" s="154"/>
      <c r="GH26" s="154"/>
      <c r="GI26" s="154"/>
      <c r="GJ26" s="154"/>
      <c r="GK26" s="154"/>
      <c r="GL26" s="154"/>
      <c r="GM26" s="154"/>
      <c r="GN26" s="154"/>
      <c r="GO26" s="154"/>
      <c r="GP26" s="154"/>
      <c r="GQ26" s="154"/>
      <c r="GR26" s="154"/>
      <c r="GS26" s="154"/>
      <c r="GT26" s="154"/>
      <c r="GU26" s="154"/>
      <c r="GV26" s="154"/>
      <c r="GW26" s="154"/>
      <c r="GX26" s="154"/>
      <c r="GY26" s="154"/>
      <c r="GZ26" s="154"/>
      <c r="HA26" s="154"/>
      <c r="HB26" s="154"/>
      <c r="HC26" s="154"/>
      <c r="HD26" s="154"/>
      <c r="HE26" s="154"/>
      <c r="HF26" s="154"/>
      <c r="HG26" s="154"/>
      <c r="HH26" s="154"/>
      <c r="HI26" s="154"/>
      <c r="HJ26" s="154"/>
      <c r="HK26" s="154"/>
      <c r="HL26" s="154"/>
      <c r="HM26" s="154"/>
      <c r="HN26" s="154"/>
      <c r="HO26" s="154"/>
      <c r="HP26" s="154"/>
      <c r="HQ26" s="154"/>
      <c r="HR26" s="154"/>
      <c r="HS26" s="154"/>
      <c r="HT26" s="154"/>
      <c r="HU26" s="154"/>
      <c r="HV26" s="154"/>
      <c r="HW26" s="154"/>
      <c r="HX26" s="154"/>
      <c r="HY26" s="154"/>
      <c r="HZ26" s="154"/>
      <c r="IA26" s="154"/>
      <c r="IB26" s="154"/>
      <c r="IC26" s="154"/>
      <c r="ID26" s="154"/>
      <c r="IE26" s="154"/>
      <c r="IF26" s="154"/>
      <c r="IG26" s="154"/>
      <c r="IH26" s="154"/>
      <c r="II26" s="154"/>
    </row>
    <row r="27" spans="1:243" ht="18.75" x14ac:dyDescent="0.3">
      <c r="A27" s="18"/>
      <c r="B27" s="20"/>
      <c r="C27" s="72">
        <v>990</v>
      </c>
      <c r="D27" s="72">
        <v>990</v>
      </c>
      <c r="E27" s="72">
        <v>990</v>
      </c>
      <c r="F27" s="72">
        <v>990</v>
      </c>
      <c r="G27" s="72">
        <v>990</v>
      </c>
      <c r="H27" s="72">
        <v>990</v>
      </c>
      <c r="I27" s="72">
        <v>990</v>
      </c>
      <c r="J27" s="72">
        <v>990</v>
      </c>
      <c r="K27" s="72">
        <v>990</v>
      </c>
      <c r="L27" s="72">
        <v>990</v>
      </c>
      <c r="M27" s="72">
        <v>990</v>
      </c>
      <c r="N27" s="72">
        <v>990</v>
      </c>
      <c r="O27" s="72">
        <v>990</v>
      </c>
      <c r="P27" s="72">
        <v>990</v>
      </c>
      <c r="Q27" s="72">
        <v>990</v>
      </c>
      <c r="R27" s="72"/>
      <c r="S27" s="159"/>
      <c r="T27" s="115"/>
      <c r="U27" s="115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  <c r="BH27" s="154"/>
      <c r="BI27" s="154"/>
      <c r="BJ27" s="154"/>
      <c r="BK27" s="154"/>
      <c r="BL27" s="154"/>
      <c r="BM27" s="154"/>
      <c r="BN27" s="154"/>
      <c r="BO27" s="154"/>
      <c r="BP27" s="154"/>
      <c r="BQ27" s="154"/>
      <c r="BR27" s="154"/>
      <c r="BS27" s="154"/>
      <c r="BT27" s="154"/>
      <c r="BU27" s="154"/>
      <c r="BV27" s="154"/>
      <c r="BW27" s="154"/>
      <c r="BX27" s="154"/>
      <c r="BY27" s="154"/>
      <c r="BZ27" s="154"/>
      <c r="CA27" s="154"/>
      <c r="CB27" s="154"/>
      <c r="CC27" s="154"/>
      <c r="CD27" s="154"/>
      <c r="CE27" s="154"/>
      <c r="CF27" s="154"/>
      <c r="CG27" s="154"/>
      <c r="CH27" s="154"/>
      <c r="CI27" s="154"/>
      <c r="CJ27" s="154"/>
      <c r="CK27" s="154"/>
      <c r="CL27" s="154"/>
      <c r="CM27" s="154"/>
      <c r="CN27" s="154"/>
      <c r="CO27" s="154"/>
      <c r="CP27" s="154"/>
      <c r="CQ27" s="154"/>
      <c r="CR27" s="154"/>
      <c r="CS27" s="154"/>
      <c r="CT27" s="154"/>
      <c r="CU27" s="154"/>
      <c r="CV27" s="154"/>
      <c r="CW27" s="154"/>
      <c r="CX27" s="154"/>
      <c r="CY27" s="154"/>
      <c r="CZ27" s="154"/>
      <c r="DA27" s="154"/>
      <c r="DB27" s="154"/>
      <c r="DC27" s="154"/>
      <c r="DD27" s="154"/>
      <c r="DE27" s="154"/>
      <c r="DF27" s="154"/>
      <c r="DG27" s="154"/>
      <c r="DH27" s="154"/>
      <c r="DI27" s="154"/>
      <c r="DJ27" s="154"/>
      <c r="DK27" s="154"/>
      <c r="DL27" s="154"/>
      <c r="DM27" s="154"/>
      <c r="DN27" s="154"/>
      <c r="DO27" s="154"/>
      <c r="DP27" s="154"/>
      <c r="DQ27" s="154"/>
      <c r="DR27" s="154"/>
      <c r="DS27" s="154"/>
      <c r="DT27" s="154"/>
      <c r="DU27" s="154"/>
      <c r="DV27" s="154"/>
      <c r="DW27" s="154"/>
      <c r="DX27" s="154"/>
      <c r="DY27" s="154"/>
      <c r="DZ27" s="154"/>
      <c r="EA27" s="154"/>
      <c r="EB27" s="154"/>
      <c r="EC27" s="154"/>
      <c r="ED27" s="154"/>
      <c r="EE27" s="154"/>
      <c r="EF27" s="154"/>
      <c r="EG27" s="154"/>
      <c r="EH27" s="154"/>
      <c r="EI27" s="154"/>
      <c r="EJ27" s="154"/>
      <c r="EK27" s="154"/>
      <c r="EL27" s="154"/>
      <c r="EM27" s="154"/>
      <c r="EN27" s="154"/>
      <c r="EO27" s="154"/>
      <c r="EP27" s="154"/>
      <c r="EQ27" s="154"/>
      <c r="ER27" s="154"/>
      <c r="ES27" s="154"/>
      <c r="ET27" s="154"/>
      <c r="EU27" s="154"/>
      <c r="EV27" s="154"/>
      <c r="EW27" s="154"/>
      <c r="EX27" s="154"/>
      <c r="EY27" s="154"/>
      <c r="EZ27" s="154"/>
      <c r="FA27" s="154"/>
      <c r="FB27" s="154"/>
      <c r="FC27" s="154"/>
      <c r="FD27" s="154"/>
      <c r="FE27" s="154"/>
      <c r="FF27" s="154"/>
      <c r="FG27" s="154"/>
      <c r="FH27" s="154"/>
      <c r="FI27" s="154"/>
      <c r="FJ27" s="154"/>
      <c r="FK27" s="154"/>
      <c r="FL27" s="154"/>
      <c r="FM27" s="154"/>
      <c r="FN27" s="154"/>
      <c r="FO27" s="154"/>
      <c r="FP27" s="154"/>
      <c r="FQ27" s="154"/>
      <c r="FR27" s="154"/>
      <c r="FS27" s="154"/>
      <c r="FT27" s="154"/>
      <c r="FU27" s="154"/>
      <c r="FV27" s="154"/>
      <c r="FW27" s="154"/>
      <c r="FX27" s="154"/>
      <c r="FY27" s="154"/>
      <c r="FZ27" s="154"/>
      <c r="GA27" s="154"/>
      <c r="GB27" s="154"/>
      <c r="GC27" s="154"/>
      <c r="GD27" s="154"/>
      <c r="GE27" s="154"/>
      <c r="GF27" s="154"/>
      <c r="GG27" s="154"/>
      <c r="GH27" s="154"/>
      <c r="GI27" s="154"/>
      <c r="GJ27" s="154"/>
      <c r="GK27" s="154"/>
      <c r="GL27" s="154"/>
      <c r="GM27" s="154"/>
      <c r="GN27" s="154"/>
      <c r="GO27" s="154"/>
      <c r="GP27" s="154"/>
      <c r="GQ27" s="154"/>
      <c r="GR27" s="154"/>
      <c r="GS27" s="154"/>
      <c r="GT27" s="154"/>
      <c r="GU27" s="154"/>
      <c r="GV27" s="154"/>
      <c r="GW27" s="154"/>
      <c r="GX27" s="154"/>
      <c r="GY27" s="154"/>
      <c r="GZ27" s="154"/>
      <c r="HA27" s="154"/>
      <c r="HB27" s="154"/>
      <c r="HC27" s="154"/>
      <c r="HD27" s="154"/>
      <c r="HE27" s="154"/>
      <c r="HF27" s="154"/>
      <c r="HG27" s="154"/>
      <c r="HH27" s="154"/>
      <c r="HI27" s="154"/>
      <c r="HJ27" s="154"/>
      <c r="HK27" s="154"/>
      <c r="HL27" s="154"/>
      <c r="HM27" s="154"/>
      <c r="HN27" s="154"/>
      <c r="HO27" s="154"/>
      <c r="HP27" s="154"/>
      <c r="HQ27" s="154"/>
      <c r="HR27" s="154"/>
      <c r="HS27" s="154"/>
      <c r="HT27" s="154"/>
      <c r="HU27" s="154"/>
      <c r="HV27" s="154"/>
      <c r="HW27" s="154"/>
      <c r="HX27" s="154"/>
      <c r="HY27" s="154"/>
      <c r="HZ27" s="154"/>
      <c r="IA27" s="154"/>
      <c r="IB27" s="154"/>
      <c r="IC27" s="154"/>
      <c r="ID27" s="154"/>
      <c r="IE27" s="154"/>
      <c r="IF27" s="154"/>
      <c r="IG27" s="154"/>
      <c r="IH27" s="154"/>
      <c r="II27" s="154"/>
    </row>
    <row r="28" spans="1:243" ht="18.75" x14ac:dyDescent="0.3">
      <c r="A28" s="18"/>
      <c r="B28" s="21" t="s">
        <v>60</v>
      </c>
      <c r="C28" s="54">
        <f>ROUND(C26*C27,0)</f>
        <v>36128070</v>
      </c>
      <c r="D28" s="54">
        <f t="shared" ref="D28:M28" si="5">ROUND(D26*D27,0)</f>
        <v>11405790</v>
      </c>
      <c r="E28" s="54">
        <f t="shared" si="5"/>
        <v>8597160</v>
      </c>
      <c r="F28" s="54">
        <f t="shared" si="5"/>
        <v>37551690</v>
      </c>
      <c r="G28" s="54">
        <f t="shared" si="5"/>
        <v>23690700</v>
      </c>
      <c r="H28" s="54">
        <f t="shared" si="5"/>
        <v>17204220</v>
      </c>
      <c r="I28" s="54">
        <f t="shared" si="5"/>
        <v>41569110</v>
      </c>
      <c r="J28" s="54">
        <f t="shared" si="5"/>
        <v>38985210</v>
      </c>
      <c r="K28" s="54">
        <f t="shared" si="5"/>
        <v>14945040</v>
      </c>
      <c r="L28" s="54">
        <f t="shared" si="5"/>
        <v>8147700</v>
      </c>
      <c r="M28" s="54">
        <f t="shared" si="5"/>
        <v>24997500</v>
      </c>
      <c r="N28" s="21">
        <f>N26*N27</f>
        <v>0</v>
      </c>
      <c r="O28" s="21">
        <f>O26*O27</f>
        <v>0</v>
      </c>
      <c r="P28" s="21">
        <f>P26*P27</f>
        <v>0</v>
      </c>
      <c r="Q28" s="21">
        <f>Q26*Q27</f>
        <v>0</v>
      </c>
      <c r="R28" s="54">
        <f>ROUND(SUM(C28:Q28),0)</f>
        <v>263222190</v>
      </c>
      <c r="S28" s="159"/>
      <c r="T28" s="115"/>
      <c r="U28" s="115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  <c r="BN28" s="154"/>
      <c r="BO28" s="154"/>
      <c r="BP28" s="154"/>
      <c r="BQ28" s="154"/>
      <c r="BR28" s="154"/>
      <c r="BS28" s="154"/>
      <c r="BT28" s="154"/>
      <c r="BU28" s="154"/>
      <c r="BV28" s="154"/>
      <c r="BW28" s="154"/>
      <c r="BX28" s="154"/>
      <c r="BY28" s="154"/>
      <c r="BZ28" s="154"/>
      <c r="CA28" s="154"/>
      <c r="CB28" s="154"/>
      <c r="CC28" s="154"/>
      <c r="CD28" s="154"/>
      <c r="CE28" s="154"/>
      <c r="CF28" s="154"/>
      <c r="CG28" s="154"/>
      <c r="CH28" s="154"/>
      <c r="CI28" s="154"/>
      <c r="CJ28" s="154"/>
      <c r="CK28" s="154"/>
      <c r="CL28" s="154"/>
      <c r="CM28" s="154"/>
      <c r="CN28" s="154"/>
      <c r="CO28" s="154"/>
      <c r="CP28" s="154"/>
      <c r="CQ28" s="154"/>
      <c r="CR28" s="154"/>
      <c r="CS28" s="154"/>
      <c r="CT28" s="154"/>
      <c r="CU28" s="154"/>
      <c r="CV28" s="154"/>
      <c r="CW28" s="154"/>
      <c r="CX28" s="154"/>
      <c r="CY28" s="154"/>
      <c r="CZ28" s="154"/>
      <c r="DA28" s="154"/>
      <c r="DB28" s="154"/>
      <c r="DC28" s="154"/>
      <c r="DD28" s="154"/>
      <c r="DE28" s="154"/>
      <c r="DF28" s="154"/>
      <c r="DG28" s="154"/>
      <c r="DH28" s="154"/>
      <c r="DI28" s="154"/>
      <c r="DJ28" s="154"/>
      <c r="DK28" s="154"/>
      <c r="DL28" s="154"/>
      <c r="DM28" s="154"/>
      <c r="DN28" s="154"/>
      <c r="DO28" s="154"/>
      <c r="DP28" s="154"/>
      <c r="DQ28" s="154"/>
      <c r="DR28" s="154"/>
      <c r="DS28" s="154"/>
      <c r="DT28" s="154"/>
      <c r="DU28" s="154"/>
      <c r="DV28" s="154"/>
      <c r="DW28" s="154"/>
      <c r="DX28" s="154"/>
      <c r="DY28" s="154"/>
      <c r="DZ28" s="154"/>
      <c r="EA28" s="154"/>
      <c r="EB28" s="154"/>
      <c r="EC28" s="154"/>
      <c r="ED28" s="154"/>
      <c r="EE28" s="154"/>
      <c r="EF28" s="154"/>
      <c r="EG28" s="154"/>
      <c r="EH28" s="154"/>
      <c r="EI28" s="154"/>
      <c r="EJ28" s="154"/>
      <c r="EK28" s="154"/>
      <c r="EL28" s="154"/>
      <c r="EM28" s="154"/>
      <c r="EN28" s="154"/>
      <c r="EO28" s="154"/>
      <c r="EP28" s="154"/>
      <c r="EQ28" s="154"/>
      <c r="ER28" s="154"/>
      <c r="ES28" s="154"/>
      <c r="ET28" s="154"/>
      <c r="EU28" s="154"/>
      <c r="EV28" s="154"/>
      <c r="EW28" s="154"/>
      <c r="EX28" s="154"/>
      <c r="EY28" s="154"/>
      <c r="EZ28" s="154"/>
      <c r="FA28" s="154"/>
      <c r="FB28" s="154"/>
      <c r="FC28" s="154"/>
      <c r="FD28" s="154"/>
      <c r="FE28" s="154"/>
      <c r="FF28" s="154"/>
      <c r="FG28" s="154"/>
      <c r="FH28" s="154"/>
      <c r="FI28" s="154"/>
      <c r="FJ28" s="154"/>
      <c r="FK28" s="154"/>
      <c r="FL28" s="154"/>
      <c r="FM28" s="154"/>
      <c r="FN28" s="154"/>
      <c r="FO28" s="154"/>
      <c r="FP28" s="154"/>
      <c r="FQ28" s="154"/>
      <c r="FR28" s="154"/>
      <c r="FS28" s="154"/>
      <c r="FT28" s="154"/>
      <c r="FU28" s="154"/>
      <c r="FV28" s="154"/>
      <c r="FW28" s="154"/>
      <c r="FX28" s="154"/>
      <c r="FY28" s="154"/>
      <c r="FZ28" s="154"/>
      <c r="GA28" s="154"/>
      <c r="GB28" s="154"/>
      <c r="GC28" s="154"/>
      <c r="GD28" s="154"/>
      <c r="GE28" s="154"/>
      <c r="GF28" s="154"/>
      <c r="GG28" s="154"/>
      <c r="GH28" s="154"/>
      <c r="GI28" s="154"/>
      <c r="GJ28" s="154"/>
      <c r="GK28" s="154"/>
      <c r="GL28" s="154"/>
      <c r="GM28" s="154"/>
      <c r="GN28" s="154"/>
      <c r="GO28" s="154"/>
      <c r="GP28" s="154"/>
      <c r="GQ28" s="154"/>
      <c r="GR28" s="154"/>
      <c r="GS28" s="154"/>
      <c r="GT28" s="154"/>
      <c r="GU28" s="154"/>
      <c r="GV28" s="154"/>
      <c r="GW28" s="154"/>
      <c r="GX28" s="154"/>
      <c r="GY28" s="154"/>
      <c r="GZ28" s="154"/>
      <c r="HA28" s="154"/>
      <c r="HB28" s="154"/>
      <c r="HC28" s="154"/>
      <c r="HD28" s="154"/>
      <c r="HE28" s="154"/>
      <c r="HF28" s="154"/>
      <c r="HG28" s="154"/>
      <c r="HH28" s="154"/>
      <c r="HI28" s="154"/>
      <c r="HJ28" s="154"/>
      <c r="HK28" s="154"/>
      <c r="HL28" s="154"/>
      <c r="HM28" s="154"/>
      <c r="HN28" s="154"/>
      <c r="HO28" s="154"/>
      <c r="HP28" s="154"/>
      <c r="HQ28" s="154"/>
      <c r="HR28" s="154"/>
      <c r="HS28" s="154"/>
      <c r="HT28" s="154"/>
      <c r="HU28" s="154"/>
      <c r="HV28" s="154"/>
      <c r="HW28" s="154"/>
      <c r="HX28" s="154"/>
      <c r="HY28" s="154"/>
      <c r="HZ28" s="154"/>
      <c r="IA28" s="154"/>
      <c r="IB28" s="154"/>
      <c r="IC28" s="154"/>
      <c r="ID28" s="154"/>
      <c r="IE28" s="154"/>
      <c r="IF28" s="154"/>
      <c r="IG28" s="154"/>
      <c r="IH28" s="154"/>
      <c r="II28" s="154"/>
    </row>
    <row r="29" spans="1:243" s="71" customFormat="1" ht="18.75" x14ac:dyDescent="0.3">
      <c r="A29" s="70" t="s">
        <v>62</v>
      </c>
      <c r="B29" s="67" t="s">
        <v>59</v>
      </c>
      <c r="C29" s="67">
        <v>332</v>
      </c>
      <c r="D29" s="67">
        <v>274</v>
      </c>
      <c r="E29" s="67">
        <v>177</v>
      </c>
      <c r="F29" s="67">
        <v>628</v>
      </c>
      <c r="G29" s="67">
        <v>73</v>
      </c>
      <c r="H29" s="67">
        <v>220</v>
      </c>
      <c r="I29" s="67">
        <v>211</v>
      </c>
      <c r="J29" s="67">
        <v>318</v>
      </c>
      <c r="K29" s="67">
        <v>737</v>
      </c>
      <c r="L29" s="67">
        <v>156</v>
      </c>
      <c r="M29" s="67">
        <v>334</v>
      </c>
      <c r="N29" s="67"/>
      <c r="O29" s="67"/>
      <c r="P29" s="67"/>
      <c r="Q29" s="67">
        <v>1399</v>
      </c>
      <c r="R29" s="109">
        <f>SUM(C29:Q29)</f>
        <v>4859</v>
      </c>
      <c r="S29" s="159"/>
      <c r="T29" s="115"/>
      <c r="U29" s="115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4"/>
      <c r="BW29" s="154"/>
      <c r="BX29" s="154"/>
      <c r="BY29" s="154"/>
      <c r="BZ29" s="154"/>
      <c r="CA29" s="154"/>
      <c r="CB29" s="154"/>
      <c r="CC29" s="154"/>
      <c r="CD29" s="154"/>
      <c r="CE29" s="154"/>
      <c r="CF29" s="154"/>
      <c r="CG29" s="154"/>
      <c r="CH29" s="154"/>
      <c r="CI29" s="154"/>
      <c r="CJ29" s="154"/>
      <c r="CK29" s="154"/>
      <c r="CL29" s="154"/>
      <c r="CM29" s="154"/>
      <c r="CN29" s="154"/>
      <c r="CO29" s="154"/>
      <c r="CP29" s="154"/>
      <c r="CQ29" s="154"/>
      <c r="CR29" s="154"/>
      <c r="CS29" s="154"/>
      <c r="CT29" s="154"/>
      <c r="CU29" s="154"/>
      <c r="CV29" s="154"/>
      <c r="CW29" s="154"/>
      <c r="CX29" s="154"/>
      <c r="CY29" s="154"/>
      <c r="CZ29" s="154"/>
      <c r="DA29" s="154"/>
      <c r="DB29" s="154"/>
      <c r="DC29" s="154"/>
      <c r="DD29" s="154"/>
      <c r="DE29" s="154"/>
      <c r="DF29" s="154"/>
      <c r="DG29" s="154"/>
      <c r="DH29" s="154"/>
      <c r="DI29" s="154"/>
      <c r="DJ29" s="154"/>
      <c r="DK29" s="154"/>
      <c r="DL29" s="154"/>
      <c r="DM29" s="154"/>
      <c r="DN29" s="154"/>
      <c r="DO29" s="154"/>
      <c r="DP29" s="154"/>
      <c r="DQ29" s="154"/>
      <c r="DR29" s="154"/>
      <c r="DS29" s="154"/>
      <c r="DT29" s="154"/>
      <c r="DU29" s="154"/>
      <c r="DV29" s="154"/>
      <c r="DW29" s="154"/>
      <c r="DX29" s="154"/>
      <c r="DY29" s="154"/>
      <c r="DZ29" s="154"/>
      <c r="EA29" s="154"/>
      <c r="EB29" s="154"/>
      <c r="EC29" s="154"/>
      <c r="ED29" s="154"/>
      <c r="EE29" s="154"/>
      <c r="EF29" s="154"/>
      <c r="EG29" s="154"/>
      <c r="EH29" s="154"/>
      <c r="EI29" s="154"/>
      <c r="EJ29" s="154"/>
      <c r="EK29" s="154"/>
      <c r="EL29" s="154"/>
      <c r="EM29" s="154"/>
      <c r="EN29" s="154"/>
      <c r="EO29" s="154"/>
      <c r="EP29" s="154"/>
      <c r="EQ29" s="154"/>
      <c r="ER29" s="154"/>
      <c r="ES29" s="154"/>
      <c r="ET29" s="154"/>
      <c r="EU29" s="154"/>
      <c r="EV29" s="154"/>
      <c r="EW29" s="154"/>
      <c r="EX29" s="154"/>
      <c r="EY29" s="154"/>
      <c r="EZ29" s="154"/>
      <c r="FA29" s="154"/>
      <c r="FB29" s="154"/>
      <c r="FC29" s="154"/>
      <c r="FD29" s="154"/>
      <c r="FE29" s="154"/>
      <c r="FF29" s="154"/>
      <c r="FG29" s="154"/>
      <c r="FH29" s="154"/>
      <c r="FI29" s="154"/>
      <c r="FJ29" s="154"/>
      <c r="FK29" s="154"/>
      <c r="FL29" s="154"/>
      <c r="FM29" s="154"/>
      <c r="FN29" s="154"/>
      <c r="FO29" s="154"/>
      <c r="FP29" s="154"/>
      <c r="FQ29" s="154"/>
      <c r="FR29" s="154"/>
      <c r="FS29" s="154"/>
      <c r="FT29" s="154"/>
      <c r="FU29" s="154"/>
      <c r="FV29" s="154"/>
      <c r="FW29" s="154"/>
      <c r="FX29" s="154"/>
      <c r="FY29" s="154"/>
      <c r="FZ29" s="154"/>
      <c r="GA29" s="154"/>
      <c r="GB29" s="154"/>
      <c r="GC29" s="154"/>
      <c r="GD29" s="154"/>
      <c r="GE29" s="154"/>
      <c r="GF29" s="154"/>
      <c r="GG29" s="154"/>
      <c r="GH29" s="154"/>
      <c r="GI29" s="154"/>
      <c r="GJ29" s="154"/>
      <c r="GK29" s="154"/>
      <c r="GL29" s="154"/>
      <c r="GM29" s="154"/>
      <c r="GN29" s="154"/>
      <c r="GO29" s="154"/>
      <c r="GP29" s="154"/>
      <c r="GQ29" s="154"/>
      <c r="GR29" s="154"/>
      <c r="GS29" s="154"/>
      <c r="GT29" s="154"/>
      <c r="GU29" s="154"/>
      <c r="GV29" s="154"/>
      <c r="GW29" s="154"/>
      <c r="GX29" s="154"/>
      <c r="GY29" s="154"/>
      <c r="GZ29" s="154"/>
      <c r="HA29" s="154"/>
      <c r="HB29" s="154"/>
      <c r="HC29" s="154"/>
      <c r="HD29" s="154"/>
      <c r="HE29" s="154"/>
      <c r="HF29" s="154"/>
      <c r="HG29" s="154"/>
      <c r="HH29" s="154"/>
      <c r="HI29" s="154"/>
      <c r="HJ29" s="154"/>
      <c r="HK29" s="154"/>
      <c r="HL29" s="154"/>
      <c r="HM29" s="154"/>
      <c r="HN29" s="154"/>
      <c r="HO29" s="154"/>
      <c r="HP29" s="154"/>
      <c r="HQ29" s="154"/>
      <c r="HR29" s="154"/>
      <c r="HS29" s="154"/>
      <c r="HT29" s="154"/>
      <c r="HU29" s="154"/>
      <c r="HV29" s="154"/>
      <c r="HW29" s="154"/>
      <c r="HX29" s="154"/>
      <c r="HY29" s="154"/>
      <c r="HZ29" s="154"/>
      <c r="IA29" s="154"/>
      <c r="IB29" s="154"/>
      <c r="IC29" s="154"/>
      <c r="ID29" s="154"/>
      <c r="IE29" s="154"/>
      <c r="IF29" s="154"/>
      <c r="IG29" s="154"/>
      <c r="IH29" s="154"/>
      <c r="II29" s="154"/>
    </row>
    <row r="30" spans="1:243" ht="18.75" x14ac:dyDescent="0.3">
      <c r="A30" s="18">
        <v>25.2</v>
      </c>
      <c r="B30" s="20"/>
      <c r="C30" s="72">
        <v>3085.7</v>
      </c>
      <c r="D30" s="72">
        <v>3085.7</v>
      </c>
      <c r="E30" s="72">
        <v>3085.7</v>
      </c>
      <c r="F30" s="72">
        <v>3085.7</v>
      </c>
      <c r="G30" s="72">
        <v>3085.7</v>
      </c>
      <c r="H30" s="72">
        <v>3085.7</v>
      </c>
      <c r="I30" s="72">
        <v>3085.7</v>
      </c>
      <c r="J30" s="72">
        <v>3085.7</v>
      </c>
      <c r="K30" s="72">
        <v>3085.7</v>
      </c>
      <c r="L30" s="72">
        <v>3085.7</v>
      </c>
      <c r="M30" s="72">
        <v>3085.7</v>
      </c>
      <c r="N30" s="72">
        <v>3085.7</v>
      </c>
      <c r="O30" s="72">
        <v>3085.7</v>
      </c>
      <c r="P30" s="72">
        <v>3085.7</v>
      </c>
      <c r="Q30" s="72">
        <v>3085.7</v>
      </c>
      <c r="R30" s="72"/>
      <c r="S30" s="159"/>
      <c r="T30" s="115"/>
      <c r="U30" s="115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54"/>
      <c r="BW30" s="154"/>
      <c r="BX30" s="154"/>
      <c r="BY30" s="154"/>
      <c r="BZ30" s="154"/>
      <c r="CA30" s="154"/>
      <c r="CB30" s="154"/>
      <c r="CC30" s="154"/>
      <c r="CD30" s="154"/>
      <c r="CE30" s="154"/>
      <c r="CF30" s="154"/>
      <c r="CG30" s="154"/>
      <c r="CH30" s="154"/>
      <c r="CI30" s="154"/>
      <c r="CJ30" s="154"/>
      <c r="CK30" s="154"/>
      <c r="CL30" s="154"/>
      <c r="CM30" s="154"/>
      <c r="CN30" s="154"/>
      <c r="CO30" s="154"/>
      <c r="CP30" s="154"/>
      <c r="CQ30" s="154"/>
      <c r="CR30" s="154"/>
      <c r="CS30" s="154"/>
      <c r="CT30" s="154"/>
      <c r="CU30" s="154"/>
      <c r="CV30" s="154"/>
      <c r="CW30" s="154"/>
      <c r="CX30" s="154"/>
      <c r="CY30" s="154"/>
      <c r="CZ30" s="154"/>
      <c r="DA30" s="154"/>
      <c r="DB30" s="154"/>
      <c r="DC30" s="154"/>
      <c r="DD30" s="154"/>
      <c r="DE30" s="154"/>
      <c r="DF30" s="154"/>
      <c r="DG30" s="154"/>
      <c r="DH30" s="154"/>
      <c r="DI30" s="154"/>
      <c r="DJ30" s="154"/>
      <c r="DK30" s="154"/>
      <c r="DL30" s="154"/>
      <c r="DM30" s="154"/>
      <c r="DN30" s="154"/>
      <c r="DO30" s="154"/>
      <c r="DP30" s="154"/>
      <c r="DQ30" s="154"/>
      <c r="DR30" s="154"/>
      <c r="DS30" s="154"/>
      <c r="DT30" s="154"/>
      <c r="DU30" s="154"/>
      <c r="DV30" s="154"/>
      <c r="DW30" s="154"/>
      <c r="DX30" s="154"/>
      <c r="DY30" s="154"/>
      <c r="DZ30" s="154"/>
      <c r="EA30" s="154"/>
      <c r="EB30" s="154"/>
      <c r="EC30" s="154"/>
      <c r="ED30" s="154"/>
      <c r="EE30" s="154"/>
      <c r="EF30" s="154"/>
      <c r="EG30" s="154"/>
      <c r="EH30" s="154"/>
      <c r="EI30" s="154"/>
      <c r="EJ30" s="154"/>
      <c r="EK30" s="154"/>
      <c r="EL30" s="154"/>
      <c r="EM30" s="154"/>
      <c r="EN30" s="154"/>
      <c r="EO30" s="154"/>
      <c r="EP30" s="154"/>
      <c r="EQ30" s="154"/>
      <c r="ER30" s="154"/>
      <c r="ES30" s="154"/>
      <c r="ET30" s="154"/>
      <c r="EU30" s="154"/>
      <c r="EV30" s="154"/>
      <c r="EW30" s="154"/>
      <c r="EX30" s="154"/>
      <c r="EY30" s="154"/>
      <c r="EZ30" s="154"/>
      <c r="FA30" s="154"/>
      <c r="FB30" s="154"/>
      <c r="FC30" s="154"/>
      <c r="FD30" s="154"/>
      <c r="FE30" s="154"/>
      <c r="FF30" s="154"/>
      <c r="FG30" s="154"/>
      <c r="FH30" s="154"/>
      <c r="FI30" s="154"/>
      <c r="FJ30" s="154"/>
      <c r="FK30" s="154"/>
      <c r="FL30" s="154"/>
      <c r="FM30" s="154"/>
      <c r="FN30" s="154"/>
      <c r="FO30" s="154"/>
      <c r="FP30" s="154"/>
      <c r="FQ30" s="154"/>
      <c r="FR30" s="154"/>
      <c r="FS30" s="154"/>
      <c r="FT30" s="154"/>
      <c r="FU30" s="154"/>
      <c r="FV30" s="154"/>
      <c r="FW30" s="154"/>
      <c r="FX30" s="154"/>
      <c r="FY30" s="154"/>
      <c r="FZ30" s="154"/>
      <c r="GA30" s="154"/>
      <c r="GB30" s="154"/>
      <c r="GC30" s="154"/>
      <c r="GD30" s="154"/>
      <c r="GE30" s="154"/>
      <c r="GF30" s="154"/>
      <c r="GG30" s="154"/>
      <c r="GH30" s="154"/>
      <c r="GI30" s="154"/>
      <c r="GJ30" s="154"/>
      <c r="GK30" s="154"/>
      <c r="GL30" s="154"/>
      <c r="GM30" s="154"/>
      <c r="GN30" s="154"/>
      <c r="GO30" s="154"/>
      <c r="GP30" s="154"/>
      <c r="GQ30" s="154"/>
      <c r="GR30" s="154"/>
      <c r="GS30" s="154"/>
      <c r="GT30" s="154"/>
      <c r="GU30" s="154"/>
      <c r="GV30" s="154"/>
      <c r="GW30" s="154"/>
      <c r="GX30" s="154"/>
      <c r="GY30" s="154"/>
      <c r="GZ30" s="154"/>
      <c r="HA30" s="154"/>
      <c r="HB30" s="154"/>
      <c r="HC30" s="154"/>
      <c r="HD30" s="154"/>
      <c r="HE30" s="154"/>
      <c r="HF30" s="154"/>
      <c r="HG30" s="154"/>
      <c r="HH30" s="154"/>
      <c r="HI30" s="154"/>
      <c r="HJ30" s="154"/>
      <c r="HK30" s="154"/>
      <c r="HL30" s="154"/>
      <c r="HM30" s="154"/>
      <c r="HN30" s="154"/>
      <c r="HO30" s="154"/>
      <c r="HP30" s="154"/>
      <c r="HQ30" s="154"/>
      <c r="HR30" s="154"/>
      <c r="HS30" s="154"/>
      <c r="HT30" s="154"/>
      <c r="HU30" s="154"/>
      <c r="HV30" s="154"/>
      <c r="HW30" s="154"/>
      <c r="HX30" s="154"/>
      <c r="HY30" s="154"/>
      <c r="HZ30" s="154"/>
      <c r="IA30" s="154"/>
      <c r="IB30" s="154"/>
      <c r="IC30" s="154"/>
      <c r="ID30" s="154"/>
      <c r="IE30" s="154"/>
      <c r="IF30" s="154"/>
      <c r="IG30" s="154"/>
      <c r="IH30" s="154"/>
      <c r="II30" s="154"/>
    </row>
    <row r="31" spans="1:243" s="11" customFormat="1" ht="18.75" x14ac:dyDescent="0.3">
      <c r="A31" s="53"/>
      <c r="B31" s="53" t="s">
        <v>76</v>
      </c>
      <c r="C31" s="114">
        <v>1.0143310000000001</v>
      </c>
      <c r="D31" s="114">
        <v>1.0143310000000001</v>
      </c>
      <c r="E31" s="114">
        <v>1.0143310000000001</v>
      </c>
      <c r="F31" s="114">
        <v>1.0143310000000001</v>
      </c>
      <c r="G31" s="114">
        <v>1.0143310000000001</v>
      </c>
      <c r="H31" s="114">
        <v>1.0143310000000001</v>
      </c>
      <c r="I31" s="114">
        <v>1.0143310000000001</v>
      </c>
      <c r="J31" s="114">
        <v>1.0143310000000001</v>
      </c>
      <c r="K31" s="114">
        <v>1.0143310000000001</v>
      </c>
      <c r="L31" s="114">
        <v>1.0143310000000001</v>
      </c>
      <c r="M31" s="114">
        <v>1.0143310000000001</v>
      </c>
      <c r="N31" s="114">
        <v>1.0143310000000001</v>
      </c>
      <c r="O31" s="114">
        <v>1.0143310000000001</v>
      </c>
      <c r="P31" s="114">
        <v>1.0143310000000001</v>
      </c>
      <c r="Q31" s="114">
        <v>1.0143310000000001</v>
      </c>
      <c r="R31" s="165"/>
      <c r="S31" s="162"/>
      <c r="T31" s="161"/>
      <c r="U31" s="161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0"/>
      <c r="BW31" s="160"/>
      <c r="BX31" s="160"/>
      <c r="BY31" s="160"/>
      <c r="BZ31" s="160"/>
      <c r="CA31" s="160"/>
      <c r="CB31" s="160"/>
      <c r="CC31" s="160"/>
      <c r="CD31" s="160"/>
      <c r="CE31" s="160"/>
      <c r="CF31" s="160"/>
      <c r="CG31" s="160"/>
      <c r="CH31" s="160"/>
      <c r="CI31" s="160"/>
      <c r="CJ31" s="160"/>
      <c r="CK31" s="160"/>
      <c r="CL31" s="160"/>
      <c r="CM31" s="160"/>
      <c r="CN31" s="160"/>
      <c r="CO31" s="160"/>
      <c r="CP31" s="160"/>
      <c r="CQ31" s="160"/>
      <c r="CR31" s="160"/>
      <c r="CS31" s="160"/>
      <c r="CT31" s="160"/>
      <c r="CU31" s="160"/>
      <c r="CV31" s="160"/>
      <c r="CW31" s="160"/>
      <c r="CX31" s="160"/>
      <c r="CY31" s="160"/>
      <c r="CZ31" s="160"/>
      <c r="DA31" s="160"/>
      <c r="DB31" s="160"/>
      <c r="DC31" s="160"/>
      <c r="DD31" s="160"/>
      <c r="DE31" s="160"/>
      <c r="DF31" s="160"/>
      <c r="DG31" s="160"/>
      <c r="DH31" s="160"/>
      <c r="DI31" s="160"/>
      <c r="DJ31" s="160"/>
      <c r="DK31" s="160"/>
      <c r="DL31" s="160"/>
      <c r="DM31" s="160"/>
      <c r="DN31" s="160"/>
      <c r="DO31" s="160"/>
      <c r="DP31" s="160"/>
      <c r="DQ31" s="160"/>
      <c r="DR31" s="160"/>
      <c r="DS31" s="160"/>
      <c r="DT31" s="160"/>
      <c r="DU31" s="160"/>
      <c r="DV31" s="160"/>
      <c r="DW31" s="160"/>
      <c r="DX31" s="160"/>
      <c r="DY31" s="160"/>
      <c r="DZ31" s="160"/>
      <c r="EA31" s="160"/>
      <c r="EB31" s="160"/>
      <c r="EC31" s="160"/>
      <c r="ED31" s="160"/>
      <c r="EE31" s="160"/>
      <c r="EF31" s="160"/>
      <c r="EG31" s="160"/>
      <c r="EH31" s="160"/>
      <c r="EI31" s="160"/>
      <c r="EJ31" s="160"/>
      <c r="EK31" s="160"/>
      <c r="EL31" s="160"/>
      <c r="EM31" s="160"/>
      <c r="EN31" s="160"/>
      <c r="EO31" s="160"/>
      <c r="EP31" s="160"/>
      <c r="EQ31" s="160"/>
      <c r="ER31" s="160"/>
      <c r="ES31" s="160"/>
      <c r="ET31" s="160"/>
      <c r="EU31" s="160"/>
      <c r="EV31" s="160"/>
      <c r="EW31" s="160"/>
      <c r="EX31" s="160"/>
      <c r="EY31" s="160"/>
      <c r="EZ31" s="160"/>
      <c r="FA31" s="160"/>
      <c r="FB31" s="160"/>
      <c r="FC31" s="160"/>
      <c r="FD31" s="160"/>
      <c r="FE31" s="160"/>
      <c r="FF31" s="160"/>
      <c r="FG31" s="160"/>
      <c r="FH31" s="160"/>
      <c r="FI31" s="160"/>
      <c r="FJ31" s="160"/>
      <c r="FK31" s="160"/>
      <c r="FL31" s="160"/>
      <c r="FM31" s="160"/>
      <c r="FN31" s="160"/>
      <c r="FO31" s="160"/>
      <c r="FP31" s="160"/>
      <c r="FQ31" s="160"/>
      <c r="FR31" s="160"/>
      <c r="FS31" s="160"/>
      <c r="FT31" s="160"/>
      <c r="FU31" s="160"/>
      <c r="FV31" s="160"/>
      <c r="FW31" s="160"/>
      <c r="FX31" s="160"/>
      <c r="FY31" s="160"/>
      <c r="FZ31" s="160"/>
      <c r="GA31" s="160"/>
      <c r="GB31" s="160"/>
      <c r="GC31" s="160"/>
      <c r="GD31" s="160"/>
      <c r="GE31" s="160"/>
      <c r="GF31" s="160"/>
      <c r="GG31" s="160"/>
      <c r="GH31" s="160"/>
      <c r="GI31" s="160"/>
      <c r="GJ31" s="160"/>
      <c r="GK31" s="160"/>
      <c r="GL31" s="160"/>
      <c r="GM31" s="160"/>
      <c r="GN31" s="160"/>
      <c r="GO31" s="160"/>
      <c r="GP31" s="160"/>
      <c r="GQ31" s="160"/>
      <c r="GR31" s="160"/>
      <c r="GS31" s="160"/>
      <c r="GT31" s="160"/>
      <c r="GU31" s="160"/>
      <c r="GV31" s="160"/>
      <c r="GW31" s="160"/>
      <c r="GX31" s="160"/>
      <c r="GY31" s="160"/>
      <c r="GZ31" s="160"/>
      <c r="HA31" s="160"/>
      <c r="HB31" s="160"/>
      <c r="HC31" s="160"/>
      <c r="HD31" s="160"/>
      <c r="HE31" s="160"/>
      <c r="HF31" s="160"/>
      <c r="HG31" s="160"/>
      <c r="HH31" s="160"/>
      <c r="HI31" s="160"/>
      <c r="HJ31" s="160"/>
      <c r="HK31" s="160"/>
      <c r="HL31" s="160"/>
      <c r="HM31" s="160"/>
      <c r="HN31" s="160"/>
      <c r="HO31" s="160"/>
      <c r="HP31" s="160"/>
      <c r="HQ31" s="160"/>
      <c r="HR31" s="160"/>
      <c r="HS31" s="160"/>
      <c r="HT31" s="160"/>
      <c r="HU31" s="160"/>
      <c r="HV31" s="160"/>
      <c r="HW31" s="160"/>
      <c r="HX31" s="160"/>
      <c r="HY31" s="160"/>
      <c r="HZ31" s="160"/>
      <c r="IA31" s="160"/>
      <c r="IB31" s="160"/>
      <c r="IC31" s="160"/>
      <c r="ID31" s="160"/>
      <c r="IE31" s="160"/>
      <c r="IF31" s="160"/>
      <c r="IG31" s="160"/>
      <c r="IH31" s="160"/>
      <c r="II31" s="160"/>
    </row>
    <row r="32" spans="1:243" ht="18.75" x14ac:dyDescent="0.3">
      <c r="A32" s="18"/>
      <c r="B32" s="21" t="s">
        <v>60</v>
      </c>
      <c r="C32" s="54">
        <f>ROUND(C30*C31*C29,0)</f>
        <v>1039134</v>
      </c>
      <c r="D32" s="54">
        <f t="shared" ref="D32:Q32" si="6">ROUND(D30*D31*D29,0)</f>
        <v>857598</v>
      </c>
      <c r="E32" s="54">
        <f t="shared" si="6"/>
        <v>553996</v>
      </c>
      <c r="F32" s="54">
        <f t="shared" si="6"/>
        <v>1965590</v>
      </c>
      <c r="G32" s="54">
        <f t="shared" si="6"/>
        <v>228484</v>
      </c>
      <c r="H32" s="54">
        <f t="shared" si="6"/>
        <v>688583</v>
      </c>
      <c r="I32" s="54">
        <f t="shared" si="6"/>
        <v>660413</v>
      </c>
      <c r="J32" s="54">
        <f t="shared" si="6"/>
        <v>995315</v>
      </c>
      <c r="K32" s="54">
        <f t="shared" si="6"/>
        <v>2306752</v>
      </c>
      <c r="L32" s="54">
        <f t="shared" si="6"/>
        <v>488268</v>
      </c>
      <c r="M32" s="54">
        <f t="shared" si="6"/>
        <v>1045394</v>
      </c>
      <c r="N32" s="54">
        <f t="shared" si="6"/>
        <v>0</v>
      </c>
      <c r="O32" s="54">
        <f t="shared" si="6"/>
        <v>0</v>
      </c>
      <c r="P32" s="54">
        <f t="shared" si="6"/>
        <v>0</v>
      </c>
      <c r="Q32" s="54">
        <f t="shared" si="6"/>
        <v>4378760</v>
      </c>
      <c r="R32" s="21">
        <f>ROUND(SUM(C32:Q32),0)</f>
        <v>15208287</v>
      </c>
      <c r="S32" s="163"/>
      <c r="T32" s="115"/>
      <c r="U32" s="115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4"/>
      <c r="BW32" s="154"/>
      <c r="BX32" s="154"/>
      <c r="BY32" s="154"/>
      <c r="BZ32" s="154"/>
      <c r="CA32" s="154"/>
      <c r="CB32" s="154"/>
      <c r="CC32" s="154"/>
      <c r="CD32" s="154"/>
      <c r="CE32" s="154"/>
      <c r="CF32" s="154"/>
      <c r="CG32" s="154"/>
      <c r="CH32" s="154"/>
      <c r="CI32" s="154"/>
      <c r="CJ32" s="154"/>
      <c r="CK32" s="154"/>
      <c r="CL32" s="154"/>
      <c r="CM32" s="154"/>
      <c r="CN32" s="154"/>
      <c r="CO32" s="154"/>
      <c r="CP32" s="154"/>
      <c r="CQ32" s="154"/>
      <c r="CR32" s="154"/>
      <c r="CS32" s="154"/>
      <c r="CT32" s="154"/>
      <c r="CU32" s="154"/>
      <c r="CV32" s="154"/>
      <c r="CW32" s="154"/>
      <c r="CX32" s="154"/>
      <c r="CY32" s="154"/>
      <c r="CZ32" s="154"/>
      <c r="DA32" s="154"/>
      <c r="DB32" s="154"/>
      <c r="DC32" s="154"/>
      <c r="DD32" s="154"/>
      <c r="DE32" s="154"/>
      <c r="DF32" s="154"/>
      <c r="DG32" s="154"/>
      <c r="DH32" s="154"/>
      <c r="DI32" s="154"/>
      <c r="DJ32" s="154"/>
      <c r="DK32" s="154"/>
      <c r="DL32" s="154"/>
      <c r="DM32" s="154"/>
      <c r="DN32" s="154"/>
      <c r="DO32" s="154"/>
      <c r="DP32" s="154"/>
      <c r="DQ32" s="154"/>
      <c r="DR32" s="154"/>
      <c r="DS32" s="154"/>
      <c r="DT32" s="154"/>
      <c r="DU32" s="154"/>
      <c r="DV32" s="154"/>
      <c r="DW32" s="154"/>
      <c r="DX32" s="154"/>
      <c r="DY32" s="154"/>
      <c r="DZ32" s="154"/>
      <c r="EA32" s="154"/>
      <c r="EB32" s="154"/>
      <c r="EC32" s="154"/>
      <c r="ED32" s="154"/>
      <c r="EE32" s="154"/>
      <c r="EF32" s="154"/>
      <c r="EG32" s="154"/>
      <c r="EH32" s="154"/>
      <c r="EI32" s="154"/>
      <c r="EJ32" s="154"/>
      <c r="EK32" s="154"/>
      <c r="EL32" s="154"/>
      <c r="EM32" s="154"/>
      <c r="EN32" s="154"/>
      <c r="EO32" s="154"/>
      <c r="EP32" s="154"/>
      <c r="EQ32" s="154"/>
      <c r="ER32" s="154"/>
      <c r="ES32" s="154"/>
      <c r="ET32" s="154"/>
      <c r="EU32" s="154"/>
      <c r="EV32" s="154"/>
      <c r="EW32" s="154"/>
      <c r="EX32" s="154"/>
      <c r="EY32" s="154"/>
      <c r="EZ32" s="154"/>
      <c r="FA32" s="154"/>
      <c r="FB32" s="154"/>
      <c r="FC32" s="154"/>
      <c r="FD32" s="154"/>
      <c r="FE32" s="154"/>
      <c r="FF32" s="154"/>
      <c r="FG32" s="154"/>
      <c r="FH32" s="154"/>
      <c r="FI32" s="154"/>
      <c r="FJ32" s="154"/>
      <c r="FK32" s="154"/>
      <c r="FL32" s="154"/>
      <c r="FM32" s="154"/>
      <c r="FN32" s="154"/>
      <c r="FO32" s="154"/>
      <c r="FP32" s="154"/>
      <c r="FQ32" s="154"/>
      <c r="FR32" s="154"/>
      <c r="FS32" s="154"/>
      <c r="FT32" s="154"/>
      <c r="FU32" s="154"/>
      <c r="FV32" s="154"/>
      <c r="FW32" s="154"/>
      <c r="FX32" s="154"/>
      <c r="FY32" s="154"/>
      <c r="FZ32" s="154"/>
      <c r="GA32" s="154"/>
      <c r="GB32" s="154"/>
      <c r="GC32" s="154"/>
      <c r="GD32" s="154"/>
      <c r="GE32" s="154"/>
      <c r="GF32" s="154"/>
      <c r="GG32" s="154"/>
      <c r="GH32" s="154"/>
      <c r="GI32" s="154"/>
      <c r="GJ32" s="154"/>
      <c r="GK32" s="154"/>
      <c r="GL32" s="154"/>
      <c r="GM32" s="154"/>
      <c r="GN32" s="154"/>
      <c r="GO32" s="154"/>
      <c r="GP32" s="154"/>
      <c r="GQ32" s="154"/>
      <c r="GR32" s="154"/>
      <c r="GS32" s="154"/>
      <c r="GT32" s="154"/>
      <c r="GU32" s="154"/>
      <c r="GV32" s="154"/>
      <c r="GW32" s="154"/>
      <c r="GX32" s="154"/>
      <c r="GY32" s="154"/>
      <c r="GZ32" s="154"/>
      <c r="HA32" s="154"/>
      <c r="HB32" s="154"/>
      <c r="HC32" s="154"/>
      <c r="HD32" s="154"/>
      <c r="HE32" s="154"/>
      <c r="HF32" s="154"/>
      <c r="HG32" s="154"/>
      <c r="HH32" s="154"/>
      <c r="HI32" s="154"/>
      <c r="HJ32" s="154"/>
      <c r="HK32" s="154"/>
      <c r="HL32" s="154"/>
      <c r="HM32" s="154"/>
      <c r="HN32" s="154"/>
      <c r="HO32" s="154"/>
      <c r="HP32" s="154"/>
      <c r="HQ32" s="154"/>
      <c r="HR32" s="154"/>
      <c r="HS32" s="154"/>
      <c r="HT32" s="154"/>
      <c r="HU32" s="154"/>
      <c r="HV32" s="154"/>
      <c r="HW32" s="154"/>
      <c r="HX32" s="154"/>
      <c r="HY32" s="154"/>
      <c r="HZ32" s="154"/>
      <c r="IA32" s="154"/>
      <c r="IB32" s="154"/>
      <c r="IC32" s="154"/>
      <c r="ID32" s="154"/>
      <c r="IE32" s="154"/>
      <c r="IF32" s="154"/>
      <c r="IG32" s="154"/>
      <c r="IH32" s="154"/>
      <c r="II32" s="154"/>
    </row>
    <row r="33" spans="1:256" s="71" customFormat="1" ht="18.75" x14ac:dyDescent="0.3">
      <c r="A33" s="70" t="s">
        <v>63</v>
      </c>
      <c r="B33" s="67" t="s">
        <v>59</v>
      </c>
      <c r="C33" s="109">
        <v>122</v>
      </c>
      <c r="D33" s="67">
        <v>262</v>
      </c>
      <c r="E33" s="67">
        <v>205</v>
      </c>
      <c r="F33" s="67">
        <v>189</v>
      </c>
      <c r="G33" s="67">
        <v>136</v>
      </c>
      <c r="H33" s="67">
        <v>0</v>
      </c>
      <c r="I33" s="67">
        <v>307</v>
      </c>
      <c r="J33" s="67">
        <v>137</v>
      </c>
      <c r="K33" s="67">
        <v>435</v>
      </c>
      <c r="L33" s="67">
        <v>299</v>
      </c>
      <c r="M33" s="67"/>
      <c r="N33" s="67"/>
      <c r="O33" s="67"/>
      <c r="P33" s="67"/>
      <c r="Q33" s="67"/>
      <c r="R33" s="109">
        <f>SUM(C33:Q33)</f>
        <v>2092</v>
      </c>
      <c r="S33" s="159"/>
      <c r="T33" s="115"/>
      <c r="U33" s="115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  <c r="BM33" s="154"/>
      <c r="BN33" s="154"/>
      <c r="BO33" s="154"/>
      <c r="BP33" s="154"/>
      <c r="BQ33" s="154"/>
      <c r="BR33" s="154"/>
      <c r="BS33" s="154"/>
      <c r="BT33" s="154"/>
      <c r="BU33" s="154"/>
      <c r="BV33" s="154"/>
      <c r="BW33" s="154"/>
      <c r="BX33" s="154"/>
      <c r="BY33" s="154"/>
      <c r="BZ33" s="154"/>
      <c r="CA33" s="154"/>
      <c r="CB33" s="154"/>
      <c r="CC33" s="154"/>
      <c r="CD33" s="154"/>
      <c r="CE33" s="154"/>
      <c r="CF33" s="154"/>
      <c r="CG33" s="154"/>
      <c r="CH33" s="154"/>
      <c r="CI33" s="154"/>
      <c r="CJ33" s="154"/>
      <c r="CK33" s="154"/>
      <c r="CL33" s="154"/>
      <c r="CM33" s="154"/>
      <c r="CN33" s="154"/>
      <c r="CO33" s="154"/>
      <c r="CP33" s="154"/>
      <c r="CQ33" s="154"/>
      <c r="CR33" s="154"/>
      <c r="CS33" s="154"/>
      <c r="CT33" s="154"/>
      <c r="CU33" s="154"/>
      <c r="CV33" s="154"/>
      <c r="CW33" s="154"/>
      <c r="CX33" s="154"/>
      <c r="CY33" s="154"/>
      <c r="CZ33" s="154"/>
      <c r="DA33" s="154"/>
      <c r="DB33" s="154"/>
      <c r="DC33" s="154"/>
      <c r="DD33" s="154"/>
      <c r="DE33" s="154"/>
      <c r="DF33" s="154"/>
      <c r="DG33" s="154"/>
      <c r="DH33" s="154"/>
      <c r="DI33" s="154"/>
      <c r="DJ33" s="154"/>
      <c r="DK33" s="154"/>
      <c r="DL33" s="154"/>
      <c r="DM33" s="154"/>
      <c r="DN33" s="154"/>
      <c r="DO33" s="154"/>
      <c r="DP33" s="154"/>
      <c r="DQ33" s="154"/>
      <c r="DR33" s="154"/>
      <c r="DS33" s="154"/>
      <c r="DT33" s="154"/>
      <c r="DU33" s="154"/>
      <c r="DV33" s="154"/>
      <c r="DW33" s="154"/>
      <c r="DX33" s="154"/>
      <c r="DY33" s="154"/>
      <c r="DZ33" s="154"/>
      <c r="EA33" s="154"/>
      <c r="EB33" s="154"/>
      <c r="EC33" s="154"/>
      <c r="ED33" s="154"/>
      <c r="EE33" s="154"/>
      <c r="EF33" s="154"/>
      <c r="EG33" s="154"/>
      <c r="EH33" s="154"/>
      <c r="EI33" s="154"/>
      <c r="EJ33" s="154"/>
      <c r="EK33" s="154"/>
      <c r="EL33" s="154"/>
      <c r="EM33" s="154"/>
      <c r="EN33" s="154"/>
      <c r="EO33" s="154"/>
      <c r="EP33" s="154"/>
      <c r="EQ33" s="154"/>
      <c r="ER33" s="154"/>
      <c r="ES33" s="154"/>
      <c r="ET33" s="154"/>
      <c r="EU33" s="154"/>
      <c r="EV33" s="154"/>
      <c r="EW33" s="154"/>
      <c r="EX33" s="154"/>
      <c r="EY33" s="154"/>
      <c r="EZ33" s="154"/>
      <c r="FA33" s="154"/>
      <c r="FB33" s="154"/>
      <c r="FC33" s="154"/>
      <c r="FD33" s="154"/>
      <c r="FE33" s="154"/>
      <c r="FF33" s="154"/>
      <c r="FG33" s="154"/>
      <c r="FH33" s="154"/>
      <c r="FI33" s="154"/>
      <c r="FJ33" s="154"/>
      <c r="FK33" s="154"/>
      <c r="FL33" s="154"/>
      <c r="FM33" s="154"/>
      <c r="FN33" s="154"/>
      <c r="FO33" s="154"/>
      <c r="FP33" s="154"/>
      <c r="FQ33" s="154"/>
      <c r="FR33" s="154"/>
      <c r="FS33" s="154"/>
      <c r="FT33" s="154"/>
      <c r="FU33" s="154"/>
      <c r="FV33" s="154"/>
      <c r="FW33" s="154"/>
      <c r="FX33" s="154"/>
      <c r="FY33" s="154"/>
      <c r="FZ33" s="154"/>
      <c r="GA33" s="154"/>
      <c r="GB33" s="154"/>
      <c r="GC33" s="154"/>
      <c r="GD33" s="154"/>
      <c r="GE33" s="154"/>
      <c r="GF33" s="154"/>
      <c r="GG33" s="154"/>
      <c r="GH33" s="154"/>
      <c r="GI33" s="154"/>
      <c r="GJ33" s="154"/>
      <c r="GK33" s="154"/>
      <c r="GL33" s="154"/>
      <c r="GM33" s="154"/>
      <c r="GN33" s="154"/>
      <c r="GO33" s="154"/>
      <c r="GP33" s="154"/>
      <c r="GQ33" s="154"/>
      <c r="GR33" s="154"/>
      <c r="GS33" s="154"/>
      <c r="GT33" s="154"/>
      <c r="GU33" s="154"/>
      <c r="GV33" s="154"/>
      <c r="GW33" s="154"/>
      <c r="GX33" s="154"/>
      <c r="GY33" s="154"/>
      <c r="GZ33" s="154"/>
      <c r="HA33" s="154"/>
      <c r="HB33" s="154"/>
      <c r="HC33" s="154"/>
      <c r="HD33" s="154"/>
      <c r="HE33" s="154"/>
      <c r="HF33" s="154"/>
      <c r="HG33" s="154"/>
      <c r="HH33" s="154"/>
      <c r="HI33" s="154"/>
      <c r="HJ33" s="154"/>
      <c r="HK33" s="154"/>
      <c r="HL33" s="154"/>
      <c r="HM33" s="154"/>
      <c r="HN33" s="154"/>
      <c r="HO33" s="154"/>
      <c r="HP33" s="154"/>
      <c r="HQ33" s="154"/>
      <c r="HR33" s="154"/>
      <c r="HS33" s="154"/>
      <c r="HT33" s="154"/>
      <c r="HU33" s="154"/>
      <c r="HV33" s="154"/>
      <c r="HW33" s="154"/>
      <c r="HX33" s="154"/>
      <c r="HY33" s="154"/>
      <c r="HZ33" s="154"/>
      <c r="IA33" s="154"/>
      <c r="IB33" s="154"/>
      <c r="IC33" s="154"/>
      <c r="ID33" s="154"/>
      <c r="IE33" s="154"/>
      <c r="IF33" s="154"/>
      <c r="IG33" s="154"/>
      <c r="IH33" s="154"/>
      <c r="II33" s="154"/>
    </row>
    <row r="34" spans="1:256" ht="18.75" x14ac:dyDescent="0.3">
      <c r="A34" s="18" t="s">
        <v>171</v>
      </c>
      <c r="B34" s="20"/>
      <c r="C34" s="72">
        <v>3085.7</v>
      </c>
      <c r="D34" s="72">
        <v>3085.7</v>
      </c>
      <c r="E34" s="72">
        <v>3085.7</v>
      </c>
      <c r="F34" s="72">
        <v>3085.7</v>
      </c>
      <c r="G34" s="72">
        <v>3085.7</v>
      </c>
      <c r="H34" s="72">
        <v>3085.7</v>
      </c>
      <c r="I34" s="72">
        <v>3085.7</v>
      </c>
      <c r="J34" s="72">
        <v>3085.7</v>
      </c>
      <c r="K34" s="72">
        <v>3085.7</v>
      </c>
      <c r="L34" s="72">
        <v>3085.7</v>
      </c>
      <c r="M34" s="72">
        <v>3085.7</v>
      </c>
      <c r="N34" s="72">
        <v>3085.7</v>
      </c>
      <c r="O34" s="72">
        <v>3085.7</v>
      </c>
      <c r="P34" s="72">
        <v>3085.7</v>
      </c>
      <c r="Q34" s="72">
        <v>3085.7</v>
      </c>
      <c r="R34" s="72"/>
      <c r="S34" s="159"/>
      <c r="T34" s="115"/>
      <c r="U34" s="115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4"/>
      <c r="BW34" s="154"/>
      <c r="BX34" s="154"/>
      <c r="BY34" s="154"/>
      <c r="BZ34" s="154"/>
      <c r="CA34" s="154"/>
      <c r="CB34" s="154"/>
      <c r="CC34" s="154"/>
      <c r="CD34" s="154"/>
      <c r="CE34" s="154"/>
      <c r="CF34" s="154"/>
      <c r="CG34" s="154"/>
      <c r="CH34" s="154"/>
      <c r="CI34" s="154"/>
      <c r="CJ34" s="154"/>
      <c r="CK34" s="154"/>
      <c r="CL34" s="154"/>
      <c r="CM34" s="154"/>
      <c r="CN34" s="154"/>
      <c r="CO34" s="154"/>
      <c r="CP34" s="154"/>
      <c r="CQ34" s="154"/>
      <c r="CR34" s="154"/>
      <c r="CS34" s="154"/>
      <c r="CT34" s="154"/>
      <c r="CU34" s="154"/>
      <c r="CV34" s="154"/>
      <c r="CW34" s="154"/>
      <c r="CX34" s="154"/>
      <c r="CY34" s="154"/>
      <c r="CZ34" s="154"/>
      <c r="DA34" s="154"/>
      <c r="DB34" s="154"/>
      <c r="DC34" s="154"/>
      <c r="DD34" s="154"/>
      <c r="DE34" s="154"/>
      <c r="DF34" s="154"/>
      <c r="DG34" s="154"/>
      <c r="DH34" s="154"/>
      <c r="DI34" s="154"/>
      <c r="DJ34" s="154"/>
      <c r="DK34" s="154"/>
      <c r="DL34" s="154"/>
      <c r="DM34" s="154"/>
      <c r="DN34" s="154"/>
      <c r="DO34" s="154"/>
      <c r="DP34" s="154"/>
      <c r="DQ34" s="154"/>
      <c r="DR34" s="154"/>
      <c r="DS34" s="154"/>
      <c r="DT34" s="154"/>
      <c r="DU34" s="154"/>
      <c r="DV34" s="154"/>
      <c r="DW34" s="154"/>
      <c r="DX34" s="154"/>
      <c r="DY34" s="154"/>
      <c r="DZ34" s="154"/>
      <c r="EA34" s="154"/>
      <c r="EB34" s="154"/>
      <c r="EC34" s="154"/>
      <c r="ED34" s="154"/>
      <c r="EE34" s="154"/>
      <c r="EF34" s="154"/>
      <c r="EG34" s="154"/>
      <c r="EH34" s="154"/>
      <c r="EI34" s="154"/>
      <c r="EJ34" s="154"/>
      <c r="EK34" s="154"/>
      <c r="EL34" s="154"/>
      <c r="EM34" s="154"/>
      <c r="EN34" s="154"/>
      <c r="EO34" s="154"/>
      <c r="EP34" s="154"/>
      <c r="EQ34" s="154"/>
      <c r="ER34" s="154"/>
      <c r="ES34" s="154"/>
      <c r="ET34" s="154"/>
      <c r="EU34" s="154"/>
      <c r="EV34" s="154"/>
      <c r="EW34" s="154"/>
      <c r="EX34" s="154"/>
      <c r="EY34" s="154"/>
      <c r="EZ34" s="154"/>
      <c r="FA34" s="154"/>
      <c r="FB34" s="154"/>
      <c r="FC34" s="154"/>
      <c r="FD34" s="154"/>
      <c r="FE34" s="154"/>
      <c r="FF34" s="154"/>
      <c r="FG34" s="154"/>
      <c r="FH34" s="154"/>
      <c r="FI34" s="154"/>
      <c r="FJ34" s="154"/>
      <c r="FK34" s="154"/>
      <c r="FL34" s="154"/>
      <c r="FM34" s="154"/>
      <c r="FN34" s="154"/>
      <c r="FO34" s="154"/>
      <c r="FP34" s="154"/>
      <c r="FQ34" s="154"/>
      <c r="FR34" s="154"/>
      <c r="FS34" s="154"/>
      <c r="FT34" s="154"/>
      <c r="FU34" s="154"/>
      <c r="FV34" s="154"/>
      <c r="FW34" s="154"/>
      <c r="FX34" s="154"/>
      <c r="FY34" s="154"/>
      <c r="FZ34" s="154"/>
      <c r="GA34" s="154"/>
      <c r="GB34" s="154"/>
      <c r="GC34" s="154"/>
      <c r="GD34" s="154"/>
      <c r="GE34" s="154"/>
      <c r="GF34" s="154"/>
      <c r="GG34" s="154"/>
      <c r="GH34" s="154"/>
      <c r="GI34" s="154"/>
      <c r="GJ34" s="154"/>
      <c r="GK34" s="154"/>
      <c r="GL34" s="154"/>
      <c r="GM34" s="154"/>
      <c r="GN34" s="154"/>
      <c r="GO34" s="154"/>
      <c r="GP34" s="154"/>
      <c r="GQ34" s="154"/>
      <c r="GR34" s="154"/>
      <c r="GS34" s="154"/>
      <c r="GT34" s="154"/>
      <c r="GU34" s="154"/>
      <c r="GV34" s="154"/>
      <c r="GW34" s="154"/>
      <c r="GX34" s="154"/>
      <c r="GY34" s="154"/>
      <c r="GZ34" s="154"/>
      <c r="HA34" s="154"/>
      <c r="HB34" s="154"/>
      <c r="HC34" s="154"/>
      <c r="HD34" s="154"/>
      <c r="HE34" s="154"/>
      <c r="HF34" s="154"/>
      <c r="HG34" s="154"/>
      <c r="HH34" s="154"/>
      <c r="HI34" s="154"/>
      <c r="HJ34" s="154"/>
      <c r="HK34" s="154"/>
      <c r="HL34" s="154"/>
      <c r="HM34" s="154"/>
      <c r="HN34" s="154"/>
      <c r="HO34" s="154"/>
      <c r="HP34" s="154"/>
      <c r="HQ34" s="154"/>
      <c r="HR34" s="154"/>
      <c r="HS34" s="154"/>
      <c r="HT34" s="154"/>
      <c r="HU34" s="154"/>
      <c r="HV34" s="154"/>
      <c r="HW34" s="154"/>
      <c r="HX34" s="154"/>
      <c r="HY34" s="154"/>
      <c r="HZ34" s="154"/>
      <c r="IA34" s="154"/>
      <c r="IB34" s="154"/>
      <c r="IC34" s="154"/>
      <c r="ID34" s="154"/>
      <c r="IE34" s="154"/>
      <c r="IF34" s="154"/>
      <c r="IG34" s="154"/>
      <c r="IH34" s="154"/>
      <c r="II34" s="154"/>
    </row>
    <row r="35" spans="1:256" s="11" customFormat="1" ht="18.75" x14ac:dyDescent="0.3">
      <c r="A35" s="117" t="s">
        <v>170</v>
      </c>
      <c r="B35" s="53" t="s">
        <v>76</v>
      </c>
      <c r="C35" s="114">
        <v>1.0143310000000001</v>
      </c>
      <c r="D35" s="114">
        <v>1.0143310000000001</v>
      </c>
      <c r="E35" s="114">
        <v>1.0143310000000001</v>
      </c>
      <c r="F35" s="114">
        <v>1.0143310000000001</v>
      </c>
      <c r="G35" s="114">
        <v>1.0143310000000001</v>
      </c>
      <c r="H35" s="114">
        <v>1.0143310000000001</v>
      </c>
      <c r="I35" s="114">
        <v>1.0143310000000001</v>
      </c>
      <c r="J35" s="114">
        <v>1.0143310000000001</v>
      </c>
      <c r="K35" s="114">
        <v>1.0143310000000001</v>
      </c>
      <c r="L35" s="114">
        <v>1.0143310000000001</v>
      </c>
      <c r="M35" s="114">
        <v>1.0143310000000001</v>
      </c>
      <c r="N35" s="114">
        <v>1.0143310000000001</v>
      </c>
      <c r="O35" s="114">
        <v>1.0143310000000001</v>
      </c>
      <c r="P35" s="114">
        <v>1.0143310000000001</v>
      </c>
      <c r="Q35" s="114">
        <v>1.0143310000000001</v>
      </c>
      <c r="R35" s="114"/>
      <c r="S35" s="162"/>
      <c r="T35" s="161"/>
      <c r="U35" s="161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  <c r="BJ35" s="160"/>
      <c r="BK35" s="160"/>
      <c r="BL35" s="160"/>
      <c r="BM35" s="160"/>
      <c r="BN35" s="160"/>
      <c r="BO35" s="160"/>
      <c r="BP35" s="160"/>
      <c r="BQ35" s="160"/>
      <c r="BR35" s="160"/>
      <c r="BS35" s="160"/>
      <c r="BT35" s="160"/>
      <c r="BU35" s="160"/>
      <c r="BV35" s="160"/>
      <c r="BW35" s="160"/>
      <c r="BX35" s="160"/>
      <c r="BY35" s="160"/>
      <c r="BZ35" s="160"/>
      <c r="CA35" s="160"/>
      <c r="CB35" s="160"/>
      <c r="CC35" s="160"/>
      <c r="CD35" s="160"/>
      <c r="CE35" s="160"/>
      <c r="CF35" s="160"/>
      <c r="CG35" s="160"/>
      <c r="CH35" s="160"/>
      <c r="CI35" s="160"/>
      <c r="CJ35" s="160"/>
      <c r="CK35" s="160"/>
      <c r="CL35" s="160"/>
      <c r="CM35" s="160"/>
      <c r="CN35" s="160"/>
      <c r="CO35" s="160"/>
      <c r="CP35" s="160"/>
      <c r="CQ35" s="160"/>
      <c r="CR35" s="160"/>
      <c r="CS35" s="160"/>
      <c r="CT35" s="160"/>
      <c r="CU35" s="160"/>
      <c r="CV35" s="160"/>
      <c r="CW35" s="160"/>
      <c r="CX35" s="160"/>
      <c r="CY35" s="160"/>
      <c r="CZ35" s="160"/>
      <c r="DA35" s="160"/>
      <c r="DB35" s="160"/>
      <c r="DC35" s="160"/>
      <c r="DD35" s="160"/>
      <c r="DE35" s="160"/>
      <c r="DF35" s="160"/>
      <c r="DG35" s="160"/>
      <c r="DH35" s="160"/>
      <c r="DI35" s="160"/>
      <c r="DJ35" s="160"/>
      <c r="DK35" s="160"/>
      <c r="DL35" s="160"/>
      <c r="DM35" s="160"/>
      <c r="DN35" s="160"/>
      <c r="DO35" s="160"/>
      <c r="DP35" s="160"/>
      <c r="DQ35" s="160"/>
      <c r="DR35" s="160"/>
      <c r="DS35" s="160"/>
      <c r="DT35" s="160"/>
      <c r="DU35" s="160"/>
      <c r="DV35" s="160"/>
      <c r="DW35" s="160"/>
      <c r="DX35" s="160"/>
      <c r="DY35" s="160"/>
      <c r="DZ35" s="160"/>
      <c r="EA35" s="160"/>
      <c r="EB35" s="160"/>
      <c r="EC35" s="160"/>
      <c r="ED35" s="160"/>
      <c r="EE35" s="160"/>
      <c r="EF35" s="160"/>
      <c r="EG35" s="160"/>
      <c r="EH35" s="160"/>
      <c r="EI35" s="160"/>
      <c r="EJ35" s="160"/>
      <c r="EK35" s="160"/>
      <c r="EL35" s="160"/>
      <c r="EM35" s="160"/>
      <c r="EN35" s="160"/>
      <c r="EO35" s="160"/>
      <c r="EP35" s="160"/>
      <c r="EQ35" s="160"/>
      <c r="ER35" s="160"/>
      <c r="ES35" s="160"/>
      <c r="ET35" s="160"/>
      <c r="EU35" s="160"/>
      <c r="EV35" s="160"/>
      <c r="EW35" s="160"/>
      <c r="EX35" s="160"/>
      <c r="EY35" s="160"/>
      <c r="EZ35" s="160"/>
      <c r="FA35" s="160"/>
      <c r="FB35" s="160"/>
      <c r="FC35" s="160"/>
      <c r="FD35" s="160"/>
      <c r="FE35" s="160"/>
      <c r="FF35" s="160"/>
      <c r="FG35" s="160"/>
      <c r="FH35" s="160"/>
      <c r="FI35" s="160"/>
      <c r="FJ35" s="160"/>
      <c r="FK35" s="160"/>
      <c r="FL35" s="160"/>
      <c r="FM35" s="160"/>
      <c r="FN35" s="160"/>
      <c r="FO35" s="160"/>
      <c r="FP35" s="160"/>
      <c r="FQ35" s="160"/>
      <c r="FR35" s="160"/>
      <c r="FS35" s="160"/>
      <c r="FT35" s="160"/>
      <c r="FU35" s="160"/>
      <c r="FV35" s="160"/>
      <c r="FW35" s="160"/>
      <c r="FX35" s="160"/>
      <c r="FY35" s="160"/>
      <c r="FZ35" s="160"/>
      <c r="GA35" s="160"/>
      <c r="GB35" s="160"/>
      <c r="GC35" s="160"/>
      <c r="GD35" s="160"/>
      <c r="GE35" s="160"/>
      <c r="GF35" s="160"/>
      <c r="GG35" s="160"/>
      <c r="GH35" s="160"/>
      <c r="GI35" s="160"/>
      <c r="GJ35" s="160"/>
      <c r="GK35" s="160"/>
      <c r="GL35" s="160"/>
      <c r="GM35" s="160"/>
      <c r="GN35" s="160"/>
      <c r="GO35" s="160"/>
      <c r="GP35" s="160"/>
      <c r="GQ35" s="160"/>
      <c r="GR35" s="160"/>
      <c r="GS35" s="160"/>
      <c r="GT35" s="160"/>
      <c r="GU35" s="160"/>
      <c r="GV35" s="160"/>
      <c r="GW35" s="160"/>
      <c r="GX35" s="160"/>
      <c r="GY35" s="160"/>
      <c r="GZ35" s="160"/>
      <c r="HA35" s="160"/>
      <c r="HB35" s="160"/>
      <c r="HC35" s="160"/>
      <c r="HD35" s="160"/>
      <c r="HE35" s="160"/>
      <c r="HF35" s="160"/>
      <c r="HG35" s="160"/>
      <c r="HH35" s="160"/>
      <c r="HI35" s="160"/>
      <c r="HJ35" s="160"/>
      <c r="HK35" s="160"/>
      <c r="HL35" s="160"/>
      <c r="HM35" s="160"/>
      <c r="HN35" s="160"/>
      <c r="HO35" s="160"/>
      <c r="HP35" s="160"/>
      <c r="HQ35" s="160"/>
      <c r="HR35" s="160"/>
      <c r="HS35" s="160"/>
      <c r="HT35" s="160"/>
      <c r="HU35" s="160"/>
      <c r="HV35" s="160"/>
      <c r="HW35" s="160"/>
      <c r="HX35" s="160"/>
      <c r="HY35" s="160"/>
      <c r="HZ35" s="160"/>
      <c r="IA35" s="160"/>
      <c r="IB35" s="160"/>
      <c r="IC35" s="160"/>
      <c r="ID35" s="160"/>
      <c r="IE35" s="160"/>
      <c r="IF35" s="160"/>
      <c r="IG35" s="160"/>
      <c r="IH35" s="160"/>
      <c r="II35" s="160"/>
    </row>
    <row r="36" spans="1:256" ht="18.75" x14ac:dyDescent="0.3">
      <c r="A36" s="18"/>
      <c r="B36" s="21" t="s">
        <v>60</v>
      </c>
      <c r="C36" s="54">
        <f>ROUND(C34*C35*C33,0)</f>
        <v>381850</v>
      </c>
      <c r="D36" s="54">
        <f t="shared" ref="D36:Q36" si="7">ROUND(D34*D35*D33,0)</f>
        <v>820039</v>
      </c>
      <c r="E36" s="54">
        <f t="shared" si="7"/>
        <v>641634</v>
      </c>
      <c r="F36" s="54">
        <f t="shared" si="7"/>
        <v>591555</v>
      </c>
      <c r="G36" s="54">
        <f t="shared" si="7"/>
        <v>425669</v>
      </c>
      <c r="H36" s="54">
        <f t="shared" si="7"/>
        <v>0</v>
      </c>
      <c r="I36" s="54">
        <f t="shared" si="7"/>
        <v>960886</v>
      </c>
      <c r="J36" s="54">
        <f t="shared" si="7"/>
        <v>428799</v>
      </c>
      <c r="K36" s="54">
        <f t="shared" si="7"/>
        <v>1361516</v>
      </c>
      <c r="L36" s="54">
        <f>ROUND(L34*L35*L33,0)</f>
        <v>935846</v>
      </c>
      <c r="M36" s="54">
        <f t="shared" si="7"/>
        <v>0</v>
      </c>
      <c r="N36" s="54">
        <f t="shared" si="7"/>
        <v>0</v>
      </c>
      <c r="O36" s="54">
        <f t="shared" si="7"/>
        <v>0</v>
      </c>
      <c r="P36" s="54">
        <f t="shared" si="7"/>
        <v>0</v>
      </c>
      <c r="Q36" s="54">
        <f t="shared" si="7"/>
        <v>0</v>
      </c>
      <c r="R36" s="21">
        <f>ROUND(SUM(C36:Q36),0)</f>
        <v>6547794</v>
      </c>
      <c r="S36" s="164"/>
      <c r="T36" s="115"/>
      <c r="U36" s="115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154"/>
      <c r="BA36" s="154"/>
      <c r="BB36" s="154"/>
      <c r="BC36" s="154"/>
      <c r="BD36" s="154"/>
      <c r="BE36" s="154"/>
      <c r="BF36" s="154"/>
      <c r="BG36" s="154"/>
      <c r="BH36" s="154"/>
      <c r="BI36" s="154"/>
      <c r="BJ36" s="154"/>
      <c r="BK36" s="154"/>
      <c r="BL36" s="154"/>
      <c r="BM36" s="154"/>
      <c r="BN36" s="154"/>
      <c r="BO36" s="154"/>
      <c r="BP36" s="154"/>
      <c r="BQ36" s="154"/>
      <c r="BR36" s="154"/>
      <c r="BS36" s="154"/>
      <c r="BT36" s="154"/>
      <c r="BU36" s="154"/>
      <c r="BV36" s="154"/>
      <c r="BW36" s="154"/>
      <c r="BX36" s="154"/>
      <c r="BY36" s="154"/>
      <c r="BZ36" s="154"/>
      <c r="CA36" s="154"/>
      <c r="CB36" s="154"/>
      <c r="CC36" s="154"/>
      <c r="CD36" s="154"/>
      <c r="CE36" s="154"/>
      <c r="CF36" s="154"/>
      <c r="CG36" s="154"/>
      <c r="CH36" s="154"/>
      <c r="CI36" s="154"/>
      <c r="CJ36" s="154"/>
      <c r="CK36" s="154"/>
      <c r="CL36" s="154"/>
      <c r="CM36" s="154"/>
      <c r="CN36" s="154"/>
      <c r="CO36" s="154"/>
      <c r="CP36" s="154"/>
      <c r="CQ36" s="154"/>
      <c r="CR36" s="154"/>
      <c r="CS36" s="154"/>
      <c r="CT36" s="154"/>
      <c r="CU36" s="154"/>
      <c r="CV36" s="154"/>
      <c r="CW36" s="154"/>
      <c r="CX36" s="154"/>
      <c r="CY36" s="154"/>
      <c r="CZ36" s="154"/>
      <c r="DA36" s="154"/>
      <c r="DB36" s="154"/>
      <c r="DC36" s="154"/>
      <c r="DD36" s="154"/>
      <c r="DE36" s="154"/>
      <c r="DF36" s="154"/>
      <c r="DG36" s="154"/>
      <c r="DH36" s="154"/>
      <c r="DI36" s="154"/>
      <c r="DJ36" s="154"/>
      <c r="DK36" s="154"/>
      <c r="DL36" s="154"/>
      <c r="DM36" s="154"/>
      <c r="DN36" s="154"/>
      <c r="DO36" s="154"/>
      <c r="DP36" s="154"/>
      <c r="DQ36" s="154"/>
      <c r="DR36" s="154"/>
      <c r="DS36" s="154"/>
      <c r="DT36" s="154"/>
      <c r="DU36" s="154"/>
      <c r="DV36" s="154"/>
      <c r="DW36" s="154"/>
      <c r="DX36" s="154"/>
      <c r="DY36" s="154"/>
      <c r="DZ36" s="154"/>
      <c r="EA36" s="154"/>
      <c r="EB36" s="154"/>
      <c r="EC36" s="154"/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54"/>
      <c r="EU36" s="154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54"/>
      <c r="FG36" s="154"/>
      <c r="FH36" s="154"/>
      <c r="FI36" s="154"/>
      <c r="FJ36" s="154"/>
      <c r="FK36" s="154"/>
      <c r="FL36" s="154"/>
      <c r="FM36" s="154"/>
      <c r="FN36" s="154"/>
      <c r="FO36" s="154"/>
      <c r="FP36" s="154"/>
      <c r="FQ36" s="154"/>
      <c r="FR36" s="154"/>
      <c r="FS36" s="154"/>
      <c r="FT36" s="154"/>
      <c r="FU36" s="154"/>
      <c r="FV36" s="154"/>
      <c r="FW36" s="154"/>
      <c r="FX36" s="154"/>
      <c r="FY36" s="154"/>
      <c r="FZ36" s="154"/>
      <c r="GA36" s="154"/>
      <c r="GB36" s="154"/>
      <c r="GC36" s="154"/>
      <c r="GD36" s="154"/>
      <c r="GE36" s="154"/>
      <c r="GF36" s="154"/>
      <c r="GG36" s="154"/>
      <c r="GH36" s="154"/>
      <c r="GI36" s="154"/>
      <c r="GJ36" s="154"/>
      <c r="GK36" s="154"/>
      <c r="GL36" s="154"/>
      <c r="GM36" s="154"/>
      <c r="GN36" s="154"/>
      <c r="GO36" s="154"/>
      <c r="GP36" s="154"/>
      <c r="GQ36" s="154"/>
      <c r="GR36" s="154"/>
      <c r="GS36" s="154"/>
      <c r="GT36" s="154"/>
      <c r="GU36" s="154"/>
      <c r="GV36" s="154"/>
      <c r="GW36" s="154"/>
      <c r="GX36" s="154"/>
      <c r="GY36" s="154"/>
      <c r="GZ36" s="154"/>
      <c r="HA36" s="154"/>
      <c r="HB36" s="154"/>
      <c r="HC36" s="154"/>
      <c r="HD36" s="154"/>
      <c r="HE36" s="154"/>
      <c r="HF36" s="154"/>
      <c r="HG36" s="154"/>
      <c r="HH36" s="154"/>
      <c r="HI36" s="154"/>
      <c r="HJ36" s="154"/>
      <c r="HK36" s="154"/>
      <c r="HL36" s="154"/>
      <c r="HM36" s="154"/>
      <c r="HN36" s="154"/>
      <c r="HO36" s="154"/>
      <c r="HP36" s="154"/>
      <c r="HQ36" s="154"/>
      <c r="HR36" s="154"/>
      <c r="HS36" s="154"/>
      <c r="HT36" s="154"/>
      <c r="HU36" s="154"/>
      <c r="HV36" s="154"/>
      <c r="HW36" s="154"/>
      <c r="HX36" s="154"/>
      <c r="HY36" s="154"/>
      <c r="HZ36" s="154"/>
      <c r="IA36" s="154"/>
      <c r="IB36" s="154"/>
      <c r="IC36" s="154"/>
      <c r="ID36" s="154"/>
      <c r="IE36" s="154"/>
      <c r="IF36" s="154"/>
      <c r="IG36" s="154"/>
      <c r="IH36" s="154"/>
      <c r="II36" s="154"/>
    </row>
    <row r="37" spans="1:256" ht="18.75" x14ac:dyDescent="0.3">
      <c r="A37" s="99"/>
      <c r="B37" s="54"/>
      <c r="C37" s="54"/>
      <c r="D37" s="54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159"/>
      <c r="T37" s="115"/>
      <c r="U37" s="115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  <c r="BM37" s="154"/>
      <c r="BN37" s="154"/>
      <c r="BO37" s="154"/>
      <c r="BP37" s="154"/>
      <c r="BQ37" s="154"/>
      <c r="BR37" s="154"/>
      <c r="BS37" s="154"/>
      <c r="BT37" s="154"/>
      <c r="BU37" s="154"/>
      <c r="BV37" s="154"/>
      <c r="BW37" s="154"/>
      <c r="BX37" s="154"/>
      <c r="BY37" s="154"/>
      <c r="BZ37" s="154"/>
      <c r="CA37" s="154"/>
      <c r="CB37" s="154"/>
      <c r="CC37" s="154"/>
      <c r="CD37" s="154"/>
      <c r="CE37" s="154"/>
      <c r="CF37" s="154"/>
      <c r="CG37" s="154"/>
      <c r="CH37" s="154"/>
      <c r="CI37" s="154"/>
      <c r="CJ37" s="154"/>
      <c r="CK37" s="154"/>
      <c r="CL37" s="154"/>
      <c r="CM37" s="154"/>
      <c r="CN37" s="154"/>
      <c r="CO37" s="154"/>
      <c r="CP37" s="154"/>
      <c r="CQ37" s="154"/>
      <c r="CR37" s="154"/>
      <c r="CS37" s="154"/>
      <c r="CT37" s="154"/>
      <c r="CU37" s="154"/>
      <c r="CV37" s="154"/>
      <c r="CW37" s="154"/>
      <c r="CX37" s="154"/>
      <c r="CY37" s="154"/>
      <c r="CZ37" s="154"/>
      <c r="DA37" s="154"/>
      <c r="DB37" s="154"/>
      <c r="DC37" s="154"/>
      <c r="DD37" s="154"/>
      <c r="DE37" s="154"/>
      <c r="DF37" s="154"/>
      <c r="DG37" s="154"/>
      <c r="DH37" s="154"/>
      <c r="DI37" s="154"/>
      <c r="DJ37" s="154"/>
      <c r="DK37" s="154"/>
      <c r="DL37" s="154"/>
      <c r="DM37" s="154"/>
      <c r="DN37" s="154"/>
      <c r="DO37" s="154"/>
      <c r="DP37" s="154"/>
      <c r="DQ37" s="154"/>
      <c r="DR37" s="154"/>
      <c r="DS37" s="154"/>
      <c r="DT37" s="154"/>
      <c r="DU37" s="154"/>
      <c r="DV37" s="154"/>
      <c r="DW37" s="154"/>
      <c r="DX37" s="154"/>
      <c r="DY37" s="154"/>
      <c r="DZ37" s="154"/>
      <c r="EA37" s="154"/>
      <c r="EB37" s="154"/>
      <c r="EC37" s="154"/>
      <c r="ED37" s="15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54"/>
      <c r="EU37" s="154"/>
      <c r="EV37" s="154"/>
      <c r="EW37" s="154"/>
      <c r="EX37" s="154"/>
      <c r="EY37" s="154"/>
      <c r="EZ37" s="154"/>
      <c r="FA37" s="154"/>
      <c r="FB37" s="154"/>
      <c r="FC37" s="154"/>
      <c r="FD37" s="154"/>
      <c r="FE37" s="154"/>
      <c r="FF37" s="154"/>
      <c r="FG37" s="154"/>
      <c r="FH37" s="154"/>
      <c r="FI37" s="154"/>
      <c r="FJ37" s="154"/>
      <c r="FK37" s="154"/>
      <c r="FL37" s="154"/>
      <c r="FM37" s="154"/>
      <c r="FN37" s="154"/>
      <c r="FO37" s="154"/>
      <c r="FP37" s="154"/>
      <c r="FQ37" s="154"/>
      <c r="FR37" s="154"/>
      <c r="FS37" s="154"/>
      <c r="FT37" s="154"/>
      <c r="FU37" s="154"/>
      <c r="FV37" s="154"/>
      <c r="FW37" s="154"/>
      <c r="FX37" s="154"/>
      <c r="FY37" s="154"/>
      <c r="FZ37" s="154"/>
      <c r="GA37" s="154"/>
      <c r="GB37" s="154"/>
      <c r="GC37" s="154"/>
      <c r="GD37" s="154"/>
      <c r="GE37" s="154"/>
      <c r="GF37" s="154"/>
      <c r="GG37" s="154"/>
      <c r="GH37" s="154"/>
      <c r="GI37" s="154"/>
      <c r="GJ37" s="154"/>
      <c r="GK37" s="154"/>
      <c r="GL37" s="154"/>
      <c r="GM37" s="154"/>
      <c r="GN37" s="154"/>
      <c r="GO37" s="154"/>
      <c r="GP37" s="154"/>
      <c r="GQ37" s="154"/>
      <c r="GR37" s="154"/>
      <c r="GS37" s="154"/>
      <c r="GT37" s="154"/>
      <c r="GU37" s="154"/>
      <c r="GV37" s="154"/>
      <c r="GW37" s="154"/>
      <c r="GX37" s="154"/>
      <c r="GY37" s="154"/>
      <c r="GZ37" s="154"/>
      <c r="HA37" s="154"/>
      <c r="HB37" s="154"/>
      <c r="HC37" s="154"/>
      <c r="HD37" s="154"/>
      <c r="HE37" s="154"/>
      <c r="HF37" s="154"/>
      <c r="HG37" s="154"/>
      <c r="HH37" s="154"/>
      <c r="HI37" s="154"/>
      <c r="HJ37" s="154"/>
      <c r="HK37" s="154"/>
      <c r="HL37" s="154"/>
      <c r="HM37" s="154"/>
      <c r="HN37" s="154"/>
      <c r="HO37" s="154"/>
      <c r="HP37" s="154"/>
      <c r="HQ37" s="154"/>
      <c r="HR37" s="154"/>
      <c r="HS37" s="154"/>
      <c r="HT37" s="154"/>
      <c r="HU37" s="154"/>
      <c r="HV37" s="154"/>
      <c r="HW37" s="154"/>
      <c r="HX37" s="154"/>
      <c r="HY37" s="154"/>
      <c r="HZ37" s="154"/>
      <c r="IA37" s="154"/>
      <c r="IB37" s="154"/>
      <c r="IC37" s="154"/>
      <c r="ID37" s="154"/>
      <c r="IE37" s="154"/>
      <c r="IF37" s="154"/>
      <c r="IG37" s="154"/>
      <c r="IH37" s="154"/>
      <c r="II37" s="154"/>
      <c r="IJ37" s="154"/>
      <c r="IK37" s="154"/>
      <c r="IL37" s="154"/>
      <c r="IM37" s="154"/>
      <c r="IN37" s="154"/>
      <c r="IO37" s="154"/>
      <c r="IP37" s="154"/>
      <c r="IQ37" s="154"/>
      <c r="IR37" s="154"/>
      <c r="IS37" s="154"/>
      <c r="IT37" s="154"/>
      <c r="IU37" s="154"/>
      <c r="IV37" s="154"/>
    </row>
    <row r="38" spans="1:256" s="71" customFormat="1" ht="18.75" x14ac:dyDescent="0.3">
      <c r="A38" s="70" t="s">
        <v>64</v>
      </c>
      <c r="B38" s="67" t="s">
        <v>59</v>
      </c>
      <c r="C38" s="67">
        <v>101</v>
      </c>
      <c r="D38" s="67">
        <v>0</v>
      </c>
      <c r="E38" s="67">
        <v>0</v>
      </c>
      <c r="F38" s="67">
        <v>136</v>
      </c>
      <c r="G38" s="67">
        <v>108</v>
      </c>
      <c r="H38" s="67">
        <v>86</v>
      </c>
      <c r="I38" s="67">
        <v>106</v>
      </c>
      <c r="J38" s="67">
        <v>34</v>
      </c>
      <c r="K38" s="67">
        <v>0</v>
      </c>
      <c r="L38" s="67">
        <v>57</v>
      </c>
      <c r="M38" s="67">
        <v>220</v>
      </c>
      <c r="N38" s="67">
        <v>0</v>
      </c>
      <c r="O38" s="67"/>
      <c r="P38" s="67"/>
      <c r="Q38" s="67">
        <v>178</v>
      </c>
      <c r="R38" s="109">
        <f>SUM(C38:Q38)</f>
        <v>1026</v>
      </c>
      <c r="S38" s="159"/>
      <c r="T38" s="115"/>
      <c r="U38" s="115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  <c r="BM38" s="154"/>
      <c r="BN38" s="154"/>
      <c r="BO38" s="154"/>
      <c r="BP38" s="154"/>
      <c r="BQ38" s="154"/>
      <c r="BR38" s="154"/>
      <c r="BS38" s="154"/>
      <c r="BT38" s="154"/>
      <c r="BU38" s="154"/>
      <c r="BV38" s="154"/>
      <c r="BW38" s="154"/>
      <c r="BX38" s="154"/>
      <c r="BY38" s="154"/>
      <c r="BZ38" s="154"/>
      <c r="CA38" s="154"/>
      <c r="CB38" s="154"/>
      <c r="CC38" s="154"/>
      <c r="CD38" s="154"/>
      <c r="CE38" s="154"/>
      <c r="CF38" s="154"/>
      <c r="CG38" s="154"/>
      <c r="CH38" s="154"/>
      <c r="CI38" s="154"/>
      <c r="CJ38" s="154"/>
      <c r="CK38" s="154"/>
      <c r="CL38" s="154"/>
      <c r="CM38" s="154"/>
      <c r="CN38" s="154"/>
      <c r="CO38" s="154"/>
      <c r="CP38" s="154"/>
      <c r="CQ38" s="154"/>
      <c r="CR38" s="154"/>
      <c r="CS38" s="154"/>
      <c r="CT38" s="154"/>
      <c r="CU38" s="154"/>
      <c r="CV38" s="154"/>
      <c r="CW38" s="154"/>
      <c r="CX38" s="154"/>
      <c r="CY38" s="154"/>
      <c r="CZ38" s="154"/>
      <c r="DA38" s="154"/>
      <c r="DB38" s="154"/>
      <c r="DC38" s="154"/>
      <c r="DD38" s="154"/>
      <c r="DE38" s="154"/>
      <c r="DF38" s="154"/>
      <c r="DG38" s="154"/>
      <c r="DH38" s="154"/>
      <c r="DI38" s="154"/>
      <c r="DJ38" s="154"/>
      <c r="DK38" s="154"/>
      <c r="DL38" s="154"/>
      <c r="DM38" s="154"/>
      <c r="DN38" s="154"/>
      <c r="DO38" s="154"/>
      <c r="DP38" s="154"/>
      <c r="DQ38" s="154"/>
      <c r="DR38" s="154"/>
      <c r="DS38" s="154"/>
      <c r="DT38" s="154"/>
      <c r="DU38" s="154"/>
      <c r="DV38" s="154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  <c r="EM38" s="154"/>
      <c r="EN38" s="154"/>
      <c r="EO38" s="154"/>
      <c r="EP38" s="154"/>
      <c r="EQ38" s="154"/>
      <c r="ER38" s="154"/>
      <c r="ES38" s="154"/>
      <c r="ET38" s="154"/>
      <c r="EU38" s="154"/>
      <c r="EV38" s="154"/>
      <c r="EW38" s="154"/>
      <c r="EX38" s="154"/>
      <c r="EY38" s="154"/>
      <c r="EZ38" s="154"/>
      <c r="FA38" s="154"/>
      <c r="FB38" s="154"/>
      <c r="FC38" s="154"/>
      <c r="FD38" s="154"/>
      <c r="FE38" s="154"/>
      <c r="FF38" s="154"/>
      <c r="FG38" s="154"/>
      <c r="FH38" s="154"/>
      <c r="FI38" s="154"/>
      <c r="FJ38" s="154"/>
      <c r="FK38" s="154"/>
      <c r="FL38" s="154"/>
      <c r="FM38" s="154"/>
      <c r="FN38" s="154"/>
      <c r="FO38" s="154"/>
      <c r="FP38" s="154"/>
      <c r="FQ38" s="154"/>
      <c r="FR38" s="154"/>
      <c r="FS38" s="154"/>
      <c r="FT38" s="154"/>
      <c r="FU38" s="154"/>
      <c r="FV38" s="154"/>
      <c r="FW38" s="154"/>
      <c r="FX38" s="154"/>
      <c r="FY38" s="154"/>
      <c r="FZ38" s="154"/>
      <c r="GA38" s="154"/>
      <c r="GB38" s="154"/>
      <c r="GC38" s="154"/>
      <c r="GD38" s="154"/>
      <c r="GE38" s="154"/>
      <c r="GF38" s="154"/>
      <c r="GG38" s="154"/>
      <c r="GH38" s="154"/>
      <c r="GI38" s="154"/>
      <c r="GJ38" s="154"/>
      <c r="GK38" s="154"/>
      <c r="GL38" s="154"/>
      <c r="GM38" s="154"/>
      <c r="GN38" s="154"/>
      <c r="GO38" s="154"/>
      <c r="GP38" s="154"/>
      <c r="GQ38" s="154"/>
      <c r="GR38" s="154"/>
      <c r="GS38" s="154"/>
      <c r="GT38" s="154"/>
      <c r="GU38" s="154"/>
      <c r="GV38" s="154"/>
      <c r="GW38" s="154"/>
      <c r="GX38" s="154"/>
      <c r="GY38" s="154"/>
      <c r="GZ38" s="154"/>
      <c r="HA38" s="154"/>
      <c r="HB38" s="154"/>
      <c r="HC38" s="154"/>
      <c r="HD38" s="154"/>
      <c r="HE38" s="154"/>
      <c r="HF38" s="154"/>
      <c r="HG38" s="154"/>
      <c r="HH38" s="154"/>
      <c r="HI38" s="154"/>
      <c r="HJ38" s="154"/>
      <c r="HK38" s="154"/>
      <c r="HL38" s="154"/>
      <c r="HM38" s="154"/>
      <c r="HN38" s="154"/>
      <c r="HO38" s="154"/>
      <c r="HP38" s="154"/>
      <c r="HQ38" s="154"/>
      <c r="HR38" s="154"/>
      <c r="HS38" s="154"/>
      <c r="HT38" s="154"/>
      <c r="HU38" s="154"/>
      <c r="HV38" s="154"/>
      <c r="HW38" s="154"/>
      <c r="HX38" s="154"/>
      <c r="HY38" s="154"/>
      <c r="HZ38" s="154"/>
      <c r="IA38" s="154"/>
      <c r="IB38" s="154"/>
      <c r="IC38" s="154"/>
      <c r="ID38" s="154"/>
      <c r="IE38" s="154"/>
      <c r="IF38" s="154"/>
      <c r="IG38" s="154"/>
      <c r="IH38" s="154"/>
      <c r="II38" s="154"/>
      <c r="IJ38" s="154"/>
      <c r="IK38" s="154"/>
      <c r="IL38" s="154"/>
      <c r="IM38" s="154"/>
      <c r="IN38" s="154"/>
      <c r="IO38" s="154"/>
      <c r="IP38" s="154"/>
      <c r="IQ38" s="154"/>
      <c r="IR38" s="154"/>
      <c r="IS38" s="154"/>
      <c r="IT38" s="154"/>
      <c r="IU38" s="154"/>
      <c r="IV38" s="154"/>
    </row>
    <row r="39" spans="1:256" ht="18.75" x14ac:dyDescent="0.3">
      <c r="A39" s="18" t="s">
        <v>171</v>
      </c>
      <c r="B39" s="20"/>
      <c r="C39" s="72">
        <v>3085.7</v>
      </c>
      <c r="D39" s="72">
        <v>3085.7</v>
      </c>
      <c r="E39" s="72">
        <v>3085.7</v>
      </c>
      <c r="F39" s="72">
        <v>3085.7</v>
      </c>
      <c r="G39" s="72">
        <v>3085.7</v>
      </c>
      <c r="H39" s="72">
        <v>3085.7</v>
      </c>
      <c r="I39" s="72">
        <v>3085.7</v>
      </c>
      <c r="J39" s="72">
        <v>3085.7</v>
      </c>
      <c r="K39" s="72">
        <v>3085.7</v>
      </c>
      <c r="L39" s="72">
        <v>3085.7</v>
      </c>
      <c r="M39" s="72">
        <v>3085.7</v>
      </c>
      <c r="N39" s="72">
        <v>3085.7</v>
      </c>
      <c r="O39" s="72">
        <v>3085.7</v>
      </c>
      <c r="P39" s="72">
        <v>3085.7</v>
      </c>
      <c r="Q39" s="72">
        <v>3085.7</v>
      </c>
      <c r="R39" s="72"/>
      <c r="S39" s="159"/>
      <c r="T39" s="115"/>
      <c r="U39" s="115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4"/>
      <c r="AM39" s="154"/>
      <c r="AN39" s="154"/>
      <c r="AO39" s="154"/>
      <c r="AP39" s="154"/>
      <c r="AQ39" s="154"/>
      <c r="AR39" s="154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54"/>
      <c r="BG39" s="154"/>
      <c r="BH39" s="154"/>
      <c r="BI39" s="154"/>
      <c r="BJ39" s="154"/>
      <c r="BK39" s="154"/>
      <c r="BL39" s="154"/>
      <c r="BM39" s="154"/>
      <c r="BN39" s="154"/>
      <c r="BO39" s="154"/>
      <c r="BP39" s="154"/>
      <c r="BQ39" s="154"/>
      <c r="BR39" s="154"/>
      <c r="BS39" s="154"/>
      <c r="BT39" s="154"/>
      <c r="BU39" s="154"/>
      <c r="BV39" s="154"/>
      <c r="BW39" s="154"/>
      <c r="BX39" s="154"/>
      <c r="BY39" s="154"/>
      <c r="BZ39" s="154"/>
      <c r="CA39" s="154"/>
      <c r="CB39" s="154"/>
      <c r="CC39" s="154"/>
      <c r="CD39" s="154"/>
      <c r="CE39" s="154"/>
      <c r="CF39" s="154"/>
      <c r="CG39" s="154"/>
      <c r="CH39" s="154"/>
      <c r="CI39" s="154"/>
      <c r="CJ39" s="154"/>
      <c r="CK39" s="154"/>
      <c r="CL39" s="154"/>
      <c r="CM39" s="154"/>
      <c r="CN39" s="154"/>
      <c r="CO39" s="154"/>
      <c r="CP39" s="154"/>
      <c r="CQ39" s="154"/>
      <c r="CR39" s="154"/>
      <c r="CS39" s="154"/>
      <c r="CT39" s="154"/>
      <c r="CU39" s="154"/>
      <c r="CV39" s="154"/>
      <c r="CW39" s="154"/>
      <c r="CX39" s="154"/>
      <c r="CY39" s="154"/>
      <c r="CZ39" s="154"/>
      <c r="DA39" s="154"/>
      <c r="DB39" s="154"/>
      <c r="DC39" s="154"/>
      <c r="DD39" s="154"/>
      <c r="DE39" s="154"/>
      <c r="DF39" s="154"/>
      <c r="DG39" s="154"/>
      <c r="DH39" s="154"/>
      <c r="DI39" s="154"/>
      <c r="DJ39" s="154"/>
      <c r="DK39" s="154"/>
      <c r="DL39" s="154"/>
      <c r="DM39" s="154"/>
      <c r="DN39" s="154"/>
      <c r="DO39" s="154"/>
      <c r="DP39" s="154"/>
      <c r="DQ39" s="154"/>
      <c r="DR39" s="154"/>
      <c r="DS39" s="154"/>
      <c r="DT39" s="154"/>
      <c r="DU39" s="154"/>
      <c r="DV39" s="154"/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  <c r="EG39" s="154"/>
      <c r="EH39" s="154"/>
      <c r="EI39" s="154"/>
      <c r="EJ39" s="154"/>
      <c r="EK39" s="154"/>
      <c r="EL39" s="154"/>
      <c r="EM39" s="154"/>
      <c r="EN39" s="154"/>
      <c r="EO39" s="154"/>
      <c r="EP39" s="154"/>
      <c r="EQ39" s="154"/>
      <c r="ER39" s="154"/>
      <c r="ES39" s="154"/>
      <c r="ET39" s="154"/>
      <c r="EU39" s="154"/>
      <c r="EV39" s="154"/>
      <c r="EW39" s="154"/>
      <c r="EX39" s="154"/>
      <c r="EY39" s="154"/>
      <c r="EZ39" s="154"/>
      <c r="FA39" s="154"/>
      <c r="FB39" s="154"/>
      <c r="FC39" s="154"/>
      <c r="FD39" s="154"/>
      <c r="FE39" s="154"/>
      <c r="FF39" s="154"/>
      <c r="FG39" s="154"/>
      <c r="FH39" s="154"/>
      <c r="FI39" s="154"/>
      <c r="FJ39" s="154"/>
      <c r="FK39" s="154"/>
      <c r="FL39" s="154"/>
      <c r="FM39" s="154"/>
      <c r="FN39" s="154"/>
      <c r="FO39" s="154"/>
      <c r="FP39" s="154"/>
      <c r="FQ39" s="154"/>
      <c r="FR39" s="154"/>
      <c r="FS39" s="154"/>
      <c r="FT39" s="154"/>
      <c r="FU39" s="154"/>
      <c r="FV39" s="154"/>
      <c r="FW39" s="154"/>
      <c r="FX39" s="154"/>
      <c r="FY39" s="154"/>
      <c r="FZ39" s="154"/>
      <c r="GA39" s="154"/>
      <c r="GB39" s="154"/>
      <c r="GC39" s="154"/>
      <c r="GD39" s="154"/>
      <c r="GE39" s="154"/>
      <c r="GF39" s="154"/>
      <c r="GG39" s="154"/>
      <c r="GH39" s="154"/>
      <c r="GI39" s="154"/>
      <c r="GJ39" s="154"/>
      <c r="GK39" s="154"/>
      <c r="GL39" s="154"/>
      <c r="GM39" s="154"/>
      <c r="GN39" s="154"/>
      <c r="GO39" s="154"/>
      <c r="GP39" s="154"/>
      <c r="GQ39" s="154"/>
      <c r="GR39" s="154"/>
      <c r="GS39" s="154"/>
      <c r="GT39" s="154"/>
      <c r="GU39" s="154"/>
      <c r="GV39" s="154"/>
      <c r="GW39" s="154"/>
      <c r="GX39" s="154"/>
      <c r="GY39" s="154"/>
      <c r="GZ39" s="154"/>
      <c r="HA39" s="154"/>
      <c r="HB39" s="154"/>
      <c r="HC39" s="154"/>
      <c r="HD39" s="154"/>
      <c r="HE39" s="154"/>
      <c r="HF39" s="154"/>
      <c r="HG39" s="154"/>
      <c r="HH39" s="154"/>
      <c r="HI39" s="154"/>
      <c r="HJ39" s="154"/>
      <c r="HK39" s="154"/>
      <c r="HL39" s="154"/>
      <c r="HM39" s="154"/>
      <c r="HN39" s="154"/>
      <c r="HO39" s="154"/>
      <c r="HP39" s="154"/>
      <c r="HQ39" s="154"/>
      <c r="HR39" s="154"/>
      <c r="HS39" s="154"/>
      <c r="HT39" s="154"/>
      <c r="HU39" s="154"/>
      <c r="HV39" s="154"/>
      <c r="HW39" s="154"/>
      <c r="HX39" s="154"/>
      <c r="HY39" s="154"/>
      <c r="HZ39" s="154"/>
      <c r="IA39" s="154"/>
      <c r="IB39" s="154"/>
      <c r="IC39" s="154"/>
      <c r="ID39" s="154"/>
      <c r="IE39" s="154"/>
      <c r="IF39" s="154"/>
      <c r="IG39" s="154"/>
      <c r="IH39" s="154"/>
      <c r="II39" s="154"/>
      <c r="IJ39" s="154"/>
      <c r="IK39" s="154"/>
      <c r="IL39" s="154"/>
      <c r="IM39" s="154"/>
      <c r="IN39" s="154"/>
      <c r="IO39" s="154"/>
      <c r="IP39" s="154"/>
      <c r="IQ39" s="154"/>
      <c r="IR39" s="154"/>
      <c r="IS39" s="154"/>
      <c r="IT39" s="154"/>
      <c r="IU39" s="154"/>
      <c r="IV39" s="154"/>
    </row>
    <row r="40" spans="1:256" s="11" customFormat="1" ht="18.75" x14ac:dyDescent="0.3">
      <c r="A40" s="117" t="s">
        <v>170</v>
      </c>
      <c r="B40" s="53" t="s">
        <v>76</v>
      </c>
      <c r="C40" s="114">
        <v>1.0143310000000001</v>
      </c>
      <c r="D40" s="114">
        <v>1.0143310000000001</v>
      </c>
      <c r="E40" s="114">
        <v>1.0143310000000001</v>
      </c>
      <c r="F40" s="114">
        <v>1.0143310000000001</v>
      </c>
      <c r="G40" s="114">
        <v>1.0143310000000001</v>
      </c>
      <c r="H40" s="114">
        <v>1.0143310000000001</v>
      </c>
      <c r="I40" s="114">
        <v>1.0143310000000001</v>
      </c>
      <c r="J40" s="114">
        <v>1.0143310000000001</v>
      </c>
      <c r="K40" s="114">
        <v>1.0143310000000001</v>
      </c>
      <c r="L40" s="114">
        <v>1.0143310000000001</v>
      </c>
      <c r="M40" s="114">
        <v>1.0143310000000001</v>
      </c>
      <c r="N40" s="114">
        <v>1.0143310000000001</v>
      </c>
      <c r="O40" s="114">
        <v>1.0143310000000001</v>
      </c>
      <c r="P40" s="114">
        <v>1.0143310000000001</v>
      </c>
      <c r="Q40" s="114">
        <v>1.0143310000000001</v>
      </c>
      <c r="R40" s="165"/>
      <c r="S40" s="162"/>
      <c r="T40" s="161"/>
      <c r="U40" s="161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  <c r="BJ40" s="160"/>
      <c r="BK40" s="160"/>
      <c r="BL40" s="160"/>
      <c r="BM40" s="160"/>
      <c r="BN40" s="160"/>
      <c r="BO40" s="160"/>
      <c r="BP40" s="160"/>
      <c r="BQ40" s="160"/>
      <c r="BR40" s="160"/>
      <c r="BS40" s="160"/>
      <c r="BT40" s="160"/>
      <c r="BU40" s="160"/>
      <c r="BV40" s="160"/>
      <c r="BW40" s="160"/>
      <c r="BX40" s="160"/>
      <c r="BY40" s="160"/>
      <c r="BZ40" s="160"/>
      <c r="CA40" s="160"/>
      <c r="CB40" s="160"/>
      <c r="CC40" s="160"/>
      <c r="CD40" s="160"/>
      <c r="CE40" s="160"/>
      <c r="CF40" s="160"/>
      <c r="CG40" s="160"/>
      <c r="CH40" s="160"/>
      <c r="CI40" s="160"/>
      <c r="CJ40" s="160"/>
      <c r="CK40" s="160"/>
      <c r="CL40" s="160"/>
      <c r="CM40" s="160"/>
      <c r="CN40" s="160"/>
      <c r="CO40" s="160"/>
      <c r="CP40" s="160"/>
      <c r="CQ40" s="160"/>
      <c r="CR40" s="160"/>
      <c r="CS40" s="160"/>
      <c r="CT40" s="160"/>
      <c r="CU40" s="160"/>
      <c r="CV40" s="160"/>
      <c r="CW40" s="160"/>
      <c r="CX40" s="160"/>
      <c r="CY40" s="160"/>
      <c r="CZ40" s="160"/>
      <c r="DA40" s="160"/>
      <c r="DB40" s="160"/>
      <c r="DC40" s="160"/>
      <c r="DD40" s="160"/>
      <c r="DE40" s="160"/>
      <c r="DF40" s="160"/>
      <c r="DG40" s="160"/>
      <c r="DH40" s="160"/>
      <c r="DI40" s="160"/>
      <c r="DJ40" s="160"/>
      <c r="DK40" s="160"/>
      <c r="DL40" s="160"/>
      <c r="DM40" s="160"/>
      <c r="DN40" s="160"/>
      <c r="DO40" s="160"/>
      <c r="DP40" s="160"/>
      <c r="DQ40" s="160"/>
      <c r="DR40" s="160"/>
      <c r="DS40" s="160"/>
      <c r="DT40" s="160"/>
      <c r="DU40" s="160"/>
      <c r="DV40" s="160"/>
      <c r="DW40" s="160"/>
      <c r="DX40" s="160"/>
      <c r="DY40" s="160"/>
      <c r="DZ40" s="160"/>
      <c r="EA40" s="160"/>
      <c r="EB40" s="160"/>
      <c r="EC40" s="160"/>
      <c r="ED40" s="160"/>
      <c r="EE40" s="160"/>
      <c r="EF40" s="160"/>
      <c r="EG40" s="160"/>
      <c r="EH40" s="160"/>
      <c r="EI40" s="160"/>
      <c r="EJ40" s="160"/>
      <c r="EK40" s="160"/>
      <c r="EL40" s="160"/>
      <c r="EM40" s="160"/>
      <c r="EN40" s="160"/>
      <c r="EO40" s="160"/>
      <c r="EP40" s="160"/>
      <c r="EQ40" s="160"/>
      <c r="ER40" s="160"/>
      <c r="ES40" s="160"/>
      <c r="ET40" s="160"/>
      <c r="EU40" s="160"/>
      <c r="EV40" s="160"/>
      <c r="EW40" s="160"/>
      <c r="EX40" s="160"/>
      <c r="EY40" s="160"/>
      <c r="EZ40" s="160"/>
      <c r="FA40" s="160"/>
      <c r="FB40" s="160"/>
      <c r="FC40" s="160"/>
      <c r="FD40" s="160"/>
      <c r="FE40" s="160"/>
      <c r="FF40" s="160"/>
      <c r="FG40" s="160"/>
      <c r="FH40" s="160"/>
      <c r="FI40" s="160"/>
      <c r="FJ40" s="160"/>
      <c r="FK40" s="160"/>
      <c r="FL40" s="160"/>
      <c r="FM40" s="160"/>
      <c r="FN40" s="160"/>
      <c r="FO40" s="160"/>
      <c r="FP40" s="160"/>
      <c r="FQ40" s="160"/>
      <c r="FR40" s="160"/>
      <c r="FS40" s="160"/>
      <c r="FT40" s="160"/>
      <c r="FU40" s="160"/>
      <c r="FV40" s="160"/>
      <c r="FW40" s="160"/>
      <c r="FX40" s="160"/>
      <c r="FY40" s="160"/>
      <c r="FZ40" s="160"/>
      <c r="GA40" s="160"/>
      <c r="GB40" s="160"/>
      <c r="GC40" s="160"/>
      <c r="GD40" s="160"/>
      <c r="GE40" s="160"/>
      <c r="GF40" s="160"/>
      <c r="GG40" s="160"/>
      <c r="GH40" s="160"/>
      <c r="GI40" s="160"/>
      <c r="GJ40" s="160"/>
      <c r="GK40" s="160"/>
      <c r="GL40" s="160"/>
      <c r="GM40" s="160"/>
      <c r="GN40" s="160"/>
      <c r="GO40" s="160"/>
      <c r="GP40" s="160"/>
      <c r="GQ40" s="160"/>
      <c r="GR40" s="160"/>
      <c r="GS40" s="160"/>
      <c r="GT40" s="160"/>
      <c r="GU40" s="160"/>
      <c r="GV40" s="160"/>
      <c r="GW40" s="160"/>
      <c r="GX40" s="160"/>
      <c r="GY40" s="160"/>
      <c r="GZ40" s="160"/>
      <c r="HA40" s="160"/>
      <c r="HB40" s="160"/>
      <c r="HC40" s="160"/>
      <c r="HD40" s="160"/>
      <c r="HE40" s="160"/>
      <c r="HF40" s="160"/>
      <c r="HG40" s="160"/>
      <c r="HH40" s="160"/>
      <c r="HI40" s="160"/>
      <c r="HJ40" s="160"/>
      <c r="HK40" s="160"/>
      <c r="HL40" s="160"/>
      <c r="HM40" s="160"/>
      <c r="HN40" s="160"/>
      <c r="HO40" s="160"/>
      <c r="HP40" s="160"/>
      <c r="HQ40" s="160"/>
      <c r="HR40" s="160"/>
      <c r="HS40" s="160"/>
      <c r="HT40" s="160"/>
      <c r="HU40" s="160"/>
      <c r="HV40" s="160"/>
      <c r="HW40" s="160"/>
      <c r="HX40" s="160"/>
      <c r="HY40" s="160"/>
      <c r="HZ40" s="160"/>
      <c r="IA40" s="160"/>
      <c r="IB40" s="160"/>
      <c r="IC40" s="160"/>
      <c r="ID40" s="160"/>
      <c r="IE40" s="160"/>
      <c r="IF40" s="160"/>
      <c r="IG40" s="160"/>
      <c r="IH40" s="160"/>
      <c r="II40" s="160"/>
      <c r="IJ40" s="160"/>
      <c r="IK40" s="160"/>
      <c r="IL40" s="160"/>
      <c r="IM40" s="160"/>
      <c r="IN40" s="160"/>
      <c r="IO40" s="160"/>
      <c r="IP40" s="160"/>
      <c r="IQ40" s="160"/>
      <c r="IR40" s="160"/>
      <c r="IS40" s="160"/>
      <c r="IT40" s="160"/>
      <c r="IU40" s="160"/>
      <c r="IV40" s="160"/>
    </row>
    <row r="41" spans="1:256" ht="18.75" x14ac:dyDescent="0.3">
      <c r="A41" s="18"/>
      <c r="B41" s="21" t="s">
        <v>60</v>
      </c>
      <c r="C41" s="54">
        <f>ROUND(C39*C40*C38,0)</f>
        <v>316122</v>
      </c>
      <c r="D41" s="54">
        <f t="shared" ref="D41:Q41" si="8">ROUND(D39*D40*D38,0)</f>
        <v>0</v>
      </c>
      <c r="E41" s="54">
        <f t="shared" si="8"/>
        <v>0</v>
      </c>
      <c r="F41" s="54">
        <f t="shared" si="8"/>
        <v>425669</v>
      </c>
      <c r="G41" s="54">
        <f t="shared" si="8"/>
        <v>338031</v>
      </c>
      <c r="H41" s="54">
        <f t="shared" si="8"/>
        <v>269173</v>
      </c>
      <c r="I41" s="54">
        <f t="shared" si="8"/>
        <v>331772</v>
      </c>
      <c r="J41" s="54">
        <f t="shared" si="8"/>
        <v>106417</v>
      </c>
      <c r="K41" s="54">
        <f t="shared" si="8"/>
        <v>0</v>
      </c>
      <c r="L41" s="54">
        <f t="shared" si="8"/>
        <v>178406</v>
      </c>
      <c r="M41" s="54">
        <f t="shared" si="8"/>
        <v>688583</v>
      </c>
      <c r="N41" s="54">
        <f t="shared" si="8"/>
        <v>0</v>
      </c>
      <c r="O41" s="54">
        <f t="shared" si="8"/>
        <v>0</v>
      </c>
      <c r="P41" s="54">
        <f t="shared" si="8"/>
        <v>0</v>
      </c>
      <c r="Q41" s="54">
        <f t="shared" si="8"/>
        <v>557126</v>
      </c>
      <c r="R41" s="21">
        <f>ROUND(SUM(C41:Q41),0)</f>
        <v>3211299</v>
      </c>
      <c r="S41" s="159"/>
      <c r="T41" s="115"/>
      <c r="U41" s="115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  <c r="BO41" s="154"/>
      <c r="BP41" s="154"/>
      <c r="BQ41" s="154"/>
      <c r="BR41" s="154"/>
      <c r="BS41" s="154"/>
      <c r="BT41" s="154"/>
      <c r="BU41" s="154"/>
      <c r="BV41" s="154"/>
      <c r="BW41" s="154"/>
      <c r="BX41" s="154"/>
      <c r="BY41" s="154"/>
      <c r="BZ41" s="154"/>
      <c r="CA41" s="154"/>
      <c r="CB41" s="154"/>
      <c r="CC41" s="154"/>
      <c r="CD41" s="154"/>
      <c r="CE41" s="154"/>
      <c r="CF41" s="154"/>
      <c r="CG41" s="154"/>
      <c r="CH41" s="154"/>
      <c r="CI41" s="154"/>
      <c r="CJ41" s="154"/>
      <c r="CK41" s="154"/>
      <c r="CL41" s="154"/>
      <c r="CM41" s="154"/>
      <c r="CN41" s="154"/>
      <c r="CO41" s="154"/>
      <c r="CP41" s="154"/>
      <c r="CQ41" s="154"/>
      <c r="CR41" s="154"/>
      <c r="CS41" s="154"/>
      <c r="CT41" s="154"/>
      <c r="CU41" s="154"/>
      <c r="CV41" s="154"/>
      <c r="CW41" s="154"/>
      <c r="CX41" s="154"/>
      <c r="CY41" s="154"/>
      <c r="CZ41" s="154"/>
      <c r="DA41" s="154"/>
      <c r="DB41" s="154"/>
      <c r="DC41" s="154"/>
      <c r="DD41" s="154"/>
      <c r="DE41" s="154"/>
      <c r="DF41" s="154"/>
      <c r="DG41" s="154"/>
      <c r="DH41" s="154"/>
      <c r="DI41" s="154"/>
      <c r="DJ41" s="154"/>
      <c r="DK41" s="154"/>
      <c r="DL41" s="154"/>
      <c r="DM41" s="154"/>
      <c r="DN41" s="154"/>
      <c r="DO41" s="154"/>
      <c r="DP41" s="154"/>
      <c r="DQ41" s="154"/>
      <c r="DR41" s="154"/>
      <c r="DS41" s="154"/>
      <c r="DT41" s="154"/>
      <c r="DU41" s="154"/>
      <c r="DV41" s="154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  <c r="FJ41" s="154"/>
      <c r="FK41" s="154"/>
      <c r="FL41" s="154"/>
      <c r="FM41" s="154"/>
      <c r="FN41" s="154"/>
      <c r="FO41" s="154"/>
      <c r="FP41" s="154"/>
      <c r="FQ41" s="154"/>
      <c r="FR41" s="154"/>
      <c r="FS41" s="154"/>
      <c r="FT41" s="154"/>
      <c r="FU41" s="154"/>
      <c r="FV41" s="154"/>
      <c r="FW41" s="154"/>
      <c r="FX41" s="154"/>
      <c r="FY41" s="154"/>
      <c r="FZ41" s="154"/>
      <c r="GA41" s="154"/>
      <c r="GB41" s="154"/>
      <c r="GC41" s="154"/>
      <c r="GD41" s="154"/>
      <c r="GE41" s="154"/>
      <c r="GF41" s="154"/>
      <c r="GG41" s="154"/>
      <c r="GH41" s="154"/>
      <c r="GI41" s="154"/>
      <c r="GJ41" s="154"/>
      <c r="GK41" s="154"/>
      <c r="GL41" s="154"/>
      <c r="GM41" s="154"/>
      <c r="GN41" s="154"/>
      <c r="GO41" s="154"/>
      <c r="GP41" s="154"/>
      <c r="GQ41" s="154"/>
      <c r="GR41" s="154"/>
      <c r="GS41" s="154"/>
      <c r="GT41" s="154"/>
      <c r="GU41" s="154"/>
      <c r="GV41" s="154"/>
      <c r="GW41" s="154"/>
      <c r="GX41" s="154"/>
      <c r="GY41" s="154"/>
      <c r="GZ41" s="154"/>
      <c r="HA41" s="154"/>
      <c r="HB41" s="154"/>
      <c r="HC41" s="154"/>
      <c r="HD41" s="154"/>
      <c r="HE41" s="154"/>
      <c r="HF41" s="154"/>
      <c r="HG41" s="154"/>
      <c r="HH41" s="154"/>
      <c r="HI41" s="154"/>
      <c r="HJ41" s="154"/>
      <c r="HK41" s="154"/>
      <c r="HL41" s="154"/>
      <c r="HM41" s="154"/>
      <c r="HN41" s="154"/>
      <c r="HO41" s="154"/>
      <c r="HP41" s="154"/>
      <c r="HQ41" s="154"/>
      <c r="HR41" s="154"/>
      <c r="HS41" s="154"/>
      <c r="HT41" s="154"/>
      <c r="HU41" s="154"/>
      <c r="HV41" s="154"/>
      <c r="HW41" s="154"/>
      <c r="HX41" s="154"/>
      <c r="HY41" s="154"/>
      <c r="HZ41" s="154"/>
      <c r="IA41" s="154"/>
      <c r="IB41" s="154"/>
      <c r="IC41" s="154"/>
      <c r="ID41" s="154"/>
      <c r="IE41" s="154"/>
      <c r="IF41" s="154"/>
      <c r="IG41" s="154"/>
      <c r="IH41" s="154"/>
      <c r="II41" s="154"/>
      <c r="IJ41" s="154"/>
      <c r="IK41" s="154"/>
      <c r="IL41" s="154"/>
      <c r="IM41" s="154"/>
      <c r="IN41" s="154"/>
      <c r="IO41" s="154"/>
      <c r="IP41" s="154"/>
      <c r="IQ41" s="154"/>
      <c r="IR41" s="154"/>
      <c r="IS41" s="154"/>
      <c r="IT41" s="154"/>
      <c r="IU41" s="154"/>
      <c r="IV41" s="154"/>
    </row>
    <row r="42" spans="1:256" s="71" customFormat="1" ht="18.75" x14ac:dyDescent="0.3">
      <c r="A42" s="70" t="s">
        <v>262</v>
      </c>
      <c r="B42" s="67" t="s">
        <v>59</v>
      </c>
      <c r="C42" s="67">
        <v>27</v>
      </c>
      <c r="D42" s="67"/>
      <c r="E42" s="67"/>
      <c r="F42" s="67"/>
      <c r="G42" s="67"/>
      <c r="H42" s="67"/>
      <c r="I42" s="67"/>
      <c r="J42" s="67">
        <v>110</v>
      </c>
      <c r="K42" s="67">
        <v>380</v>
      </c>
      <c r="L42" s="67"/>
      <c r="M42" s="67"/>
      <c r="N42" s="67"/>
      <c r="O42" s="67"/>
      <c r="P42" s="67"/>
      <c r="Q42" s="67"/>
      <c r="R42" s="109">
        <f>SUM(C42:Q42)</f>
        <v>517</v>
      </c>
      <c r="S42" s="159"/>
      <c r="T42" s="115"/>
      <c r="U42" s="115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  <c r="BM42" s="154"/>
      <c r="BN42" s="154"/>
      <c r="BO42" s="154"/>
      <c r="BP42" s="154"/>
      <c r="BQ42" s="154"/>
      <c r="BR42" s="154"/>
      <c r="BS42" s="154"/>
      <c r="BT42" s="154"/>
      <c r="BU42" s="154"/>
      <c r="BV42" s="154"/>
      <c r="BW42" s="154"/>
      <c r="BX42" s="154"/>
      <c r="BY42" s="154"/>
      <c r="BZ42" s="154"/>
      <c r="CA42" s="154"/>
      <c r="CB42" s="154"/>
      <c r="CC42" s="154"/>
      <c r="CD42" s="154"/>
      <c r="CE42" s="154"/>
      <c r="CF42" s="154"/>
      <c r="CG42" s="154"/>
      <c r="CH42" s="154"/>
      <c r="CI42" s="154"/>
      <c r="CJ42" s="154"/>
      <c r="CK42" s="154"/>
      <c r="CL42" s="154"/>
      <c r="CM42" s="154"/>
      <c r="CN42" s="154"/>
      <c r="CO42" s="154"/>
      <c r="CP42" s="154"/>
      <c r="CQ42" s="154"/>
      <c r="CR42" s="154"/>
      <c r="CS42" s="154"/>
      <c r="CT42" s="154"/>
      <c r="CU42" s="154"/>
      <c r="CV42" s="154"/>
      <c r="CW42" s="154"/>
      <c r="CX42" s="154"/>
      <c r="CY42" s="154"/>
      <c r="CZ42" s="154"/>
      <c r="DA42" s="154"/>
      <c r="DB42" s="154"/>
      <c r="DC42" s="154"/>
      <c r="DD42" s="154"/>
      <c r="DE42" s="154"/>
      <c r="DF42" s="154"/>
      <c r="DG42" s="154"/>
      <c r="DH42" s="154"/>
      <c r="DI42" s="154"/>
      <c r="DJ42" s="154"/>
      <c r="DK42" s="154"/>
      <c r="DL42" s="154"/>
      <c r="DM42" s="154"/>
      <c r="DN42" s="154"/>
      <c r="DO42" s="154"/>
      <c r="DP42" s="154"/>
      <c r="DQ42" s="154"/>
      <c r="DR42" s="154"/>
      <c r="DS42" s="154"/>
      <c r="DT42" s="154"/>
      <c r="DU42" s="154"/>
      <c r="DV42" s="154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  <c r="FJ42" s="154"/>
      <c r="FK42" s="154"/>
      <c r="FL42" s="154"/>
      <c r="FM42" s="154"/>
      <c r="FN42" s="154"/>
      <c r="FO42" s="154"/>
      <c r="FP42" s="154"/>
      <c r="FQ42" s="154"/>
      <c r="FR42" s="154"/>
      <c r="FS42" s="154"/>
      <c r="FT42" s="154"/>
      <c r="FU42" s="154"/>
      <c r="FV42" s="154"/>
      <c r="FW42" s="154"/>
      <c r="FX42" s="154"/>
      <c r="FY42" s="154"/>
      <c r="FZ42" s="154"/>
      <c r="GA42" s="154"/>
      <c r="GB42" s="154"/>
      <c r="GC42" s="154"/>
      <c r="GD42" s="154"/>
      <c r="GE42" s="154"/>
      <c r="GF42" s="154"/>
      <c r="GG42" s="154"/>
      <c r="GH42" s="154"/>
      <c r="GI42" s="154"/>
      <c r="GJ42" s="154"/>
      <c r="GK42" s="154"/>
      <c r="GL42" s="154"/>
      <c r="GM42" s="154"/>
      <c r="GN42" s="154"/>
      <c r="GO42" s="154"/>
      <c r="GP42" s="154"/>
      <c r="GQ42" s="154"/>
      <c r="GR42" s="154"/>
      <c r="GS42" s="154"/>
      <c r="GT42" s="154"/>
      <c r="GU42" s="154"/>
      <c r="GV42" s="154"/>
      <c r="GW42" s="154"/>
      <c r="GX42" s="154"/>
      <c r="GY42" s="154"/>
      <c r="GZ42" s="154"/>
      <c r="HA42" s="154"/>
      <c r="HB42" s="154"/>
      <c r="HC42" s="154"/>
      <c r="HD42" s="154"/>
      <c r="HE42" s="154"/>
      <c r="HF42" s="154"/>
      <c r="HG42" s="154"/>
      <c r="HH42" s="154"/>
      <c r="HI42" s="154"/>
      <c r="HJ42" s="154"/>
      <c r="HK42" s="154"/>
      <c r="HL42" s="154"/>
      <c r="HM42" s="154"/>
      <c r="HN42" s="154"/>
      <c r="HO42" s="154"/>
      <c r="HP42" s="154"/>
      <c r="HQ42" s="154"/>
      <c r="HR42" s="154"/>
      <c r="HS42" s="154"/>
      <c r="HT42" s="154"/>
      <c r="HU42" s="154"/>
      <c r="HV42" s="154"/>
      <c r="HW42" s="154"/>
      <c r="HX42" s="154"/>
      <c r="HY42" s="154"/>
      <c r="HZ42" s="154"/>
      <c r="IA42" s="154"/>
      <c r="IB42" s="154"/>
      <c r="IC42" s="154"/>
      <c r="ID42" s="154"/>
      <c r="IE42" s="154"/>
      <c r="IF42" s="154"/>
      <c r="IG42" s="154"/>
      <c r="IH42" s="154"/>
      <c r="II42" s="154"/>
      <c r="IJ42" s="154"/>
      <c r="IK42" s="154"/>
      <c r="IL42" s="154"/>
      <c r="IM42" s="154"/>
      <c r="IN42" s="154"/>
      <c r="IO42" s="154"/>
      <c r="IP42" s="154"/>
      <c r="IQ42" s="154"/>
      <c r="IR42" s="154"/>
      <c r="IS42" s="154"/>
      <c r="IT42" s="154"/>
      <c r="IU42" s="154"/>
      <c r="IV42" s="154"/>
    </row>
    <row r="43" spans="1:256" ht="18.75" x14ac:dyDescent="0.3">
      <c r="A43" s="18"/>
      <c r="B43" s="20"/>
      <c r="C43" s="72">
        <v>3085.7</v>
      </c>
      <c r="D43" s="72">
        <v>3085.7</v>
      </c>
      <c r="E43" s="72">
        <v>3085.7</v>
      </c>
      <c r="F43" s="72">
        <v>3085.7</v>
      </c>
      <c r="G43" s="72">
        <v>3085.7</v>
      </c>
      <c r="H43" s="72">
        <v>3085.7</v>
      </c>
      <c r="I43" s="72">
        <v>3085.7</v>
      </c>
      <c r="J43" s="72">
        <v>3085.7</v>
      </c>
      <c r="K43" s="72">
        <v>3085.7</v>
      </c>
      <c r="L43" s="72">
        <v>3085.7</v>
      </c>
      <c r="M43" s="72">
        <v>3085.7</v>
      </c>
      <c r="N43" s="72">
        <v>3085.7</v>
      </c>
      <c r="O43" s="72">
        <v>3085.7</v>
      </c>
      <c r="P43" s="72">
        <v>3085.7</v>
      </c>
      <c r="Q43" s="72">
        <v>3085.7</v>
      </c>
      <c r="R43" s="72"/>
      <c r="S43" s="159"/>
      <c r="T43" s="115"/>
      <c r="U43" s="115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4"/>
      <c r="AZ43" s="154"/>
      <c r="BA43" s="154"/>
      <c r="BB43" s="154"/>
      <c r="BC43" s="154"/>
      <c r="BD43" s="154"/>
      <c r="BE43" s="154"/>
      <c r="BF43" s="154"/>
      <c r="BG43" s="154"/>
      <c r="BH43" s="154"/>
      <c r="BI43" s="154"/>
      <c r="BJ43" s="154"/>
      <c r="BK43" s="154"/>
      <c r="BL43" s="154"/>
      <c r="BM43" s="154"/>
      <c r="BN43" s="154"/>
      <c r="BO43" s="154"/>
      <c r="BP43" s="154"/>
      <c r="BQ43" s="154"/>
      <c r="BR43" s="154"/>
      <c r="BS43" s="154"/>
      <c r="BT43" s="154"/>
      <c r="BU43" s="154"/>
      <c r="BV43" s="154"/>
      <c r="BW43" s="154"/>
      <c r="BX43" s="154"/>
      <c r="BY43" s="154"/>
      <c r="BZ43" s="154"/>
      <c r="CA43" s="154"/>
      <c r="CB43" s="154"/>
      <c r="CC43" s="154"/>
      <c r="CD43" s="154"/>
      <c r="CE43" s="154"/>
      <c r="CF43" s="154"/>
      <c r="CG43" s="154"/>
      <c r="CH43" s="154"/>
      <c r="CI43" s="154"/>
      <c r="CJ43" s="154"/>
      <c r="CK43" s="154"/>
      <c r="CL43" s="154"/>
      <c r="CM43" s="154"/>
      <c r="CN43" s="154"/>
      <c r="CO43" s="154"/>
      <c r="CP43" s="154"/>
      <c r="CQ43" s="154"/>
      <c r="CR43" s="154"/>
      <c r="CS43" s="154"/>
      <c r="CT43" s="154"/>
      <c r="CU43" s="154"/>
      <c r="CV43" s="154"/>
      <c r="CW43" s="154"/>
      <c r="CX43" s="154"/>
      <c r="CY43" s="154"/>
      <c r="CZ43" s="154"/>
      <c r="DA43" s="154"/>
      <c r="DB43" s="154"/>
      <c r="DC43" s="154"/>
      <c r="DD43" s="154"/>
      <c r="DE43" s="154"/>
      <c r="DF43" s="154"/>
      <c r="DG43" s="154"/>
      <c r="DH43" s="154"/>
      <c r="DI43" s="154"/>
      <c r="DJ43" s="154"/>
      <c r="DK43" s="154"/>
      <c r="DL43" s="154"/>
      <c r="DM43" s="154"/>
      <c r="DN43" s="154"/>
      <c r="DO43" s="154"/>
      <c r="DP43" s="154"/>
      <c r="DQ43" s="154"/>
      <c r="DR43" s="154"/>
      <c r="DS43" s="154"/>
      <c r="DT43" s="154"/>
      <c r="DU43" s="154"/>
      <c r="DV43" s="154"/>
      <c r="DW43" s="154"/>
      <c r="DX43" s="154"/>
      <c r="DY43" s="154"/>
      <c r="DZ43" s="154"/>
      <c r="EA43" s="154"/>
      <c r="EB43" s="154"/>
      <c r="EC43" s="154"/>
      <c r="ED43" s="154"/>
      <c r="EE43" s="154"/>
      <c r="EF43" s="154"/>
      <c r="EG43" s="154"/>
      <c r="EH43" s="154"/>
      <c r="EI43" s="154"/>
      <c r="EJ43" s="154"/>
      <c r="EK43" s="154"/>
      <c r="EL43" s="154"/>
      <c r="EM43" s="154"/>
      <c r="EN43" s="154"/>
      <c r="EO43" s="154"/>
      <c r="EP43" s="154"/>
      <c r="EQ43" s="154"/>
      <c r="ER43" s="154"/>
      <c r="ES43" s="154"/>
      <c r="ET43" s="154"/>
      <c r="EU43" s="154"/>
      <c r="EV43" s="154"/>
      <c r="EW43" s="154"/>
      <c r="EX43" s="154"/>
      <c r="EY43" s="154"/>
      <c r="EZ43" s="154"/>
      <c r="FA43" s="154"/>
      <c r="FB43" s="154"/>
      <c r="FC43" s="154"/>
      <c r="FD43" s="154"/>
      <c r="FE43" s="154"/>
      <c r="FF43" s="154"/>
      <c r="FG43" s="154"/>
      <c r="FH43" s="154"/>
      <c r="FI43" s="154"/>
      <c r="FJ43" s="154"/>
      <c r="FK43" s="154"/>
      <c r="FL43" s="154"/>
      <c r="FM43" s="154"/>
      <c r="FN43" s="154"/>
      <c r="FO43" s="154"/>
      <c r="FP43" s="154"/>
      <c r="FQ43" s="154"/>
      <c r="FR43" s="154"/>
      <c r="FS43" s="154"/>
      <c r="FT43" s="154"/>
      <c r="FU43" s="154"/>
      <c r="FV43" s="154"/>
      <c r="FW43" s="154"/>
      <c r="FX43" s="154"/>
      <c r="FY43" s="154"/>
      <c r="FZ43" s="154"/>
      <c r="GA43" s="154"/>
      <c r="GB43" s="154"/>
      <c r="GC43" s="154"/>
      <c r="GD43" s="154"/>
      <c r="GE43" s="154"/>
      <c r="GF43" s="154"/>
      <c r="GG43" s="154"/>
      <c r="GH43" s="154"/>
      <c r="GI43" s="154"/>
      <c r="GJ43" s="154"/>
      <c r="GK43" s="154"/>
      <c r="GL43" s="154"/>
      <c r="GM43" s="154"/>
      <c r="GN43" s="154"/>
      <c r="GO43" s="154"/>
      <c r="GP43" s="154"/>
      <c r="GQ43" s="154"/>
      <c r="GR43" s="154"/>
      <c r="GS43" s="154"/>
      <c r="GT43" s="154"/>
      <c r="GU43" s="154"/>
      <c r="GV43" s="154"/>
      <c r="GW43" s="154"/>
      <c r="GX43" s="154"/>
      <c r="GY43" s="154"/>
      <c r="GZ43" s="154"/>
      <c r="HA43" s="154"/>
      <c r="HB43" s="154"/>
      <c r="HC43" s="154"/>
      <c r="HD43" s="154"/>
      <c r="HE43" s="154"/>
      <c r="HF43" s="154"/>
      <c r="HG43" s="154"/>
      <c r="HH43" s="154"/>
      <c r="HI43" s="154"/>
      <c r="HJ43" s="154"/>
      <c r="HK43" s="154"/>
      <c r="HL43" s="154"/>
      <c r="HM43" s="154"/>
      <c r="HN43" s="154"/>
      <c r="HO43" s="154"/>
      <c r="HP43" s="154"/>
      <c r="HQ43" s="154"/>
      <c r="HR43" s="154"/>
      <c r="HS43" s="154"/>
      <c r="HT43" s="154"/>
      <c r="HU43" s="154"/>
      <c r="HV43" s="154"/>
      <c r="HW43" s="154"/>
      <c r="HX43" s="154"/>
      <c r="HY43" s="154"/>
      <c r="HZ43" s="154"/>
      <c r="IA43" s="154"/>
      <c r="IB43" s="154"/>
      <c r="IC43" s="154"/>
      <c r="ID43" s="154"/>
      <c r="IE43" s="154"/>
      <c r="IF43" s="154"/>
      <c r="IG43" s="154"/>
      <c r="IH43" s="154"/>
      <c r="II43" s="154"/>
      <c r="IJ43" s="154"/>
      <c r="IK43" s="154"/>
      <c r="IL43" s="154"/>
      <c r="IM43" s="154"/>
      <c r="IN43" s="154"/>
      <c r="IO43" s="154"/>
      <c r="IP43" s="154"/>
      <c r="IQ43" s="154"/>
      <c r="IR43" s="154"/>
      <c r="IS43" s="154"/>
      <c r="IT43" s="154"/>
      <c r="IU43" s="154"/>
      <c r="IV43" s="154"/>
    </row>
    <row r="44" spans="1:256" s="11" customFormat="1" ht="18.75" x14ac:dyDescent="0.3">
      <c r="A44" s="53"/>
      <c r="B44" s="53" t="s">
        <v>76</v>
      </c>
      <c r="C44" s="114">
        <v>1.0143310000000001</v>
      </c>
      <c r="D44" s="114">
        <v>1.0143310000000001</v>
      </c>
      <c r="E44" s="114">
        <v>1.0143310000000001</v>
      </c>
      <c r="F44" s="114">
        <v>1.0143310000000001</v>
      </c>
      <c r="G44" s="114">
        <v>1.0143310000000001</v>
      </c>
      <c r="H44" s="114">
        <v>1.0143310000000001</v>
      </c>
      <c r="I44" s="114">
        <v>1.0143310000000001</v>
      </c>
      <c r="J44" s="114">
        <v>1.0143310000000001</v>
      </c>
      <c r="K44" s="114">
        <v>1.0143310000000001</v>
      </c>
      <c r="L44" s="114">
        <v>1.0143310000000001</v>
      </c>
      <c r="M44" s="114">
        <v>1.0143310000000001</v>
      </c>
      <c r="N44" s="114">
        <v>1.0143310000000001</v>
      </c>
      <c r="O44" s="114">
        <v>1.0143310000000001</v>
      </c>
      <c r="P44" s="114">
        <v>1.0143310000000001</v>
      </c>
      <c r="Q44" s="114">
        <v>1.0143310000000001</v>
      </c>
      <c r="R44" s="165"/>
      <c r="S44" s="162"/>
      <c r="T44" s="161"/>
      <c r="U44" s="161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  <c r="BJ44" s="160"/>
      <c r="BK44" s="160"/>
      <c r="BL44" s="160"/>
      <c r="BM44" s="160"/>
      <c r="BN44" s="160"/>
      <c r="BO44" s="160"/>
      <c r="BP44" s="160"/>
      <c r="BQ44" s="160"/>
      <c r="BR44" s="160"/>
      <c r="BS44" s="160"/>
      <c r="BT44" s="160"/>
      <c r="BU44" s="160"/>
      <c r="BV44" s="160"/>
      <c r="BW44" s="160"/>
      <c r="BX44" s="160"/>
      <c r="BY44" s="160"/>
      <c r="BZ44" s="160"/>
      <c r="CA44" s="160"/>
      <c r="CB44" s="160"/>
      <c r="CC44" s="160"/>
      <c r="CD44" s="160"/>
      <c r="CE44" s="160"/>
      <c r="CF44" s="160"/>
      <c r="CG44" s="160"/>
      <c r="CH44" s="160"/>
      <c r="CI44" s="160"/>
      <c r="CJ44" s="160"/>
      <c r="CK44" s="160"/>
      <c r="CL44" s="160"/>
      <c r="CM44" s="160"/>
      <c r="CN44" s="160"/>
      <c r="CO44" s="160"/>
      <c r="CP44" s="160"/>
      <c r="CQ44" s="160"/>
      <c r="CR44" s="160"/>
      <c r="CS44" s="160"/>
      <c r="CT44" s="160"/>
      <c r="CU44" s="160"/>
      <c r="CV44" s="160"/>
      <c r="CW44" s="160"/>
      <c r="CX44" s="160"/>
      <c r="CY44" s="160"/>
      <c r="CZ44" s="160"/>
      <c r="DA44" s="160"/>
      <c r="DB44" s="160"/>
      <c r="DC44" s="160"/>
      <c r="DD44" s="160"/>
      <c r="DE44" s="160"/>
      <c r="DF44" s="160"/>
      <c r="DG44" s="160"/>
      <c r="DH44" s="160"/>
      <c r="DI44" s="160"/>
      <c r="DJ44" s="160"/>
      <c r="DK44" s="160"/>
      <c r="DL44" s="160"/>
      <c r="DM44" s="160"/>
      <c r="DN44" s="160"/>
      <c r="DO44" s="160"/>
      <c r="DP44" s="160"/>
      <c r="DQ44" s="160"/>
      <c r="DR44" s="160"/>
      <c r="DS44" s="160"/>
      <c r="DT44" s="160"/>
      <c r="DU44" s="160"/>
      <c r="DV44" s="160"/>
      <c r="DW44" s="160"/>
      <c r="DX44" s="160"/>
      <c r="DY44" s="160"/>
      <c r="DZ44" s="160"/>
      <c r="EA44" s="160"/>
      <c r="EB44" s="160"/>
      <c r="EC44" s="160"/>
      <c r="ED44" s="160"/>
      <c r="EE44" s="160"/>
      <c r="EF44" s="160"/>
      <c r="EG44" s="160"/>
      <c r="EH44" s="160"/>
      <c r="EI44" s="160"/>
      <c r="EJ44" s="160"/>
      <c r="EK44" s="160"/>
      <c r="EL44" s="160"/>
      <c r="EM44" s="160"/>
      <c r="EN44" s="160"/>
      <c r="EO44" s="160"/>
      <c r="EP44" s="160"/>
      <c r="EQ44" s="160"/>
      <c r="ER44" s="160"/>
      <c r="ES44" s="160"/>
      <c r="ET44" s="160"/>
      <c r="EU44" s="160"/>
      <c r="EV44" s="160"/>
      <c r="EW44" s="160"/>
      <c r="EX44" s="160"/>
      <c r="EY44" s="160"/>
      <c r="EZ44" s="160"/>
      <c r="FA44" s="160"/>
      <c r="FB44" s="160"/>
      <c r="FC44" s="160"/>
      <c r="FD44" s="160"/>
      <c r="FE44" s="160"/>
      <c r="FF44" s="160"/>
      <c r="FG44" s="160"/>
      <c r="FH44" s="160"/>
      <c r="FI44" s="160"/>
      <c r="FJ44" s="160"/>
      <c r="FK44" s="160"/>
      <c r="FL44" s="160"/>
      <c r="FM44" s="160"/>
      <c r="FN44" s="160"/>
      <c r="FO44" s="160"/>
      <c r="FP44" s="160"/>
      <c r="FQ44" s="160"/>
      <c r="FR44" s="160"/>
      <c r="FS44" s="160"/>
      <c r="FT44" s="160"/>
      <c r="FU44" s="160"/>
      <c r="FV44" s="160"/>
      <c r="FW44" s="160"/>
      <c r="FX44" s="160"/>
      <c r="FY44" s="160"/>
      <c r="FZ44" s="160"/>
      <c r="GA44" s="160"/>
      <c r="GB44" s="160"/>
      <c r="GC44" s="160"/>
      <c r="GD44" s="160"/>
      <c r="GE44" s="160"/>
      <c r="GF44" s="160"/>
      <c r="GG44" s="160"/>
      <c r="GH44" s="160"/>
      <c r="GI44" s="160"/>
      <c r="GJ44" s="160"/>
      <c r="GK44" s="160"/>
      <c r="GL44" s="160"/>
      <c r="GM44" s="160"/>
      <c r="GN44" s="160"/>
      <c r="GO44" s="160"/>
      <c r="GP44" s="160"/>
      <c r="GQ44" s="160"/>
      <c r="GR44" s="160"/>
      <c r="GS44" s="160"/>
      <c r="GT44" s="160"/>
      <c r="GU44" s="160"/>
      <c r="GV44" s="160"/>
      <c r="GW44" s="160"/>
      <c r="GX44" s="160"/>
      <c r="GY44" s="160"/>
      <c r="GZ44" s="160"/>
      <c r="HA44" s="160"/>
      <c r="HB44" s="160"/>
      <c r="HC44" s="160"/>
      <c r="HD44" s="160"/>
      <c r="HE44" s="160"/>
      <c r="HF44" s="160"/>
      <c r="HG44" s="160"/>
      <c r="HH44" s="160"/>
      <c r="HI44" s="160"/>
      <c r="HJ44" s="160"/>
      <c r="HK44" s="160"/>
      <c r="HL44" s="160"/>
      <c r="HM44" s="160"/>
      <c r="HN44" s="160"/>
      <c r="HO44" s="160"/>
      <c r="HP44" s="160"/>
      <c r="HQ44" s="160"/>
      <c r="HR44" s="160"/>
      <c r="HS44" s="160"/>
      <c r="HT44" s="160"/>
      <c r="HU44" s="160"/>
      <c r="HV44" s="160"/>
      <c r="HW44" s="160"/>
      <c r="HX44" s="160"/>
      <c r="HY44" s="160"/>
      <c r="HZ44" s="160"/>
      <c r="IA44" s="160"/>
      <c r="IB44" s="160"/>
      <c r="IC44" s="160"/>
      <c r="ID44" s="160"/>
      <c r="IE44" s="160"/>
      <c r="IF44" s="160"/>
      <c r="IG44" s="160"/>
      <c r="IH44" s="160"/>
      <c r="II44" s="160"/>
    </row>
    <row r="45" spans="1:256" ht="18.75" x14ac:dyDescent="0.3">
      <c r="A45" s="18"/>
      <c r="B45" s="21" t="s">
        <v>60</v>
      </c>
      <c r="C45" s="21">
        <f>C44*C43*C42</f>
        <v>84507.871500900001</v>
      </c>
      <c r="D45" s="54">
        <f>ROUND(D43*D44*D42,0)</f>
        <v>0</v>
      </c>
      <c r="E45" s="54">
        <f t="shared" ref="E45:Q45" si="9">ROUND(E43*E44*E42,0)</f>
        <v>0</v>
      </c>
      <c r="F45" s="54">
        <f t="shared" si="9"/>
        <v>0</v>
      </c>
      <c r="G45" s="54">
        <f t="shared" si="9"/>
        <v>0</v>
      </c>
      <c r="H45" s="54">
        <f t="shared" si="9"/>
        <v>0</v>
      </c>
      <c r="I45" s="54">
        <f t="shared" si="9"/>
        <v>0</v>
      </c>
      <c r="J45" s="54">
        <f t="shared" si="9"/>
        <v>344291</v>
      </c>
      <c r="K45" s="54">
        <f t="shared" si="9"/>
        <v>1189370</v>
      </c>
      <c r="L45" s="54">
        <f t="shared" si="9"/>
        <v>0</v>
      </c>
      <c r="M45" s="54">
        <f t="shared" si="9"/>
        <v>0</v>
      </c>
      <c r="N45" s="54">
        <f t="shared" si="9"/>
        <v>0</v>
      </c>
      <c r="O45" s="54">
        <f t="shared" si="9"/>
        <v>0</v>
      </c>
      <c r="P45" s="54">
        <f t="shared" si="9"/>
        <v>0</v>
      </c>
      <c r="Q45" s="54">
        <f t="shared" si="9"/>
        <v>0</v>
      </c>
      <c r="R45" s="21">
        <f>ROUND(SUM(C45:Q45),0)</f>
        <v>1618169</v>
      </c>
      <c r="S45" s="159"/>
      <c r="T45" s="115"/>
      <c r="U45" s="115"/>
      <c r="V45" s="154"/>
      <c r="W45" s="154"/>
      <c r="X45" s="154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  <c r="BA45" s="154"/>
      <c r="BB45" s="154"/>
      <c r="BC45" s="154"/>
      <c r="BD45" s="154"/>
      <c r="BE45" s="154"/>
      <c r="BF45" s="154"/>
      <c r="BG45" s="154"/>
      <c r="BH45" s="154"/>
      <c r="BI45" s="154"/>
      <c r="BJ45" s="154"/>
      <c r="BK45" s="154"/>
      <c r="BL45" s="154"/>
      <c r="BM45" s="154"/>
      <c r="BN45" s="154"/>
      <c r="BO45" s="154"/>
      <c r="BP45" s="154"/>
      <c r="BQ45" s="154"/>
      <c r="BR45" s="154"/>
      <c r="BS45" s="154"/>
      <c r="BT45" s="154"/>
      <c r="BU45" s="154"/>
      <c r="BV45" s="154"/>
      <c r="BW45" s="154"/>
      <c r="BX45" s="154"/>
      <c r="BY45" s="154"/>
      <c r="BZ45" s="154"/>
      <c r="CA45" s="154"/>
      <c r="CB45" s="154"/>
      <c r="CC45" s="154"/>
      <c r="CD45" s="154"/>
      <c r="CE45" s="154"/>
      <c r="CF45" s="154"/>
      <c r="CG45" s="154"/>
      <c r="CH45" s="154"/>
      <c r="CI45" s="154"/>
      <c r="CJ45" s="154"/>
      <c r="CK45" s="154"/>
      <c r="CL45" s="154"/>
      <c r="CM45" s="154"/>
      <c r="CN45" s="154"/>
      <c r="CO45" s="154"/>
      <c r="CP45" s="154"/>
      <c r="CQ45" s="154"/>
      <c r="CR45" s="154"/>
      <c r="CS45" s="154"/>
      <c r="CT45" s="154"/>
      <c r="CU45" s="154"/>
      <c r="CV45" s="154"/>
      <c r="CW45" s="154"/>
      <c r="CX45" s="154"/>
      <c r="CY45" s="154"/>
      <c r="CZ45" s="154"/>
      <c r="DA45" s="154"/>
      <c r="DB45" s="154"/>
      <c r="DC45" s="154"/>
      <c r="DD45" s="154"/>
      <c r="DE45" s="154"/>
      <c r="DF45" s="154"/>
      <c r="DG45" s="154"/>
      <c r="DH45" s="154"/>
      <c r="DI45" s="154"/>
      <c r="DJ45" s="154"/>
      <c r="DK45" s="154"/>
      <c r="DL45" s="154"/>
      <c r="DM45" s="154"/>
      <c r="DN45" s="154"/>
      <c r="DO45" s="154"/>
      <c r="DP45" s="154"/>
      <c r="DQ45" s="154"/>
      <c r="DR45" s="154"/>
      <c r="DS45" s="154"/>
      <c r="DT45" s="154"/>
      <c r="DU45" s="154"/>
      <c r="DV45" s="154"/>
      <c r="DW45" s="154"/>
      <c r="DX45" s="154"/>
      <c r="DY45" s="154"/>
      <c r="DZ45" s="154"/>
      <c r="EA45" s="154"/>
      <c r="EB45" s="154"/>
      <c r="EC45" s="154"/>
      <c r="ED45" s="154"/>
      <c r="EE45" s="154"/>
      <c r="EF45" s="154"/>
      <c r="EG45" s="154"/>
      <c r="EH45" s="154"/>
      <c r="EI45" s="154"/>
      <c r="EJ45" s="154"/>
      <c r="EK45" s="154"/>
      <c r="EL45" s="154"/>
      <c r="EM45" s="154"/>
      <c r="EN45" s="154"/>
      <c r="EO45" s="154"/>
      <c r="EP45" s="154"/>
      <c r="EQ45" s="154"/>
      <c r="ER45" s="154"/>
      <c r="ES45" s="154"/>
      <c r="ET45" s="154"/>
      <c r="EU45" s="154"/>
      <c r="EV45" s="154"/>
      <c r="EW45" s="154"/>
      <c r="EX45" s="154"/>
      <c r="EY45" s="154"/>
      <c r="EZ45" s="154"/>
      <c r="FA45" s="154"/>
      <c r="FB45" s="154"/>
      <c r="FC45" s="154"/>
      <c r="FD45" s="154"/>
      <c r="FE45" s="154"/>
      <c r="FF45" s="154"/>
      <c r="FG45" s="154"/>
      <c r="FH45" s="154"/>
      <c r="FI45" s="154"/>
      <c r="FJ45" s="154"/>
      <c r="FK45" s="154"/>
      <c r="FL45" s="154"/>
      <c r="FM45" s="154"/>
      <c r="FN45" s="154"/>
      <c r="FO45" s="154"/>
      <c r="FP45" s="154"/>
      <c r="FQ45" s="154"/>
      <c r="FR45" s="154"/>
      <c r="FS45" s="154"/>
      <c r="FT45" s="154"/>
      <c r="FU45" s="154"/>
      <c r="FV45" s="154"/>
      <c r="FW45" s="154"/>
      <c r="FX45" s="154"/>
      <c r="FY45" s="154"/>
      <c r="FZ45" s="154"/>
      <c r="GA45" s="154"/>
      <c r="GB45" s="154"/>
      <c r="GC45" s="154"/>
      <c r="GD45" s="154"/>
      <c r="GE45" s="154"/>
      <c r="GF45" s="154"/>
      <c r="GG45" s="154"/>
      <c r="GH45" s="154"/>
      <c r="GI45" s="154"/>
      <c r="GJ45" s="154"/>
      <c r="GK45" s="154"/>
      <c r="GL45" s="154"/>
      <c r="GM45" s="154"/>
      <c r="GN45" s="154"/>
      <c r="GO45" s="154"/>
      <c r="GP45" s="154"/>
      <c r="GQ45" s="154"/>
      <c r="GR45" s="154"/>
      <c r="GS45" s="154"/>
      <c r="GT45" s="154"/>
      <c r="GU45" s="154"/>
      <c r="GV45" s="154"/>
      <c r="GW45" s="154"/>
      <c r="GX45" s="154"/>
      <c r="GY45" s="154"/>
      <c r="GZ45" s="154"/>
      <c r="HA45" s="154"/>
      <c r="HB45" s="154"/>
      <c r="HC45" s="154"/>
      <c r="HD45" s="154"/>
      <c r="HE45" s="154"/>
      <c r="HF45" s="154"/>
      <c r="HG45" s="154"/>
      <c r="HH45" s="154"/>
      <c r="HI45" s="154"/>
      <c r="HJ45" s="154"/>
      <c r="HK45" s="154"/>
      <c r="HL45" s="154"/>
      <c r="HM45" s="154"/>
      <c r="HN45" s="154"/>
      <c r="HO45" s="154"/>
      <c r="HP45" s="154"/>
      <c r="HQ45" s="154"/>
      <c r="HR45" s="154"/>
      <c r="HS45" s="154"/>
      <c r="HT45" s="154"/>
      <c r="HU45" s="154"/>
      <c r="HV45" s="154"/>
      <c r="HW45" s="154"/>
      <c r="HX45" s="154"/>
      <c r="HY45" s="154"/>
      <c r="HZ45" s="154"/>
      <c r="IA45" s="154"/>
      <c r="IB45" s="154"/>
      <c r="IC45" s="154"/>
      <c r="ID45" s="154"/>
      <c r="IE45" s="154"/>
      <c r="IF45" s="154"/>
      <c r="IG45" s="154"/>
      <c r="IH45" s="154"/>
      <c r="II45" s="154"/>
    </row>
    <row r="46" spans="1:256" ht="18.75" x14ac:dyDescent="0.3">
      <c r="A46" s="120" t="s">
        <v>66</v>
      </c>
      <c r="B46" s="109" t="s">
        <v>59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109"/>
      <c r="O46" s="109">
        <v>199466</v>
      </c>
      <c r="P46" s="109">
        <v>32680</v>
      </c>
      <c r="Q46" s="109">
        <v>1812</v>
      </c>
      <c r="R46" s="109">
        <f>N46+O46+P46+Q46</f>
        <v>233958</v>
      </c>
      <c r="S46" s="154"/>
      <c r="T46" s="115"/>
      <c r="U46" s="115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  <c r="BM46" s="154"/>
      <c r="BN46" s="154"/>
      <c r="BO46" s="154"/>
      <c r="BP46" s="154"/>
      <c r="BQ46" s="154"/>
      <c r="BR46" s="154"/>
      <c r="BS46" s="154"/>
      <c r="BT46" s="154"/>
      <c r="BU46" s="154"/>
      <c r="BV46" s="154"/>
      <c r="BW46" s="154"/>
      <c r="BX46" s="154"/>
      <c r="BY46" s="154"/>
      <c r="BZ46" s="154"/>
      <c r="CA46" s="154"/>
      <c r="CB46" s="154"/>
      <c r="CC46" s="154"/>
      <c r="CD46" s="154"/>
      <c r="CE46" s="154"/>
      <c r="CF46" s="154"/>
      <c r="CG46" s="154"/>
      <c r="CH46" s="154"/>
      <c r="CI46" s="154"/>
      <c r="CJ46" s="154"/>
      <c r="CK46" s="154"/>
      <c r="CL46" s="154"/>
      <c r="CM46" s="154"/>
      <c r="CN46" s="154"/>
      <c r="CO46" s="154"/>
      <c r="CP46" s="154"/>
      <c r="CQ46" s="154"/>
      <c r="CR46" s="154"/>
      <c r="CS46" s="154"/>
      <c r="CT46" s="154"/>
      <c r="CU46" s="154"/>
      <c r="CV46" s="154"/>
      <c r="CW46" s="154"/>
      <c r="CX46" s="154"/>
      <c r="CY46" s="154"/>
      <c r="CZ46" s="154"/>
      <c r="DA46" s="154"/>
      <c r="DB46" s="154"/>
      <c r="DC46" s="154"/>
      <c r="DD46" s="154"/>
      <c r="DE46" s="154"/>
      <c r="DF46" s="154"/>
      <c r="DG46" s="154"/>
      <c r="DH46" s="154"/>
      <c r="DI46" s="154"/>
      <c r="DJ46" s="154"/>
      <c r="DK46" s="154"/>
      <c r="DL46" s="154"/>
      <c r="DM46" s="154"/>
      <c r="DN46" s="154"/>
      <c r="DO46" s="154"/>
      <c r="DP46" s="154"/>
      <c r="DQ46" s="154"/>
      <c r="DR46" s="154"/>
      <c r="DS46" s="154"/>
      <c r="DT46" s="154"/>
      <c r="DU46" s="154"/>
      <c r="DV46" s="154"/>
      <c r="DW46" s="154"/>
      <c r="DX46" s="154"/>
      <c r="DY46" s="154"/>
      <c r="DZ46" s="154"/>
      <c r="EA46" s="154"/>
      <c r="EB46" s="154"/>
      <c r="EC46" s="154"/>
      <c r="ED46" s="154"/>
      <c r="EE46" s="154"/>
      <c r="EF46" s="154"/>
      <c r="EG46" s="154"/>
      <c r="EH46" s="154"/>
      <c r="EI46" s="154"/>
      <c r="EJ46" s="154"/>
      <c r="EK46" s="154"/>
      <c r="EL46" s="154"/>
      <c r="EM46" s="154"/>
      <c r="EN46" s="154"/>
      <c r="EO46" s="154"/>
      <c r="EP46" s="154"/>
      <c r="EQ46" s="154"/>
      <c r="ER46" s="154"/>
      <c r="ES46" s="154"/>
      <c r="ET46" s="154"/>
      <c r="EU46" s="154"/>
      <c r="EV46" s="154"/>
      <c r="EW46" s="154"/>
      <c r="EX46" s="154"/>
      <c r="EY46" s="154"/>
      <c r="EZ46" s="154"/>
      <c r="FA46" s="154"/>
      <c r="FB46" s="154"/>
      <c r="FC46" s="154"/>
      <c r="FD46" s="154"/>
      <c r="FE46" s="154"/>
      <c r="FF46" s="154"/>
      <c r="FG46" s="154"/>
      <c r="FH46" s="154"/>
      <c r="FI46" s="154"/>
      <c r="FJ46" s="154"/>
      <c r="FK46" s="154"/>
      <c r="FL46" s="154"/>
      <c r="FM46" s="154"/>
      <c r="FN46" s="154"/>
      <c r="FO46" s="154"/>
      <c r="FP46" s="154"/>
      <c r="FQ46" s="154"/>
      <c r="FR46" s="154"/>
      <c r="FS46" s="154"/>
      <c r="FT46" s="154"/>
      <c r="FU46" s="154"/>
      <c r="FV46" s="154"/>
      <c r="FW46" s="154"/>
      <c r="FX46" s="154"/>
      <c r="FY46" s="154"/>
      <c r="FZ46" s="154"/>
      <c r="GA46" s="154"/>
      <c r="GB46" s="154"/>
      <c r="GC46" s="154"/>
      <c r="GD46" s="154"/>
      <c r="GE46" s="154"/>
      <c r="GF46" s="154"/>
      <c r="GG46" s="154"/>
      <c r="GH46" s="154"/>
      <c r="GI46" s="154"/>
      <c r="GJ46" s="154"/>
      <c r="GK46" s="154"/>
      <c r="GL46" s="154"/>
      <c r="GM46" s="154"/>
      <c r="GN46" s="154"/>
      <c r="GO46" s="154"/>
      <c r="GP46" s="154"/>
      <c r="GQ46" s="154"/>
      <c r="GR46" s="154"/>
      <c r="GS46" s="154"/>
      <c r="GT46" s="154"/>
      <c r="GU46" s="154"/>
      <c r="GV46" s="154"/>
      <c r="GW46" s="154"/>
      <c r="GX46" s="154"/>
      <c r="GY46" s="154"/>
      <c r="GZ46" s="154"/>
      <c r="HA46" s="154"/>
      <c r="HB46" s="154"/>
      <c r="HC46" s="154"/>
      <c r="HD46" s="154"/>
      <c r="HE46" s="154"/>
      <c r="HF46" s="154"/>
      <c r="HG46" s="154"/>
      <c r="HH46" s="154"/>
      <c r="HI46" s="154"/>
      <c r="HJ46" s="154"/>
      <c r="HK46" s="154"/>
      <c r="HL46" s="154"/>
      <c r="HM46" s="154"/>
      <c r="HN46" s="154"/>
      <c r="HO46" s="154"/>
      <c r="HP46" s="154"/>
      <c r="HQ46" s="154"/>
      <c r="HR46" s="154"/>
      <c r="HS46" s="154"/>
      <c r="HT46" s="154"/>
      <c r="HU46" s="154"/>
      <c r="HV46" s="154"/>
      <c r="HW46" s="154"/>
      <c r="HX46" s="154"/>
      <c r="HY46" s="154"/>
      <c r="HZ46" s="154"/>
      <c r="IA46" s="154"/>
      <c r="IB46" s="154"/>
      <c r="IC46" s="154"/>
      <c r="ID46" s="154"/>
      <c r="IE46" s="154"/>
      <c r="IF46" s="154"/>
      <c r="IG46" s="154"/>
      <c r="IH46" s="154"/>
      <c r="II46" s="154"/>
    </row>
    <row r="47" spans="1:256" ht="18.75" x14ac:dyDescent="0.3">
      <c r="A47" s="18">
        <v>20.399999999999999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72">
        <v>2519.6999999999998</v>
      </c>
      <c r="O47" s="72">
        <v>2519.6999999999998</v>
      </c>
      <c r="P47" s="72">
        <v>2519.6999999999998</v>
      </c>
      <c r="Q47" s="72">
        <v>2519.6999999999998</v>
      </c>
      <c r="R47" s="72"/>
      <c r="S47" s="154"/>
      <c r="T47" s="115"/>
      <c r="U47" s="115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154"/>
      <c r="BA47" s="154"/>
      <c r="BB47" s="154"/>
      <c r="BC47" s="154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  <c r="BN47" s="154"/>
      <c r="BO47" s="154"/>
      <c r="BP47" s="154"/>
      <c r="BQ47" s="154"/>
      <c r="BR47" s="154"/>
      <c r="BS47" s="154"/>
      <c r="BT47" s="154"/>
      <c r="BU47" s="154"/>
      <c r="BV47" s="154"/>
      <c r="BW47" s="154"/>
      <c r="BX47" s="154"/>
      <c r="BY47" s="154"/>
      <c r="BZ47" s="154"/>
      <c r="CA47" s="154"/>
      <c r="CB47" s="154"/>
      <c r="CC47" s="154"/>
      <c r="CD47" s="154"/>
      <c r="CE47" s="154"/>
      <c r="CF47" s="154"/>
      <c r="CG47" s="154"/>
      <c r="CH47" s="154"/>
      <c r="CI47" s="154"/>
      <c r="CJ47" s="154"/>
      <c r="CK47" s="154"/>
      <c r="CL47" s="154"/>
      <c r="CM47" s="154"/>
      <c r="CN47" s="154"/>
      <c r="CO47" s="154"/>
      <c r="CP47" s="154"/>
      <c r="CQ47" s="154"/>
      <c r="CR47" s="154"/>
      <c r="CS47" s="154"/>
      <c r="CT47" s="154"/>
      <c r="CU47" s="154"/>
      <c r="CV47" s="154"/>
      <c r="CW47" s="154"/>
      <c r="CX47" s="154"/>
      <c r="CY47" s="154"/>
      <c r="CZ47" s="154"/>
      <c r="DA47" s="154"/>
      <c r="DB47" s="154"/>
      <c r="DC47" s="154"/>
      <c r="DD47" s="154"/>
      <c r="DE47" s="154"/>
      <c r="DF47" s="154"/>
      <c r="DG47" s="154"/>
      <c r="DH47" s="154"/>
      <c r="DI47" s="154"/>
      <c r="DJ47" s="154"/>
      <c r="DK47" s="154"/>
      <c r="DL47" s="154"/>
      <c r="DM47" s="154"/>
      <c r="DN47" s="154"/>
      <c r="DO47" s="154"/>
      <c r="DP47" s="154"/>
      <c r="DQ47" s="154"/>
      <c r="DR47" s="154"/>
      <c r="DS47" s="154"/>
      <c r="DT47" s="154"/>
      <c r="DU47" s="154"/>
      <c r="DV47" s="154"/>
      <c r="DW47" s="154"/>
      <c r="DX47" s="154"/>
      <c r="DY47" s="154"/>
      <c r="DZ47" s="154"/>
      <c r="EA47" s="154"/>
      <c r="EB47" s="154"/>
      <c r="EC47" s="154"/>
      <c r="ED47" s="154"/>
      <c r="EE47" s="154"/>
      <c r="EF47" s="154"/>
      <c r="EG47" s="154"/>
      <c r="EH47" s="154"/>
      <c r="EI47" s="154"/>
      <c r="EJ47" s="154"/>
      <c r="EK47" s="154"/>
      <c r="EL47" s="154"/>
      <c r="EM47" s="154"/>
      <c r="EN47" s="154"/>
      <c r="EO47" s="154"/>
      <c r="EP47" s="154"/>
      <c r="EQ47" s="154"/>
      <c r="ER47" s="154"/>
      <c r="ES47" s="154"/>
      <c r="ET47" s="154"/>
      <c r="EU47" s="154"/>
      <c r="EV47" s="154"/>
      <c r="EW47" s="154"/>
      <c r="EX47" s="154"/>
      <c r="EY47" s="154"/>
      <c r="EZ47" s="154"/>
      <c r="FA47" s="154"/>
      <c r="FB47" s="154"/>
      <c r="FC47" s="154"/>
      <c r="FD47" s="154"/>
      <c r="FE47" s="154"/>
      <c r="FF47" s="154"/>
      <c r="FG47" s="154"/>
      <c r="FH47" s="154"/>
      <c r="FI47" s="154"/>
      <c r="FJ47" s="154"/>
      <c r="FK47" s="154"/>
      <c r="FL47" s="154"/>
      <c r="FM47" s="154"/>
      <c r="FN47" s="154"/>
      <c r="FO47" s="154"/>
      <c r="FP47" s="154"/>
      <c r="FQ47" s="154"/>
      <c r="FR47" s="154"/>
      <c r="FS47" s="154"/>
      <c r="FT47" s="154"/>
      <c r="FU47" s="154"/>
      <c r="FV47" s="154"/>
      <c r="FW47" s="154"/>
      <c r="FX47" s="154"/>
      <c r="FY47" s="154"/>
      <c r="FZ47" s="154"/>
      <c r="GA47" s="154"/>
      <c r="GB47" s="154"/>
      <c r="GC47" s="154"/>
      <c r="GD47" s="154"/>
      <c r="GE47" s="154"/>
      <c r="GF47" s="154"/>
      <c r="GG47" s="154"/>
      <c r="GH47" s="154"/>
      <c r="GI47" s="154"/>
      <c r="GJ47" s="154"/>
      <c r="GK47" s="154"/>
      <c r="GL47" s="154"/>
      <c r="GM47" s="154"/>
      <c r="GN47" s="154"/>
      <c r="GO47" s="154"/>
      <c r="GP47" s="154"/>
      <c r="GQ47" s="154"/>
      <c r="GR47" s="154"/>
      <c r="GS47" s="154"/>
      <c r="GT47" s="154"/>
      <c r="GU47" s="154"/>
      <c r="GV47" s="154"/>
      <c r="GW47" s="154"/>
      <c r="GX47" s="154"/>
      <c r="GY47" s="154"/>
      <c r="GZ47" s="154"/>
      <c r="HA47" s="154"/>
      <c r="HB47" s="154"/>
      <c r="HC47" s="154"/>
      <c r="HD47" s="154"/>
      <c r="HE47" s="154"/>
      <c r="HF47" s="154"/>
      <c r="HG47" s="154"/>
      <c r="HH47" s="154"/>
      <c r="HI47" s="154"/>
      <c r="HJ47" s="154"/>
      <c r="HK47" s="154"/>
      <c r="HL47" s="154"/>
      <c r="HM47" s="154"/>
      <c r="HN47" s="154"/>
      <c r="HO47" s="154"/>
      <c r="HP47" s="154"/>
      <c r="HQ47" s="154"/>
      <c r="HR47" s="154"/>
      <c r="HS47" s="154"/>
      <c r="HT47" s="154"/>
      <c r="HU47" s="154"/>
      <c r="HV47" s="154"/>
      <c r="HW47" s="154"/>
      <c r="HX47" s="154"/>
      <c r="HY47" s="154"/>
      <c r="HZ47" s="154"/>
      <c r="IA47" s="154"/>
      <c r="IB47" s="154"/>
      <c r="IC47" s="154"/>
      <c r="ID47" s="154"/>
      <c r="IE47" s="154"/>
      <c r="IF47" s="154"/>
      <c r="IG47" s="154"/>
      <c r="IH47" s="154"/>
      <c r="II47" s="154"/>
    </row>
    <row r="48" spans="1:256" s="11" customFormat="1" ht="18.75" x14ac:dyDescent="0.3">
      <c r="A48" s="53"/>
      <c r="B48" s="53" t="s">
        <v>76</v>
      </c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114">
        <v>1.0143310000000001</v>
      </c>
      <c r="O48" s="114">
        <v>1.0143310000000001</v>
      </c>
      <c r="P48" s="114">
        <v>1.0143310000000001</v>
      </c>
      <c r="Q48" s="114">
        <v>1.0143310000000001</v>
      </c>
      <c r="R48" s="76"/>
      <c r="S48" s="160"/>
      <c r="T48" s="161"/>
      <c r="U48" s="161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  <c r="BJ48" s="160"/>
      <c r="BK48" s="160"/>
      <c r="BL48" s="160"/>
      <c r="BM48" s="160"/>
      <c r="BN48" s="160"/>
      <c r="BO48" s="160"/>
      <c r="BP48" s="160"/>
      <c r="BQ48" s="160"/>
      <c r="BR48" s="160"/>
      <c r="BS48" s="160"/>
      <c r="BT48" s="160"/>
      <c r="BU48" s="160"/>
      <c r="BV48" s="160"/>
      <c r="BW48" s="160"/>
      <c r="BX48" s="160"/>
      <c r="BY48" s="160"/>
      <c r="BZ48" s="160"/>
      <c r="CA48" s="160"/>
      <c r="CB48" s="160"/>
      <c r="CC48" s="160"/>
      <c r="CD48" s="160"/>
      <c r="CE48" s="160"/>
      <c r="CF48" s="160"/>
      <c r="CG48" s="160"/>
      <c r="CH48" s="160"/>
      <c r="CI48" s="160"/>
      <c r="CJ48" s="160"/>
      <c r="CK48" s="160"/>
      <c r="CL48" s="160"/>
      <c r="CM48" s="160"/>
      <c r="CN48" s="160"/>
      <c r="CO48" s="160"/>
      <c r="CP48" s="160"/>
      <c r="CQ48" s="160"/>
      <c r="CR48" s="160"/>
      <c r="CS48" s="160"/>
      <c r="CT48" s="160"/>
      <c r="CU48" s="160"/>
      <c r="CV48" s="160"/>
      <c r="CW48" s="160"/>
      <c r="CX48" s="160"/>
      <c r="CY48" s="160"/>
      <c r="CZ48" s="160"/>
      <c r="DA48" s="160"/>
      <c r="DB48" s="160"/>
      <c r="DC48" s="160"/>
      <c r="DD48" s="160"/>
      <c r="DE48" s="160"/>
      <c r="DF48" s="160"/>
      <c r="DG48" s="160"/>
      <c r="DH48" s="160"/>
      <c r="DI48" s="160"/>
      <c r="DJ48" s="160"/>
      <c r="DK48" s="160"/>
      <c r="DL48" s="160"/>
      <c r="DM48" s="160"/>
      <c r="DN48" s="160"/>
      <c r="DO48" s="160"/>
      <c r="DP48" s="160"/>
      <c r="DQ48" s="160"/>
      <c r="DR48" s="160"/>
      <c r="DS48" s="160"/>
      <c r="DT48" s="160"/>
      <c r="DU48" s="160"/>
      <c r="DV48" s="160"/>
      <c r="DW48" s="160"/>
      <c r="DX48" s="160"/>
      <c r="DY48" s="160"/>
      <c r="DZ48" s="160"/>
      <c r="EA48" s="160"/>
      <c r="EB48" s="160"/>
      <c r="EC48" s="160"/>
      <c r="ED48" s="160"/>
      <c r="EE48" s="160"/>
      <c r="EF48" s="160"/>
      <c r="EG48" s="160"/>
      <c r="EH48" s="160"/>
      <c r="EI48" s="160"/>
      <c r="EJ48" s="160"/>
      <c r="EK48" s="160"/>
      <c r="EL48" s="160"/>
      <c r="EM48" s="160"/>
      <c r="EN48" s="160"/>
      <c r="EO48" s="160"/>
      <c r="EP48" s="160"/>
      <c r="EQ48" s="160"/>
      <c r="ER48" s="160"/>
      <c r="ES48" s="160"/>
      <c r="ET48" s="160"/>
      <c r="EU48" s="160"/>
      <c r="EV48" s="160"/>
      <c r="EW48" s="160"/>
      <c r="EX48" s="160"/>
      <c r="EY48" s="160"/>
      <c r="EZ48" s="160"/>
      <c r="FA48" s="160"/>
      <c r="FB48" s="160"/>
      <c r="FC48" s="160"/>
      <c r="FD48" s="160"/>
      <c r="FE48" s="160"/>
      <c r="FF48" s="160"/>
      <c r="FG48" s="160"/>
      <c r="FH48" s="160"/>
      <c r="FI48" s="160"/>
      <c r="FJ48" s="160"/>
      <c r="FK48" s="160"/>
      <c r="FL48" s="160"/>
      <c r="FM48" s="160"/>
      <c r="FN48" s="160"/>
      <c r="FO48" s="160"/>
      <c r="FP48" s="160"/>
      <c r="FQ48" s="160"/>
      <c r="FR48" s="160"/>
      <c r="FS48" s="160"/>
      <c r="FT48" s="160"/>
      <c r="FU48" s="160"/>
      <c r="FV48" s="160"/>
      <c r="FW48" s="160"/>
      <c r="FX48" s="160"/>
      <c r="FY48" s="160"/>
      <c r="FZ48" s="160"/>
      <c r="GA48" s="160"/>
      <c r="GB48" s="160"/>
      <c r="GC48" s="160"/>
      <c r="GD48" s="160"/>
      <c r="GE48" s="160"/>
      <c r="GF48" s="160"/>
      <c r="GG48" s="160"/>
      <c r="GH48" s="160"/>
      <c r="GI48" s="160"/>
      <c r="GJ48" s="160"/>
      <c r="GK48" s="160"/>
      <c r="GL48" s="160"/>
      <c r="GM48" s="160"/>
      <c r="GN48" s="160"/>
      <c r="GO48" s="160"/>
      <c r="GP48" s="160"/>
      <c r="GQ48" s="160"/>
      <c r="GR48" s="160"/>
      <c r="GS48" s="160"/>
      <c r="GT48" s="160"/>
      <c r="GU48" s="160"/>
      <c r="GV48" s="160"/>
      <c r="GW48" s="160"/>
      <c r="GX48" s="160"/>
      <c r="GY48" s="160"/>
      <c r="GZ48" s="160"/>
      <c r="HA48" s="160"/>
      <c r="HB48" s="160"/>
      <c r="HC48" s="160"/>
      <c r="HD48" s="160"/>
      <c r="HE48" s="160"/>
      <c r="HF48" s="160"/>
      <c r="HG48" s="160"/>
      <c r="HH48" s="160"/>
      <c r="HI48" s="160"/>
      <c r="HJ48" s="160"/>
      <c r="HK48" s="160"/>
      <c r="HL48" s="160"/>
      <c r="HM48" s="160"/>
      <c r="HN48" s="160"/>
      <c r="HO48" s="160"/>
      <c r="HP48" s="160"/>
      <c r="HQ48" s="160"/>
      <c r="HR48" s="160"/>
      <c r="HS48" s="160"/>
      <c r="HT48" s="160"/>
      <c r="HU48" s="160"/>
      <c r="HV48" s="160"/>
      <c r="HW48" s="160"/>
      <c r="HX48" s="160"/>
      <c r="HY48" s="160"/>
      <c r="HZ48" s="160"/>
      <c r="IA48" s="160"/>
      <c r="IB48" s="160"/>
      <c r="IC48" s="160"/>
      <c r="ID48" s="160"/>
      <c r="IE48" s="160"/>
      <c r="IF48" s="160"/>
      <c r="IG48" s="160"/>
      <c r="IH48" s="160"/>
      <c r="II48" s="160"/>
    </row>
    <row r="49" spans="1:243" ht="18.75" x14ac:dyDescent="0.3">
      <c r="A49" s="18"/>
      <c r="B49" s="21" t="s">
        <v>60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54">
        <f>ROUND(N46*N47*N48,0)</f>
        <v>0</v>
      </c>
      <c r="O49" s="21">
        <f>ROUND(O46*O47*O48,0)</f>
        <v>509797162</v>
      </c>
      <c r="P49" s="21">
        <f>ROUND(P46*P47*P48,)</f>
        <v>83523865</v>
      </c>
      <c r="Q49" s="21">
        <f>ROUND(Q46*Q47*Q48,0)</f>
        <v>4631127</v>
      </c>
      <c r="R49" s="21">
        <f>ROUND(SUM(C49:Q49),0)</f>
        <v>597952154</v>
      </c>
      <c r="S49" s="154"/>
      <c r="T49" s="115"/>
      <c r="U49" s="115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  <c r="BD49" s="154"/>
      <c r="BE49" s="154"/>
      <c r="BF49" s="154"/>
      <c r="BG49" s="154"/>
      <c r="BH49" s="154"/>
      <c r="BI49" s="154"/>
      <c r="BJ49" s="154"/>
      <c r="BK49" s="154"/>
      <c r="BL49" s="154"/>
      <c r="BM49" s="154"/>
      <c r="BN49" s="154"/>
      <c r="BO49" s="154"/>
      <c r="BP49" s="154"/>
      <c r="BQ49" s="154"/>
      <c r="BR49" s="154"/>
      <c r="BS49" s="154"/>
      <c r="BT49" s="154"/>
      <c r="BU49" s="154"/>
      <c r="BV49" s="154"/>
      <c r="BW49" s="154"/>
      <c r="BX49" s="154"/>
      <c r="BY49" s="154"/>
      <c r="BZ49" s="154"/>
      <c r="CA49" s="154"/>
      <c r="CB49" s="154"/>
      <c r="CC49" s="154"/>
      <c r="CD49" s="154"/>
      <c r="CE49" s="154"/>
      <c r="CF49" s="154"/>
      <c r="CG49" s="154"/>
      <c r="CH49" s="154"/>
      <c r="CI49" s="154"/>
      <c r="CJ49" s="154"/>
      <c r="CK49" s="154"/>
      <c r="CL49" s="154"/>
      <c r="CM49" s="154"/>
      <c r="CN49" s="154"/>
      <c r="CO49" s="154"/>
      <c r="CP49" s="154"/>
      <c r="CQ49" s="154"/>
      <c r="CR49" s="154"/>
      <c r="CS49" s="154"/>
      <c r="CT49" s="154"/>
      <c r="CU49" s="154"/>
      <c r="CV49" s="154"/>
      <c r="CW49" s="154"/>
      <c r="CX49" s="154"/>
      <c r="CY49" s="154"/>
      <c r="CZ49" s="154"/>
      <c r="DA49" s="154"/>
      <c r="DB49" s="154"/>
      <c r="DC49" s="154"/>
      <c r="DD49" s="154"/>
      <c r="DE49" s="154"/>
      <c r="DF49" s="154"/>
      <c r="DG49" s="154"/>
      <c r="DH49" s="154"/>
      <c r="DI49" s="154"/>
      <c r="DJ49" s="154"/>
      <c r="DK49" s="154"/>
      <c r="DL49" s="154"/>
      <c r="DM49" s="154"/>
      <c r="DN49" s="154"/>
      <c r="DO49" s="154"/>
      <c r="DP49" s="154"/>
      <c r="DQ49" s="154"/>
      <c r="DR49" s="154"/>
      <c r="DS49" s="154"/>
      <c r="DT49" s="154"/>
      <c r="DU49" s="154"/>
      <c r="DV49" s="154"/>
      <c r="DW49" s="154"/>
      <c r="DX49" s="154"/>
      <c r="DY49" s="154"/>
      <c r="DZ49" s="154"/>
      <c r="EA49" s="154"/>
      <c r="EB49" s="154"/>
      <c r="EC49" s="154"/>
      <c r="ED49" s="154"/>
      <c r="EE49" s="154"/>
      <c r="EF49" s="154"/>
      <c r="EG49" s="154"/>
      <c r="EH49" s="154"/>
      <c r="EI49" s="154"/>
      <c r="EJ49" s="154"/>
      <c r="EK49" s="154"/>
      <c r="EL49" s="154"/>
      <c r="EM49" s="154"/>
      <c r="EN49" s="154"/>
      <c r="EO49" s="154"/>
      <c r="EP49" s="154"/>
      <c r="EQ49" s="154"/>
      <c r="ER49" s="154"/>
      <c r="ES49" s="154"/>
      <c r="ET49" s="154"/>
      <c r="EU49" s="154"/>
      <c r="EV49" s="154"/>
      <c r="EW49" s="154"/>
      <c r="EX49" s="154"/>
      <c r="EY49" s="154"/>
      <c r="EZ49" s="154"/>
      <c r="FA49" s="154"/>
      <c r="FB49" s="154"/>
      <c r="FC49" s="154"/>
      <c r="FD49" s="154"/>
      <c r="FE49" s="154"/>
      <c r="FF49" s="154"/>
      <c r="FG49" s="154"/>
      <c r="FH49" s="154"/>
      <c r="FI49" s="154"/>
      <c r="FJ49" s="154"/>
      <c r="FK49" s="154"/>
      <c r="FL49" s="154"/>
      <c r="FM49" s="154"/>
      <c r="FN49" s="154"/>
      <c r="FO49" s="154"/>
      <c r="FP49" s="154"/>
      <c r="FQ49" s="154"/>
      <c r="FR49" s="154"/>
      <c r="FS49" s="154"/>
      <c r="FT49" s="154"/>
      <c r="FU49" s="154"/>
      <c r="FV49" s="154"/>
      <c r="FW49" s="154"/>
      <c r="FX49" s="154"/>
      <c r="FY49" s="154"/>
      <c r="FZ49" s="154"/>
      <c r="GA49" s="154"/>
      <c r="GB49" s="154"/>
      <c r="GC49" s="154"/>
      <c r="GD49" s="154"/>
      <c r="GE49" s="154"/>
      <c r="GF49" s="154"/>
      <c r="GG49" s="154"/>
      <c r="GH49" s="154"/>
      <c r="GI49" s="154"/>
      <c r="GJ49" s="154"/>
      <c r="GK49" s="154"/>
      <c r="GL49" s="154"/>
      <c r="GM49" s="154"/>
      <c r="GN49" s="154"/>
      <c r="GO49" s="154"/>
      <c r="GP49" s="154"/>
      <c r="GQ49" s="154"/>
      <c r="GR49" s="154"/>
      <c r="GS49" s="154"/>
      <c r="GT49" s="154"/>
      <c r="GU49" s="154"/>
      <c r="GV49" s="154"/>
      <c r="GW49" s="154"/>
      <c r="GX49" s="154"/>
      <c r="GY49" s="154"/>
      <c r="GZ49" s="154"/>
      <c r="HA49" s="154"/>
      <c r="HB49" s="154"/>
      <c r="HC49" s="154"/>
      <c r="HD49" s="154"/>
      <c r="HE49" s="154"/>
      <c r="HF49" s="154"/>
      <c r="HG49" s="154"/>
      <c r="HH49" s="154"/>
      <c r="HI49" s="154"/>
      <c r="HJ49" s="154"/>
      <c r="HK49" s="154"/>
      <c r="HL49" s="154"/>
      <c r="HM49" s="154"/>
      <c r="HN49" s="154"/>
      <c r="HO49" s="154"/>
      <c r="HP49" s="154"/>
      <c r="HQ49" s="154"/>
      <c r="HR49" s="154"/>
      <c r="HS49" s="154"/>
      <c r="HT49" s="154"/>
      <c r="HU49" s="154"/>
      <c r="HV49" s="154"/>
      <c r="HW49" s="154"/>
      <c r="HX49" s="154"/>
      <c r="HY49" s="154"/>
      <c r="HZ49" s="154"/>
      <c r="IA49" s="154"/>
      <c r="IB49" s="154"/>
      <c r="IC49" s="154"/>
      <c r="ID49" s="154"/>
      <c r="IE49" s="154"/>
      <c r="IF49" s="154"/>
      <c r="IG49" s="154"/>
      <c r="IH49" s="154"/>
      <c r="II49" s="154"/>
    </row>
    <row r="50" spans="1:243" ht="18.75" x14ac:dyDescent="0.3">
      <c r="A50" s="18"/>
      <c r="B50" s="21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1"/>
      <c r="O50" s="21"/>
      <c r="P50" s="191" t="s">
        <v>216</v>
      </c>
      <c r="Q50" s="191" t="s">
        <v>271</v>
      </c>
      <c r="R50" s="21"/>
      <c r="S50" s="154"/>
      <c r="T50" s="115"/>
      <c r="U50" s="115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4"/>
      <c r="BU50" s="154"/>
      <c r="BV50" s="154"/>
      <c r="BW50" s="154"/>
      <c r="BX50" s="154"/>
      <c r="BY50" s="154"/>
      <c r="BZ50" s="154"/>
      <c r="CA50" s="154"/>
      <c r="CB50" s="154"/>
      <c r="CC50" s="154"/>
      <c r="CD50" s="154"/>
      <c r="CE50" s="154"/>
      <c r="CF50" s="154"/>
      <c r="CG50" s="154"/>
      <c r="CH50" s="154"/>
      <c r="CI50" s="154"/>
      <c r="CJ50" s="154"/>
      <c r="CK50" s="154"/>
      <c r="CL50" s="154"/>
      <c r="CM50" s="154"/>
      <c r="CN50" s="154"/>
      <c r="CO50" s="154"/>
      <c r="CP50" s="154"/>
      <c r="CQ50" s="154"/>
      <c r="CR50" s="154"/>
      <c r="CS50" s="154"/>
      <c r="CT50" s="154"/>
      <c r="CU50" s="154"/>
      <c r="CV50" s="154"/>
      <c r="CW50" s="154"/>
      <c r="CX50" s="154"/>
      <c r="CY50" s="154"/>
      <c r="CZ50" s="154"/>
      <c r="DA50" s="154"/>
      <c r="DB50" s="154"/>
      <c r="DC50" s="154"/>
      <c r="DD50" s="154"/>
      <c r="DE50" s="154"/>
      <c r="DF50" s="154"/>
      <c r="DG50" s="154"/>
      <c r="DH50" s="154"/>
      <c r="DI50" s="154"/>
      <c r="DJ50" s="154"/>
      <c r="DK50" s="154"/>
      <c r="DL50" s="154"/>
      <c r="DM50" s="154"/>
      <c r="DN50" s="154"/>
      <c r="DO50" s="154"/>
      <c r="DP50" s="154"/>
      <c r="DQ50" s="154"/>
      <c r="DR50" s="154"/>
      <c r="DS50" s="154"/>
      <c r="DT50" s="154"/>
      <c r="DU50" s="154"/>
      <c r="DV50" s="154"/>
      <c r="DW50" s="154"/>
      <c r="DX50" s="154"/>
      <c r="DY50" s="154"/>
      <c r="DZ50" s="154"/>
      <c r="EA50" s="154"/>
      <c r="EB50" s="154"/>
      <c r="EC50" s="154"/>
      <c r="ED50" s="154"/>
      <c r="EE50" s="154"/>
      <c r="EF50" s="154"/>
      <c r="EG50" s="154"/>
      <c r="EH50" s="154"/>
      <c r="EI50" s="154"/>
      <c r="EJ50" s="154"/>
      <c r="EK50" s="154"/>
      <c r="EL50" s="154"/>
      <c r="EM50" s="154"/>
      <c r="EN50" s="154"/>
      <c r="EO50" s="154"/>
      <c r="EP50" s="154"/>
      <c r="EQ50" s="154"/>
      <c r="ER50" s="154"/>
      <c r="ES50" s="154"/>
      <c r="ET50" s="154"/>
      <c r="EU50" s="154"/>
      <c r="EV50" s="154"/>
      <c r="EW50" s="154"/>
      <c r="EX50" s="154"/>
      <c r="EY50" s="154"/>
      <c r="EZ50" s="154"/>
      <c r="FA50" s="154"/>
      <c r="FB50" s="154"/>
      <c r="FC50" s="154"/>
      <c r="FD50" s="154"/>
      <c r="FE50" s="154"/>
      <c r="FF50" s="154"/>
      <c r="FG50" s="154"/>
      <c r="FH50" s="154"/>
      <c r="FI50" s="154"/>
      <c r="FJ50" s="154"/>
      <c r="FK50" s="154"/>
      <c r="FL50" s="154"/>
      <c r="FM50" s="154"/>
      <c r="FN50" s="154"/>
      <c r="FO50" s="154"/>
      <c r="FP50" s="154"/>
      <c r="FQ50" s="154"/>
      <c r="FR50" s="154"/>
      <c r="FS50" s="154"/>
      <c r="FT50" s="154"/>
      <c r="FU50" s="154"/>
      <c r="FV50" s="154"/>
      <c r="FW50" s="154"/>
      <c r="FX50" s="154"/>
      <c r="FY50" s="154"/>
      <c r="FZ50" s="154"/>
      <c r="GA50" s="154"/>
      <c r="GB50" s="154"/>
      <c r="GC50" s="154"/>
      <c r="GD50" s="154"/>
      <c r="GE50" s="154"/>
      <c r="GF50" s="154"/>
      <c r="GG50" s="154"/>
      <c r="GH50" s="154"/>
      <c r="GI50" s="154"/>
      <c r="GJ50" s="154"/>
      <c r="GK50" s="154"/>
      <c r="GL50" s="154"/>
      <c r="GM50" s="154"/>
      <c r="GN50" s="154"/>
      <c r="GO50" s="154"/>
      <c r="GP50" s="154"/>
      <c r="GQ50" s="154"/>
      <c r="GR50" s="154"/>
      <c r="GS50" s="154"/>
      <c r="GT50" s="154"/>
      <c r="GU50" s="154"/>
      <c r="GV50" s="154"/>
      <c r="GW50" s="154"/>
      <c r="GX50" s="154"/>
      <c r="GY50" s="154"/>
      <c r="GZ50" s="154"/>
      <c r="HA50" s="154"/>
      <c r="HB50" s="154"/>
      <c r="HC50" s="154"/>
      <c r="HD50" s="154"/>
      <c r="HE50" s="154"/>
      <c r="HF50" s="154"/>
      <c r="HG50" s="154"/>
      <c r="HH50" s="154"/>
      <c r="HI50" s="154"/>
      <c r="HJ50" s="154"/>
      <c r="HK50" s="154"/>
      <c r="HL50" s="154"/>
      <c r="HM50" s="154"/>
      <c r="HN50" s="154"/>
      <c r="HO50" s="154"/>
      <c r="HP50" s="154"/>
      <c r="HQ50" s="154"/>
      <c r="HR50" s="154"/>
      <c r="HS50" s="154"/>
      <c r="HT50" s="154"/>
      <c r="HU50" s="154"/>
      <c r="HV50" s="154"/>
      <c r="HW50" s="154"/>
      <c r="HX50" s="154"/>
      <c r="HY50" s="154"/>
      <c r="HZ50" s="154"/>
      <c r="IA50" s="154"/>
      <c r="IB50" s="154"/>
      <c r="IC50" s="154"/>
      <c r="ID50" s="154"/>
      <c r="IE50" s="154"/>
      <c r="IF50" s="154"/>
      <c r="IG50" s="154"/>
      <c r="IH50" s="154"/>
      <c r="II50" s="154"/>
    </row>
    <row r="51" spans="1:243" ht="18.75" x14ac:dyDescent="0.3">
      <c r="A51" s="120" t="s">
        <v>263</v>
      </c>
      <c r="B51" s="109" t="s">
        <v>59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109">
        <v>122469</v>
      </c>
      <c r="O51" s="109">
        <v>8816</v>
      </c>
      <c r="P51" s="109">
        <v>0</v>
      </c>
      <c r="Q51" s="109">
        <v>23</v>
      </c>
      <c r="R51" s="109">
        <f>N51+O51+P51+Q51</f>
        <v>131308</v>
      </c>
      <c r="S51" s="154"/>
      <c r="T51" s="255"/>
      <c r="U51" s="115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54"/>
      <c r="BV51" s="154"/>
      <c r="BW51" s="154"/>
      <c r="BX51" s="154"/>
      <c r="BY51" s="154"/>
      <c r="BZ51" s="154"/>
      <c r="CA51" s="154"/>
      <c r="CB51" s="154"/>
      <c r="CC51" s="154"/>
      <c r="CD51" s="154"/>
      <c r="CE51" s="154"/>
      <c r="CF51" s="154"/>
      <c r="CG51" s="154"/>
      <c r="CH51" s="154"/>
      <c r="CI51" s="154"/>
      <c r="CJ51" s="154"/>
      <c r="CK51" s="154"/>
      <c r="CL51" s="154"/>
      <c r="CM51" s="154"/>
      <c r="CN51" s="154"/>
      <c r="CO51" s="154"/>
      <c r="CP51" s="154"/>
      <c r="CQ51" s="154"/>
      <c r="CR51" s="154"/>
      <c r="CS51" s="154"/>
      <c r="CT51" s="154"/>
      <c r="CU51" s="154"/>
      <c r="CV51" s="154"/>
      <c r="CW51" s="154"/>
      <c r="CX51" s="154"/>
      <c r="CY51" s="154"/>
      <c r="CZ51" s="154"/>
      <c r="DA51" s="154"/>
      <c r="DB51" s="154"/>
      <c r="DC51" s="154"/>
      <c r="DD51" s="154"/>
      <c r="DE51" s="154"/>
      <c r="DF51" s="154"/>
      <c r="DG51" s="154"/>
      <c r="DH51" s="154"/>
      <c r="DI51" s="154"/>
      <c r="DJ51" s="154"/>
      <c r="DK51" s="154"/>
      <c r="DL51" s="154"/>
      <c r="DM51" s="154"/>
      <c r="DN51" s="154"/>
      <c r="DO51" s="154"/>
      <c r="DP51" s="154"/>
      <c r="DQ51" s="154"/>
      <c r="DR51" s="154"/>
      <c r="DS51" s="154"/>
      <c r="DT51" s="154"/>
      <c r="DU51" s="154"/>
      <c r="DV51" s="154"/>
      <c r="DW51" s="154"/>
      <c r="DX51" s="154"/>
      <c r="DY51" s="154"/>
      <c r="DZ51" s="154"/>
      <c r="EA51" s="154"/>
      <c r="EB51" s="154"/>
      <c r="EC51" s="154"/>
      <c r="ED51" s="154"/>
      <c r="EE51" s="154"/>
      <c r="EF51" s="154"/>
      <c r="EG51" s="154"/>
      <c r="EH51" s="154"/>
      <c r="EI51" s="154"/>
      <c r="EJ51" s="154"/>
      <c r="EK51" s="154"/>
      <c r="EL51" s="154"/>
      <c r="EM51" s="154"/>
      <c r="EN51" s="154"/>
      <c r="EO51" s="154"/>
      <c r="EP51" s="154"/>
      <c r="EQ51" s="154"/>
      <c r="ER51" s="154"/>
      <c r="ES51" s="154"/>
      <c r="ET51" s="154"/>
      <c r="EU51" s="154"/>
      <c r="EV51" s="154"/>
      <c r="EW51" s="154"/>
      <c r="EX51" s="154"/>
      <c r="EY51" s="154"/>
      <c r="EZ51" s="154"/>
      <c r="FA51" s="154"/>
      <c r="FB51" s="154"/>
      <c r="FC51" s="154"/>
      <c r="FD51" s="154"/>
      <c r="FE51" s="154"/>
      <c r="FF51" s="154"/>
      <c r="FG51" s="154"/>
      <c r="FH51" s="154"/>
      <c r="FI51" s="154"/>
      <c r="FJ51" s="154"/>
      <c r="FK51" s="154"/>
      <c r="FL51" s="154"/>
      <c r="FM51" s="154"/>
      <c r="FN51" s="154"/>
      <c r="FO51" s="154"/>
      <c r="FP51" s="154"/>
      <c r="FQ51" s="154"/>
      <c r="FR51" s="154"/>
      <c r="FS51" s="154"/>
      <c r="FT51" s="154"/>
      <c r="FU51" s="154"/>
      <c r="FV51" s="154"/>
      <c r="FW51" s="154"/>
      <c r="FX51" s="154"/>
      <c r="FY51" s="154"/>
      <c r="FZ51" s="154"/>
      <c r="GA51" s="154"/>
      <c r="GB51" s="154"/>
      <c r="GC51" s="154"/>
      <c r="GD51" s="154"/>
      <c r="GE51" s="154"/>
      <c r="GF51" s="154"/>
      <c r="GG51" s="154"/>
      <c r="GH51" s="154"/>
      <c r="GI51" s="154"/>
      <c r="GJ51" s="154"/>
      <c r="GK51" s="154"/>
      <c r="GL51" s="154"/>
      <c r="GM51" s="154"/>
      <c r="GN51" s="154"/>
      <c r="GO51" s="154"/>
      <c r="GP51" s="154"/>
      <c r="GQ51" s="154"/>
      <c r="GR51" s="154"/>
      <c r="GS51" s="154"/>
      <c r="GT51" s="154"/>
      <c r="GU51" s="154"/>
      <c r="GV51" s="154"/>
      <c r="GW51" s="154"/>
      <c r="GX51" s="154"/>
      <c r="GY51" s="154"/>
      <c r="GZ51" s="154"/>
      <c r="HA51" s="154"/>
      <c r="HB51" s="154"/>
      <c r="HC51" s="154"/>
      <c r="HD51" s="154"/>
      <c r="HE51" s="154"/>
      <c r="HF51" s="154"/>
      <c r="HG51" s="154"/>
      <c r="HH51" s="154"/>
      <c r="HI51" s="154"/>
      <c r="HJ51" s="154"/>
      <c r="HK51" s="154"/>
      <c r="HL51" s="154"/>
      <c r="HM51" s="154"/>
      <c r="HN51" s="154"/>
      <c r="HO51" s="154"/>
      <c r="HP51" s="154"/>
      <c r="HQ51" s="154"/>
      <c r="HR51" s="154"/>
      <c r="HS51" s="154"/>
      <c r="HT51" s="154"/>
      <c r="HU51" s="154"/>
      <c r="HV51" s="154"/>
      <c r="HW51" s="154"/>
      <c r="HX51" s="154"/>
      <c r="HY51" s="154"/>
      <c r="HZ51" s="154"/>
      <c r="IA51" s="154"/>
      <c r="IB51" s="154"/>
      <c r="IC51" s="154"/>
      <c r="ID51" s="154"/>
      <c r="IE51" s="154"/>
      <c r="IF51" s="154"/>
      <c r="IG51" s="154"/>
      <c r="IH51" s="154"/>
      <c r="II51" s="154"/>
    </row>
    <row r="52" spans="1:243" ht="18.75" x14ac:dyDescent="0.3">
      <c r="A52" s="18">
        <v>20.399999999999999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72">
        <v>2519.6999999999998</v>
      </c>
      <c r="O52" s="72">
        <v>2519.6999999999998</v>
      </c>
      <c r="P52" s="72">
        <v>8008.5</v>
      </c>
      <c r="Q52" s="72">
        <v>1601.7</v>
      </c>
      <c r="R52" s="72"/>
      <c r="S52" s="154"/>
      <c r="T52" s="115"/>
      <c r="U52" s="115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4"/>
      <c r="BC52" s="154"/>
      <c r="BD52" s="154"/>
      <c r="BE52" s="154"/>
      <c r="BF52" s="154"/>
      <c r="BG52" s="154"/>
      <c r="BH52" s="154"/>
      <c r="BI52" s="154"/>
      <c r="BJ52" s="154"/>
      <c r="BK52" s="154"/>
      <c r="BL52" s="154"/>
      <c r="BM52" s="154"/>
      <c r="BN52" s="154"/>
      <c r="BO52" s="154"/>
      <c r="BP52" s="154"/>
      <c r="BQ52" s="154"/>
      <c r="BR52" s="154"/>
      <c r="BS52" s="154"/>
      <c r="BT52" s="154"/>
      <c r="BU52" s="154"/>
      <c r="BV52" s="154"/>
      <c r="BW52" s="154"/>
      <c r="BX52" s="154"/>
      <c r="BY52" s="154"/>
      <c r="BZ52" s="154"/>
      <c r="CA52" s="154"/>
      <c r="CB52" s="154"/>
      <c r="CC52" s="154"/>
      <c r="CD52" s="154"/>
      <c r="CE52" s="154"/>
      <c r="CF52" s="154"/>
      <c r="CG52" s="154"/>
      <c r="CH52" s="154"/>
      <c r="CI52" s="154"/>
      <c r="CJ52" s="154"/>
      <c r="CK52" s="154"/>
      <c r="CL52" s="154"/>
      <c r="CM52" s="154"/>
      <c r="CN52" s="154"/>
      <c r="CO52" s="154"/>
      <c r="CP52" s="154"/>
      <c r="CQ52" s="154"/>
      <c r="CR52" s="154"/>
      <c r="CS52" s="154"/>
      <c r="CT52" s="154"/>
      <c r="CU52" s="154"/>
      <c r="CV52" s="154"/>
      <c r="CW52" s="154"/>
      <c r="CX52" s="154"/>
      <c r="CY52" s="154"/>
      <c r="CZ52" s="154"/>
      <c r="DA52" s="154"/>
      <c r="DB52" s="154"/>
      <c r="DC52" s="154"/>
      <c r="DD52" s="154"/>
      <c r="DE52" s="154"/>
      <c r="DF52" s="154"/>
      <c r="DG52" s="154"/>
      <c r="DH52" s="154"/>
      <c r="DI52" s="154"/>
      <c r="DJ52" s="154"/>
      <c r="DK52" s="154"/>
      <c r="DL52" s="154"/>
      <c r="DM52" s="154"/>
      <c r="DN52" s="154"/>
      <c r="DO52" s="154"/>
      <c r="DP52" s="154"/>
      <c r="DQ52" s="154"/>
      <c r="DR52" s="154"/>
      <c r="DS52" s="154"/>
      <c r="DT52" s="154"/>
      <c r="DU52" s="154"/>
      <c r="DV52" s="154"/>
      <c r="DW52" s="154"/>
      <c r="DX52" s="154"/>
      <c r="DY52" s="154"/>
      <c r="DZ52" s="154"/>
      <c r="EA52" s="154"/>
      <c r="EB52" s="154"/>
      <c r="EC52" s="154"/>
      <c r="ED52" s="154"/>
      <c r="EE52" s="154"/>
      <c r="EF52" s="154"/>
      <c r="EG52" s="154"/>
      <c r="EH52" s="154"/>
      <c r="EI52" s="154"/>
      <c r="EJ52" s="154"/>
      <c r="EK52" s="154"/>
      <c r="EL52" s="154"/>
      <c r="EM52" s="154"/>
      <c r="EN52" s="154"/>
      <c r="EO52" s="154"/>
      <c r="EP52" s="154"/>
      <c r="EQ52" s="154"/>
      <c r="ER52" s="154"/>
      <c r="ES52" s="154"/>
      <c r="ET52" s="154"/>
      <c r="EU52" s="154"/>
      <c r="EV52" s="154"/>
      <c r="EW52" s="154"/>
      <c r="EX52" s="154"/>
      <c r="EY52" s="154"/>
      <c r="EZ52" s="154"/>
      <c r="FA52" s="154"/>
      <c r="FB52" s="154"/>
      <c r="FC52" s="154"/>
      <c r="FD52" s="154"/>
      <c r="FE52" s="154"/>
      <c r="FF52" s="154"/>
      <c r="FG52" s="154"/>
      <c r="FH52" s="154"/>
      <c r="FI52" s="154"/>
      <c r="FJ52" s="154"/>
      <c r="FK52" s="154"/>
      <c r="FL52" s="154"/>
      <c r="FM52" s="154"/>
      <c r="FN52" s="154"/>
      <c r="FO52" s="154"/>
      <c r="FP52" s="154"/>
      <c r="FQ52" s="154"/>
      <c r="FR52" s="154"/>
      <c r="FS52" s="154"/>
      <c r="FT52" s="154"/>
      <c r="FU52" s="154"/>
      <c r="FV52" s="154"/>
      <c r="FW52" s="154"/>
      <c r="FX52" s="154"/>
      <c r="FY52" s="154"/>
      <c r="FZ52" s="154"/>
      <c r="GA52" s="154"/>
      <c r="GB52" s="154"/>
      <c r="GC52" s="154"/>
      <c r="GD52" s="154"/>
      <c r="GE52" s="154"/>
      <c r="GF52" s="154"/>
      <c r="GG52" s="154"/>
      <c r="GH52" s="154"/>
      <c r="GI52" s="154"/>
      <c r="GJ52" s="154"/>
      <c r="GK52" s="154"/>
      <c r="GL52" s="154"/>
      <c r="GM52" s="154"/>
      <c r="GN52" s="154"/>
      <c r="GO52" s="154"/>
      <c r="GP52" s="154"/>
      <c r="GQ52" s="154"/>
      <c r="GR52" s="154"/>
      <c r="GS52" s="154"/>
      <c r="GT52" s="154"/>
      <c r="GU52" s="154"/>
      <c r="GV52" s="154"/>
      <c r="GW52" s="154"/>
      <c r="GX52" s="154"/>
      <c r="GY52" s="154"/>
      <c r="GZ52" s="154"/>
      <c r="HA52" s="154"/>
      <c r="HB52" s="154"/>
      <c r="HC52" s="154"/>
      <c r="HD52" s="154"/>
      <c r="HE52" s="154"/>
      <c r="HF52" s="154"/>
      <c r="HG52" s="154"/>
      <c r="HH52" s="154"/>
      <c r="HI52" s="154"/>
      <c r="HJ52" s="154"/>
      <c r="HK52" s="154"/>
      <c r="HL52" s="154"/>
      <c r="HM52" s="154"/>
      <c r="HN52" s="154"/>
      <c r="HO52" s="154"/>
      <c r="HP52" s="154"/>
      <c r="HQ52" s="154"/>
      <c r="HR52" s="154"/>
      <c r="HS52" s="154"/>
      <c r="HT52" s="154"/>
      <c r="HU52" s="154"/>
      <c r="HV52" s="154"/>
      <c r="HW52" s="154"/>
      <c r="HX52" s="154"/>
      <c r="HY52" s="154"/>
      <c r="HZ52" s="154"/>
      <c r="IA52" s="154"/>
      <c r="IB52" s="154"/>
      <c r="IC52" s="154"/>
      <c r="ID52" s="154"/>
      <c r="IE52" s="154"/>
      <c r="IF52" s="154"/>
      <c r="IG52" s="154"/>
      <c r="IH52" s="154"/>
      <c r="II52" s="154"/>
    </row>
    <row r="53" spans="1:243" ht="18.75" x14ac:dyDescent="0.3">
      <c r="A53" s="18"/>
      <c r="B53" s="53" t="s">
        <v>76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114">
        <v>1.0143310000000001</v>
      </c>
      <c r="O53" s="114">
        <v>1.0143310000000001</v>
      </c>
      <c r="P53" s="114">
        <v>1.0143310000000001</v>
      </c>
      <c r="Q53" s="114">
        <v>1.0143310000000001</v>
      </c>
      <c r="R53" s="76"/>
      <c r="S53" s="154"/>
      <c r="T53" s="115"/>
      <c r="U53" s="115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  <c r="BM53" s="154"/>
      <c r="BN53" s="154"/>
      <c r="BO53" s="154"/>
      <c r="BP53" s="154"/>
      <c r="BQ53" s="154"/>
      <c r="BR53" s="154"/>
      <c r="BS53" s="154"/>
      <c r="BT53" s="154"/>
      <c r="BU53" s="154"/>
      <c r="BV53" s="154"/>
      <c r="BW53" s="154"/>
      <c r="BX53" s="154"/>
      <c r="BY53" s="154"/>
      <c r="BZ53" s="154"/>
      <c r="CA53" s="154"/>
      <c r="CB53" s="154"/>
      <c r="CC53" s="154"/>
      <c r="CD53" s="154"/>
      <c r="CE53" s="154"/>
      <c r="CF53" s="154"/>
      <c r="CG53" s="154"/>
      <c r="CH53" s="154"/>
      <c r="CI53" s="154"/>
      <c r="CJ53" s="154"/>
      <c r="CK53" s="154"/>
      <c r="CL53" s="154"/>
      <c r="CM53" s="154"/>
      <c r="CN53" s="154"/>
      <c r="CO53" s="154"/>
      <c r="CP53" s="154"/>
      <c r="CQ53" s="154"/>
      <c r="CR53" s="154"/>
      <c r="CS53" s="154"/>
      <c r="CT53" s="154"/>
      <c r="CU53" s="154"/>
      <c r="CV53" s="154"/>
      <c r="CW53" s="154"/>
      <c r="CX53" s="154"/>
      <c r="CY53" s="154"/>
      <c r="CZ53" s="154"/>
      <c r="DA53" s="154"/>
      <c r="DB53" s="154"/>
      <c r="DC53" s="154"/>
      <c r="DD53" s="154"/>
      <c r="DE53" s="154"/>
      <c r="DF53" s="154"/>
      <c r="DG53" s="154"/>
      <c r="DH53" s="154"/>
      <c r="DI53" s="154"/>
      <c r="DJ53" s="154"/>
      <c r="DK53" s="154"/>
      <c r="DL53" s="154"/>
      <c r="DM53" s="154"/>
      <c r="DN53" s="154"/>
      <c r="DO53" s="154"/>
      <c r="DP53" s="154"/>
      <c r="DQ53" s="154"/>
      <c r="DR53" s="154"/>
      <c r="DS53" s="154"/>
      <c r="DT53" s="154"/>
      <c r="DU53" s="154"/>
      <c r="DV53" s="154"/>
      <c r="DW53" s="154"/>
      <c r="DX53" s="154"/>
      <c r="DY53" s="154"/>
      <c r="DZ53" s="154"/>
      <c r="EA53" s="154"/>
      <c r="EB53" s="154"/>
      <c r="EC53" s="154"/>
      <c r="ED53" s="154"/>
      <c r="EE53" s="154"/>
      <c r="EF53" s="154"/>
      <c r="EG53" s="154"/>
      <c r="EH53" s="154"/>
      <c r="EI53" s="154"/>
      <c r="EJ53" s="154"/>
      <c r="EK53" s="154"/>
      <c r="EL53" s="154"/>
      <c r="EM53" s="154"/>
      <c r="EN53" s="154"/>
      <c r="EO53" s="154"/>
      <c r="EP53" s="154"/>
      <c r="EQ53" s="154"/>
      <c r="ER53" s="154"/>
      <c r="ES53" s="154"/>
      <c r="ET53" s="154"/>
      <c r="EU53" s="154"/>
      <c r="EV53" s="154"/>
      <c r="EW53" s="154"/>
      <c r="EX53" s="154"/>
      <c r="EY53" s="154"/>
      <c r="EZ53" s="154"/>
      <c r="FA53" s="154"/>
      <c r="FB53" s="154"/>
      <c r="FC53" s="154"/>
      <c r="FD53" s="154"/>
      <c r="FE53" s="154"/>
      <c r="FF53" s="154"/>
      <c r="FG53" s="154"/>
      <c r="FH53" s="154"/>
      <c r="FI53" s="154"/>
      <c r="FJ53" s="154"/>
      <c r="FK53" s="154"/>
      <c r="FL53" s="154"/>
      <c r="FM53" s="154"/>
      <c r="FN53" s="154"/>
      <c r="FO53" s="154"/>
      <c r="FP53" s="154"/>
      <c r="FQ53" s="154"/>
      <c r="FR53" s="154"/>
      <c r="FS53" s="154"/>
      <c r="FT53" s="154"/>
      <c r="FU53" s="154"/>
      <c r="FV53" s="154"/>
      <c r="FW53" s="154"/>
      <c r="FX53" s="154"/>
      <c r="FY53" s="154"/>
      <c r="FZ53" s="154"/>
      <c r="GA53" s="154"/>
      <c r="GB53" s="154"/>
      <c r="GC53" s="154"/>
      <c r="GD53" s="154"/>
      <c r="GE53" s="154"/>
      <c r="GF53" s="154"/>
      <c r="GG53" s="154"/>
      <c r="GH53" s="154"/>
      <c r="GI53" s="154"/>
      <c r="GJ53" s="154"/>
      <c r="GK53" s="154"/>
      <c r="GL53" s="154"/>
      <c r="GM53" s="154"/>
      <c r="GN53" s="154"/>
      <c r="GO53" s="154"/>
      <c r="GP53" s="154"/>
      <c r="GQ53" s="154"/>
      <c r="GR53" s="154"/>
      <c r="GS53" s="154"/>
      <c r="GT53" s="154"/>
      <c r="GU53" s="154"/>
      <c r="GV53" s="154"/>
      <c r="GW53" s="154"/>
      <c r="GX53" s="154"/>
      <c r="GY53" s="154"/>
      <c r="GZ53" s="154"/>
      <c r="HA53" s="154"/>
      <c r="HB53" s="154"/>
      <c r="HC53" s="154"/>
      <c r="HD53" s="154"/>
      <c r="HE53" s="154"/>
      <c r="HF53" s="154"/>
      <c r="HG53" s="154"/>
      <c r="HH53" s="154"/>
      <c r="HI53" s="154"/>
      <c r="HJ53" s="154"/>
      <c r="HK53" s="154"/>
      <c r="HL53" s="154"/>
      <c r="HM53" s="154"/>
      <c r="HN53" s="154"/>
      <c r="HO53" s="154"/>
      <c r="HP53" s="154"/>
      <c r="HQ53" s="154"/>
      <c r="HR53" s="154"/>
      <c r="HS53" s="154"/>
      <c r="HT53" s="154"/>
      <c r="HU53" s="154"/>
      <c r="HV53" s="154"/>
      <c r="HW53" s="154"/>
      <c r="HX53" s="154"/>
      <c r="HY53" s="154"/>
      <c r="HZ53" s="154"/>
      <c r="IA53" s="154"/>
      <c r="IB53" s="154"/>
      <c r="IC53" s="154"/>
      <c r="ID53" s="154"/>
      <c r="IE53" s="154"/>
      <c r="IF53" s="154"/>
      <c r="IG53" s="154"/>
      <c r="IH53" s="154"/>
      <c r="II53" s="154"/>
    </row>
    <row r="54" spans="1:243" ht="18.75" x14ac:dyDescent="0.3">
      <c r="A54" s="18"/>
      <c r="B54" s="21" t="s">
        <v>60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4">
        <f>ROUND(N51*N52*N53,0)</f>
        <v>313007473</v>
      </c>
      <c r="O54" s="54">
        <f>ROUND(O51*O52*O53,0)</f>
        <v>22532019</v>
      </c>
      <c r="P54" s="54">
        <f>ROUND(P51*P52*P53,0)</f>
        <v>0</v>
      </c>
      <c r="Q54" s="54">
        <f>ROUND(Q51*Q52*Q53,0)</f>
        <v>37367</v>
      </c>
      <c r="R54" s="21">
        <f>N54+O54+P54+Q54</f>
        <v>335576859</v>
      </c>
      <c r="S54" s="154"/>
      <c r="T54" s="115"/>
      <c r="U54" s="115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  <c r="BM54" s="154"/>
      <c r="BN54" s="154"/>
      <c r="BO54" s="154"/>
      <c r="BP54" s="154"/>
      <c r="BQ54" s="154"/>
      <c r="BR54" s="154"/>
      <c r="BS54" s="154"/>
      <c r="BT54" s="154"/>
      <c r="BU54" s="154"/>
      <c r="BV54" s="154"/>
      <c r="BW54" s="154"/>
      <c r="BX54" s="154"/>
      <c r="BY54" s="154"/>
      <c r="BZ54" s="154"/>
      <c r="CA54" s="154"/>
      <c r="CB54" s="154"/>
      <c r="CC54" s="154"/>
      <c r="CD54" s="154"/>
      <c r="CE54" s="154"/>
      <c r="CF54" s="154"/>
      <c r="CG54" s="154"/>
      <c r="CH54" s="154"/>
      <c r="CI54" s="154"/>
      <c r="CJ54" s="154"/>
      <c r="CK54" s="154"/>
      <c r="CL54" s="154"/>
      <c r="CM54" s="154"/>
      <c r="CN54" s="154"/>
      <c r="CO54" s="154"/>
      <c r="CP54" s="154"/>
      <c r="CQ54" s="154"/>
      <c r="CR54" s="154"/>
      <c r="CS54" s="154"/>
      <c r="CT54" s="154"/>
      <c r="CU54" s="154"/>
      <c r="CV54" s="154"/>
      <c r="CW54" s="154"/>
      <c r="CX54" s="154"/>
      <c r="CY54" s="154"/>
      <c r="CZ54" s="154"/>
      <c r="DA54" s="154"/>
      <c r="DB54" s="154"/>
      <c r="DC54" s="154"/>
      <c r="DD54" s="154"/>
      <c r="DE54" s="154"/>
      <c r="DF54" s="154"/>
      <c r="DG54" s="154"/>
      <c r="DH54" s="154"/>
      <c r="DI54" s="154"/>
      <c r="DJ54" s="154"/>
      <c r="DK54" s="154"/>
      <c r="DL54" s="154"/>
      <c r="DM54" s="154"/>
      <c r="DN54" s="154"/>
      <c r="DO54" s="154"/>
      <c r="DP54" s="154"/>
      <c r="DQ54" s="154"/>
      <c r="DR54" s="154"/>
      <c r="DS54" s="154"/>
      <c r="DT54" s="154"/>
      <c r="DU54" s="154"/>
      <c r="DV54" s="154"/>
      <c r="DW54" s="154"/>
      <c r="DX54" s="154"/>
      <c r="DY54" s="154"/>
      <c r="DZ54" s="154"/>
      <c r="EA54" s="154"/>
      <c r="EB54" s="154"/>
      <c r="EC54" s="154"/>
      <c r="ED54" s="154"/>
      <c r="EE54" s="154"/>
      <c r="EF54" s="154"/>
      <c r="EG54" s="154"/>
      <c r="EH54" s="154"/>
      <c r="EI54" s="154"/>
      <c r="EJ54" s="154"/>
      <c r="EK54" s="154"/>
      <c r="EL54" s="154"/>
      <c r="EM54" s="154"/>
      <c r="EN54" s="154"/>
      <c r="EO54" s="154"/>
      <c r="EP54" s="154"/>
      <c r="EQ54" s="154"/>
      <c r="ER54" s="154"/>
      <c r="ES54" s="154"/>
      <c r="ET54" s="154"/>
      <c r="EU54" s="154"/>
      <c r="EV54" s="154"/>
      <c r="EW54" s="154"/>
      <c r="EX54" s="154"/>
      <c r="EY54" s="154"/>
      <c r="EZ54" s="154"/>
      <c r="FA54" s="154"/>
      <c r="FB54" s="154"/>
      <c r="FC54" s="154"/>
      <c r="FD54" s="154"/>
      <c r="FE54" s="154"/>
      <c r="FF54" s="154"/>
      <c r="FG54" s="154"/>
      <c r="FH54" s="154"/>
      <c r="FI54" s="154"/>
      <c r="FJ54" s="154"/>
      <c r="FK54" s="154"/>
      <c r="FL54" s="154"/>
      <c r="FM54" s="154"/>
      <c r="FN54" s="154"/>
      <c r="FO54" s="154"/>
      <c r="FP54" s="154"/>
      <c r="FQ54" s="154"/>
      <c r="FR54" s="154"/>
      <c r="FS54" s="154"/>
      <c r="FT54" s="154"/>
      <c r="FU54" s="154"/>
      <c r="FV54" s="154"/>
      <c r="FW54" s="154"/>
      <c r="FX54" s="154"/>
      <c r="FY54" s="154"/>
      <c r="FZ54" s="154"/>
      <c r="GA54" s="154"/>
      <c r="GB54" s="154"/>
      <c r="GC54" s="154"/>
      <c r="GD54" s="154"/>
      <c r="GE54" s="154"/>
      <c r="GF54" s="154"/>
      <c r="GG54" s="154"/>
      <c r="GH54" s="154"/>
      <c r="GI54" s="154"/>
      <c r="GJ54" s="154"/>
      <c r="GK54" s="154"/>
      <c r="GL54" s="154"/>
      <c r="GM54" s="154"/>
      <c r="GN54" s="154"/>
      <c r="GO54" s="154"/>
      <c r="GP54" s="154"/>
      <c r="GQ54" s="154"/>
      <c r="GR54" s="154"/>
      <c r="GS54" s="154"/>
      <c r="GT54" s="154"/>
      <c r="GU54" s="154"/>
      <c r="GV54" s="154"/>
      <c r="GW54" s="154"/>
      <c r="GX54" s="154"/>
      <c r="GY54" s="154"/>
      <c r="GZ54" s="154"/>
      <c r="HA54" s="154"/>
      <c r="HB54" s="154"/>
      <c r="HC54" s="154"/>
      <c r="HD54" s="154"/>
      <c r="HE54" s="154"/>
      <c r="HF54" s="154"/>
      <c r="HG54" s="154"/>
      <c r="HH54" s="154"/>
      <c r="HI54" s="154"/>
      <c r="HJ54" s="154"/>
      <c r="HK54" s="154"/>
      <c r="HL54" s="154"/>
      <c r="HM54" s="154"/>
      <c r="HN54" s="154"/>
      <c r="HO54" s="154"/>
      <c r="HP54" s="154"/>
      <c r="HQ54" s="154"/>
      <c r="HR54" s="154"/>
      <c r="HS54" s="154"/>
      <c r="HT54" s="154"/>
      <c r="HU54" s="154"/>
      <c r="HV54" s="154"/>
      <c r="HW54" s="154"/>
      <c r="HX54" s="154"/>
      <c r="HY54" s="154"/>
      <c r="HZ54" s="154"/>
      <c r="IA54" s="154"/>
      <c r="IB54" s="154"/>
      <c r="IC54" s="154"/>
      <c r="ID54" s="154"/>
      <c r="IE54" s="154"/>
      <c r="IF54" s="154"/>
      <c r="IG54" s="154"/>
      <c r="IH54" s="154"/>
      <c r="II54" s="154"/>
    </row>
    <row r="55" spans="1:243" ht="18.75" x14ac:dyDescent="0.3">
      <c r="A55" s="18"/>
      <c r="B55" s="2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1"/>
      <c r="O55" s="21"/>
      <c r="P55" s="191"/>
      <c r="Q55" s="20"/>
      <c r="R55" s="21"/>
      <c r="S55" s="154"/>
      <c r="T55" s="115"/>
      <c r="U55" s="115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4"/>
      <c r="AK55" s="154"/>
      <c r="AL55" s="154"/>
      <c r="AM55" s="154"/>
      <c r="AN55" s="154"/>
      <c r="AO55" s="154"/>
      <c r="AP55" s="154"/>
      <c r="AQ55" s="154"/>
      <c r="AR55" s="154"/>
      <c r="AS55" s="154"/>
      <c r="AT55" s="154"/>
      <c r="AU55" s="154"/>
      <c r="AV55" s="154"/>
      <c r="AW55" s="154"/>
      <c r="AX55" s="154"/>
      <c r="AY55" s="154"/>
      <c r="AZ55" s="154"/>
      <c r="BA55" s="154"/>
      <c r="BB55" s="154"/>
      <c r="BC55" s="154"/>
      <c r="BD55" s="154"/>
      <c r="BE55" s="154"/>
      <c r="BF55" s="154"/>
      <c r="BG55" s="154"/>
      <c r="BH55" s="154"/>
      <c r="BI55" s="154"/>
      <c r="BJ55" s="154"/>
      <c r="BK55" s="154"/>
      <c r="BL55" s="154"/>
      <c r="BM55" s="154"/>
      <c r="BN55" s="154"/>
      <c r="BO55" s="154"/>
      <c r="BP55" s="154"/>
      <c r="BQ55" s="154"/>
      <c r="BR55" s="154"/>
      <c r="BS55" s="154"/>
      <c r="BT55" s="154"/>
      <c r="BU55" s="154"/>
      <c r="BV55" s="154"/>
      <c r="BW55" s="154"/>
      <c r="BX55" s="154"/>
      <c r="BY55" s="154"/>
      <c r="BZ55" s="154"/>
      <c r="CA55" s="154"/>
      <c r="CB55" s="154"/>
      <c r="CC55" s="154"/>
      <c r="CD55" s="154"/>
      <c r="CE55" s="154"/>
      <c r="CF55" s="154"/>
      <c r="CG55" s="154"/>
      <c r="CH55" s="154"/>
      <c r="CI55" s="154"/>
      <c r="CJ55" s="154"/>
      <c r="CK55" s="154"/>
      <c r="CL55" s="154"/>
      <c r="CM55" s="154"/>
      <c r="CN55" s="154"/>
      <c r="CO55" s="154"/>
      <c r="CP55" s="154"/>
      <c r="CQ55" s="154"/>
      <c r="CR55" s="154"/>
      <c r="CS55" s="154"/>
      <c r="CT55" s="154"/>
      <c r="CU55" s="154"/>
      <c r="CV55" s="154"/>
      <c r="CW55" s="154"/>
      <c r="CX55" s="154"/>
      <c r="CY55" s="154"/>
      <c r="CZ55" s="154"/>
      <c r="DA55" s="154"/>
      <c r="DB55" s="154"/>
      <c r="DC55" s="154"/>
      <c r="DD55" s="154"/>
      <c r="DE55" s="154"/>
      <c r="DF55" s="154"/>
      <c r="DG55" s="154"/>
      <c r="DH55" s="154"/>
      <c r="DI55" s="154"/>
      <c r="DJ55" s="154"/>
      <c r="DK55" s="154"/>
      <c r="DL55" s="154"/>
      <c r="DM55" s="154"/>
      <c r="DN55" s="154"/>
      <c r="DO55" s="154"/>
      <c r="DP55" s="154"/>
      <c r="DQ55" s="154"/>
      <c r="DR55" s="154"/>
      <c r="DS55" s="154"/>
      <c r="DT55" s="154"/>
      <c r="DU55" s="154"/>
      <c r="DV55" s="154"/>
      <c r="DW55" s="154"/>
      <c r="DX55" s="154"/>
      <c r="DY55" s="154"/>
      <c r="DZ55" s="154"/>
      <c r="EA55" s="154"/>
      <c r="EB55" s="154"/>
      <c r="EC55" s="154"/>
      <c r="ED55" s="154"/>
      <c r="EE55" s="154"/>
      <c r="EF55" s="154"/>
      <c r="EG55" s="154"/>
      <c r="EH55" s="154"/>
      <c r="EI55" s="154"/>
      <c r="EJ55" s="154"/>
      <c r="EK55" s="154"/>
      <c r="EL55" s="154"/>
      <c r="EM55" s="154"/>
      <c r="EN55" s="154"/>
      <c r="EO55" s="154"/>
      <c r="EP55" s="154"/>
      <c r="EQ55" s="154"/>
      <c r="ER55" s="154"/>
      <c r="ES55" s="154"/>
      <c r="ET55" s="154"/>
      <c r="EU55" s="154"/>
      <c r="EV55" s="154"/>
      <c r="EW55" s="154"/>
      <c r="EX55" s="154"/>
      <c r="EY55" s="154"/>
      <c r="EZ55" s="154"/>
      <c r="FA55" s="154"/>
      <c r="FB55" s="154"/>
      <c r="FC55" s="154"/>
      <c r="FD55" s="154"/>
      <c r="FE55" s="154"/>
      <c r="FF55" s="154"/>
      <c r="FG55" s="154"/>
      <c r="FH55" s="154"/>
      <c r="FI55" s="154"/>
      <c r="FJ55" s="154"/>
      <c r="FK55" s="154"/>
      <c r="FL55" s="154"/>
      <c r="FM55" s="154"/>
      <c r="FN55" s="154"/>
      <c r="FO55" s="154"/>
      <c r="FP55" s="154"/>
      <c r="FQ55" s="154"/>
      <c r="FR55" s="154"/>
      <c r="FS55" s="154"/>
      <c r="FT55" s="154"/>
      <c r="FU55" s="154"/>
      <c r="FV55" s="154"/>
      <c r="FW55" s="154"/>
      <c r="FX55" s="154"/>
      <c r="FY55" s="154"/>
      <c r="FZ55" s="154"/>
      <c r="GA55" s="154"/>
      <c r="GB55" s="154"/>
      <c r="GC55" s="154"/>
      <c r="GD55" s="154"/>
      <c r="GE55" s="154"/>
      <c r="GF55" s="154"/>
      <c r="GG55" s="154"/>
      <c r="GH55" s="154"/>
      <c r="GI55" s="154"/>
      <c r="GJ55" s="154"/>
      <c r="GK55" s="154"/>
      <c r="GL55" s="154"/>
      <c r="GM55" s="154"/>
      <c r="GN55" s="154"/>
      <c r="GO55" s="154"/>
      <c r="GP55" s="154"/>
      <c r="GQ55" s="154"/>
      <c r="GR55" s="154"/>
      <c r="GS55" s="154"/>
      <c r="GT55" s="154"/>
      <c r="GU55" s="154"/>
      <c r="GV55" s="154"/>
      <c r="GW55" s="154"/>
      <c r="GX55" s="154"/>
      <c r="GY55" s="154"/>
      <c r="GZ55" s="154"/>
      <c r="HA55" s="154"/>
      <c r="HB55" s="154"/>
      <c r="HC55" s="154"/>
      <c r="HD55" s="154"/>
      <c r="HE55" s="154"/>
      <c r="HF55" s="154"/>
      <c r="HG55" s="154"/>
      <c r="HH55" s="154"/>
      <c r="HI55" s="154"/>
      <c r="HJ55" s="154"/>
      <c r="HK55" s="154"/>
      <c r="HL55" s="154"/>
      <c r="HM55" s="154"/>
      <c r="HN55" s="154"/>
      <c r="HO55" s="154"/>
      <c r="HP55" s="154"/>
      <c r="HQ55" s="154"/>
      <c r="HR55" s="154"/>
      <c r="HS55" s="154"/>
      <c r="HT55" s="154"/>
      <c r="HU55" s="154"/>
      <c r="HV55" s="154"/>
      <c r="HW55" s="154"/>
      <c r="HX55" s="154"/>
      <c r="HY55" s="154"/>
      <c r="HZ55" s="154"/>
      <c r="IA55" s="154"/>
      <c r="IB55" s="154"/>
      <c r="IC55" s="154"/>
      <c r="ID55" s="154"/>
      <c r="IE55" s="154"/>
      <c r="IF55" s="154"/>
      <c r="IG55" s="154"/>
      <c r="IH55" s="154"/>
      <c r="II55" s="154"/>
    </row>
    <row r="56" spans="1:243" ht="18.75" x14ac:dyDescent="0.3">
      <c r="A56" s="120" t="s">
        <v>67</v>
      </c>
      <c r="B56" s="109" t="s">
        <v>59</v>
      </c>
      <c r="C56" s="109"/>
      <c r="D56" s="109">
        <v>1552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363">
        <f>D56</f>
        <v>1552</v>
      </c>
      <c r="S56" s="373"/>
      <c r="T56" s="115"/>
      <c r="U56" s="115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4"/>
      <c r="BC56" s="154"/>
      <c r="BD56" s="154"/>
      <c r="BE56" s="154"/>
      <c r="BF56" s="154"/>
      <c r="BG56" s="154"/>
      <c r="BH56" s="154"/>
      <c r="BI56" s="154"/>
      <c r="BJ56" s="154"/>
      <c r="BK56" s="154"/>
      <c r="BL56" s="154"/>
      <c r="BM56" s="154"/>
      <c r="BN56" s="154"/>
      <c r="BO56" s="154"/>
      <c r="BP56" s="154"/>
      <c r="BQ56" s="154"/>
      <c r="BR56" s="154"/>
      <c r="BS56" s="154"/>
      <c r="BT56" s="154"/>
      <c r="BU56" s="154"/>
      <c r="BV56" s="154"/>
      <c r="BW56" s="154"/>
      <c r="BX56" s="154"/>
      <c r="BY56" s="154"/>
      <c r="BZ56" s="154"/>
      <c r="CA56" s="154"/>
      <c r="CB56" s="154"/>
      <c r="CC56" s="154"/>
      <c r="CD56" s="154"/>
      <c r="CE56" s="154"/>
      <c r="CF56" s="154"/>
      <c r="CG56" s="154"/>
      <c r="CH56" s="154"/>
      <c r="CI56" s="154"/>
      <c r="CJ56" s="154"/>
      <c r="CK56" s="154"/>
      <c r="CL56" s="154"/>
      <c r="CM56" s="154"/>
      <c r="CN56" s="154"/>
      <c r="CO56" s="154"/>
      <c r="CP56" s="154"/>
      <c r="CQ56" s="154"/>
      <c r="CR56" s="154"/>
      <c r="CS56" s="154"/>
      <c r="CT56" s="154"/>
      <c r="CU56" s="154"/>
      <c r="CV56" s="154"/>
      <c r="CW56" s="154"/>
      <c r="CX56" s="154"/>
      <c r="CY56" s="154"/>
      <c r="CZ56" s="154"/>
      <c r="DA56" s="154"/>
      <c r="DB56" s="154"/>
      <c r="DC56" s="154"/>
      <c r="DD56" s="154"/>
      <c r="DE56" s="154"/>
      <c r="DF56" s="154"/>
      <c r="DG56" s="154"/>
      <c r="DH56" s="154"/>
      <c r="DI56" s="154"/>
      <c r="DJ56" s="154"/>
      <c r="DK56" s="154"/>
      <c r="DL56" s="154"/>
      <c r="DM56" s="154"/>
      <c r="DN56" s="154"/>
      <c r="DO56" s="154"/>
      <c r="DP56" s="154"/>
      <c r="DQ56" s="154"/>
      <c r="DR56" s="154"/>
      <c r="DS56" s="154"/>
      <c r="DT56" s="154"/>
      <c r="DU56" s="154"/>
      <c r="DV56" s="154"/>
      <c r="DW56" s="154"/>
      <c r="DX56" s="154"/>
      <c r="DY56" s="154"/>
      <c r="DZ56" s="154"/>
      <c r="EA56" s="154"/>
      <c r="EB56" s="154"/>
      <c r="EC56" s="154"/>
      <c r="ED56" s="154"/>
      <c r="EE56" s="154"/>
      <c r="EF56" s="154"/>
      <c r="EG56" s="154"/>
      <c r="EH56" s="154"/>
      <c r="EI56" s="154"/>
      <c r="EJ56" s="154"/>
      <c r="EK56" s="154"/>
      <c r="EL56" s="154"/>
      <c r="EM56" s="154"/>
      <c r="EN56" s="154"/>
      <c r="EO56" s="154"/>
      <c r="EP56" s="154"/>
      <c r="EQ56" s="154"/>
      <c r="ER56" s="154"/>
      <c r="ES56" s="154"/>
      <c r="ET56" s="154"/>
      <c r="EU56" s="154"/>
      <c r="EV56" s="154"/>
      <c r="EW56" s="154"/>
      <c r="EX56" s="154"/>
      <c r="EY56" s="154"/>
      <c r="EZ56" s="154"/>
      <c r="FA56" s="154"/>
      <c r="FB56" s="154"/>
      <c r="FC56" s="154"/>
      <c r="FD56" s="154"/>
      <c r="FE56" s="154"/>
      <c r="FF56" s="154"/>
      <c r="FG56" s="154"/>
      <c r="FH56" s="154"/>
      <c r="FI56" s="154"/>
      <c r="FJ56" s="154"/>
      <c r="FK56" s="154"/>
      <c r="FL56" s="154"/>
      <c r="FM56" s="154"/>
      <c r="FN56" s="154"/>
      <c r="FO56" s="154"/>
      <c r="FP56" s="154"/>
      <c r="FQ56" s="154"/>
      <c r="FR56" s="154"/>
      <c r="FS56" s="154"/>
      <c r="FT56" s="154"/>
      <c r="FU56" s="154"/>
      <c r="FV56" s="154"/>
      <c r="FW56" s="154"/>
      <c r="FX56" s="154"/>
      <c r="FY56" s="154"/>
      <c r="FZ56" s="154"/>
      <c r="GA56" s="154"/>
      <c r="GB56" s="154"/>
      <c r="GC56" s="154"/>
      <c r="GD56" s="154"/>
      <c r="GE56" s="154"/>
      <c r="GF56" s="154"/>
      <c r="GG56" s="154"/>
      <c r="GH56" s="154"/>
      <c r="GI56" s="154"/>
      <c r="GJ56" s="154"/>
      <c r="GK56" s="154"/>
      <c r="GL56" s="154"/>
      <c r="GM56" s="154"/>
      <c r="GN56" s="154"/>
      <c r="GO56" s="154"/>
      <c r="GP56" s="154"/>
      <c r="GQ56" s="154"/>
      <c r="GR56" s="154"/>
      <c r="GS56" s="154"/>
      <c r="GT56" s="154"/>
      <c r="GU56" s="154"/>
      <c r="GV56" s="154"/>
      <c r="GW56" s="154"/>
      <c r="GX56" s="154"/>
      <c r="GY56" s="154"/>
      <c r="GZ56" s="154"/>
      <c r="HA56" s="154"/>
      <c r="HB56" s="154"/>
      <c r="HC56" s="154"/>
      <c r="HD56" s="154"/>
      <c r="HE56" s="154"/>
      <c r="HF56" s="154"/>
      <c r="HG56" s="154"/>
      <c r="HH56" s="154"/>
      <c r="HI56" s="154"/>
      <c r="HJ56" s="154"/>
      <c r="HK56" s="154"/>
      <c r="HL56" s="154"/>
      <c r="HM56" s="154"/>
      <c r="HN56" s="154"/>
      <c r="HO56" s="154"/>
      <c r="HP56" s="154"/>
      <c r="HQ56" s="154"/>
      <c r="HR56" s="154"/>
      <c r="HS56" s="154"/>
      <c r="HT56" s="154"/>
      <c r="HU56" s="154"/>
      <c r="HV56" s="154"/>
      <c r="HW56" s="154"/>
      <c r="HX56" s="154"/>
      <c r="HY56" s="154"/>
      <c r="HZ56" s="154"/>
      <c r="IA56" s="154"/>
      <c r="IB56" s="154"/>
      <c r="IC56" s="154"/>
      <c r="ID56" s="154"/>
      <c r="IE56" s="154"/>
      <c r="IF56" s="154"/>
      <c r="IG56" s="154"/>
      <c r="IH56" s="154"/>
      <c r="II56" s="154"/>
    </row>
    <row r="57" spans="1:243" ht="18.75" x14ac:dyDescent="0.3">
      <c r="A57" s="18">
        <v>25.1</v>
      </c>
      <c r="B57" s="20"/>
      <c r="C57" s="20"/>
      <c r="D57" s="72">
        <v>3085.7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72">
        <v>3085.7</v>
      </c>
      <c r="S57" s="154"/>
      <c r="T57" s="115"/>
      <c r="U57" s="115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54"/>
      <c r="BG57" s="154"/>
      <c r="BH57" s="154"/>
      <c r="BI57" s="154"/>
      <c r="BJ57" s="154"/>
      <c r="BK57" s="154"/>
      <c r="BL57" s="154"/>
      <c r="BM57" s="154"/>
      <c r="BN57" s="154"/>
      <c r="BO57" s="154"/>
      <c r="BP57" s="154"/>
      <c r="BQ57" s="154"/>
      <c r="BR57" s="154"/>
      <c r="BS57" s="154"/>
      <c r="BT57" s="154"/>
      <c r="BU57" s="154"/>
      <c r="BV57" s="154"/>
      <c r="BW57" s="154"/>
      <c r="BX57" s="154"/>
      <c r="BY57" s="154"/>
      <c r="BZ57" s="154"/>
      <c r="CA57" s="154"/>
      <c r="CB57" s="154"/>
      <c r="CC57" s="154"/>
      <c r="CD57" s="154"/>
      <c r="CE57" s="154"/>
      <c r="CF57" s="154"/>
      <c r="CG57" s="154"/>
      <c r="CH57" s="154"/>
      <c r="CI57" s="154"/>
      <c r="CJ57" s="154"/>
      <c r="CK57" s="154"/>
      <c r="CL57" s="154"/>
      <c r="CM57" s="154"/>
      <c r="CN57" s="154"/>
      <c r="CO57" s="154"/>
      <c r="CP57" s="154"/>
      <c r="CQ57" s="154"/>
      <c r="CR57" s="154"/>
      <c r="CS57" s="154"/>
      <c r="CT57" s="154"/>
      <c r="CU57" s="154"/>
      <c r="CV57" s="154"/>
      <c r="CW57" s="154"/>
      <c r="CX57" s="154"/>
      <c r="CY57" s="154"/>
      <c r="CZ57" s="154"/>
      <c r="DA57" s="154"/>
      <c r="DB57" s="154"/>
      <c r="DC57" s="154"/>
      <c r="DD57" s="154"/>
      <c r="DE57" s="154"/>
      <c r="DF57" s="154"/>
      <c r="DG57" s="154"/>
      <c r="DH57" s="154"/>
      <c r="DI57" s="154"/>
      <c r="DJ57" s="154"/>
      <c r="DK57" s="154"/>
      <c r="DL57" s="154"/>
      <c r="DM57" s="154"/>
      <c r="DN57" s="154"/>
      <c r="DO57" s="154"/>
      <c r="DP57" s="154"/>
      <c r="DQ57" s="154"/>
      <c r="DR57" s="154"/>
      <c r="DS57" s="154"/>
      <c r="DT57" s="154"/>
      <c r="DU57" s="154"/>
      <c r="DV57" s="154"/>
      <c r="DW57" s="154"/>
      <c r="DX57" s="154"/>
      <c r="DY57" s="154"/>
      <c r="DZ57" s="154"/>
      <c r="EA57" s="154"/>
      <c r="EB57" s="154"/>
      <c r="EC57" s="154"/>
      <c r="ED57" s="154"/>
      <c r="EE57" s="154"/>
      <c r="EF57" s="154"/>
      <c r="EG57" s="154"/>
      <c r="EH57" s="154"/>
      <c r="EI57" s="154"/>
      <c r="EJ57" s="154"/>
      <c r="EK57" s="154"/>
      <c r="EL57" s="154"/>
      <c r="EM57" s="154"/>
      <c r="EN57" s="154"/>
      <c r="EO57" s="154"/>
      <c r="EP57" s="154"/>
      <c r="EQ57" s="154"/>
      <c r="ER57" s="154"/>
      <c r="ES57" s="154"/>
      <c r="ET57" s="154"/>
      <c r="EU57" s="154"/>
      <c r="EV57" s="154"/>
      <c r="EW57" s="154"/>
      <c r="EX57" s="154"/>
      <c r="EY57" s="154"/>
      <c r="EZ57" s="154"/>
      <c r="FA57" s="154"/>
      <c r="FB57" s="154"/>
      <c r="FC57" s="154"/>
      <c r="FD57" s="154"/>
      <c r="FE57" s="154"/>
      <c r="FF57" s="154"/>
      <c r="FG57" s="154"/>
      <c r="FH57" s="154"/>
      <c r="FI57" s="154"/>
      <c r="FJ57" s="154"/>
      <c r="FK57" s="154"/>
      <c r="FL57" s="154"/>
      <c r="FM57" s="154"/>
      <c r="FN57" s="154"/>
      <c r="FO57" s="154"/>
      <c r="FP57" s="154"/>
      <c r="FQ57" s="154"/>
      <c r="FR57" s="154"/>
      <c r="FS57" s="154"/>
      <c r="FT57" s="154"/>
      <c r="FU57" s="154"/>
      <c r="FV57" s="154"/>
      <c r="FW57" s="154"/>
      <c r="FX57" s="154"/>
      <c r="FY57" s="154"/>
      <c r="FZ57" s="154"/>
      <c r="GA57" s="154"/>
      <c r="GB57" s="154"/>
      <c r="GC57" s="154"/>
      <c r="GD57" s="154"/>
      <c r="GE57" s="154"/>
      <c r="GF57" s="154"/>
      <c r="GG57" s="154"/>
      <c r="GH57" s="154"/>
      <c r="GI57" s="154"/>
      <c r="GJ57" s="154"/>
      <c r="GK57" s="154"/>
      <c r="GL57" s="154"/>
      <c r="GM57" s="154"/>
      <c r="GN57" s="154"/>
      <c r="GO57" s="154"/>
      <c r="GP57" s="154"/>
      <c r="GQ57" s="154"/>
      <c r="GR57" s="154"/>
      <c r="GS57" s="154"/>
      <c r="GT57" s="154"/>
      <c r="GU57" s="154"/>
      <c r="GV57" s="154"/>
      <c r="GW57" s="154"/>
      <c r="GX57" s="154"/>
      <c r="GY57" s="154"/>
      <c r="GZ57" s="154"/>
      <c r="HA57" s="154"/>
      <c r="HB57" s="154"/>
      <c r="HC57" s="154"/>
      <c r="HD57" s="154"/>
      <c r="HE57" s="154"/>
      <c r="HF57" s="154"/>
      <c r="HG57" s="154"/>
      <c r="HH57" s="154"/>
      <c r="HI57" s="154"/>
      <c r="HJ57" s="154"/>
      <c r="HK57" s="154"/>
      <c r="HL57" s="154"/>
      <c r="HM57" s="154"/>
      <c r="HN57" s="154"/>
      <c r="HO57" s="154"/>
      <c r="HP57" s="154"/>
      <c r="HQ57" s="154"/>
      <c r="HR57" s="154"/>
      <c r="HS57" s="154"/>
      <c r="HT57" s="154"/>
      <c r="HU57" s="154"/>
      <c r="HV57" s="154"/>
      <c r="HW57" s="154"/>
      <c r="HX57" s="154"/>
      <c r="HY57" s="154"/>
      <c r="HZ57" s="154"/>
      <c r="IA57" s="154"/>
      <c r="IB57" s="154"/>
      <c r="IC57" s="154"/>
      <c r="ID57" s="154"/>
      <c r="IE57" s="154"/>
      <c r="IF57" s="154"/>
      <c r="IG57" s="154"/>
      <c r="IH57" s="154"/>
      <c r="II57" s="154"/>
    </row>
    <row r="58" spans="1:243" s="11" customFormat="1" ht="18.75" x14ac:dyDescent="0.3">
      <c r="A58" s="53"/>
      <c r="B58" s="53" t="s">
        <v>76</v>
      </c>
      <c r="C58" s="53"/>
      <c r="D58" s="114">
        <v>1.0143310000000001</v>
      </c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>
        <v>1.0143310000000001</v>
      </c>
      <c r="S58" s="160"/>
      <c r="T58" s="161"/>
      <c r="U58" s="161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  <c r="BM58" s="160"/>
      <c r="BN58" s="160"/>
      <c r="BO58" s="160"/>
      <c r="BP58" s="160"/>
      <c r="BQ58" s="160"/>
      <c r="BR58" s="160"/>
      <c r="BS58" s="160"/>
      <c r="BT58" s="160"/>
      <c r="BU58" s="160"/>
      <c r="BV58" s="160"/>
      <c r="BW58" s="160"/>
      <c r="BX58" s="160"/>
      <c r="BY58" s="160"/>
      <c r="BZ58" s="160"/>
      <c r="CA58" s="160"/>
      <c r="CB58" s="160"/>
      <c r="CC58" s="160"/>
      <c r="CD58" s="160"/>
      <c r="CE58" s="160"/>
      <c r="CF58" s="160"/>
      <c r="CG58" s="160"/>
      <c r="CH58" s="160"/>
      <c r="CI58" s="160"/>
      <c r="CJ58" s="160"/>
      <c r="CK58" s="160"/>
      <c r="CL58" s="160"/>
      <c r="CM58" s="160"/>
      <c r="CN58" s="160"/>
      <c r="CO58" s="160"/>
      <c r="CP58" s="160"/>
      <c r="CQ58" s="160"/>
      <c r="CR58" s="160"/>
      <c r="CS58" s="160"/>
      <c r="CT58" s="160"/>
      <c r="CU58" s="160"/>
      <c r="CV58" s="160"/>
      <c r="CW58" s="160"/>
      <c r="CX58" s="160"/>
      <c r="CY58" s="160"/>
      <c r="CZ58" s="160"/>
      <c r="DA58" s="160"/>
      <c r="DB58" s="160"/>
      <c r="DC58" s="160"/>
      <c r="DD58" s="160"/>
      <c r="DE58" s="160"/>
      <c r="DF58" s="160"/>
      <c r="DG58" s="160"/>
      <c r="DH58" s="160"/>
      <c r="DI58" s="160"/>
      <c r="DJ58" s="160"/>
      <c r="DK58" s="160"/>
      <c r="DL58" s="160"/>
      <c r="DM58" s="160"/>
      <c r="DN58" s="160"/>
      <c r="DO58" s="160"/>
      <c r="DP58" s="160"/>
      <c r="DQ58" s="160"/>
      <c r="DR58" s="160"/>
      <c r="DS58" s="160"/>
      <c r="DT58" s="160"/>
      <c r="DU58" s="160"/>
      <c r="DV58" s="160"/>
      <c r="DW58" s="160"/>
      <c r="DX58" s="160"/>
      <c r="DY58" s="160"/>
      <c r="DZ58" s="160"/>
      <c r="EA58" s="160"/>
      <c r="EB58" s="160"/>
      <c r="EC58" s="160"/>
      <c r="ED58" s="160"/>
      <c r="EE58" s="160"/>
      <c r="EF58" s="160"/>
      <c r="EG58" s="160"/>
      <c r="EH58" s="160"/>
      <c r="EI58" s="160"/>
      <c r="EJ58" s="160"/>
      <c r="EK58" s="160"/>
      <c r="EL58" s="160"/>
      <c r="EM58" s="160"/>
      <c r="EN58" s="160"/>
      <c r="EO58" s="160"/>
      <c r="EP58" s="160"/>
      <c r="EQ58" s="160"/>
      <c r="ER58" s="160"/>
      <c r="ES58" s="160"/>
      <c r="ET58" s="160"/>
      <c r="EU58" s="160"/>
      <c r="EV58" s="160"/>
      <c r="EW58" s="160"/>
      <c r="EX58" s="160"/>
      <c r="EY58" s="160"/>
      <c r="EZ58" s="160"/>
      <c r="FA58" s="160"/>
      <c r="FB58" s="160"/>
      <c r="FC58" s="160"/>
      <c r="FD58" s="160"/>
      <c r="FE58" s="160"/>
      <c r="FF58" s="160"/>
      <c r="FG58" s="160"/>
      <c r="FH58" s="160"/>
      <c r="FI58" s="160"/>
      <c r="FJ58" s="160"/>
      <c r="FK58" s="160"/>
      <c r="FL58" s="160"/>
      <c r="FM58" s="160"/>
      <c r="FN58" s="160"/>
      <c r="FO58" s="160"/>
      <c r="FP58" s="160"/>
      <c r="FQ58" s="160"/>
      <c r="FR58" s="160"/>
      <c r="FS58" s="160"/>
      <c r="FT58" s="160"/>
      <c r="FU58" s="160"/>
      <c r="FV58" s="160"/>
      <c r="FW58" s="160"/>
      <c r="FX58" s="160"/>
      <c r="FY58" s="160"/>
      <c r="FZ58" s="160"/>
      <c r="GA58" s="160"/>
      <c r="GB58" s="160"/>
      <c r="GC58" s="160"/>
      <c r="GD58" s="160"/>
      <c r="GE58" s="160"/>
      <c r="GF58" s="160"/>
      <c r="GG58" s="160"/>
      <c r="GH58" s="160"/>
      <c r="GI58" s="160"/>
      <c r="GJ58" s="160"/>
      <c r="GK58" s="160"/>
      <c r="GL58" s="160"/>
      <c r="GM58" s="160"/>
      <c r="GN58" s="160"/>
      <c r="GO58" s="160"/>
      <c r="GP58" s="160"/>
      <c r="GQ58" s="160"/>
      <c r="GR58" s="160"/>
      <c r="GS58" s="160"/>
      <c r="GT58" s="160"/>
      <c r="GU58" s="160"/>
      <c r="GV58" s="160"/>
      <c r="GW58" s="160"/>
      <c r="GX58" s="160"/>
      <c r="GY58" s="160"/>
      <c r="GZ58" s="160"/>
      <c r="HA58" s="160"/>
      <c r="HB58" s="160"/>
      <c r="HC58" s="160"/>
      <c r="HD58" s="160"/>
      <c r="HE58" s="160"/>
      <c r="HF58" s="160"/>
      <c r="HG58" s="160"/>
      <c r="HH58" s="160"/>
      <c r="HI58" s="160"/>
      <c r="HJ58" s="160"/>
      <c r="HK58" s="160"/>
      <c r="HL58" s="160"/>
      <c r="HM58" s="160"/>
      <c r="HN58" s="160"/>
      <c r="HO58" s="160"/>
      <c r="HP58" s="160"/>
      <c r="HQ58" s="160"/>
      <c r="HR58" s="160"/>
      <c r="HS58" s="160"/>
      <c r="HT58" s="160"/>
      <c r="HU58" s="160"/>
      <c r="HV58" s="160"/>
      <c r="HW58" s="160"/>
      <c r="HX58" s="160"/>
      <c r="HY58" s="160"/>
      <c r="HZ58" s="160"/>
      <c r="IA58" s="160"/>
      <c r="IB58" s="160"/>
      <c r="IC58" s="160"/>
      <c r="ID58" s="160"/>
      <c r="IE58" s="160"/>
      <c r="IF58" s="160"/>
      <c r="IG58" s="160"/>
      <c r="IH58" s="160"/>
      <c r="II58" s="160"/>
    </row>
    <row r="59" spans="1:243" ht="18.75" x14ac:dyDescent="0.3">
      <c r="A59" s="18"/>
      <c r="B59" s="21" t="s">
        <v>60</v>
      </c>
      <c r="C59" s="20"/>
      <c r="D59" s="54">
        <f>D58*D57*D56</f>
        <v>4857637.6507184003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54">
        <f>D59</f>
        <v>4857637.6507184003</v>
      </c>
      <c r="S59" s="13"/>
      <c r="T59" s="10"/>
      <c r="U59" s="10"/>
    </row>
    <row r="60" spans="1:243" s="154" customFormat="1" ht="18.75" x14ac:dyDescent="0.3">
      <c r="A60" s="70" t="s">
        <v>73</v>
      </c>
      <c r="B60" s="67" t="s">
        <v>59</v>
      </c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374">
        <v>55815</v>
      </c>
      <c r="T60" s="115"/>
      <c r="U60" s="115"/>
    </row>
    <row r="61" spans="1:243" s="154" customFormat="1" ht="18.75" x14ac:dyDescent="0.3">
      <c r="A61" s="18">
        <v>20.41</v>
      </c>
      <c r="B61" s="21" t="s">
        <v>60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325">
        <v>172292791</v>
      </c>
      <c r="T61" s="115"/>
      <c r="U61" s="167"/>
    </row>
    <row r="62" spans="1:243" s="154" customFormat="1" ht="18.75" x14ac:dyDescent="0.3">
      <c r="A62" s="70" t="s">
        <v>68</v>
      </c>
      <c r="B62" s="67" t="s">
        <v>59</v>
      </c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374">
        <v>14422</v>
      </c>
      <c r="S62" s="327" t="s">
        <v>259</v>
      </c>
      <c r="T62" s="115"/>
      <c r="U62" s="167"/>
    </row>
    <row r="63" spans="1:243" ht="23.25" x14ac:dyDescent="0.35">
      <c r="A63" s="18">
        <v>20.41</v>
      </c>
      <c r="B63" s="21" t="s">
        <v>60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325">
        <f>31065799+971208</f>
        <v>32037007</v>
      </c>
      <c r="S63" s="326"/>
      <c r="T63" s="10"/>
      <c r="U63" s="167"/>
    </row>
    <row r="64" spans="1:243" ht="18.75" x14ac:dyDescent="0.3">
      <c r="A64" s="120" t="s">
        <v>68</v>
      </c>
      <c r="B64" s="67" t="s">
        <v>59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374">
        <f>29382</f>
        <v>29382</v>
      </c>
      <c r="S64" s="327" t="s">
        <v>188</v>
      </c>
      <c r="T64" s="10"/>
      <c r="U64" s="167"/>
    </row>
    <row r="65" spans="1:23" ht="18.75" x14ac:dyDescent="0.3">
      <c r="A65" s="18">
        <v>20.399999999999999</v>
      </c>
      <c r="B65" s="21" t="s">
        <v>60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325">
        <v>83565932</v>
      </c>
      <c r="S65" s="14"/>
      <c r="T65" s="10"/>
      <c r="U65" s="66"/>
    </row>
    <row r="66" spans="1:23" ht="18.75" x14ac:dyDescent="0.3">
      <c r="A66" s="120" t="s">
        <v>182</v>
      </c>
      <c r="B66" s="108" t="s">
        <v>109</v>
      </c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378">
        <v>218</v>
      </c>
      <c r="S66" s="14"/>
      <c r="T66" s="10"/>
      <c r="U66" s="115"/>
    </row>
    <row r="67" spans="1:23" ht="24" customHeight="1" x14ac:dyDescent="0.3">
      <c r="A67" s="147">
        <v>76</v>
      </c>
      <c r="B67" s="21" t="s">
        <v>60</v>
      </c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54"/>
      <c r="N67" s="22"/>
      <c r="O67" s="22"/>
      <c r="P67" s="22"/>
      <c r="Q67" s="22"/>
      <c r="R67" s="325">
        <v>818788</v>
      </c>
      <c r="S67" s="217" t="s">
        <v>193</v>
      </c>
      <c r="T67" s="95"/>
      <c r="U67" s="10"/>
    </row>
    <row r="68" spans="1:23" ht="18.75" x14ac:dyDescent="0.3">
      <c r="A68" s="120" t="s">
        <v>69</v>
      </c>
      <c r="B68" s="109" t="s">
        <v>59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114"/>
      <c r="N68" s="20"/>
      <c r="O68" s="20"/>
      <c r="P68" s="20"/>
      <c r="Q68" s="109">
        <v>2599</v>
      </c>
      <c r="R68" s="109">
        <f>SUM(C68:Q68)</f>
        <v>2599</v>
      </c>
      <c r="T68" s="10"/>
      <c r="U68" s="10"/>
    </row>
    <row r="69" spans="1:23" ht="18.75" x14ac:dyDescent="0.3">
      <c r="A69" s="18"/>
      <c r="B69" s="21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1"/>
      <c r="N69" s="20"/>
      <c r="O69" s="20"/>
      <c r="P69" s="20"/>
      <c r="Q69" s="72">
        <v>3085.7</v>
      </c>
      <c r="R69" s="72">
        <f>Q69</f>
        <v>3085.7</v>
      </c>
      <c r="T69" s="10"/>
      <c r="U69" s="10"/>
      <c r="W69" s="14"/>
    </row>
    <row r="70" spans="1:23" s="11" customFormat="1" ht="18.75" x14ac:dyDescent="0.3">
      <c r="A70" s="53"/>
      <c r="B70" s="53" t="s">
        <v>76</v>
      </c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114">
        <v>1.0143310000000001</v>
      </c>
      <c r="R70" s="114">
        <v>1.0143310000000001</v>
      </c>
      <c r="T70" s="12"/>
      <c r="U70" s="12"/>
      <c r="W70" s="14"/>
    </row>
    <row r="71" spans="1:23" ht="18.75" x14ac:dyDescent="0.3">
      <c r="A71" s="18">
        <v>23.4</v>
      </c>
      <c r="B71" s="21" t="s">
        <v>60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54">
        <f>ROUND(Q69*Q70*Q68,0)</f>
        <v>8134665</v>
      </c>
      <c r="R71" s="54">
        <f>ROUND(R69*R70*R68,0)</f>
        <v>8134665</v>
      </c>
      <c r="S71" s="13"/>
      <c r="T71" s="10"/>
      <c r="U71" s="10"/>
      <c r="W71" s="14"/>
    </row>
    <row r="72" spans="1:23" ht="18.75" x14ac:dyDescent="0.3">
      <c r="A72" s="120" t="s">
        <v>70</v>
      </c>
      <c r="B72" s="109" t="s">
        <v>59</v>
      </c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>
        <v>4950</v>
      </c>
      <c r="Q72" s="109">
        <v>869</v>
      </c>
      <c r="R72" s="109">
        <f>P72+Q72</f>
        <v>5819</v>
      </c>
      <c r="T72" s="10"/>
      <c r="U72" s="10"/>
      <c r="W72" s="14"/>
    </row>
    <row r="73" spans="1:23" ht="18.75" x14ac:dyDescent="0.3">
      <c r="A73" s="18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72">
        <v>3085.7</v>
      </c>
      <c r="Q73" s="72">
        <v>2519.6999999999998</v>
      </c>
      <c r="R73" s="72"/>
      <c r="T73" s="10"/>
      <c r="U73" s="10"/>
      <c r="W73" s="14"/>
    </row>
    <row r="74" spans="1:23" s="11" customFormat="1" ht="18.75" x14ac:dyDescent="0.3">
      <c r="A74" s="53"/>
      <c r="B74" s="53" t="s">
        <v>76</v>
      </c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114">
        <v>1.0143310000000001</v>
      </c>
      <c r="Q74" s="114">
        <v>1.0143310000000001</v>
      </c>
      <c r="R74" s="76"/>
      <c r="T74" s="12"/>
      <c r="U74" s="12"/>
      <c r="W74" s="14"/>
    </row>
    <row r="75" spans="1:23" ht="18.75" x14ac:dyDescent="0.3">
      <c r="A75" s="18">
        <v>23.8</v>
      </c>
      <c r="B75" s="21" t="s">
        <v>60</v>
      </c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54">
        <f>ROUND(P73*P74*P72,0)</f>
        <v>15493110</v>
      </c>
      <c r="Q75" s="54">
        <f>ROUND(Q73*Q74*Q72,0)</f>
        <v>2220999</v>
      </c>
      <c r="R75" s="21">
        <f>ROUND(SUM(C75:Q75),0)</f>
        <v>17714109</v>
      </c>
      <c r="S75" s="13"/>
      <c r="T75" s="10"/>
      <c r="U75" s="10"/>
      <c r="W75" s="14"/>
    </row>
    <row r="76" spans="1:23" ht="18.75" x14ac:dyDescent="0.3">
      <c r="A76" s="120" t="s">
        <v>71</v>
      </c>
      <c r="B76" s="109" t="s">
        <v>59</v>
      </c>
      <c r="C76" s="109">
        <v>579</v>
      </c>
      <c r="D76" s="109"/>
      <c r="E76" s="109"/>
      <c r="F76" s="109">
        <v>511</v>
      </c>
      <c r="G76" s="109">
        <v>1862</v>
      </c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>
        <f>SUM(C76:Q76)</f>
        <v>2952</v>
      </c>
      <c r="T76" s="10"/>
      <c r="U76" s="10"/>
      <c r="W76" s="14"/>
    </row>
    <row r="77" spans="1:23" ht="18.75" x14ac:dyDescent="0.3">
      <c r="A77" s="18"/>
      <c r="B77" s="20"/>
      <c r="C77" s="72">
        <v>990</v>
      </c>
      <c r="D77" s="20"/>
      <c r="E77" s="72"/>
      <c r="F77" s="72">
        <v>990</v>
      </c>
      <c r="G77" s="72">
        <v>990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72"/>
      <c r="T77" s="10"/>
      <c r="U77" s="10"/>
      <c r="W77" s="14"/>
    </row>
    <row r="78" spans="1:23" s="11" customFormat="1" ht="18.75" x14ac:dyDescent="0.3">
      <c r="A78" s="53"/>
      <c r="B78" s="53"/>
      <c r="C78" s="20"/>
      <c r="D78" s="53"/>
      <c r="E78" s="53"/>
      <c r="F78" s="53"/>
      <c r="G78" s="91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91"/>
      <c r="T78" s="12"/>
      <c r="U78" s="12"/>
      <c r="W78" s="14"/>
    </row>
    <row r="79" spans="1:23" ht="18.75" x14ac:dyDescent="0.3">
      <c r="A79" s="18">
        <v>25.2</v>
      </c>
      <c r="B79" s="21" t="s">
        <v>60</v>
      </c>
      <c r="C79" s="21">
        <f>C76*C77</f>
        <v>573210</v>
      </c>
      <c r="D79" s="21"/>
      <c r="E79" s="21"/>
      <c r="F79" s="21">
        <f>F76*F77</f>
        <v>505890</v>
      </c>
      <c r="G79" s="21">
        <f>G76*G77</f>
        <v>1843380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1">
        <f>SUM(C79:Q79)</f>
        <v>2922480</v>
      </c>
      <c r="S79" s="13"/>
      <c r="T79" s="10"/>
      <c r="U79" s="10"/>
      <c r="W79" s="14"/>
    </row>
    <row r="80" spans="1:23" ht="18.75" x14ac:dyDescent="0.3">
      <c r="A80" s="120" t="s">
        <v>72</v>
      </c>
      <c r="B80" s="109" t="s">
        <v>59</v>
      </c>
      <c r="C80" s="109">
        <f>15349+27690</f>
        <v>43039</v>
      </c>
      <c r="D80" s="109">
        <f>11015</f>
        <v>11015</v>
      </c>
      <c r="E80" s="109"/>
      <c r="F80" s="109">
        <f>135+45027</f>
        <v>45162</v>
      </c>
      <c r="G80" s="109">
        <f>6340+18075</f>
        <v>24415</v>
      </c>
      <c r="H80" s="109"/>
      <c r="I80" s="109"/>
      <c r="J80" s="109"/>
      <c r="K80" s="109">
        <v>6690</v>
      </c>
      <c r="L80" s="109"/>
      <c r="M80" s="109"/>
      <c r="N80" s="109"/>
      <c r="O80" s="109"/>
      <c r="P80" s="109"/>
      <c r="Q80" s="109"/>
      <c r="R80" s="109">
        <f>SUM(C80:Q80)</f>
        <v>130321</v>
      </c>
      <c r="T80" s="10"/>
      <c r="U80" s="10"/>
      <c r="W80" s="14"/>
    </row>
    <row r="81" spans="1:23" ht="18.75" x14ac:dyDescent="0.3">
      <c r="A81" s="18" t="s">
        <v>78</v>
      </c>
      <c r="B81" s="20"/>
      <c r="C81" s="328"/>
      <c r="D81" s="328"/>
      <c r="E81" s="22"/>
      <c r="F81" s="328"/>
      <c r="G81" s="328"/>
      <c r="H81" s="22"/>
      <c r="I81" s="22"/>
      <c r="J81" s="22"/>
      <c r="K81" s="328"/>
      <c r="L81" s="22"/>
      <c r="M81" s="22"/>
      <c r="N81" s="22"/>
      <c r="O81" s="22"/>
      <c r="P81" s="22"/>
      <c r="Q81" s="22"/>
      <c r="R81" s="22"/>
      <c r="T81" s="10"/>
      <c r="U81" s="10"/>
      <c r="W81" s="14"/>
    </row>
    <row r="82" spans="1:23" ht="18.75" x14ac:dyDescent="0.3">
      <c r="A82" s="18">
        <v>76</v>
      </c>
      <c r="B82" s="21" t="s">
        <v>60</v>
      </c>
      <c r="C82" s="54">
        <f>15499420+32895720</f>
        <v>48395140</v>
      </c>
      <c r="D82" s="54">
        <f>11122947</f>
        <v>11122947</v>
      </c>
      <c r="E82" s="54">
        <f t="shared" ref="E82:Q82" si="10">ROUND(E80*E81,0)</f>
        <v>0</v>
      </c>
      <c r="F82" s="54">
        <f>160380+45468265</f>
        <v>45628645</v>
      </c>
      <c r="G82" s="54">
        <f>6402132+18252135</f>
        <v>24654267</v>
      </c>
      <c r="H82" s="54">
        <f t="shared" si="10"/>
        <v>0</v>
      </c>
      <c r="I82" s="54">
        <f t="shared" si="10"/>
        <v>0</v>
      </c>
      <c r="J82" s="54">
        <f t="shared" si="10"/>
        <v>0</v>
      </c>
      <c r="K82" s="54">
        <v>7947720</v>
      </c>
      <c r="L82" s="54">
        <f t="shared" si="10"/>
        <v>0</v>
      </c>
      <c r="M82" s="54">
        <f t="shared" si="10"/>
        <v>0</v>
      </c>
      <c r="N82" s="54">
        <f t="shared" si="10"/>
        <v>0</v>
      </c>
      <c r="O82" s="54">
        <f t="shared" si="10"/>
        <v>0</v>
      </c>
      <c r="P82" s="54">
        <f t="shared" si="10"/>
        <v>0</v>
      </c>
      <c r="Q82" s="54">
        <f t="shared" si="10"/>
        <v>0</v>
      </c>
      <c r="R82" s="54">
        <f>ROUND(SUM(C82:Q82),0)</f>
        <v>137748719</v>
      </c>
      <c r="T82" s="55"/>
      <c r="U82" s="57"/>
      <c r="W82" s="14"/>
    </row>
    <row r="83" spans="1:23" ht="18.75" x14ac:dyDescent="0.3">
      <c r="A83" s="120" t="s">
        <v>275</v>
      </c>
      <c r="B83" s="109" t="s">
        <v>59</v>
      </c>
      <c r="C83" s="21">
        <v>1096</v>
      </c>
      <c r="D83" s="21">
        <v>40</v>
      </c>
      <c r="E83" s="21"/>
      <c r="F83" s="21">
        <v>3393</v>
      </c>
      <c r="G83" s="21">
        <v>5758</v>
      </c>
      <c r="H83" s="108"/>
      <c r="I83" s="21"/>
      <c r="J83" s="108"/>
      <c r="K83" s="21">
        <v>781</v>
      </c>
      <c r="L83" s="21"/>
      <c r="M83" s="21"/>
      <c r="N83" s="21"/>
      <c r="O83" s="21"/>
      <c r="P83" s="21"/>
      <c r="Q83" s="21"/>
      <c r="R83" s="109">
        <f>SUM(C83:Q83)</f>
        <v>11068</v>
      </c>
      <c r="T83" s="55"/>
      <c r="U83" s="57"/>
      <c r="W83" s="14"/>
    </row>
    <row r="84" spans="1:23" ht="18.75" x14ac:dyDescent="0.3">
      <c r="A84" s="77" t="s">
        <v>274</v>
      </c>
      <c r="B84" s="20"/>
      <c r="C84" s="72">
        <v>841.5</v>
      </c>
      <c r="D84" s="72">
        <v>841.5</v>
      </c>
      <c r="E84" s="21"/>
      <c r="F84" s="72">
        <v>841.5</v>
      </c>
      <c r="G84" s="72">
        <v>841.5</v>
      </c>
      <c r="H84" s="21"/>
      <c r="I84" s="21"/>
      <c r="J84" s="21"/>
      <c r="K84" s="72">
        <v>990</v>
      </c>
      <c r="L84" s="21"/>
      <c r="M84" s="21"/>
      <c r="N84" s="21"/>
      <c r="O84" s="21"/>
      <c r="P84" s="21"/>
      <c r="Q84" s="21"/>
      <c r="R84" s="54">
        <f>ROUND(SUM(C84:Q84),0)</f>
        <v>4356</v>
      </c>
      <c r="T84" s="55"/>
      <c r="U84" s="57"/>
      <c r="W84" s="14"/>
    </row>
    <row r="85" spans="1:23" ht="18.75" x14ac:dyDescent="0.3">
      <c r="A85" s="19"/>
      <c r="B85" s="21" t="s">
        <v>60</v>
      </c>
      <c r="C85" s="54">
        <f>C83*C84</f>
        <v>922284</v>
      </c>
      <c r="D85" s="54">
        <f>D83*D84</f>
        <v>33660</v>
      </c>
      <c r="E85" s="21"/>
      <c r="F85" s="54">
        <f>F83*F84</f>
        <v>2855209.5</v>
      </c>
      <c r="G85" s="54">
        <f>G83*G84</f>
        <v>4845357</v>
      </c>
      <c r="H85" s="21"/>
      <c r="I85" s="21"/>
      <c r="J85" s="21"/>
      <c r="K85" s="54">
        <f>K83*K84</f>
        <v>773190</v>
      </c>
      <c r="L85" s="21"/>
      <c r="M85" s="21"/>
      <c r="N85" s="21"/>
      <c r="O85" s="21"/>
      <c r="P85" s="21"/>
      <c r="Q85" s="21"/>
      <c r="R85" s="379">
        <f>C85+D85+F85+G85+K85</f>
        <v>9429700.5</v>
      </c>
      <c r="T85" s="55"/>
      <c r="U85" s="57"/>
      <c r="W85" s="14"/>
    </row>
    <row r="86" spans="1:23" ht="21" customHeight="1" x14ac:dyDescent="0.3">
      <c r="A86" s="77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54"/>
      <c r="T86" s="55"/>
      <c r="U86" s="57"/>
      <c r="W86" s="14"/>
    </row>
    <row r="87" spans="1:23" ht="24" customHeight="1" x14ac:dyDescent="0.3">
      <c r="A87" s="777" t="s">
        <v>196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56">
        <v>1938</v>
      </c>
      <c r="R87" s="365">
        <f>Q87</f>
        <v>1938</v>
      </c>
      <c r="T87" s="55"/>
      <c r="U87" s="57"/>
      <c r="W87" s="14"/>
    </row>
    <row r="88" spans="1:23" ht="21" customHeight="1" x14ac:dyDescent="0.3">
      <c r="A88" s="778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72">
        <v>3085.7</v>
      </c>
      <c r="R88" s="54"/>
      <c r="T88" s="55"/>
      <c r="U88" s="57"/>
      <c r="W88" s="14"/>
    </row>
    <row r="89" spans="1:23" ht="21" customHeight="1" x14ac:dyDescent="0.3">
      <c r="A89" s="779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114">
        <v>1.0143310000000001</v>
      </c>
      <c r="R89" s="54"/>
      <c r="T89" s="55"/>
      <c r="U89" s="57"/>
      <c r="W89" s="14"/>
    </row>
    <row r="90" spans="1:23" ht="21" customHeight="1" x14ac:dyDescent="0.3">
      <c r="A90" s="235" t="s">
        <v>199</v>
      </c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54">
        <f>ROUND(Q88*Q89*Q87,0)</f>
        <v>6065787</v>
      </c>
      <c r="R90" s="54">
        <f>Q90</f>
        <v>6065787</v>
      </c>
      <c r="T90" s="55"/>
      <c r="U90" s="57"/>
      <c r="W90" s="14"/>
    </row>
    <row r="91" spans="1:23" ht="18.75" x14ac:dyDescent="0.3">
      <c r="A91" s="18"/>
      <c r="B91" s="109" t="s">
        <v>74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109">
        <f>R5+R8+R26+R29+R33+R38+R42+R46+R51+R56+R60+R62+R64+R68+R72+R76+R80+R18+R22+R14+R83+R66+R11+R87</f>
        <v>973514</v>
      </c>
      <c r="T91" s="16"/>
      <c r="U91" s="16"/>
      <c r="W91" s="14"/>
    </row>
    <row r="92" spans="1:23" ht="18.75" x14ac:dyDescent="0.3">
      <c r="A92" s="18"/>
      <c r="B92" s="19" t="s">
        <v>75</v>
      </c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54">
        <f>R7+R10+R17+R21+R25+R28+R32+R36+R41+R45+R49+R54+R59+R61+R63+R65+R67+R71+R75+R79+R82+R85+R90</f>
        <v>1870974845.1507185</v>
      </c>
      <c r="S92" s="55"/>
      <c r="T92" s="16"/>
      <c r="U92" s="56"/>
      <c r="W92" s="14"/>
    </row>
    <row r="93" spans="1:23" ht="18.75" x14ac:dyDescent="0.3">
      <c r="A93" s="6"/>
      <c r="B93" s="6"/>
      <c r="C93" s="6"/>
      <c r="D93" s="6"/>
      <c r="E93" s="6"/>
      <c r="F93" s="6" t="s">
        <v>85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255"/>
      <c r="U93" s="10"/>
    </row>
    <row r="94" spans="1:23" ht="18.75" x14ac:dyDescent="0.3">
      <c r="A94" s="6"/>
      <c r="B94" s="6"/>
      <c r="C94" s="56"/>
      <c r="D94" s="66"/>
      <c r="E94" s="66"/>
      <c r="F94" s="56">
        <f>300859349-136465-22958120</f>
        <v>277764764</v>
      </c>
      <c r="G94" s="69"/>
      <c r="H94" s="6"/>
      <c r="I94" s="6"/>
      <c r="J94" s="6"/>
      <c r="K94" s="6"/>
      <c r="L94" s="6"/>
      <c r="M94" s="6"/>
      <c r="N94" s="6"/>
      <c r="O94" s="6"/>
      <c r="P94" s="6"/>
      <c r="Q94" s="362">
        <v>2566717362</v>
      </c>
      <c r="R94" s="57"/>
      <c r="S94" s="14"/>
      <c r="T94" s="10"/>
      <c r="U94" s="10"/>
    </row>
    <row r="95" spans="1:23" ht="18.75" x14ac:dyDescent="0.3">
      <c r="A95" s="16"/>
      <c r="B95" s="16"/>
      <c r="C95" s="56"/>
      <c r="D95" s="66"/>
      <c r="E95" s="66"/>
      <c r="F95" s="56"/>
      <c r="G95" s="69"/>
      <c r="H95" s="66"/>
      <c r="I95" s="56"/>
      <c r="J95" s="56"/>
      <c r="K95" s="16"/>
      <c r="L95" s="16"/>
      <c r="M95" s="16"/>
      <c r="N95" s="16"/>
      <c r="O95" s="16" t="s">
        <v>87</v>
      </c>
      <c r="P95" s="16"/>
      <c r="Q95" s="56">
        <f>Q94-R92-F94</f>
        <v>417977752.84928155</v>
      </c>
      <c r="R95" s="56">
        <f>Q95</f>
        <v>417977752.84928155</v>
      </c>
      <c r="S95" s="10"/>
      <c r="T95" s="95"/>
      <c r="U95" s="10"/>
    </row>
    <row r="96" spans="1:23" ht="18.75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 t="s">
        <v>95</v>
      </c>
      <c r="P96" s="16"/>
      <c r="Q96" s="16"/>
      <c r="R96" s="56"/>
      <c r="S96" s="10"/>
      <c r="T96" s="10"/>
      <c r="U96" s="10"/>
    </row>
    <row r="97" spans="1:21" ht="18.75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56"/>
      <c r="N97" s="56"/>
      <c r="O97" s="16"/>
      <c r="P97" s="16"/>
      <c r="Q97" s="56"/>
      <c r="R97" s="16"/>
      <c r="S97" s="10"/>
      <c r="T97" s="10"/>
      <c r="U97" s="10"/>
    </row>
    <row r="98" spans="1:21" ht="18.75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56"/>
      <c r="P98" s="56"/>
      <c r="Q98" s="16"/>
      <c r="R98" s="16"/>
      <c r="S98" s="10"/>
      <c r="T98" s="10"/>
      <c r="U98" s="10"/>
    </row>
    <row r="99" spans="1:21" ht="18.75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 t="s">
        <v>87</v>
      </c>
      <c r="P99" s="16"/>
      <c r="Q99" s="16"/>
      <c r="R99" s="361">
        <v>1395743</v>
      </c>
      <c r="S99" s="10"/>
      <c r="T99" s="10"/>
      <c r="U99" s="10"/>
    </row>
    <row r="100" spans="1:21" ht="18.75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 t="s">
        <v>94</v>
      </c>
      <c r="P100" s="16"/>
      <c r="Q100" s="16"/>
      <c r="R100" s="56">
        <f>R99-R91</f>
        <v>422229</v>
      </c>
      <c r="S100" s="10"/>
      <c r="T100" s="10"/>
      <c r="U100" s="10"/>
    </row>
    <row r="101" spans="1:21" ht="18.75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0"/>
      <c r="T101" s="10"/>
      <c r="U101" s="10"/>
    </row>
    <row r="102" spans="1:2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 t="s">
        <v>169</v>
      </c>
      <c r="P102" s="10"/>
      <c r="Q102" s="10"/>
      <c r="R102" s="10"/>
      <c r="S102" s="10"/>
      <c r="T102" s="10"/>
      <c r="U102" s="10"/>
    </row>
    <row r="103" spans="1:2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1:2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15"/>
      <c r="P104" s="95"/>
      <c r="Q104" s="10"/>
      <c r="R104" s="10"/>
      <c r="S104" s="10"/>
      <c r="T104" s="10"/>
      <c r="U104" s="10"/>
    </row>
    <row r="105" spans="1:2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spans="1:2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spans="1:2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spans="1:2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spans="1:2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spans="1:2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spans="1:2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spans="1:2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</sheetData>
  <mergeCells count="1">
    <mergeCell ref="A87:A89"/>
  </mergeCells>
  <phoneticPr fontId="30" type="noConversion"/>
  <pageMargins left="0" right="0" top="7.874015748031496E-2" bottom="0.19685039370078741" header="0.19685039370078741" footer="0.19685039370078741"/>
  <pageSetup paperSize="9" scale="46" fitToHeight="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zoomScale="66" zoomScaleNormal="66" workbookViewId="0">
      <selection activeCell="C14" sqref="C14"/>
    </sheetView>
  </sheetViews>
  <sheetFormatPr defaultColWidth="15.85546875" defaultRowHeight="18.75" x14ac:dyDescent="0.3"/>
  <cols>
    <col min="1" max="1" width="10.28515625" style="6" customWidth="1"/>
    <col min="2" max="2" width="21.7109375" style="6" customWidth="1"/>
    <col min="3" max="3" width="5.85546875" style="6" customWidth="1"/>
    <col min="4" max="14" width="15.85546875" style="6" customWidth="1"/>
    <col min="15" max="15" width="16.85546875" style="6" customWidth="1"/>
    <col min="16" max="16" width="14.28515625" style="6" customWidth="1"/>
    <col min="17" max="17" width="15.85546875" style="6" customWidth="1"/>
    <col min="18" max="16384" width="15.85546875" style="6"/>
  </cols>
  <sheetData>
    <row r="1" spans="1:29" ht="21" x14ac:dyDescent="0.35">
      <c r="B1" s="242" t="s">
        <v>614</v>
      </c>
      <c r="C1" s="242"/>
      <c r="D1" s="242"/>
      <c r="E1" s="242"/>
      <c r="F1" s="242"/>
      <c r="G1" s="242"/>
      <c r="H1" s="242"/>
      <c r="I1" s="243"/>
      <c r="J1" s="222"/>
      <c r="S1" s="16"/>
      <c r="T1" s="16"/>
    </row>
    <row r="2" spans="1:29" x14ac:dyDescent="0.3">
      <c r="A2" s="18"/>
      <c r="B2" s="18"/>
      <c r="C2" s="18"/>
      <c r="D2" s="18">
        <v>4</v>
      </c>
      <c r="E2" s="18">
        <v>6</v>
      </c>
      <c r="F2" s="18">
        <v>7</v>
      </c>
      <c r="G2" s="18">
        <v>12</v>
      </c>
      <c r="H2" s="18">
        <v>14</v>
      </c>
      <c r="I2" s="18">
        <v>15</v>
      </c>
      <c r="J2" s="18">
        <v>17</v>
      </c>
      <c r="K2" s="18">
        <v>20</v>
      </c>
      <c r="L2" s="18">
        <v>21</v>
      </c>
      <c r="M2" s="18">
        <v>22</v>
      </c>
      <c r="N2" s="18">
        <v>23</v>
      </c>
      <c r="O2" s="18" t="s">
        <v>66</v>
      </c>
      <c r="P2" s="18" t="s">
        <v>57</v>
      </c>
      <c r="Q2" s="18" t="s">
        <v>56</v>
      </c>
      <c r="R2" s="6">
        <v>4</v>
      </c>
      <c r="S2" s="16">
        <v>6</v>
      </c>
      <c r="T2" s="16">
        <v>7</v>
      </c>
      <c r="U2" s="6">
        <v>12</v>
      </c>
      <c r="V2" s="6">
        <v>14</v>
      </c>
      <c r="W2" s="6">
        <v>15</v>
      </c>
      <c r="X2" s="6">
        <v>17</v>
      </c>
      <c r="Y2" s="6">
        <v>20</v>
      </c>
      <c r="Z2" s="6">
        <v>21</v>
      </c>
      <c r="AA2" s="6">
        <v>22</v>
      </c>
      <c r="AB2" s="6">
        <v>23</v>
      </c>
    </row>
    <row r="3" spans="1:29" ht="41.25" customHeight="1" x14ac:dyDescent="0.3">
      <c r="A3" s="244" t="s">
        <v>209</v>
      </c>
      <c r="B3" s="19" t="s">
        <v>424</v>
      </c>
      <c r="C3" s="18" t="s">
        <v>109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S3" s="16"/>
      <c r="T3" s="16"/>
    </row>
    <row r="4" spans="1:29" ht="34.5" customHeight="1" x14ac:dyDescent="0.3">
      <c r="A4" s="244" t="s">
        <v>203</v>
      </c>
      <c r="B4" s="19" t="s">
        <v>425</v>
      </c>
      <c r="C4" s="20" t="s">
        <v>59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S4" s="16"/>
      <c r="T4" s="16"/>
    </row>
    <row r="5" spans="1:29" ht="34.5" customHeight="1" x14ac:dyDescent="0.3">
      <c r="A5" s="244"/>
      <c r="B5" s="19" t="s">
        <v>58</v>
      </c>
      <c r="C5" s="20"/>
      <c r="D5" s="22">
        <f>12547-3</f>
        <v>12544</v>
      </c>
      <c r="E5" s="22">
        <f>8444-1</f>
        <v>8443</v>
      </c>
      <c r="F5" s="22">
        <f>6425-1</f>
        <v>6424</v>
      </c>
      <c r="G5" s="22">
        <f>11570-1162+193-1</f>
        <v>10600</v>
      </c>
      <c r="H5" s="22">
        <f>8585-1</f>
        <v>8584</v>
      </c>
      <c r="I5" s="22">
        <f>2273+130-1</f>
        <v>2402</v>
      </c>
      <c r="J5" s="22">
        <f>8940-1</f>
        <v>8939</v>
      </c>
      <c r="K5" s="22">
        <f>15819-1</f>
        <v>15818</v>
      </c>
      <c r="L5" s="22">
        <f>9805+4-1</f>
        <v>9808</v>
      </c>
      <c r="M5" s="22">
        <f>3648-1</f>
        <v>3647</v>
      </c>
      <c r="N5" s="22">
        <f>24766-1</f>
        <v>24765</v>
      </c>
      <c r="O5" s="20"/>
      <c r="P5" s="20"/>
      <c r="Q5" s="20">
        <f>SUM(D5:N5)</f>
        <v>111974</v>
      </c>
      <c r="AC5" s="55">
        <f>SUM(D5:N5)</f>
        <v>111974</v>
      </c>
    </row>
    <row r="6" spans="1:29" ht="34.5" customHeight="1" x14ac:dyDescent="0.3">
      <c r="A6" s="244"/>
      <c r="B6" s="19" t="s">
        <v>278</v>
      </c>
      <c r="C6" s="20"/>
      <c r="D6" s="20">
        <f>650+0+2480+145</f>
        <v>3275</v>
      </c>
      <c r="E6" s="20">
        <v>81</v>
      </c>
      <c r="F6" s="20">
        <v>1240</v>
      </c>
      <c r="G6" s="20"/>
      <c r="H6" s="20">
        <v>1550</v>
      </c>
      <c r="I6" s="20">
        <v>614</v>
      </c>
      <c r="J6" s="20"/>
      <c r="K6" s="20"/>
      <c r="L6" s="20">
        <f>611+9+0</f>
        <v>620</v>
      </c>
      <c r="M6" s="20"/>
      <c r="N6" s="20"/>
      <c r="O6" s="20"/>
      <c r="P6" s="20"/>
      <c r="Q6" s="20">
        <f>D6+E6+F6+H6+I6+L6</f>
        <v>7380</v>
      </c>
      <c r="S6" s="16"/>
      <c r="T6" s="16"/>
    </row>
    <row r="7" spans="1:29" ht="34.5" customHeight="1" x14ac:dyDescent="0.3">
      <c r="A7" s="244"/>
      <c r="B7" s="19" t="s">
        <v>277</v>
      </c>
      <c r="C7" s="20"/>
      <c r="D7" s="20">
        <v>3906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>
        <f>D7</f>
        <v>3906</v>
      </c>
      <c r="S7" s="16"/>
      <c r="T7" s="16"/>
    </row>
    <row r="8" spans="1:29" ht="42" customHeight="1" x14ac:dyDescent="0.3">
      <c r="A8" s="244" t="s">
        <v>210</v>
      </c>
      <c r="B8" s="19" t="s">
        <v>276</v>
      </c>
      <c r="C8" s="20" t="s">
        <v>59</v>
      </c>
      <c r="D8" s="22">
        <v>8216</v>
      </c>
      <c r="E8" s="22">
        <v>5424</v>
      </c>
      <c r="F8" s="22">
        <v>3143</v>
      </c>
      <c r="G8" s="22">
        <f>16356-202+1171</f>
        <v>17325</v>
      </c>
      <c r="H8" s="22">
        <v>18137</v>
      </c>
      <c r="I8" s="22">
        <f>9346+577</f>
        <v>9923</v>
      </c>
      <c r="J8" s="22">
        <v>17505</v>
      </c>
      <c r="K8" s="22">
        <v>10040</v>
      </c>
      <c r="L8" s="22">
        <v>7823</v>
      </c>
      <c r="M8" s="22">
        <v>5453</v>
      </c>
      <c r="N8" s="22">
        <v>24814</v>
      </c>
      <c r="O8" s="20"/>
      <c r="P8" s="20"/>
      <c r="Q8" s="20">
        <f>SUM(D8:N8)</f>
        <v>127803</v>
      </c>
      <c r="AC8" s="55">
        <f>SUM(D8:N8)</f>
        <v>127803</v>
      </c>
    </row>
    <row r="9" spans="1:29" ht="34.5" customHeight="1" x14ac:dyDescent="0.3">
      <c r="A9" s="244">
        <v>2605</v>
      </c>
      <c r="B9" s="19" t="s">
        <v>62</v>
      </c>
      <c r="C9" s="20" t="s">
        <v>59</v>
      </c>
      <c r="D9" s="20">
        <v>235</v>
      </c>
      <c r="E9" s="20">
        <v>334</v>
      </c>
      <c r="F9" s="20">
        <v>115</v>
      </c>
      <c r="G9" s="20">
        <v>333</v>
      </c>
      <c r="H9" s="20">
        <v>65</v>
      </c>
      <c r="I9" s="20">
        <v>260</v>
      </c>
      <c r="J9" s="20">
        <v>132</v>
      </c>
      <c r="K9" s="20">
        <v>82</v>
      </c>
      <c r="L9" s="20">
        <v>316</v>
      </c>
      <c r="M9" s="20">
        <v>170</v>
      </c>
      <c r="N9" s="20">
        <v>292</v>
      </c>
      <c r="O9" s="20"/>
      <c r="P9" s="20">
        <v>910</v>
      </c>
      <c r="Q9" s="20">
        <f>D9+E9+F9+G9+H9+I9+J9+K9+M9+N9+P9+L9</f>
        <v>3244</v>
      </c>
      <c r="S9" s="16"/>
      <c r="T9" s="16"/>
    </row>
    <row r="10" spans="1:29" ht="33.75" customHeight="1" x14ac:dyDescent="0.3">
      <c r="A10" s="244">
        <v>2605</v>
      </c>
      <c r="B10" s="19" t="s">
        <v>63</v>
      </c>
      <c r="C10" s="20" t="s">
        <v>59</v>
      </c>
      <c r="D10" s="20">
        <v>46</v>
      </c>
      <c r="E10" s="20">
        <v>176</v>
      </c>
      <c r="F10" s="20">
        <v>329</v>
      </c>
      <c r="G10" s="20">
        <v>65</v>
      </c>
      <c r="H10" s="20">
        <v>130</v>
      </c>
      <c r="I10" s="20"/>
      <c r="J10" s="20">
        <v>75</v>
      </c>
      <c r="K10" s="20">
        <v>123</v>
      </c>
      <c r="L10" s="20">
        <v>148</v>
      </c>
      <c r="M10" s="20">
        <v>214</v>
      </c>
      <c r="N10" s="20"/>
      <c r="O10" s="20"/>
      <c r="P10" s="20"/>
      <c r="Q10" s="20">
        <f>D10+E10+F10+G10+H10+J10+K10+L10+M10</f>
        <v>1306</v>
      </c>
      <c r="S10" s="16"/>
      <c r="T10" s="16"/>
    </row>
    <row r="11" spans="1:29" ht="33" customHeight="1" x14ac:dyDescent="0.3">
      <c r="A11" s="244">
        <v>2605</v>
      </c>
      <c r="B11" s="19" t="s">
        <v>64</v>
      </c>
      <c r="C11" s="20" t="s">
        <v>59</v>
      </c>
      <c r="D11" s="20">
        <v>55</v>
      </c>
      <c r="E11" s="20"/>
      <c r="F11" s="20"/>
      <c r="G11" s="20">
        <v>62</v>
      </c>
      <c r="H11" s="20">
        <v>140</v>
      </c>
      <c r="I11" s="20">
        <v>139</v>
      </c>
      <c r="J11" s="20">
        <v>150</v>
      </c>
      <c r="K11" s="20">
        <v>51</v>
      </c>
      <c r="L11" s="20"/>
      <c r="M11" s="20">
        <v>34</v>
      </c>
      <c r="N11" s="20">
        <v>140</v>
      </c>
      <c r="O11" s="20"/>
      <c r="P11" s="20">
        <v>98</v>
      </c>
      <c r="Q11" s="20">
        <f>D11+G11+H11+I11+J11+K11+L11+M11+N11+P11</f>
        <v>869</v>
      </c>
      <c r="S11" s="16"/>
      <c r="T11" s="16"/>
    </row>
    <row r="12" spans="1:29" ht="25.9" customHeight="1" x14ac:dyDescent="0.3">
      <c r="A12" s="244"/>
      <c r="B12" s="19" t="s">
        <v>65</v>
      </c>
      <c r="C12" s="20" t="s">
        <v>59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S12" s="16"/>
      <c r="T12" s="16"/>
    </row>
    <row r="13" spans="1:29" ht="25.15" customHeight="1" x14ac:dyDescent="0.3">
      <c r="A13" s="244">
        <v>2605</v>
      </c>
      <c r="B13" s="19"/>
      <c r="C13" s="20" t="s">
        <v>59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S13" s="16"/>
      <c r="T13" s="16"/>
    </row>
    <row r="14" spans="1:29" ht="33.75" customHeight="1" x14ac:dyDescent="0.3">
      <c r="A14" s="244">
        <v>2602</v>
      </c>
      <c r="B14" s="19" t="s">
        <v>66</v>
      </c>
      <c r="C14" s="20" t="s">
        <v>59</v>
      </c>
      <c r="D14" s="20"/>
      <c r="E14" s="20"/>
      <c r="F14" s="20"/>
      <c r="G14" s="20"/>
      <c r="H14" s="20"/>
      <c r="I14" s="20"/>
      <c r="J14" s="20"/>
      <c r="K14" s="734"/>
      <c r="L14" s="734"/>
      <c r="M14" s="740"/>
      <c r="N14" s="734"/>
      <c r="O14" s="734"/>
      <c r="P14" s="734"/>
      <c r="Q14" s="735">
        <f>140041+44-130-131+37-12-143+235</f>
        <v>139941</v>
      </c>
      <c r="S14" s="16"/>
      <c r="T14" s="16"/>
      <c r="V14" s="55">
        <f>AC5+AC8+Q6+Q7+Q9+Q10+Q11+Q14+Q17+Q18+Q19+Q21+Q22+Q23+Q24+Q25+Q26+Q28</f>
        <v>763326</v>
      </c>
    </row>
    <row r="15" spans="1:29" ht="33.75" customHeight="1" x14ac:dyDescent="0.3">
      <c r="A15" s="244">
        <v>2602</v>
      </c>
      <c r="B15" s="90" t="s">
        <v>164</v>
      </c>
      <c r="C15" s="20"/>
      <c r="D15" s="20"/>
      <c r="E15" s="20"/>
      <c r="F15" s="20"/>
      <c r="G15" s="20"/>
      <c r="H15" s="20"/>
      <c r="I15" s="737" t="s">
        <v>613</v>
      </c>
      <c r="J15" s="739"/>
      <c r="K15" s="737"/>
      <c r="L15" s="739"/>
      <c r="M15" s="738"/>
      <c r="N15" s="738"/>
      <c r="O15" s="738"/>
      <c r="P15" s="738"/>
      <c r="Q15" s="739"/>
      <c r="R15" s="18"/>
      <c r="S15" s="16"/>
      <c r="T15" s="16"/>
    </row>
    <row r="16" spans="1:29" ht="37.5" customHeight="1" x14ac:dyDescent="0.3">
      <c r="A16" s="244">
        <v>2602</v>
      </c>
      <c r="B16" s="90" t="s">
        <v>112</v>
      </c>
      <c r="C16" s="20"/>
      <c r="D16" s="20"/>
      <c r="E16" s="20"/>
      <c r="F16" s="20"/>
      <c r="G16" s="20"/>
      <c r="H16" s="20"/>
      <c r="I16" s="20"/>
      <c r="J16" s="20"/>
      <c r="K16" s="736"/>
      <c r="L16" s="736"/>
      <c r="M16" s="741"/>
      <c r="N16" s="736"/>
      <c r="O16" s="736"/>
      <c r="P16" s="736"/>
      <c r="Q16" s="736"/>
      <c r="S16" s="16"/>
      <c r="T16" s="16"/>
      <c r="V16" s="6" t="s">
        <v>612</v>
      </c>
    </row>
    <row r="17" spans="1:22" ht="33" customHeight="1" x14ac:dyDescent="0.3">
      <c r="A17" s="244">
        <v>2602</v>
      </c>
      <c r="B17" s="241" t="s">
        <v>207</v>
      </c>
      <c r="C17" s="20" t="s">
        <v>59</v>
      </c>
      <c r="D17" s="20"/>
      <c r="E17" s="20"/>
      <c r="F17" s="20"/>
      <c r="G17" s="20"/>
      <c r="H17" s="20"/>
      <c r="I17" s="20"/>
      <c r="J17" s="20"/>
      <c r="K17" s="20"/>
      <c r="L17" s="20"/>
      <c r="M17" s="742"/>
      <c r="N17" s="20"/>
      <c r="O17" s="20"/>
      <c r="P17" s="20"/>
      <c r="Q17" s="20">
        <f>13393+5107+4+4</f>
        <v>18508</v>
      </c>
      <c r="S17" s="16"/>
      <c r="T17" s="16"/>
      <c r="V17" s="6">
        <v>763326</v>
      </c>
    </row>
    <row r="18" spans="1:22" ht="41.25" customHeight="1" x14ac:dyDescent="0.3">
      <c r="A18" s="244" t="s">
        <v>211</v>
      </c>
      <c r="B18" s="19" t="s">
        <v>110</v>
      </c>
      <c r="C18" s="20" t="s">
        <v>59</v>
      </c>
      <c r="D18" s="20"/>
      <c r="E18" s="20"/>
      <c r="F18" s="20"/>
      <c r="G18" s="20"/>
      <c r="H18" s="20"/>
      <c r="I18" s="20"/>
      <c r="J18" s="20"/>
      <c r="K18" s="20"/>
      <c r="L18" s="20"/>
      <c r="M18" s="742"/>
      <c r="N18" s="20"/>
      <c r="O18" s="20"/>
      <c r="P18" s="20"/>
      <c r="Q18" s="20">
        <f>1144+6092</f>
        <v>7236</v>
      </c>
      <c r="S18" s="16"/>
      <c r="T18" s="16"/>
    </row>
    <row r="19" spans="1:22" ht="33.75" customHeight="1" x14ac:dyDescent="0.3">
      <c r="A19" s="244">
        <v>2502</v>
      </c>
      <c r="B19" s="19" t="s">
        <v>96</v>
      </c>
      <c r="C19" s="20" t="s">
        <v>59</v>
      </c>
      <c r="D19" s="20"/>
      <c r="E19" s="20"/>
      <c r="F19" s="20"/>
      <c r="G19" s="20"/>
      <c r="H19" s="20"/>
      <c r="I19" s="20"/>
      <c r="J19" s="20"/>
      <c r="K19" s="20"/>
      <c r="L19" s="20"/>
      <c r="M19" s="742"/>
      <c r="N19" s="20"/>
      <c r="O19" s="20"/>
      <c r="P19" s="20"/>
      <c r="Q19" s="22">
        <v>108483</v>
      </c>
      <c r="R19" s="6">
        <v>113233</v>
      </c>
      <c r="S19" s="16"/>
      <c r="T19" s="16"/>
      <c r="V19" s="55">
        <f>V17-V14</f>
        <v>0</v>
      </c>
    </row>
    <row r="20" spans="1:22" ht="25.15" customHeight="1" x14ac:dyDescent="0.3">
      <c r="A20" s="244"/>
      <c r="B20" s="19" t="s">
        <v>67</v>
      </c>
      <c r="C20" s="20" t="s">
        <v>59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S20" s="16"/>
      <c r="T20" s="16"/>
    </row>
    <row r="21" spans="1:22" ht="34.5" customHeight="1" x14ac:dyDescent="0.3">
      <c r="A21" s="244"/>
      <c r="B21" s="19" t="s">
        <v>145</v>
      </c>
      <c r="C21" s="20" t="s">
        <v>59</v>
      </c>
      <c r="D21" s="20">
        <v>14590</v>
      </c>
      <c r="E21" s="20">
        <v>16469</v>
      </c>
      <c r="F21" s="20">
        <v>4014</v>
      </c>
      <c r="G21" s="20">
        <f>2695+105</f>
        <v>2800</v>
      </c>
      <c r="H21" s="20">
        <v>1519</v>
      </c>
      <c r="I21" s="20">
        <v>144</v>
      </c>
      <c r="J21" s="20">
        <f>8676+131</f>
        <v>8807</v>
      </c>
      <c r="K21" s="20">
        <f>5421+160+163</f>
        <v>5744</v>
      </c>
      <c r="L21" s="20">
        <v>845</v>
      </c>
      <c r="M21" s="20">
        <f>308+8</f>
        <v>316</v>
      </c>
      <c r="N21" s="20">
        <f>10627+119</f>
        <v>10746</v>
      </c>
      <c r="O21" s="20"/>
      <c r="P21" s="20"/>
      <c r="Q21" s="20">
        <f>SUM(D21:N21)</f>
        <v>65994</v>
      </c>
      <c r="S21" s="16"/>
      <c r="T21" s="16"/>
    </row>
    <row r="22" spans="1:22" ht="34.5" customHeight="1" x14ac:dyDescent="0.3">
      <c r="A22" s="244"/>
      <c r="B22" s="19" t="s">
        <v>68</v>
      </c>
      <c r="C22" s="20" t="s">
        <v>59</v>
      </c>
      <c r="D22" s="20">
        <v>10596</v>
      </c>
      <c r="E22" s="20">
        <v>13473</v>
      </c>
      <c r="F22" s="20">
        <v>4437</v>
      </c>
      <c r="G22" s="20">
        <v>10649</v>
      </c>
      <c r="H22" s="20">
        <v>2625</v>
      </c>
      <c r="I22" s="20">
        <v>444</v>
      </c>
      <c r="J22" s="20">
        <v>1039</v>
      </c>
      <c r="K22" s="20">
        <v>7349</v>
      </c>
      <c r="L22" s="20">
        <v>10756</v>
      </c>
      <c r="M22" s="22">
        <v>28549</v>
      </c>
      <c r="N22" s="20">
        <v>361</v>
      </c>
      <c r="O22" s="20"/>
      <c r="P22" s="20"/>
      <c r="Q22" s="20">
        <f>SUM(D22:N22)</f>
        <v>90278</v>
      </c>
      <c r="S22" s="16"/>
      <c r="T22" s="16"/>
    </row>
    <row r="23" spans="1:22" ht="24" customHeight="1" x14ac:dyDescent="0.3">
      <c r="A23" s="244">
        <v>2605</v>
      </c>
      <c r="B23" s="19" t="s">
        <v>69</v>
      </c>
      <c r="C23" s="20" t="s">
        <v>59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v>1202</v>
      </c>
      <c r="Q23" s="20">
        <v>1202</v>
      </c>
      <c r="S23" s="16"/>
      <c r="T23" s="16"/>
    </row>
    <row r="24" spans="1:22" ht="42" customHeight="1" x14ac:dyDescent="0.3">
      <c r="A24" s="244" t="s">
        <v>212</v>
      </c>
      <c r="B24" s="19" t="s">
        <v>70</v>
      </c>
      <c r="C24" s="20" t="s">
        <v>59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>
        <v>4289</v>
      </c>
      <c r="Q24" s="20">
        <v>4289</v>
      </c>
      <c r="S24" s="16"/>
      <c r="T24" s="16"/>
    </row>
    <row r="25" spans="1:22" ht="34.5" customHeight="1" x14ac:dyDescent="0.3">
      <c r="A25" s="244"/>
      <c r="B25" s="19" t="s">
        <v>71</v>
      </c>
      <c r="C25" s="20" t="s">
        <v>59</v>
      </c>
      <c r="D25" s="20">
        <v>704</v>
      </c>
      <c r="E25" s="20"/>
      <c r="F25" s="20"/>
      <c r="G25" s="20"/>
      <c r="H25" s="20">
        <v>667</v>
      </c>
      <c r="I25" s="20">
        <v>1447</v>
      </c>
      <c r="J25" s="20"/>
      <c r="K25" s="20"/>
      <c r="L25" s="20"/>
      <c r="M25" s="20"/>
      <c r="N25" s="20"/>
      <c r="O25" s="20"/>
      <c r="P25" s="20"/>
      <c r="Q25" s="20">
        <f>H25+I25+D25</f>
        <v>2818</v>
      </c>
      <c r="S25" s="16"/>
      <c r="T25" s="16"/>
    </row>
    <row r="26" spans="1:22" ht="33.75" customHeight="1" x14ac:dyDescent="0.3">
      <c r="A26" s="244"/>
      <c r="B26" s="19" t="s">
        <v>72</v>
      </c>
      <c r="C26" s="20" t="s">
        <v>59</v>
      </c>
      <c r="D26" s="20">
        <f>6226+9673+12394+6281</f>
        <v>34574</v>
      </c>
      <c r="E26" s="20">
        <v>7925</v>
      </c>
      <c r="F26" s="20">
        <v>3505</v>
      </c>
      <c r="G26" s="20">
        <v>48</v>
      </c>
      <c r="H26" s="20">
        <v>8206</v>
      </c>
      <c r="I26" s="20">
        <v>9701</v>
      </c>
      <c r="J26" s="20"/>
      <c r="K26" s="20"/>
      <c r="L26" s="20">
        <f>3162</f>
        <v>3162</v>
      </c>
      <c r="M26" s="20"/>
      <c r="N26" s="20"/>
      <c r="O26" s="20"/>
      <c r="P26" s="20"/>
      <c r="Q26" s="20">
        <f>D26+E26+F26+G26+H26+I26+L26</f>
        <v>67121</v>
      </c>
      <c r="S26" s="16"/>
      <c r="T26" s="16"/>
    </row>
    <row r="27" spans="1:22" ht="33.75" customHeight="1" x14ac:dyDescent="0.3">
      <c r="A27" s="244"/>
      <c r="B27" s="19" t="s">
        <v>148</v>
      </c>
      <c r="C27" s="20" t="s">
        <v>59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S27" s="16"/>
      <c r="T27" s="16"/>
    </row>
    <row r="28" spans="1:22" ht="33.75" customHeight="1" x14ac:dyDescent="0.3">
      <c r="A28" s="244"/>
      <c r="B28" s="19" t="s">
        <v>197</v>
      </c>
      <c r="C28" s="20" t="s">
        <v>59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>
        <v>974</v>
      </c>
      <c r="S28" s="16"/>
      <c r="T28" s="16"/>
    </row>
    <row r="29" spans="1:22" ht="30" customHeight="1" x14ac:dyDescent="0.4">
      <c r="A29" s="18"/>
      <c r="B29" s="780" t="s">
        <v>208</v>
      </c>
      <c r="C29" s="781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2">
        <f>SUM(Q3:Q28)</f>
        <v>763326</v>
      </c>
      <c r="S29" s="16"/>
      <c r="T29" s="16"/>
    </row>
    <row r="30" spans="1:22" ht="8.25" customHeight="1" x14ac:dyDescent="0.3">
      <c r="S30" s="16"/>
      <c r="T30" s="16"/>
    </row>
    <row r="31" spans="1:22" x14ac:dyDescent="0.3">
      <c r="B31" s="6" t="s">
        <v>81</v>
      </c>
      <c r="Q31" s="55"/>
      <c r="S31" s="16"/>
      <c r="T31" s="16"/>
    </row>
    <row r="32" spans="1:22" x14ac:dyDescent="0.3">
      <c r="B32" s="16" t="s">
        <v>279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2:20" x14ac:dyDescent="0.3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56">
        <f>Q33-Q29</f>
        <v>0</v>
      </c>
      <c r="Q33" s="56">
        <f>763326-Q31</f>
        <v>763326</v>
      </c>
      <c r="R33" s="16">
        <f>Q33-619</f>
        <v>762707</v>
      </c>
      <c r="S33" s="16"/>
      <c r="T33" s="16"/>
    </row>
    <row r="34" spans="2:20" x14ac:dyDescent="0.3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2:20" x14ac:dyDescent="0.3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2:20" x14ac:dyDescent="0.3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2:20" x14ac:dyDescent="0.3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2:20" x14ac:dyDescent="0.3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2:20" x14ac:dyDescent="0.3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2:20" x14ac:dyDescent="0.3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2:20" x14ac:dyDescent="0.3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spans="2:20" x14ac:dyDescent="0.3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spans="2:20" x14ac:dyDescent="0.3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spans="2:20" x14ac:dyDescent="0.3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spans="2:20" x14ac:dyDescent="0.3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2:20" x14ac:dyDescent="0.3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spans="2:20" x14ac:dyDescent="0.3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2:20" x14ac:dyDescent="0.3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2:20" x14ac:dyDescent="0.3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</sheetData>
  <mergeCells count="1">
    <mergeCell ref="B29:C29"/>
  </mergeCells>
  <phoneticPr fontId="30" type="noConversion"/>
  <pageMargins left="0.23622047244094491" right="0.23622047244094491" top="0.35433070866141736" bottom="0.19685039370078741" header="0.19685039370078741" footer="0.19685039370078741"/>
  <pageSetup paperSize="9"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08"/>
  <sheetViews>
    <sheetView workbookViewId="0">
      <pane xSplit="21225" topLeftCell="Q1"/>
      <selection activeCell="O46" sqref="O46"/>
      <selection pane="topRight" activeCell="Q43" sqref="Q43"/>
    </sheetView>
  </sheetViews>
  <sheetFormatPr defaultColWidth="15.85546875" defaultRowHeight="12.75" x14ac:dyDescent="0.2"/>
  <cols>
    <col min="1" max="1" width="15.42578125" style="381" customWidth="1"/>
    <col min="2" max="2" width="9" style="381" customWidth="1"/>
    <col min="3" max="3" width="15.140625" style="381" customWidth="1"/>
    <col min="4" max="4" width="14.140625" style="381" customWidth="1"/>
    <col min="5" max="5" width="12.5703125" style="381" customWidth="1"/>
    <col min="6" max="6" width="12.140625" style="381" customWidth="1"/>
    <col min="7" max="7" width="13.85546875" style="381" customWidth="1"/>
    <col min="8" max="8" width="13.140625" style="381" customWidth="1"/>
    <col min="9" max="9" width="11.28515625" style="381" customWidth="1"/>
    <col min="10" max="10" width="10.5703125" style="381" customWidth="1"/>
    <col min="11" max="11" width="11.42578125" style="381" customWidth="1"/>
    <col min="12" max="12" width="11.5703125" style="381" customWidth="1"/>
    <col min="13" max="13" width="11.140625" style="381" customWidth="1"/>
    <col min="14" max="14" width="12.140625" style="381" customWidth="1"/>
    <col min="15" max="15" width="10.7109375" style="381" customWidth="1"/>
    <col min="16" max="16" width="13.28515625" style="381" customWidth="1"/>
    <col min="17" max="17" width="12.42578125" style="381" customWidth="1"/>
    <col min="18" max="18" width="13.28515625" style="381" customWidth="1"/>
    <col min="19" max="19" width="20" style="381" customWidth="1"/>
    <col min="20" max="20" width="16.140625" style="381" bestFit="1" customWidth="1"/>
    <col min="21" max="22" width="15.85546875" style="381"/>
    <col min="23" max="23" width="23" style="381" bestFit="1" customWidth="1"/>
    <col min="24" max="16384" width="15.85546875" style="381"/>
  </cols>
  <sheetData>
    <row r="1" spans="1:243" x14ac:dyDescent="0.2">
      <c r="A1" s="381" t="s">
        <v>597</v>
      </c>
      <c r="H1" s="395"/>
      <c r="K1" s="396"/>
      <c r="T1" s="397"/>
      <c r="U1" s="397"/>
    </row>
    <row r="2" spans="1:243" x14ac:dyDescent="0.2">
      <c r="A2" s="398" t="s">
        <v>231</v>
      </c>
      <c r="B2" s="380"/>
      <c r="Q2" s="381" t="s">
        <v>79</v>
      </c>
      <c r="T2" s="397"/>
      <c r="U2" s="397"/>
    </row>
    <row r="3" spans="1:243" ht="15.75" customHeight="1" x14ac:dyDescent="0.2">
      <c r="A3" s="381" t="s">
        <v>80</v>
      </c>
      <c r="D3" s="396"/>
      <c r="E3" s="396"/>
      <c r="J3" s="396"/>
      <c r="K3" s="396"/>
      <c r="M3" s="396"/>
      <c r="N3" s="387" t="s">
        <v>290</v>
      </c>
      <c r="Q3" s="381">
        <v>26.1</v>
      </c>
      <c r="T3" s="397"/>
      <c r="U3" s="397"/>
    </row>
    <row r="4" spans="1:243" ht="14.25" customHeight="1" x14ac:dyDescent="0.2">
      <c r="A4" s="387"/>
      <c r="B4" s="387"/>
      <c r="C4" s="387">
        <v>4</v>
      </c>
      <c r="D4" s="387">
        <v>6</v>
      </c>
      <c r="E4" s="387">
        <v>7</v>
      </c>
      <c r="F4" s="387">
        <v>12</v>
      </c>
      <c r="G4" s="387">
        <v>14</v>
      </c>
      <c r="H4" s="387">
        <v>15</v>
      </c>
      <c r="I4" s="387">
        <v>17</v>
      </c>
      <c r="J4" s="387">
        <v>20</v>
      </c>
      <c r="K4" s="387">
        <v>21</v>
      </c>
      <c r="L4" s="387">
        <v>22</v>
      </c>
      <c r="M4" s="387">
        <v>23</v>
      </c>
      <c r="N4" s="387" t="s">
        <v>428</v>
      </c>
      <c r="O4" s="387" t="s">
        <v>114</v>
      </c>
      <c r="P4" s="387" t="s">
        <v>114</v>
      </c>
      <c r="Q4" s="387" t="s">
        <v>57</v>
      </c>
      <c r="R4" s="387" t="s">
        <v>56</v>
      </c>
      <c r="T4" s="397"/>
      <c r="U4" s="397"/>
    </row>
    <row r="5" spans="1:243" x14ac:dyDescent="0.2">
      <c r="A5" s="385" t="s">
        <v>290</v>
      </c>
      <c r="B5" s="386" t="s">
        <v>59</v>
      </c>
      <c r="C5" s="386"/>
      <c r="D5" s="386"/>
      <c r="E5" s="386"/>
      <c r="F5" s="391"/>
      <c r="G5" s="424"/>
      <c r="H5" s="386"/>
      <c r="I5" s="386"/>
      <c r="J5" s="386"/>
      <c r="K5" s="386"/>
      <c r="L5" s="386"/>
      <c r="M5" s="386"/>
      <c r="N5" s="386"/>
      <c r="O5" s="386"/>
      <c r="P5" s="386"/>
      <c r="Q5" s="386" t="s">
        <v>598</v>
      </c>
      <c r="R5" s="391">
        <f>SUM(C5:Q5)</f>
        <v>0</v>
      </c>
      <c r="T5" s="397"/>
      <c r="U5" s="397"/>
    </row>
    <row r="6" spans="1:243" s="485" customFormat="1" x14ac:dyDescent="0.2">
      <c r="A6" s="481"/>
      <c r="B6" s="481"/>
      <c r="C6" s="481"/>
      <c r="D6" s="481"/>
      <c r="E6" s="481"/>
      <c r="F6" s="488"/>
      <c r="G6" s="488"/>
      <c r="H6" s="481"/>
      <c r="I6" s="481"/>
      <c r="J6" s="481"/>
      <c r="K6" s="481"/>
      <c r="L6" s="481"/>
      <c r="M6" s="481"/>
      <c r="N6" s="481"/>
      <c r="O6" s="481" t="s">
        <v>394</v>
      </c>
      <c r="P6" s="481" t="s">
        <v>282</v>
      </c>
      <c r="Q6" s="399"/>
      <c r="R6" s="481"/>
      <c r="T6" s="489"/>
      <c r="U6" s="489"/>
    </row>
    <row r="7" spans="1:243" s="480" customFormat="1" x14ac:dyDescent="0.2">
      <c r="A7" s="475"/>
      <c r="B7" s="475" t="s">
        <v>60</v>
      </c>
      <c r="C7" s="476">
        <f>C5*C6</f>
        <v>0</v>
      </c>
      <c r="D7" s="476">
        <f t="shared" ref="D7:M7" si="0">D5*D6</f>
        <v>0</v>
      </c>
      <c r="E7" s="476">
        <f t="shared" si="0"/>
        <v>0</v>
      </c>
      <c r="F7" s="476">
        <f t="shared" si="0"/>
        <v>0</v>
      </c>
      <c r="G7" s="476">
        <f t="shared" si="0"/>
        <v>0</v>
      </c>
      <c r="H7" s="476">
        <f t="shared" si="0"/>
        <v>0</v>
      </c>
      <c r="I7" s="476">
        <f t="shared" si="0"/>
        <v>0</v>
      </c>
      <c r="J7" s="476">
        <f t="shared" si="0"/>
        <v>0</v>
      </c>
      <c r="K7" s="476">
        <f t="shared" si="0"/>
        <v>0</v>
      </c>
      <c r="L7" s="476">
        <f t="shared" si="0"/>
        <v>0</v>
      </c>
      <c r="M7" s="476">
        <f t="shared" si="0"/>
        <v>0</v>
      </c>
      <c r="N7" s="476"/>
      <c r="O7" s="476">
        <v>1676.25</v>
      </c>
      <c r="P7" s="476">
        <v>-204.37</v>
      </c>
      <c r="Q7" s="476">
        <v>592.92999999999995</v>
      </c>
      <c r="R7" s="476">
        <f>SUM(C7:Q7)</f>
        <v>2064.81</v>
      </c>
      <c r="T7" s="486"/>
      <c r="U7" s="486"/>
    </row>
    <row r="8" spans="1:243" s="403" customFormat="1" x14ac:dyDescent="0.2">
      <c r="A8" s="382" t="s">
        <v>58</v>
      </c>
      <c r="B8" s="386" t="s">
        <v>59</v>
      </c>
      <c r="C8" s="391"/>
      <c r="D8" s="391"/>
      <c r="E8" s="391">
        <v>-502</v>
      </c>
      <c r="F8" s="391"/>
      <c r="G8" s="391"/>
      <c r="H8" s="424"/>
      <c r="I8" s="391"/>
      <c r="J8" s="391"/>
      <c r="K8" s="391"/>
      <c r="L8" s="391"/>
      <c r="M8" s="391"/>
      <c r="N8" s="386"/>
      <c r="O8" s="386"/>
      <c r="P8" s="386"/>
      <c r="Q8" s="727"/>
      <c r="R8" s="476">
        <f>SUM(C8:Q8)</f>
        <v>-502</v>
      </c>
      <c r="S8" s="400"/>
      <c r="T8" s="401"/>
      <c r="U8" s="401"/>
      <c r="V8" s="400"/>
      <c r="W8" s="400"/>
      <c r="X8" s="402"/>
      <c r="Y8" s="402"/>
      <c r="Z8" s="400"/>
      <c r="AA8" s="400"/>
      <c r="AB8" s="400"/>
      <c r="AC8" s="400"/>
      <c r="AD8" s="400"/>
      <c r="AE8" s="400"/>
      <c r="AF8" s="400"/>
      <c r="AG8" s="400"/>
      <c r="AH8" s="400"/>
      <c r="AI8" s="400"/>
      <c r="AJ8" s="400"/>
      <c r="AK8" s="400"/>
      <c r="AL8" s="400"/>
      <c r="AM8" s="400"/>
      <c r="AN8" s="400"/>
      <c r="AO8" s="400"/>
      <c r="AP8" s="400"/>
      <c r="AQ8" s="400"/>
      <c r="AR8" s="400"/>
      <c r="AS8" s="400"/>
      <c r="AT8" s="400"/>
      <c r="AU8" s="400"/>
      <c r="AV8" s="400"/>
      <c r="AW8" s="400"/>
      <c r="AX8" s="400"/>
      <c r="AY8" s="400"/>
      <c r="AZ8" s="400"/>
      <c r="BA8" s="400"/>
      <c r="BB8" s="400"/>
      <c r="BC8" s="400"/>
      <c r="BD8" s="400"/>
      <c r="BE8" s="400"/>
      <c r="BF8" s="400"/>
      <c r="BG8" s="400"/>
      <c r="BH8" s="400"/>
      <c r="BI8" s="400"/>
      <c r="BJ8" s="400"/>
      <c r="BK8" s="400"/>
      <c r="BL8" s="400"/>
      <c r="BM8" s="400"/>
      <c r="BN8" s="400"/>
      <c r="BO8" s="400"/>
      <c r="BP8" s="400"/>
      <c r="BQ8" s="400"/>
      <c r="BR8" s="400"/>
      <c r="BS8" s="400"/>
      <c r="BT8" s="400"/>
      <c r="BU8" s="400"/>
      <c r="BV8" s="400"/>
      <c r="BW8" s="400"/>
      <c r="BX8" s="400"/>
      <c r="BY8" s="400"/>
      <c r="BZ8" s="400"/>
      <c r="CA8" s="400"/>
      <c r="CB8" s="400"/>
      <c r="CC8" s="400"/>
      <c r="CD8" s="400"/>
      <c r="CE8" s="400"/>
      <c r="CF8" s="400"/>
      <c r="CG8" s="400"/>
      <c r="CH8" s="400"/>
      <c r="CI8" s="400"/>
      <c r="CJ8" s="400"/>
      <c r="CK8" s="400"/>
      <c r="CL8" s="400"/>
      <c r="CM8" s="400"/>
      <c r="CN8" s="400"/>
      <c r="CO8" s="400"/>
      <c r="CP8" s="400"/>
      <c r="CQ8" s="400"/>
      <c r="CR8" s="400"/>
      <c r="CS8" s="400"/>
      <c r="CT8" s="400"/>
      <c r="CU8" s="400"/>
      <c r="CV8" s="400"/>
      <c r="CW8" s="400"/>
      <c r="CX8" s="400"/>
      <c r="CY8" s="400"/>
      <c r="CZ8" s="400"/>
      <c r="DA8" s="400"/>
      <c r="DB8" s="400"/>
      <c r="DC8" s="400"/>
      <c r="DD8" s="400"/>
      <c r="DE8" s="400"/>
      <c r="DF8" s="400"/>
      <c r="DG8" s="400"/>
      <c r="DH8" s="400"/>
      <c r="DI8" s="400"/>
      <c r="DJ8" s="400"/>
      <c r="DK8" s="400"/>
      <c r="DL8" s="400"/>
      <c r="DM8" s="400"/>
      <c r="DN8" s="400"/>
      <c r="DO8" s="400"/>
      <c r="DP8" s="400"/>
      <c r="DQ8" s="400"/>
      <c r="DR8" s="400"/>
      <c r="DS8" s="400"/>
      <c r="DT8" s="400"/>
      <c r="DU8" s="400"/>
      <c r="DV8" s="400"/>
      <c r="DW8" s="400"/>
      <c r="DX8" s="400"/>
      <c r="DY8" s="400"/>
      <c r="DZ8" s="400"/>
      <c r="EA8" s="400"/>
      <c r="EB8" s="400"/>
      <c r="EC8" s="400"/>
      <c r="ED8" s="400"/>
      <c r="EE8" s="400"/>
      <c r="EF8" s="400"/>
      <c r="EG8" s="400"/>
      <c r="EH8" s="400"/>
      <c r="EI8" s="400"/>
      <c r="EJ8" s="400"/>
      <c r="EK8" s="400"/>
      <c r="EL8" s="400"/>
      <c r="EM8" s="400"/>
      <c r="EN8" s="400"/>
      <c r="EO8" s="400"/>
      <c r="EP8" s="400"/>
      <c r="EQ8" s="400"/>
      <c r="ER8" s="400"/>
      <c r="ES8" s="400"/>
      <c r="ET8" s="400"/>
      <c r="EU8" s="400"/>
      <c r="EV8" s="400"/>
      <c r="EW8" s="400"/>
      <c r="EX8" s="400"/>
      <c r="EY8" s="400"/>
      <c r="EZ8" s="400"/>
      <c r="FA8" s="400"/>
      <c r="FB8" s="400"/>
      <c r="FC8" s="400"/>
      <c r="FD8" s="400"/>
      <c r="FE8" s="400"/>
      <c r="FF8" s="400"/>
      <c r="FG8" s="400"/>
      <c r="FH8" s="400"/>
      <c r="FI8" s="400"/>
      <c r="FJ8" s="400"/>
      <c r="FK8" s="400"/>
      <c r="FL8" s="400"/>
      <c r="FM8" s="400"/>
      <c r="FN8" s="400"/>
      <c r="FO8" s="400"/>
      <c r="FP8" s="400"/>
      <c r="FQ8" s="400"/>
      <c r="FR8" s="400"/>
      <c r="FS8" s="400"/>
      <c r="FT8" s="400"/>
      <c r="FU8" s="400"/>
      <c r="FV8" s="400"/>
      <c r="FW8" s="400"/>
      <c r="FX8" s="400"/>
      <c r="FY8" s="400"/>
      <c r="FZ8" s="400"/>
      <c r="GA8" s="400"/>
      <c r="GB8" s="400"/>
      <c r="GC8" s="400"/>
      <c r="GD8" s="400"/>
      <c r="GE8" s="400"/>
      <c r="GF8" s="400"/>
      <c r="GG8" s="400"/>
      <c r="GH8" s="400"/>
      <c r="GI8" s="400"/>
      <c r="GJ8" s="400"/>
      <c r="GK8" s="400"/>
      <c r="GL8" s="400"/>
      <c r="GM8" s="400"/>
      <c r="GN8" s="400"/>
      <c r="GO8" s="400"/>
      <c r="GP8" s="400"/>
      <c r="GQ8" s="400"/>
      <c r="GR8" s="400"/>
      <c r="GS8" s="400"/>
      <c r="GT8" s="400"/>
      <c r="GU8" s="400"/>
      <c r="GV8" s="400"/>
      <c r="GW8" s="400"/>
      <c r="GX8" s="400"/>
      <c r="GY8" s="400"/>
      <c r="GZ8" s="400"/>
      <c r="HA8" s="400"/>
      <c r="HB8" s="400"/>
      <c r="HC8" s="400"/>
      <c r="HD8" s="400"/>
      <c r="HE8" s="400"/>
      <c r="HF8" s="400"/>
      <c r="HG8" s="400"/>
      <c r="HH8" s="400"/>
      <c r="HI8" s="400"/>
      <c r="HJ8" s="400"/>
      <c r="HK8" s="400"/>
      <c r="HL8" s="400"/>
      <c r="HM8" s="400"/>
      <c r="HN8" s="400"/>
      <c r="HO8" s="400"/>
      <c r="HP8" s="400"/>
      <c r="HQ8" s="400"/>
      <c r="HR8" s="400"/>
      <c r="HS8" s="400"/>
      <c r="HT8" s="400"/>
      <c r="HU8" s="400"/>
      <c r="HV8" s="400"/>
      <c r="HW8" s="400"/>
      <c r="HX8" s="400"/>
      <c r="HY8" s="400"/>
      <c r="HZ8" s="400"/>
      <c r="IA8" s="400"/>
      <c r="IB8" s="400"/>
      <c r="IC8" s="400"/>
      <c r="ID8" s="400"/>
      <c r="IE8" s="400"/>
      <c r="IF8" s="400"/>
      <c r="IG8" s="400"/>
      <c r="IH8" s="400"/>
      <c r="II8" s="400"/>
    </row>
    <row r="9" spans="1:243" x14ac:dyDescent="0.2">
      <c r="A9" s="387"/>
      <c r="B9" s="383"/>
      <c r="C9" s="490"/>
      <c r="D9" s="490">
        <v>0.19009999999999999</v>
      </c>
      <c r="E9" s="490">
        <v>0.19009999999999999</v>
      </c>
      <c r="F9" s="490"/>
      <c r="G9" s="490">
        <v>0.19009999999999999</v>
      </c>
      <c r="H9" s="490">
        <v>0.19009999999999999</v>
      </c>
      <c r="I9" s="490">
        <v>0.19009999999999999</v>
      </c>
      <c r="J9" s="490">
        <v>0.19009999999999999</v>
      </c>
      <c r="K9" s="490">
        <v>0.19009999999999999</v>
      </c>
      <c r="L9" s="490"/>
      <c r="M9" s="490"/>
      <c r="N9" s="490">
        <v>0.19009999999999999</v>
      </c>
      <c r="O9" s="490">
        <v>0.19009999999999999</v>
      </c>
      <c r="P9" s="490">
        <v>0.19009999999999999</v>
      </c>
      <c r="Q9" s="490">
        <v>0.19009999999999999</v>
      </c>
      <c r="R9" s="399"/>
      <c r="S9" s="400"/>
      <c r="T9" s="401"/>
      <c r="U9" s="401"/>
      <c r="V9" s="400"/>
      <c r="W9" s="400"/>
      <c r="X9" s="402"/>
      <c r="Y9" s="402"/>
      <c r="Z9" s="400"/>
      <c r="AA9" s="400"/>
      <c r="AB9" s="400"/>
      <c r="AC9" s="400"/>
      <c r="AD9" s="400"/>
      <c r="AE9" s="400"/>
      <c r="AF9" s="400"/>
      <c r="AG9" s="400"/>
      <c r="AH9" s="400"/>
      <c r="AI9" s="400"/>
      <c r="AJ9" s="400"/>
      <c r="AK9" s="400"/>
      <c r="AL9" s="400"/>
      <c r="AM9" s="400"/>
      <c r="AN9" s="400"/>
      <c r="AO9" s="400"/>
      <c r="AP9" s="400"/>
      <c r="AQ9" s="400"/>
      <c r="AR9" s="400"/>
      <c r="AS9" s="400"/>
      <c r="AT9" s="400"/>
      <c r="AU9" s="400"/>
      <c r="AV9" s="400"/>
      <c r="AW9" s="400"/>
      <c r="AX9" s="400"/>
      <c r="AY9" s="400"/>
      <c r="AZ9" s="400"/>
      <c r="BA9" s="400"/>
      <c r="BB9" s="400"/>
      <c r="BC9" s="400"/>
      <c r="BD9" s="400"/>
      <c r="BE9" s="400"/>
      <c r="BF9" s="400"/>
      <c r="BG9" s="400"/>
      <c r="BH9" s="400"/>
      <c r="BI9" s="400"/>
      <c r="BJ9" s="400"/>
      <c r="BK9" s="400"/>
      <c r="BL9" s="400"/>
      <c r="BM9" s="400"/>
      <c r="BN9" s="400"/>
      <c r="BO9" s="400"/>
      <c r="BP9" s="400"/>
      <c r="BQ9" s="400"/>
      <c r="BR9" s="400"/>
      <c r="BS9" s="400"/>
      <c r="BT9" s="400"/>
      <c r="BU9" s="400"/>
      <c r="BV9" s="400"/>
      <c r="BW9" s="400"/>
      <c r="BX9" s="400"/>
      <c r="BY9" s="400"/>
      <c r="BZ9" s="400"/>
      <c r="CA9" s="400"/>
      <c r="CB9" s="400"/>
      <c r="CC9" s="400"/>
      <c r="CD9" s="400"/>
      <c r="CE9" s="400"/>
      <c r="CF9" s="400"/>
      <c r="CG9" s="400"/>
      <c r="CH9" s="400"/>
      <c r="CI9" s="400"/>
      <c r="CJ9" s="400"/>
      <c r="CK9" s="400"/>
      <c r="CL9" s="400"/>
      <c r="CM9" s="400"/>
      <c r="CN9" s="400"/>
      <c r="CO9" s="400"/>
      <c r="CP9" s="400"/>
      <c r="CQ9" s="400"/>
      <c r="CR9" s="400"/>
      <c r="CS9" s="400"/>
      <c r="CT9" s="400"/>
      <c r="CU9" s="400"/>
      <c r="CV9" s="400"/>
      <c r="CW9" s="400"/>
      <c r="CX9" s="400"/>
      <c r="CY9" s="400"/>
      <c r="CZ9" s="400"/>
      <c r="DA9" s="400"/>
      <c r="DB9" s="400"/>
      <c r="DC9" s="400"/>
      <c r="DD9" s="400"/>
      <c r="DE9" s="400"/>
      <c r="DF9" s="400"/>
      <c r="DG9" s="400"/>
      <c r="DH9" s="400"/>
      <c r="DI9" s="400"/>
      <c r="DJ9" s="400"/>
      <c r="DK9" s="400"/>
      <c r="DL9" s="400"/>
      <c r="DM9" s="400"/>
      <c r="DN9" s="400"/>
      <c r="DO9" s="400"/>
      <c r="DP9" s="400"/>
      <c r="DQ9" s="400"/>
      <c r="DR9" s="400"/>
      <c r="DS9" s="400"/>
      <c r="DT9" s="400"/>
      <c r="DU9" s="400"/>
      <c r="DV9" s="400"/>
      <c r="DW9" s="400"/>
      <c r="DX9" s="400"/>
      <c r="DY9" s="400"/>
      <c r="DZ9" s="400"/>
      <c r="EA9" s="400"/>
      <c r="EB9" s="400"/>
      <c r="EC9" s="400"/>
      <c r="ED9" s="400"/>
      <c r="EE9" s="400"/>
      <c r="EF9" s="400"/>
      <c r="EG9" s="400"/>
      <c r="EH9" s="400"/>
      <c r="EI9" s="400"/>
      <c r="EJ9" s="400"/>
      <c r="EK9" s="400"/>
      <c r="EL9" s="400"/>
      <c r="EM9" s="400"/>
      <c r="EN9" s="400"/>
      <c r="EO9" s="400"/>
      <c r="EP9" s="400"/>
      <c r="EQ9" s="400"/>
      <c r="ER9" s="400"/>
      <c r="ES9" s="400"/>
      <c r="ET9" s="400"/>
      <c r="EU9" s="400"/>
      <c r="EV9" s="400"/>
      <c r="EW9" s="400"/>
      <c r="EX9" s="400"/>
      <c r="EY9" s="400"/>
      <c r="EZ9" s="400"/>
      <c r="FA9" s="400"/>
      <c r="FB9" s="400"/>
      <c r="FC9" s="400"/>
      <c r="FD9" s="400"/>
      <c r="FE9" s="400"/>
      <c r="FF9" s="400"/>
      <c r="FG9" s="400"/>
      <c r="FH9" s="400"/>
      <c r="FI9" s="400"/>
      <c r="FJ9" s="400"/>
      <c r="FK9" s="400"/>
      <c r="FL9" s="400"/>
      <c r="FM9" s="400"/>
      <c r="FN9" s="400"/>
      <c r="FO9" s="400"/>
      <c r="FP9" s="400"/>
      <c r="FQ9" s="400"/>
      <c r="FR9" s="400"/>
      <c r="FS9" s="400"/>
      <c r="FT9" s="400"/>
      <c r="FU9" s="400"/>
      <c r="FV9" s="400"/>
      <c r="FW9" s="400"/>
      <c r="FX9" s="400"/>
      <c r="FY9" s="400"/>
      <c r="FZ9" s="400"/>
      <c r="GA9" s="400"/>
      <c r="GB9" s="400"/>
      <c r="GC9" s="400"/>
      <c r="GD9" s="400"/>
      <c r="GE9" s="400"/>
      <c r="GF9" s="400"/>
      <c r="GG9" s="400"/>
      <c r="GH9" s="400"/>
      <c r="GI9" s="400"/>
      <c r="GJ9" s="400"/>
      <c r="GK9" s="400"/>
      <c r="GL9" s="400"/>
      <c r="GM9" s="400"/>
      <c r="GN9" s="400"/>
      <c r="GO9" s="400"/>
      <c r="GP9" s="400"/>
      <c r="GQ9" s="400"/>
      <c r="GR9" s="400"/>
      <c r="GS9" s="400"/>
      <c r="GT9" s="400"/>
      <c r="GU9" s="400"/>
      <c r="GV9" s="400"/>
      <c r="GW9" s="400"/>
      <c r="GX9" s="400"/>
      <c r="GY9" s="400"/>
      <c r="GZ9" s="400"/>
      <c r="HA9" s="400"/>
      <c r="HB9" s="400"/>
      <c r="HC9" s="400"/>
      <c r="HD9" s="400"/>
      <c r="HE9" s="400"/>
      <c r="HF9" s="400"/>
      <c r="HG9" s="400"/>
      <c r="HH9" s="400"/>
      <c r="HI9" s="400"/>
      <c r="HJ9" s="400"/>
      <c r="HK9" s="400"/>
      <c r="HL9" s="400"/>
      <c r="HM9" s="400"/>
      <c r="HN9" s="400"/>
      <c r="HO9" s="400"/>
      <c r="HP9" s="400"/>
      <c r="HQ9" s="400"/>
      <c r="HR9" s="400"/>
      <c r="HS9" s="400"/>
      <c r="HT9" s="400"/>
      <c r="HU9" s="400"/>
      <c r="HV9" s="400"/>
      <c r="HW9" s="400"/>
      <c r="HX9" s="400"/>
      <c r="HY9" s="400"/>
      <c r="HZ9" s="400"/>
      <c r="IA9" s="400"/>
      <c r="IB9" s="400"/>
      <c r="IC9" s="400"/>
      <c r="ID9" s="400"/>
      <c r="IE9" s="400"/>
      <c r="IF9" s="400"/>
      <c r="IG9" s="400"/>
      <c r="IH9" s="400"/>
      <c r="II9" s="400"/>
    </row>
    <row r="10" spans="1:243" s="480" customFormat="1" x14ac:dyDescent="0.2">
      <c r="A10" s="476"/>
      <c r="B10" s="476" t="s">
        <v>60</v>
      </c>
      <c r="C10" s="476"/>
      <c r="D10" s="476">
        <f t="shared" ref="D10:Q10" si="1">ROUND(D8*D9,2)</f>
        <v>0</v>
      </c>
      <c r="E10" s="476">
        <f t="shared" si="1"/>
        <v>-95.43</v>
      </c>
      <c r="F10" s="476"/>
      <c r="G10" s="476"/>
      <c r="H10" s="476">
        <f t="shared" si="1"/>
        <v>0</v>
      </c>
      <c r="I10" s="476"/>
      <c r="J10" s="476">
        <f t="shared" si="1"/>
        <v>0</v>
      </c>
      <c r="K10" s="476">
        <f t="shared" si="1"/>
        <v>0</v>
      </c>
      <c r="L10" s="476"/>
      <c r="M10" s="476"/>
      <c r="N10" s="476">
        <f t="shared" si="1"/>
        <v>0</v>
      </c>
      <c r="O10" s="476">
        <f t="shared" si="1"/>
        <v>0</v>
      </c>
      <c r="P10" s="476">
        <f t="shared" si="1"/>
        <v>0</v>
      </c>
      <c r="Q10" s="476">
        <f t="shared" si="1"/>
        <v>0</v>
      </c>
      <c r="R10" s="476">
        <f>SUM(C10:Q10)</f>
        <v>-95.43</v>
      </c>
      <c r="S10" s="477"/>
      <c r="T10" s="478"/>
      <c r="U10" s="478"/>
      <c r="V10" s="479"/>
      <c r="W10" s="479"/>
      <c r="X10" s="479"/>
      <c r="Y10" s="479"/>
      <c r="Z10" s="479"/>
      <c r="AA10" s="479"/>
      <c r="AB10" s="479"/>
      <c r="AC10" s="479"/>
      <c r="AD10" s="479"/>
      <c r="AE10" s="479"/>
      <c r="AF10" s="479"/>
      <c r="AG10" s="479"/>
      <c r="AH10" s="479"/>
      <c r="AI10" s="479"/>
      <c r="AJ10" s="479"/>
      <c r="AK10" s="479"/>
      <c r="AL10" s="479"/>
      <c r="AM10" s="479"/>
      <c r="AN10" s="479"/>
      <c r="AO10" s="479"/>
      <c r="AP10" s="479"/>
      <c r="AQ10" s="479"/>
      <c r="AR10" s="479"/>
      <c r="AS10" s="479"/>
      <c r="AT10" s="479"/>
      <c r="AU10" s="479"/>
      <c r="AV10" s="479"/>
      <c r="AW10" s="479"/>
      <c r="AX10" s="479"/>
      <c r="AY10" s="479"/>
      <c r="AZ10" s="479"/>
      <c r="BA10" s="479"/>
      <c r="BB10" s="479"/>
      <c r="BC10" s="479"/>
      <c r="BD10" s="479"/>
      <c r="BE10" s="479"/>
      <c r="BF10" s="479"/>
      <c r="BG10" s="479"/>
      <c r="BH10" s="479"/>
      <c r="BI10" s="479"/>
      <c r="BJ10" s="479"/>
      <c r="BK10" s="479"/>
      <c r="BL10" s="479"/>
      <c r="BM10" s="479"/>
      <c r="BN10" s="479"/>
      <c r="BO10" s="479"/>
      <c r="BP10" s="479"/>
      <c r="BQ10" s="479"/>
      <c r="BR10" s="479"/>
      <c r="BS10" s="479"/>
      <c r="BT10" s="479"/>
      <c r="BU10" s="479"/>
      <c r="BV10" s="479"/>
      <c r="BW10" s="479"/>
      <c r="BX10" s="479"/>
      <c r="BY10" s="479"/>
      <c r="BZ10" s="479"/>
      <c r="CA10" s="479"/>
      <c r="CB10" s="479"/>
      <c r="CC10" s="479"/>
      <c r="CD10" s="479"/>
      <c r="CE10" s="479"/>
      <c r="CF10" s="479"/>
      <c r="CG10" s="479"/>
      <c r="CH10" s="479"/>
      <c r="CI10" s="479"/>
      <c r="CJ10" s="479"/>
      <c r="CK10" s="479"/>
      <c r="CL10" s="479"/>
      <c r="CM10" s="479"/>
      <c r="CN10" s="479"/>
      <c r="CO10" s="479"/>
      <c r="CP10" s="479"/>
      <c r="CQ10" s="479"/>
      <c r="CR10" s="479"/>
      <c r="CS10" s="479"/>
      <c r="CT10" s="479"/>
      <c r="CU10" s="479"/>
      <c r="CV10" s="479"/>
      <c r="CW10" s="479"/>
      <c r="CX10" s="479"/>
      <c r="CY10" s="479"/>
      <c r="CZ10" s="479"/>
      <c r="DA10" s="479"/>
      <c r="DB10" s="479"/>
      <c r="DC10" s="479"/>
      <c r="DD10" s="479"/>
      <c r="DE10" s="479"/>
      <c r="DF10" s="479"/>
      <c r="DG10" s="479"/>
      <c r="DH10" s="479"/>
      <c r="DI10" s="479"/>
      <c r="DJ10" s="479"/>
      <c r="DK10" s="479"/>
      <c r="DL10" s="479"/>
      <c r="DM10" s="479"/>
      <c r="DN10" s="479"/>
      <c r="DO10" s="479"/>
      <c r="DP10" s="479"/>
      <c r="DQ10" s="479"/>
      <c r="DR10" s="479"/>
      <c r="DS10" s="479"/>
      <c r="DT10" s="479"/>
      <c r="DU10" s="479"/>
      <c r="DV10" s="479"/>
      <c r="DW10" s="479"/>
      <c r="DX10" s="479"/>
      <c r="DY10" s="479"/>
      <c r="DZ10" s="479"/>
      <c r="EA10" s="479"/>
      <c r="EB10" s="479"/>
      <c r="EC10" s="479"/>
      <c r="ED10" s="479"/>
      <c r="EE10" s="479"/>
      <c r="EF10" s="479"/>
      <c r="EG10" s="479"/>
      <c r="EH10" s="479"/>
      <c r="EI10" s="479"/>
      <c r="EJ10" s="479"/>
      <c r="EK10" s="479"/>
      <c r="EL10" s="479"/>
      <c r="EM10" s="479"/>
      <c r="EN10" s="479"/>
      <c r="EO10" s="479"/>
      <c r="EP10" s="479"/>
      <c r="EQ10" s="479"/>
      <c r="ER10" s="479"/>
      <c r="ES10" s="479"/>
      <c r="ET10" s="479"/>
      <c r="EU10" s="479"/>
      <c r="EV10" s="479"/>
      <c r="EW10" s="479"/>
      <c r="EX10" s="479"/>
      <c r="EY10" s="479"/>
      <c r="EZ10" s="479"/>
      <c r="FA10" s="479"/>
      <c r="FB10" s="479"/>
      <c r="FC10" s="479"/>
      <c r="FD10" s="479"/>
      <c r="FE10" s="479"/>
      <c r="FF10" s="479"/>
      <c r="FG10" s="479"/>
      <c r="FH10" s="479"/>
      <c r="FI10" s="479"/>
      <c r="FJ10" s="479"/>
      <c r="FK10" s="479"/>
      <c r="FL10" s="479"/>
      <c r="FM10" s="479"/>
      <c r="FN10" s="479"/>
      <c r="FO10" s="479"/>
      <c r="FP10" s="479"/>
      <c r="FQ10" s="479"/>
      <c r="FR10" s="479"/>
      <c r="FS10" s="479"/>
      <c r="FT10" s="479"/>
      <c r="FU10" s="479"/>
      <c r="FV10" s="479"/>
      <c r="FW10" s="479"/>
      <c r="FX10" s="479"/>
      <c r="FY10" s="479"/>
      <c r="FZ10" s="479"/>
      <c r="GA10" s="479"/>
      <c r="GB10" s="479"/>
      <c r="GC10" s="479"/>
      <c r="GD10" s="479"/>
      <c r="GE10" s="479"/>
      <c r="GF10" s="479"/>
      <c r="GG10" s="479"/>
      <c r="GH10" s="479"/>
      <c r="GI10" s="479"/>
      <c r="GJ10" s="479"/>
      <c r="GK10" s="479"/>
      <c r="GL10" s="479"/>
      <c r="GM10" s="479"/>
      <c r="GN10" s="479"/>
      <c r="GO10" s="479"/>
      <c r="GP10" s="479"/>
      <c r="GQ10" s="479"/>
      <c r="GR10" s="479"/>
      <c r="GS10" s="479"/>
      <c r="GT10" s="479"/>
      <c r="GU10" s="479"/>
      <c r="GV10" s="479"/>
      <c r="GW10" s="479"/>
      <c r="GX10" s="479"/>
      <c r="GY10" s="479"/>
      <c r="GZ10" s="479"/>
      <c r="HA10" s="479"/>
      <c r="HB10" s="479"/>
      <c r="HC10" s="479"/>
      <c r="HD10" s="479"/>
      <c r="HE10" s="479"/>
      <c r="HF10" s="479"/>
      <c r="HG10" s="479"/>
      <c r="HH10" s="479"/>
      <c r="HI10" s="479"/>
      <c r="HJ10" s="479"/>
      <c r="HK10" s="479"/>
      <c r="HL10" s="479"/>
      <c r="HM10" s="479"/>
      <c r="HN10" s="479"/>
      <c r="HO10" s="479"/>
      <c r="HP10" s="479"/>
      <c r="HQ10" s="479"/>
      <c r="HR10" s="479"/>
      <c r="HS10" s="479"/>
      <c r="HT10" s="479"/>
      <c r="HU10" s="479"/>
      <c r="HV10" s="479"/>
      <c r="HW10" s="479"/>
      <c r="HX10" s="479"/>
      <c r="HY10" s="479"/>
      <c r="HZ10" s="479"/>
      <c r="IA10" s="479"/>
      <c r="IB10" s="479"/>
      <c r="IC10" s="479"/>
      <c r="ID10" s="479"/>
      <c r="IE10" s="479"/>
      <c r="IF10" s="479"/>
      <c r="IG10" s="479"/>
      <c r="IH10" s="479"/>
      <c r="II10" s="479"/>
    </row>
    <row r="11" spans="1:243" x14ac:dyDescent="0.2">
      <c r="A11" s="385" t="s">
        <v>378</v>
      </c>
      <c r="B11" s="386" t="s">
        <v>59</v>
      </c>
      <c r="C11" s="386">
        <v>10279</v>
      </c>
      <c r="D11" s="386">
        <v>7756</v>
      </c>
      <c r="E11" s="386">
        <v>7489</v>
      </c>
      <c r="F11" s="386">
        <v>11091</v>
      </c>
      <c r="G11" s="391">
        <v>9506</v>
      </c>
      <c r="H11" s="386">
        <v>3013</v>
      </c>
      <c r="I11" s="386">
        <v>7587</v>
      </c>
      <c r="J11" s="386">
        <v>14182</v>
      </c>
      <c r="K11" s="391">
        <v>9153</v>
      </c>
      <c r="L11" s="386">
        <v>3616</v>
      </c>
      <c r="M11" s="386">
        <v>21155</v>
      </c>
      <c r="N11" s="386"/>
      <c r="O11" s="386"/>
      <c r="P11" s="386"/>
      <c r="Q11" s="386"/>
      <c r="R11" s="391">
        <f>SUM(C11:Q11)</f>
        <v>104827</v>
      </c>
      <c r="S11" s="389"/>
      <c r="T11" s="401"/>
      <c r="U11" s="401"/>
      <c r="V11" s="400"/>
      <c r="W11" s="400"/>
      <c r="X11" s="400"/>
      <c r="Y11" s="400"/>
      <c r="Z11" s="400"/>
      <c r="AA11" s="400"/>
      <c r="AB11" s="400"/>
      <c r="AC11" s="400"/>
      <c r="AD11" s="400"/>
      <c r="AE11" s="400"/>
      <c r="AF11" s="400"/>
      <c r="AG11" s="400"/>
      <c r="AH11" s="400"/>
      <c r="AI11" s="400"/>
      <c r="AJ11" s="400"/>
      <c r="AK11" s="400"/>
      <c r="AL11" s="400"/>
      <c r="AM11" s="400"/>
      <c r="AN11" s="400"/>
      <c r="AO11" s="400"/>
      <c r="AP11" s="400"/>
      <c r="AQ11" s="400"/>
      <c r="AR11" s="400"/>
      <c r="AS11" s="400"/>
      <c r="AT11" s="400"/>
      <c r="AU11" s="400"/>
      <c r="AV11" s="400"/>
      <c r="AW11" s="400"/>
      <c r="AX11" s="400"/>
      <c r="AY11" s="400"/>
      <c r="AZ11" s="400"/>
      <c r="BA11" s="400"/>
      <c r="BB11" s="400"/>
      <c r="BC11" s="400"/>
      <c r="BD11" s="400"/>
      <c r="BE11" s="400"/>
      <c r="BF11" s="400"/>
      <c r="BG11" s="400"/>
      <c r="BH11" s="400"/>
      <c r="BI11" s="400"/>
      <c r="BJ11" s="400"/>
      <c r="BK11" s="400"/>
      <c r="BL11" s="400"/>
      <c r="BM11" s="400"/>
      <c r="BN11" s="400"/>
      <c r="BO11" s="400"/>
      <c r="BP11" s="400"/>
      <c r="BQ11" s="400"/>
      <c r="BR11" s="400"/>
      <c r="BS11" s="400"/>
      <c r="BT11" s="400"/>
      <c r="BU11" s="400"/>
      <c r="BV11" s="400"/>
      <c r="BW11" s="400"/>
      <c r="BX11" s="400"/>
      <c r="BY11" s="400"/>
      <c r="BZ11" s="400"/>
      <c r="CA11" s="400"/>
      <c r="CB11" s="400"/>
      <c r="CC11" s="400"/>
      <c r="CD11" s="400"/>
      <c r="CE11" s="400"/>
      <c r="CF11" s="400"/>
      <c r="CG11" s="400"/>
      <c r="CH11" s="400"/>
      <c r="CI11" s="400"/>
      <c r="CJ11" s="400"/>
      <c r="CK11" s="400"/>
      <c r="CL11" s="400"/>
      <c r="CM11" s="400"/>
      <c r="CN11" s="400"/>
      <c r="CO11" s="400"/>
      <c r="CP11" s="400"/>
      <c r="CQ11" s="400"/>
      <c r="CR11" s="400"/>
      <c r="CS11" s="400"/>
      <c r="CT11" s="400"/>
      <c r="CU11" s="400"/>
      <c r="CV11" s="400"/>
      <c r="CW11" s="400"/>
      <c r="CX11" s="400"/>
      <c r="CY11" s="400"/>
      <c r="CZ11" s="400"/>
      <c r="DA11" s="400"/>
      <c r="DB11" s="400"/>
      <c r="DC11" s="400"/>
      <c r="DD11" s="400"/>
      <c r="DE11" s="400"/>
      <c r="DF11" s="400"/>
      <c r="DG11" s="400"/>
      <c r="DH11" s="400"/>
      <c r="DI11" s="400"/>
      <c r="DJ11" s="400"/>
      <c r="DK11" s="400"/>
      <c r="DL11" s="400"/>
      <c r="DM11" s="400"/>
      <c r="DN11" s="400"/>
      <c r="DO11" s="400"/>
      <c r="DP11" s="400"/>
      <c r="DQ11" s="400"/>
      <c r="DR11" s="400"/>
      <c r="DS11" s="400"/>
      <c r="DT11" s="400"/>
      <c r="DU11" s="400"/>
      <c r="DV11" s="400"/>
      <c r="DW11" s="400"/>
      <c r="DX11" s="400"/>
      <c r="DY11" s="400"/>
      <c r="DZ11" s="400"/>
      <c r="EA11" s="400"/>
      <c r="EB11" s="400"/>
      <c r="EC11" s="400"/>
      <c r="ED11" s="400"/>
      <c r="EE11" s="400"/>
      <c r="EF11" s="400"/>
      <c r="EG11" s="400"/>
      <c r="EH11" s="400"/>
      <c r="EI11" s="400"/>
      <c r="EJ11" s="400"/>
      <c r="EK11" s="400"/>
      <c r="EL11" s="400"/>
      <c r="EM11" s="400"/>
      <c r="EN11" s="400"/>
      <c r="EO11" s="400"/>
      <c r="EP11" s="400"/>
      <c r="EQ11" s="400"/>
      <c r="ER11" s="400"/>
      <c r="ES11" s="400"/>
      <c r="ET11" s="400"/>
      <c r="EU11" s="400"/>
      <c r="EV11" s="400"/>
      <c r="EW11" s="400"/>
      <c r="EX11" s="400"/>
      <c r="EY11" s="400"/>
      <c r="EZ11" s="400"/>
      <c r="FA11" s="400"/>
      <c r="FB11" s="400"/>
      <c r="FC11" s="400"/>
      <c r="FD11" s="400"/>
      <c r="FE11" s="400"/>
      <c r="FF11" s="400"/>
      <c r="FG11" s="400"/>
      <c r="FH11" s="400"/>
      <c r="FI11" s="400"/>
      <c r="FJ11" s="400"/>
      <c r="FK11" s="400"/>
      <c r="FL11" s="400"/>
      <c r="FM11" s="400"/>
      <c r="FN11" s="400"/>
      <c r="FO11" s="400"/>
      <c r="FP11" s="400"/>
      <c r="FQ11" s="400"/>
      <c r="FR11" s="400"/>
      <c r="FS11" s="400"/>
      <c r="FT11" s="400"/>
      <c r="FU11" s="400"/>
      <c r="FV11" s="400"/>
      <c r="FW11" s="400"/>
      <c r="FX11" s="400"/>
      <c r="FY11" s="400"/>
      <c r="FZ11" s="400"/>
      <c r="GA11" s="400"/>
      <c r="GB11" s="400"/>
      <c r="GC11" s="400"/>
      <c r="GD11" s="400"/>
      <c r="GE11" s="400"/>
      <c r="GF11" s="400"/>
      <c r="GG11" s="400"/>
      <c r="GH11" s="400"/>
      <c r="GI11" s="400"/>
      <c r="GJ11" s="400"/>
      <c r="GK11" s="400"/>
      <c r="GL11" s="400"/>
      <c r="GM11" s="400"/>
      <c r="GN11" s="400"/>
      <c r="GO11" s="400"/>
      <c r="GP11" s="400"/>
      <c r="GQ11" s="400"/>
      <c r="GR11" s="400"/>
      <c r="GS11" s="400"/>
      <c r="GT11" s="400"/>
      <c r="GU11" s="400"/>
      <c r="GV11" s="400"/>
      <c r="GW11" s="400"/>
      <c r="GX11" s="400"/>
      <c r="GY11" s="400"/>
      <c r="GZ11" s="400"/>
      <c r="HA11" s="400"/>
      <c r="HB11" s="400"/>
      <c r="HC11" s="400"/>
      <c r="HD11" s="400"/>
      <c r="HE11" s="400"/>
      <c r="HF11" s="400"/>
      <c r="HG11" s="400"/>
      <c r="HH11" s="400"/>
      <c r="HI11" s="400"/>
      <c r="HJ11" s="400"/>
      <c r="HK11" s="400"/>
      <c r="HL11" s="400"/>
      <c r="HM11" s="400"/>
      <c r="HN11" s="400"/>
      <c r="HO11" s="400"/>
      <c r="HP11" s="400"/>
      <c r="HQ11" s="400"/>
      <c r="HR11" s="400"/>
      <c r="HS11" s="400"/>
      <c r="HT11" s="400"/>
      <c r="HU11" s="400"/>
      <c r="HV11" s="400"/>
      <c r="HW11" s="400"/>
      <c r="HX11" s="400"/>
      <c r="HY11" s="400"/>
      <c r="HZ11" s="400"/>
      <c r="IA11" s="400"/>
      <c r="IB11" s="400"/>
      <c r="IC11" s="400"/>
      <c r="ID11" s="400"/>
      <c r="IE11" s="400"/>
      <c r="IF11" s="400"/>
      <c r="IG11" s="400"/>
      <c r="IH11" s="400"/>
      <c r="II11" s="400"/>
    </row>
    <row r="12" spans="1:243" x14ac:dyDescent="0.2">
      <c r="A12" s="404"/>
      <c r="B12" s="384"/>
      <c r="C12" s="490">
        <v>0.19009999999999999</v>
      </c>
      <c r="D12" s="490">
        <v>0.19009999999999999</v>
      </c>
      <c r="E12" s="490">
        <v>0.19009999999999999</v>
      </c>
      <c r="F12" s="490">
        <v>0.19009999999999999</v>
      </c>
      <c r="G12" s="490">
        <v>0.19009999999999999</v>
      </c>
      <c r="H12" s="490">
        <v>0.19009999999999999</v>
      </c>
      <c r="I12" s="490">
        <v>0.19009999999999999</v>
      </c>
      <c r="J12" s="490">
        <v>0.19009999999999999</v>
      </c>
      <c r="K12" s="490">
        <v>0.19009999999999999</v>
      </c>
      <c r="L12" s="490">
        <v>0.19009999999999999</v>
      </c>
      <c r="M12" s="490">
        <v>0.19009999999999999</v>
      </c>
      <c r="N12" s="490">
        <v>0.19009999999999999</v>
      </c>
      <c r="O12" s="490">
        <v>0.19009999999999999</v>
      </c>
      <c r="P12" s="490">
        <v>0.19009999999999999</v>
      </c>
      <c r="Q12" s="490">
        <v>0.19009999999999999</v>
      </c>
      <c r="R12" s="384"/>
      <c r="S12" s="389"/>
      <c r="T12" s="401"/>
      <c r="U12" s="401"/>
      <c r="V12" s="400"/>
      <c r="W12" s="400"/>
      <c r="X12" s="400"/>
      <c r="Y12" s="400"/>
      <c r="Z12" s="400"/>
      <c r="AA12" s="400"/>
      <c r="AB12" s="400"/>
      <c r="AC12" s="400"/>
      <c r="AD12" s="400"/>
      <c r="AE12" s="400"/>
      <c r="AF12" s="400"/>
      <c r="AG12" s="400"/>
      <c r="AH12" s="400"/>
      <c r="AI12" s="400"/>
      <c r="AJ12" s="400"/>
      <c r="AK12" s="400"/>
      <c r="AL12" s="400"/>
      <c r="AM12" s="400"/>
      <c r="AN12" s="400"/>
      <c r="AO12" s="400"/>
      <c r="AP12" s="400"/>
      <c r="AQ12" s="400"/>
      <c r="AR12" s="400"/>
      <c r="AS12" s="400"/>
      <c r="AT12" s="400"/>
      <c r="AU12" s="400"/>
      <c r="AV12" s="400"/>
      <c r="AW12" s="400"/>
      <c r="AX12" s="400"/>
      <c r="AY12" s="400"/>
      <c r="AZ12" s="400"/>
      <c r="BA12" s="400"/>
      <c r="BB12" s="400"/>
      <c r="BC12" s="400"/>
      <c r="BD12" s="400"/>
      <c r="BE12" s="400"/>
      <c r="BF12" s="400"/>
      <c r="BG12" s="400"/>
      <c r="BH12" s="400"/>
      <c r="BI12" s="400"/>
      <c r="BJ12" s="400"/>
      <c r="BK12" s="400"/>
      <c r="BL12" s="400"/>
      <c r="BM12" s="400"/>
      <c r="BN12" s="400"/>
      <c r="BO12" s="400"/>
      <c r="BP12" s="400"/>
      <c r="BQ12" s="400"/>
      <c r="BR12" s="400"/>
      <c r="BS12" s="400"/>
      <c r="BT12" s="400"/>
      <c r="BU12" s="400"/>
      <c r="BV12" s="400"/>
      <c r="BW12" s="400"/>
      <c r="BX12" s="400"/>
      <c r="BY12" s="400"/>
      <c r="BZ12" s="400"/>
      <c r="CA12" s="400"/>
      <c r="CB12" s="400"/>
      <c r="CC12" s="400"/>
      <c r="CD12" s="400"/>
      <c r="CE12" s="400"/>
      <c r="CF12" s="400"/>
      <c r="CG12" s="400"/>
      <c r="CH12" s="400"/>
      <c r="CI12" s="400"/>
      <c r="CJ12" s="400"/>
      <c r="CK12" s="400"/>
      <c r="CL12" s="400"/>
      <c r="CM12" s="400"/>
      <c r="CN12" s="400"/>
      <c r="CO12" s="400"/>
      <c r="CP12" s="400"/>
      <c r="CQ12" s="400"/>
      <c r="CR12" s="400"/>
      <c r="CS12" s="400"/>
      <c r="CT12" s="400"/>
      <c r="CU12" s="400"/>
      <c r="CV12" s="400"/>
      <c r="CW12" s="400"/>
      <c r="CX12" s="400"/>
      <c r="CY12" s="400"/>
      <c r="CZ12" s="400"/>
      <c r="DA12" s="400"/>
      <c r="DB12" s="400"/>
      <c r="DC12" s="400"/>
      <c r="DD12" s="400"/>
      <c r="DE12" s="400"/>
      <c r="DF12" s="400"/>
      <c r="DG12" s="400"/>
      <c r="DH12" s="400"/>
      <c r="DI12" s="400"/>
      <c r="DJ12" s="400"/>
      <c r="DK12" s="400"/>
      <c r="DL12" s="400"/>
      <c r="DM12" s="400"/>
      <c r="DN12" s="400"/>
      <c r="DO12" s="400"/>
      <c r="DP12" s="400"/>
      <c r="DQ12" s="400"/>
      <c r="DR12" s="400"/>
      <c r="DS12" s="400"/>
      <c r="DT12" s="400"/>
      <c r="DU12" s="400"/>
      <c r="DV12" s="400"/>
      <c r="DW12" s="400"/>
      <c r="DX12" s="400"/>
      <c r="DY12" s="400"/>
      <c r="DZ12" s="400"/>
      <c r="EA12" s="400"/>
      <c r="EB12" s="400"/>
      <c r="EC12" s="400"/>
      <c r="ED12" s="400"/>
      <c r="EE12" s="400"/>
      <c r="EF12" s="400"/>
      <c r="EG12" s="400"/>
      <c r="EH12" s="400"/>
      <c r="EI12" s="400"/>
      <c r="EJ12" s="400"/>
      <c r="EK12" s="400"/>
      <c r="EL12" s="400"/>
      <c r="EM12" s="400"/>
      <c r="EN12" s="400"/>
      <c r="EO12" s="400"/>
      <c r="EP12" s="400"/>
      <c r="EQ12" s="400"/>
      <c r="ER12" s="400"/>
      <c r="ES12" s="400"/>
      <c r="ET12" s="400"/>
      <c r="EU12" s="400"/>
      <c r="EV12" s="400"/>
      <c r="EW12" s="400"/>
      <c r="EX12" s="400"/>
      <c r="EY12" s="400"/>
      <c r="EZ12" s="400"/>
      <c r="FA12" s="400"/>
      <c r="FB12" s="400"/>
      <c r="FC12" s="400"/>
      <c r="FD12" s="400"/>
      <c r="FE12" s="400"/>
      <c r="FF12" s="400"/>
      <c r="FG12" s="400"/>
      <c r="FH12" s="400"/>
      <c r="FI12" s="400"/>
      <c r="FJ12" s="400"/>
      <c r="FK12" s="400"/>
      <c r="FL12" s="400"/>
      <c r="FM12" s="400"/>
      <c r="FN12" s="400"/>
      <c r="FO12" s="400"/>
      <c r="FP12" s="400"/>
      <c r="FQ12" s="400"/>
      <c r="FR12" s="400"/>
      <c r="FS12" s="400"/>
      <c r="FT12" s="400"/>
      <c r="FU12" s="400"/>
      <c r="FV12" s="400"/>
      <c r="FW12" s="400"/>
      <c r="FX12" s="400"/>
      <c r="FY12" s="400"/>
      <c r="FZ12" s="400"/>
      <c r="GA12" s="400"/>
      <c r="GB12" s="400"/>
      <c r="GC12" s="400"/>
      <c r="GD12" s="400"/>
      <c r="GE12" s="400"/>
      <c r="GF12" s="400"/>
      <c r="GG12" s="400"/>
      <c r="GH12" s="400"/>
      <c r="GI12" s="400"/>
      <c r="GJ12" s="400"/>
      <c r="GK12" s="400"/>
      <c r="GL12" s="400"/>
      <c r="GM12" s="400"/>
      <c r="GN12" s="400"/>
      <c r="GO12" s="400"/>
      <c r="GP12" s="400"/>
      <c r="GQ12" s="400"/>
      <c r="GR12" s="400"/>
      <c r="GS12" s="400"/>
      <c r="GT12" s="400"/>
      <c r="GU12" s="400"/>
      <c r="GV12" s="400"/>
      <c r="GW12" s="400"/>
      <c r="GX12" s="400"/>
      <c r="GY12" s="400"/>
      <c r="GZ12" s="400"/>
      <c r="HA12" s="400"/>
      <c r="HB12" s="400"/>
      <c r="HC12" s="400"/>
      <c r="HD12" s="400"/>
      <c r="HE12" s="400"/>
      <c r="HF12" s="400"/>
      <c r="HG12" s="400"/>
      <c r="HH12" s="400"/>
      <c r="HI12" s="400"/>
      <c r="HJ12" s="400"/>
      <c r="HK12" s="400"/>
      <c r="HL12" s="400"/>
      <c r="HM12" s="400"/>
      <c r="HN12" s="400"/>
      <c r="HO12" s="400"/>
      <c r="HP12" s="400"/>
      <c r="HQ12" s="400"/>
      <c r="HR12" s="400"/>
      <c r="HS12" s="400"/>
      <c r="HT12" s="400"/>
      <c r="HU12" s="400"/>
      <c r="HV12" s="400"/>
      <c r="HW12" s="400"/>
      <c r="HX12" s="400"/>
      <c r="HY12" s="400"/>
      <c r="HZ12" s="400"/>
      <c r="IA12" s="400"/>
      <c r="IB12" s="400"/>
      <c r="IC12" s="400"/>
      <c r="ID12" s="400"/>
      <c r="IE12" s="400"/>
      <c r="IF12" s="400"/>
      <c r="IG12" s="400"/>
      <c r="IH12" s="400"/>
      <c r="II12" s="400"/>
    </row>
    <row r="13" spans="1:243" s="480" customFormat="1" x14ac:dyDescent="0.2">
      <c r="A13" s="476"/>
      <c r="B13" s="476"/>
      <c r="C13" s="476">
        <f>ROUND(C11*C12,2)</f>
        <v>1954.04</v>
      </c>
      <c r="D13" s="476">
        <f t="shared" ref="D13:O13" si="2">ROUND(D11*D12,2)</f>
        <v>1474.42</v>
      </c>
      <c r="E13" s="476">
        <f t="shared" si="2"/>
        <v>1423.66</v>
      </c>
      <c r="F13" s="476">
        <f t="shared" si="2"/>
        <v>2108.4</v>
      </c>
      <c r="G13" s="476">
        <f t="shared" si="2"/>
        <v>1807.09</v>
      </c>
      <c r="H13" s="476">
        <f t="shared" si="2"/>
        <v>572.77</v>
      </c>
      <c r="I13" s="476">
        <f t="shared" si="2"/>
        <v>1442.29</v>
      </c>
      <c r="J13" s="476">
        <f t="shared" si="2"/>
        <v>2696</v>
      </c>
      <c r="K13" s="476">
        <f t="shared" si="2"/>
        <v>1739.99</v>
      </c>
      <c r="L13" s="476">
        <f t="shared" si="2"/>
        <v>687.4</v>
      </c>
      <c r="M13" s="476">
        <f t="shared" si="2"/>
        <v>4021.57</v>
      </c>
      <c r="N13" s="476">
        <f t="shared" si="2"/>
        <v>0</v>
      </c>
      <c r="O13" s="476">
        <f t="shared" si="2"/>
        <v>0</v>
      </c>
      <c r="P13" s="476"/>
      <c r="Q13" s="476"/>
      <c r="R13" s="476">
        <f>SUM(C13:Q13)</f>
        <v>19927.63</v>
      </c>
      <c r="S13" s="477"/>
      <c r="T13" s="478"/>
      <c r="U13" s="478"/>
      <c r="V13" s="479"/>
      <c r="W13" s="479"/>
      <c r="X13" s="479"/>
      <c r="Y13" s="479"/>
      <c r="Z13" s="479"/>
      <c r="AA13" s="479"/>
      <c r="AB13" s="479"/>
      <c r="AC13" s="479"/>
      <c r="AD13" s="479"/>
      <c r="AE13" s="479"/>
      <c r="AF13" s="479"/>
      <c r="AG13" s="479"/>
      <c r="AH13" s="479"/>
      <c r="AI13" s="479"/>
      <c r="AJ13" s="479"/>
      <c r="AK13" s="479"/>
      <c r="AL13" s="479"/>
      <c r="AM13" s="479"/>
      <c r="AN13" s="479"/>
      <c r="AO13" s="479"/>
      <c r="AP13" s="479"/>
      <c r="AQ13" s="479"/>
      <c r="AR13" s="479"/>
      <c r="AS13" s="479"/>
      <c r="AT13" s="479"/>
      <c r="AU13" s="479"/>
      <c r="AV13" s="479"/>
      <c r="AW13" s="479"/>
      <c r="AX13" s="479"/>
      <c r="AY13" s="479"/>
      <c r="AZ13" s="479"/>
      <c r="BA13" s="479"/>
      <c r="BB13" s="479"/>
      <c r="BC13" s="479"/>
      <c r="BD13" s="479"/>
      <c r="BE13" s="479"/>
      <c r="BF13" s="479"/>
      <c r="BG13" s="479"/>
      <c r="BH13" s="479"/>
      <c r="BI13" s="479"/>
      <c r="BJ13" s="479"/>
      <c r="BK13" s="479"/>
      <c r="BL13" s="479"/>
      <c r="BM13" s="479"/>
      <c r="BN13" s="479"/>
      <c r="BO13" s="479"/>
      <c r="BP13" s="479"/>
      <c r="BQ13" s="479"/>
      <c r="BR13" s="479"/>
      <c r="BS13" s="479"/>
      <c r="BT13" s="479"/>
      <c r="BU13" s="479"/>
      <c r="BV13" s="479"/>
      <c r="BW13" s="479"/>
      <c r="BX13" s="479"/>
      <c r="BY13" s="479"/>
      <c r="BZ13" s="479"/>
      <c r="CA13" s="479"/>
      <c r="CB13" s="479"/>
      <c r="CC13" s="479"/>
      <c r="CD13" s="479"/>
      <c r="CE13" s="479"/>
      <c r="CF13" s="479"/>
      <c r="CG13" s="479"/>
      <c r="CH13" s="479"/>
      <c r="CI13" s="479"/>
      <c r="CJ13" s="479"/>
      <c r="CK13" s="479"/>
      <c r="CL13" s="479"/>
      <c r="CM13" s="479"/>
      <c r="CN13" s="479"/>
      <c r="CO13" s="479"/>
      <c r="CP13" s="479"/>
      <c r="CQ13" s="479"/>
      <c r="CR13" s="479"/>
      <c r="CS13" s="479"/>
      <c r="CT13" s="479"/>
      <c r="CU13" s="479"/>
      <c r="CV13" s="479"/>
      <c r="CW13" s="479"/>
      <c r="CX13" s="479"/>
      <c r="CY13" s="479"/>
      <c r="CZ13" s="479"/>
      <c r="DA13" s="479"/>
      <c r="DB13" s="479"/>
      <c r="DC13" s="479"/>
      <c r="DD13" s="479"/>
      <c r="DE13" s="479"/>
      <c r="DF13" s="479"/>
      <c r="DG13" s="479"/>
      <c r="DH13" s="479"/>
      <c r="DI13" s="479"/>
      <c r="DJ13" s="479"/>
      <c r="DK13" s="479"/>
      <c r="DL13" s="479"/>
      <c r="DM13" s="479"/>
      <c r="DN13" s="479"/>
      <c r="DO13" s="479"/>
      <c r="DP13" s="479"/>
      <c r="DQ13" s="479"/>
      <c r="DR13" s="479"/>
      <c r="DS13" s="479"/>
      <c r="DT13" s="479"/>
      <c r="DU13" s="479"/>
      <c r="DV13" s="479"/>
      <c r="DW13" s="479"/>
      <c r="DX13" s="479"/>
      <c r="DY13" s="479"/>
      <c r="DZ13" s="479"/>
      <c r="EA13" s="479"/>
      <c r="EB13" s="479"/>
      <c r="EC13" s="479"/>
      <c r="ED13" s="479"/>
      <c r="EE13" s="479"/>
      <c r="EF13" s="479"/>
      <c r="EG13" s="479"/>
      <c r="EH13" s="479"/>
      <c r="EI13" s="479"/>
      <c r="EJ13" s="479"/>
      <c r="EK13" s="479"/>
      <c r="EL13" s="479"/>
      <c r="EM13" s="479"/>
      <c r="EN13" s="479"/>
      <c r="EO13" s="479"/>
      <c r="EP13" s="479"/>
      <c r="EQ13" s="479"/>
      <c r="ER13" s="479"/>
      <c r="ES13" s="479"/>
      <c r="ET13" s="479"/>
      <c r="EU13" s="479"/>
      <c r="EV13" s="479"/>
      <c r="EW13" s="479"/>
      <c r="EX13" s="479"/>
      <c r="EY13" s="479"/>
      <c r="EZ13" s="479"/>
      <c r="FA13" s="479"/>
      <c r="FB13" s="479"/>
      <c r="FC13" s="479"/>
      <c r="FD13" s="479"/>
      <c r="FE13" s="479"/>
      <c r="FF13" s="479"/>
      <c r="FG13" s="479"/>
      <c r="FH13" s="479"/>
      <c r="FI13" s="479"/>
      <c r="FJ13" s="479"/>
      <c r="FK13" s="479"/>
      <c r="FL13" s="479"/>
      <c r="FM13" s="479"/>
      <c r="FN13" s="479"/>
      <c r="FO13" s="479"/>
      <c r="FP13" s="479"/>
      <c r="FQ13" s="479"/>
      <c r="FR13" s="479"/>
      <c r="FS13" s="479"/>
      <c r="FT13" s="479"/>
      <c r="FU13" s="479"/>
      <c r="FV13" s="479"/>
      <c r="FW13" s="479"/>
      <c r="FX13" s="479"/>
      <c r="FY13" s="479"/>
      <c r="FZ13" s="479"/>
      <c r="GA13" s="479"/>
      <c r="GB13" s="479"/>
      <c r="GC13" s="479"/>
      <c r="GD13" s="479"/>
      <c r="GE13" s="479"/>
      <c r="GF13" s="479"/>
      <c r="GG13" s="479"/>
      <c r="GH13" s="479"/>
      <c r="GI13" s="479"/>
      <c r="GJ13" s="479"/>
      <c r="GK13" s="479"/>
      <c r="GL13" s="479"/>
      <c r="GM13" s="479"/>
      <c r="GN13" s="479"/>
      <c r="GO13" s="479"/>
      <c r="GP13" s="479"/>
      <c r="GQ13" s="479"/>
      <c r="GR13" s="479"/>
      <c r="GS13" s="479"/>
      <c r="GT13" s="479"/>
      <c r="GU13" s="479"/>
      <c r="GV13" s="479"/>
      <c r="GW13" s="479"/>
      <c r="GX13" s="479"/>
      <c r="GY13" s="479"/>
      <c r="GZ13" s="479"/>
      <c r="HA13" s="479"/>
      <c r="HB13" s="479"/>
      <c r="HC13" s="479"/>
      <c r="HD13" s="479"/>
      <c r="HE13" s="479"/>
      <c r="HF13" s="479"/>
      <c r="HG13" s="479"/>
      <c r="HH13" s="479"/>
      <c r="HI13" s="479"/>
      <c r="HJ13" s="479"/>
      <c r="HK13" s="479"/>
      <c r="HL13" s="479"/>
      <c r="HM13" s="479"/>
      <c r="HN13" s="479"/>
      <c r="HO13" s="479"/>
      <c r="HP13" s="479"/>
      <c r="HQ13" s="479"/>
      <c r="HR13" s="479"/>
      <c r="HS13" s="479"/>
      <c r="HT13" s="479"/>
      <c r="HU13" s="479"/>
      <c r="HV13" s="479"/>
      <c r="HW13" s="479"/>
      <c r="HX13" s="479"/>
      <c r="HY13" s="479"/>
      <c r="HZ13" s="479"/>
      <c r="IA13" s="479"/>
      <c r="IB13" s="479"/>
      <c r="IC13" s="479"/>
      <c r="ID13" s="479"/>
      <c r="IE13" s="479"/>
      <c r="IF13" s="479"/>
      <c r="IG13" s="479"/>
      <c r="IH13" s="479"/>
      <c r="II13" s="479"/>
    </row>
    <row r="14" spans="1:243" x14ac:dyDescent="0.2">
      <c r="A14" s="385" t="s">
        <v>281</v>
      </c>
      <c r="B14" s="386" t="s">
        <v>59</v>
      </c>
      <c r="C14" s="424">
        <v>3562</v>
      </c>
      <c r="D14" s="424">
        <v>75</v>
      </c>
      <c r="E14" s="386">
        <v>1240</v>
      </c>
      <c r="F14" s="424"/>
      <c r="G14" s="424">
        <v>1550</v>
      </c>
      <c r="H14" s="386">
        <v>614</v>
      </c>
      <c r="I14" s="386"/>
      <c r="J14" s="386"/>
      <c r="K14" s="424">
        <v>485</v>
      </c>
      <c r="L14" s="386"/>
      <c r="M14" s="386"/>
      <c r="N14" s="386"/>
      <c r="O14" s="386"/>
      <c r="P14" s="386"/>
      <c r="Q14" s="386"/>
      <c r="R14" s="391">
        <f>SUM(C14:Q14)</f>
        <v>7526</v>
      </c>
      <c r="S14" s="389"/>
      <c r="T14" s="401"/>
      <c r="U14" s="401"/>
      <c r="V14" s="400"/>
      <c r="W14" s="400"/>
      <c r="X14" s="400"/>
      <c r="Y14" s="400"/>
      <c r="Z14" s="400"/>
      <c r="AA14" s="400"/>
      <c r="AB14" s="400"/>
      <c r="AC14" s="400"/>
      <c r="AD14" s="400"/>
      <c r="AE14" s="400"/>
      <c r="AF14" s="400"/>
      <c r="AG14" s="400"/>
      <c r="AH14" s="400"/>
      <c r="AI14" s="400"/>
      <c r="AJ14" s="400"/>
      <c r="AK14" s="400"/>
      <c r="AL14" s="400"/>
      <c r="AM14" s="400"/>
      <c r="AN14" s="400"/>
      <c r="AO14" s="400"/>
      <c r="AP14" s="400"/>
      <c r="AQ14" s="400"/>
      <c r="AR14" s="400"/>
      <c r="AS14" s="400"/>
      <c r="AT14" s="400"/>
      <c r="AU14" s="400"/>
      <c r="AV14" s="400"/>
      <c r="AW14" s="400"/>
      <c r="AX14" s="400"/>
      <c r="AY14" s="400"/>
      <c r="AZ14" s="400"/>
      <c r="BA14" s="400"/>
      <c r="BB14" s="400"/>
      <c r="BC14" s="400"/>
      <c r="BD14" s="400"/>
      <c r="BE14" s="400"/>
      <c r="BF14" s="400"/>
      <c r="BG14" s="400"/>
      <c r="BH14" s="400"/>
      <c r="BI14" s="400"/>
      <c r="BJ14" s="400"/>
      <c r="BK14" s="400"/>
      <c r="BL14" s="400"/>
      <c r="BM14" s="400"/>
      <c r="BN14" s="400"/>
      <c r="BO14" s="400"/>
      <c r="BP14" s="400"/>
      <c r="BQ14" s="400"/>
      <c r="BR14" s="400"/>
      <c r="BS14" s="400"/>
      <c r="BT14" s="400"/>
      <c r="BU14" s="400"/>
      <c r="BV14" s="400"/>
      <c r="BW14" s="400"/>
      <c r="BX14" s="400"/>
      <c r="BY14" s="400"/>
      <c r="BZ14" s="400"/>
      <c r="CA14" s="400"/>
      <c r="CB14" s="400"/>
      <c r="CC14" s="400"/>
      <c r="CD14" s="400"/>
      <c r="CE14" s="400"/>
      <c r="CF14" s="400"/>
      <c r="CG14" s="400"/>
      <c r="CH14" s="400"/>
      <c r="CI14" s="400"/>
      <c r="CJ14" s="400"/>
      <c r="CK14" s="400"/>
      <c r="CL14" s="400"/>
      <c r="CM14" s="400"/>
      <c r="CN14" s="400"/>
      <c r="CO14" s="400"/>
      <c r="CP14" s="400"/>
      <c r="CQ14" s="400"/>
      <c r="CR14" s="400"/>
      <c r="CS14" s="400"/>
      <c r="CT14" s="400"/>
      <c r="CU14" s="400"/>
      <c r="CV14" s="400"/>
      <c r="CW14" s="400"/>
      <c r="CX14" s="400"/>
      <c r="CY14" s="400"/>
      <c r="CZ14" s="400"/>
      <c r="DA14" s="400"/>
      <c r="DB14" s="400"/>
      <c r="DC14" s="400"/>
      <c r="DD14" s="400"/>
      <c r="DE14" s="400"/>
      <c r="DF14" s="400"/>
      <c r="DG14" s="400"/>
      <c r="DH14" s="400"/>
      <c r="DI14" s="400"/>
      <c r="DJ14" s="400"/>
      <c r="DK14" s="400"/>
      <c r="DL14" s="400"/>
      <c r="DM14" s="400"/>
      <c r="DN14" s="400"/>
      <c r="DO14" s="400"/>
      <c r="DP14" s="400"/>
      <c r="DQ14" s="400"/>
      <c r="DR14" s="400"/>
      <c r="DS14" s="400"/>
      <c r="DT14" s="400"/>
      <c r="DU14" s="400"/>
      <c r="DV14" s="400"/>
      <c r="DW14" s="400"/>
      <c r="DX14" s="400"/>
      <c r="DY14" s="400"/>
      <c r="DZ14" s="400"/>
      <c r="EA14" s="400"/>
      <c r="EB14" s="400"/>
      <c r="EC14" s="400"/>
      <c r="ED14" s="400"/>
      <c r="EE14" s="400"/>
      <c r="EF14" s="400"/>
      <c r="EG14" s="400"/>
      <c r="EH14" s="400"/>
      <c r="EI14" s="400"/>
      <c r="EJ14" s="400"/>
      <c r="EK14" s="400"/>
      <c r="EL14" s="400"/>
      <c r="EM14" s="400"/>
      <c r="EN14" s="400"/>
      <c r="EO14" s="400"/>
      <c r="EP14" s="400"/>
      <c r="EQ14" s="400"/>
      <c r="ER14" s="400"/>
      <c r="ES14" s="400"/>
      <c r="ET14" s="400"/>
      <c r="EU14" s="400"/>
      <c r="EV14" s="400"/>
      <c r="EW14" s="400"/>
      <c r="EX14" s="400"/>
      <c r="EY14" s="400"/>
      <c r="EZ14" s="400"/>
      <c r="FA14" s="400"/>
      <c r="FB14" s="400"/>
      <c r="FC14" s="400"/>
      <c r="FD14" s="400"/>
      <c r="FE14" s="400"/>
      <c r="FF14" s="400"/>
      <c r="FG14" s="400"/>
      <c r="FH14" s="400"/>
      <c r="FI14" s="400"/>
      <c r="FJ14" s="400"/>
      <c r="FK14" s="400"/>
      <c r="FL14" s="400"/>
      <c r="FM14" s="400"/>
      <c r="FN14" s="400"/>
      <c r="FO14" s="400"/>
      <c r="FP14" s="400"/>
      <c r="FQ14" s="400"/>
      <c r="FR14" s="400"/>
      <c r="FS14" s="400"/>
      <c r="FT14" s="400"/>
      <c r="FU14" s="400"/>
      <c r="FV14" s="400"/>
      <c r="FW14" s="400"/>
      <c r="FX14" s="400"/>
      <c r="FY14" s="400"/>
      <c r="FZ14" s="400"/>
      <c r="GA14" s="400"/>
      <c r="GB14" s="400"/>
      <c r="GC14" s="400"/>
      <c r="GD14" s="400"/>
      <c r="GE14" s="400"/>
      <c r="GF14" s="400"/>
      <c r="GG14" s="400"/>
      <c r="GH14" s="400"/>
      <c r="GI14" s="400"/>
      <c r="GJ14" s="400"/>
      <c r="GK14" s="400"/>
      <c r="GL14" s="400"/>
      <c r="GM14" s="400"/>
      <c r="GN14" s="400"/>
      <c r="GO14" s="400"/>
      <c r="GP14" s="400"/>
      <c r="GQ14" s="400"/>
      <c r="GR14" s="400"/>
      <c r="GS14" s="400"/>
      <c r="GT14" s="400"/>
      <c r="GU14" s="400"/>
      <c r="GV14" s="400"/>
      <c r="GW14" s="400"/>
      <c r="GX14" s="400"/>
      <c r="GY14" s="400"/>
      <c r="GZ14" s="400"/>
      <c r="HA14" s="400"/>
      <c r="HB14" s="400"/>
      <c r="HC14" s="400"/>
      <c r="HD14" s="400"/>
      <c r="HE14" s="400"/>
      <c r="HF14" s="400"/>
      <c r="HG14" s="400"/>
      <c r="HH14" s="400"/>
      <c r="HI14" s="400"/>
      <c r="HJ14" s="400"/>
      <c r="HK14" s="400"/>
      <c r="HL14" s="400"/>
      <c r="HM14" s="400"/>
      <c r="HN14" s="400"/>
      <c r="HO14" s="400"/>
      <c r="HP14" s="400"/>
      <c r="HQ14" s="400"/>
      <c r="HR14" s="400"/>
      <c r="HS14" s="400"/>
      <c r="HT14" s="400"/>
      <c r="HU14" s="400"/>
      <c r="HV14" s="400"/>
      <c r="HW14" s="400"/>
      <c r="HX14" s="400"/>
      <c r="HY14" s="400"/>
      <c r="HZ14" s="400"/>
      <c r="IA14" s="400"/>
      <c r="IB14" s="400"/>
      <c r="IC14" s="400"/>
      <c r="ID14" s="400"/>
      <c r="IE14" s="400"/>
      <c r="IF14" s="400"/>
      <c r="IG14" s="400"/>
      <c r="IH14" s="400"/>
      <c r="II14" s="400"/>
    </row>
    <row r="15" spans="1:243" x14ac:dyDescent="0.2">
      <c r="A15" s="387"/>
      <c r="B15" s="383"/>
      <c r="C15" s="490">
        <v>0.19009999999999999</v>
      </c>
      <c r="D15" s="490">
        <v>0.19009999999999999</v>
      </c>
      <c r="E15" s="490">
        <v>0.19009999999999999</v>
      </c>
      <c r="F15" s="490">
        <v>0.19009999999999999</v>
      </c>
      <c r="G15" s="490">
        <v>0.19009999999999999</v>
      </c>
      <c r="H15" s="490">
        <v>0.19009999999999999</v>
      </c>
      <c r="I15" s="490">
        <v>0.19009999999999999</v>
      </c>
      <c r="J15" s="490">
        <v>0.19009999999999999</v>
      </c>
      <c r="K15" s="490">
        <v>0.19009999999999999</v>
      </c>
      <c r="L15" s="490">
        <v>0.19009999999999999</v>
      </c>
      <c r="M15" s="490">
        <v>0.19009999999999999</v>
      </c>
      <c r="N15" s="490">
        <v>0.19009999999999999</v>
      </c>
      <c r="O15" s="490">
        <v>0.19009999999999999</v>
      </c>
      <c r="P15" s="490">
        <v>0.19009999999999999</v>
      </c>
      <c r="Q15" s="490">
        <v>0.19009999999999999</v>
      </c>
      <c r="R15" s="399"/>
      <c r="S15" s="389"/>
      <c r="T15" s="401"/>
      <c r="U15" s="401"/>
      <c r="V15" s="400"/>
      <c r="W15" s="400"/>
      <c r="X15" s="400"/>
      <c r="Y15" s="400"/>
      <c r="Z15" s="400"/>
      <c r="AA15" s="400"/>
      <c r="AB15" s="400"/>
      <c r="AC15" s="400"/>
      <c r="AD15" s="400"/>
      <c r="AE15" s="400"/>
      <c r="AF15" s="400"/>
      <c r="AG15" s="400"/>
      <c r="AH15" s="400"/>
      <c r="AI15" s="400"/>
      <c r="AJ15" s="400"/>
      <c r="AK15" s="400"/>
      <c r="AL15" s="400"/>
      <c r="AM15" s="400"/>
      <c r="AN15" s="400"/>
      <c r="AO15" s="400"/>
      <c r="AP15" s="400"/>
      <c r="AQ15" s="400"/>
      <c r="AR15" s="400"/>
      <c r="AS15" s="400"/>
      <c r="AT15" s="400"/>
      <c r="AU15" s="400"/>
      <c r="AV15" s="400"/>
      <c r="AW15" s="400"/>
      <c r="AX15" s="400"/>
      <c r="AY15" s="400"/>
      <c r="AZ15" s="400"/>
      <c r="BA15" s="400"/>
      <c r="BB15" s="400"/>
      <c r="BC15" s="400"/>
      <c r="BD15" s="400"/>
      <c r="BE15" s="400"/>
      <c r="BF15" s="400"/>
      <c r="BG15" s="400"/>
      <c r="BH15" s="400"/>
      <c r="BI15" s="400"/>
      <c r="BJ15" s="400"/>
      <c r="BK15" s="400"/>
      <c r="BL15" s="400"/>
      <c r="BM15" s="400"/>
      <c r="BN15" s="400"/>
      <c r="BO15" s="400"/>
      <c r="BP15" s="400"/>
      <c r="BQ15" s="400"/>
      <c r="BR15" s="400"/>
      <c r="BS15" s="400"/>
      <c r="BT15" s="400"/>
      <c r="BU15" s="400"/>
      <c r="BV15" s="400"/>
      <c r="BW15" s="400"/>
      <c r="BX15" s="400"/>
      <c r="BY15" s="400"/>
      <c r="BZ15" s="400"/>
      <c r="CA15" s="400"/>
      <c r="CB15" s="400"/>
      <c r="CC15" s="400"/>
      <c r="CD15" s="400"/>
      <c r="CE15" s="400"/>
      <c r="CF15" s="400"/>
      <c r="CG15" s="400"/>
      <c r="CH15" s="400"/>
      <c r="CI15" s="400"/>
      <c r="CJ15" s="400"/>
      <c r="CK15" s="400"/>
      <c r="CL15" s="400"/>
      <c r="CM15" s="400"/>
      <c r="CN15" s="400"/>
      <c r="CO15" s="400"/>
      <c r="CP15" s="400"/>
      <c r="CQ15" s="400"/>
      <c r="CR15" s="400"/>
      <c r="CS15" s="400"/>
      <c r="CT15" s="400"/>
      <c r="CU15" s="400"/>
      <c r="CV15" s="400"/>
      <c r="CW15" s="400"/>
      <c r="CX15" s="400"/>
      <c r="CY15" s="400"/>
      <c r="CZ15" s="400"/>
      <c r="DA15" s="400"/>
      <c r="DB15" s="400"/>
      <c r="DC15" s="400"/>
      <c r="DD15" s="400"/>
      <c r="DE15" s="400"/>
      <c r="DF15" s="400"/>
      <c r="DG15" s="400"/>
      <c r="DH15" s="400"/>
      <c r="DI15" s="400"/>
      <c r="DJ15" s="400"/>
      <c r="DK15" s="400"/>
      <c r="DL15" s="400"/>
      <c r="DM15" s="400"/>
      <c r="DN15" s="400"/>
      <c r="DO15" s="400"/>
      <c r="DP15" s="400"/>
      <c r="DQ15" s="400"/>
      <c r="DR15" s="400"/>
      <c r="DS15" s="400"/>
      <c r="DT15" s="400"/>
      <c r="DU15" s="400"/>
      <c r="DV15" s="400"/>
      <c r="DW15" s="400"/>
      <c r="DX15" s="400"/>
      <c r="DY15" s="400"/>
      <c r="DZ15" s="400"/>
      <c r="EA15" s="400"/>
      <c r="EB15" s="400"/>
      <c r="EC15" s="400"/>
      <c r="ED15" s="400"/>
      <c r="EE15" s="400"/>
      <c r="EF15" s="400"/>
      <c r="EG15" s="400"/>
      <c r="EH15" s="400"/>
      <c r="EI15" s="400"/>
      <c r="EJ15" s="400"/>
      <c r="EK15" s="400"/>
      <c r="EL15" s="400"/>
      <c r="EM15" s="400"/>
      <c r="EN15" s="400"/>
      <c r="EO15" s="400"/>
      <c r="EP15" s="400"/>
      <c r="EQ15" s="400"/>
      <c r="ER15" s="400"/>
      <c r="ES15" s="400"/>
      <c r="ET15" s="400"/>
      <c r="EU15" s="400"/>
      <c r="EV15" s="400"/>
      <c r="EW15" s="400"/>
      <c r="EX15" s="400"/>
      <c r="EY15" s="400"/>
      <c r="EZ15" s="400"/>
      <c r="FA15" s="400"/>
      <c r="FB15" s="400"/>
      <c r="FC15" s="400"/>
      <c r="FD15" s="400"/>
      <c r="FE15" s="400"/>
      <c r="FF15" s="400"/>
      <c r="FG15" s="400"/>
      <c r="FH15" s="400"/>
      <c r="FI15" s="400"/>
      <c r="FJ15" s="400"/>
      <c r="FK15" s="400"/>
      <c r="FL15" s="400"/>
      <c r="FM15" s="400"/>
      <c r="FN15" s="400"/>
      <c r="FO15" s="400"/>
      <c r="FP15" s="400"/>
      <c r="FQ15" s="400"/>
      <c r="FR15" s="400"/>
      <c r="FS15" s="400"/>
      <c r="FT15" s="400"/>
      <c r="FU15" s="400"/>
      <c r="FV15" s="400"/>
      <c r="FW15" s="400"/>
      <c r="FX15" s="400"/>
      <c r="FY15" s="400"/>
      <c r="FZ15" s="400"/>
      <c r="GA15" s="400"/>
      <c r="GB15" s="400"/>
      <c r="GC15" s="400"/>
      <c r="GD15" s="400"/>
      <c r="GE15" s="400"/>
      <c r="GF15" s="400"/>
      <c r="GG15" s="400"/>
      <c r="GH15" s="400"/>
      <c r="GI15" s="400"/>
      <c r="GJ15" s="400"/>
      <c r="GK15" s="400"/>
      <c r="GL15" s="400"/>
      <c r="GM15" s="400"/>
      <c r="GN15" s="400"/>
      <c r="GO15" s="400"/>
      <c r="GP15" s="400"/>
      <c r="GQ15" s="400"/>
      <c r="GR15" s="400"/>
      <c r="GS15" s="400"/>
      <c r="GT15" s="400"/>
      <c r="GU15" s="400"/>
      <c r="GV15" s="400"/>
      <c r="GW15" s="400"/>
      <c r="GX15" s="400"/>
      <c r="GY15" s="400"/>
      <c r="GZ15" s="400"/>
      <c r="HA15" s="400"/>
      <c r="HB15" s="400"/>
      <c r="HC15" s="400"/>
      <c r="HD15" s="400"/>
      <c r="HE15" s="400"/>
      <c r="HF15" s="400"/>
      <c r="HG15" s="400"/>
      <c r="HH15" s="400"/>
      <c r="HI15" s="400"/>
      <c r="HJ15" s="400"/>
      <c r="HK15" s="400"/>
      <c r="HL15" s="400"/>
      <c r="HM15" s="400"/>
      <c r="HN15" s="400"/>
      <c r="HO15" s="400"/>
      <c r="HP15" s="400"/>
      <c r="HQ15" s="400"/>
      <c r="HR15" s="400"/>
      <c r="HS15" s="400"/>
      <c r="HT15" s="400"/>
      <c r="HU15" s="400"/>
      <c r="HV15" s="400"/>
      <c r="HW15" s="400"/>
      <c r="HX15" s="400"/>
      <c r="HY15" s="400"/>
      <c r="HZ15" s="400"/>
      <c r="IA15" s="400"/>
      <c r="IB15" s="400"/>
      <c r="IC15" s="400"/>
      <c r="ID15" s="400"/>
      <c r="IE15" s="400"/>
      <c r="IF15" s="400"/>
      <c r="IG15" s="400"/>
      <c r="IH15" s="400"/>
      <c r="II15" s="400"/>
    </row>
    <row r="16" spans="1:243" x14ac:dyDescent="0.2">
      <c r="A16" s="387"/>
      <c r="B16" s="405" t="s">
        <v>76</v>
      </c>
      <c r="C16" s="406"/>
      <c r="D16" s="406"/>
      <c r="E16" s="406"/>
      <c r="F16" s="406"/>
      <c r="G16" s="406"/>
      <c r="H16" s="406"/>
      <c r="I16" s="406"/>
      <c r="J16" s="406"/>
      <c r="K16" s="406"/>
      <c r="L16" s="406"/>
      <c r="M16" s="406"/>
      <c r="N16" s="406"/>
      <c r="O16" s="406"/>
      <c r="P16" s="406"/>
      <c r="Q16" s="406"/>
      <c r="R16" s="383"/>
      <c r="S16" s="389"/>
      <c r="T16" s="401"/>
      <c r="U16" s="401"/>
      <c r="V16" s="400"/>
      <c r="W16" s="400"/>
      <c r="X16" s="400"/>
      <c r="Y16" s="400"/>
      <c r="Z16" s="400"/>
      <c r="AA16" s="400"/>
      <c r="AB16" s="400"/>
      <c r="AC16" s="400"/>
      <c r="AD16" s="400"/>
      <c r="AE16" s="400"/>
      <c r="AF16" s="400"/>
      <c r="AG16" s="400"/>
      <c r="AH16" s="400"/>
      <c r="AI16" s="400"/>
      <c r="AJ16" s="400"/>
      <c r="AK16" s="400"/>
      <c r="AL16" s="400"/>
      <c r="AM16" s="400"/>
      <c r="AN16" s="400"/>
      <c r="AO16" s="400"/>
      <c r="AP16" s="400"/>
      <c r="AQ16" s="400"/>
      <c r="AR16" s="400"/>
      <c r="AS16" s="400"/>
      <c r="AT16" s="400"/>
      <c r="AU16" s="400"/>
      <c r="AV16" s="400"/>
      <c r="AW16" s="400"/>
      <c r="AX16" s="400"/>
      <c r="AY16" s="400"/>
      <c r="AZ16" s="400"/>
      <c r="BA16" s="400"/>
      <c r="BB16" s="400"/>
      <c r="BC16" s="400"/>
      <c r="BD16" s="400"/>
      <c r="BE16" s="400"/>
      <c r="BF16" s="400"/>
      <c r="BG16" s="400"/>
      <c r="BH16" s="400"/>
      <c r="BI16" s="400"/>
      <c r="BJ16" s="400"/>
      <c r="BK16" s="400"/>
      <c r="BL16" s="400"/>
      <c r="BM16" s="400"/>
      <c r="BN16" s="400"/>
      <c r="BO16" s="400"/>
      <c r="BP16" s="400"/>
      <c r="BQ16" s="400"/>
      <c r="BR16" s="400"/>
      <c r="BS16" s="400"/>
      <c r="BT16" s="400"/>
      <c r="BU16" s="400"/>
      <c r="BV16" s="400"/>
      <c r="BW16" s="400"/>
      <c r="BX16" s="400"/>
      <c r="BY16" s="400"/>
      <c r="BZ16" s="400"/>
      <c r="CA16" s="400"/>
      <c r="CB16" s="400"/>
      <c r="CC16" s="400"/>
      <c r="CD16" s="400"/>
      <c r="CE16" s="400"/>
      <c r="CF16" s="400"/>
      <c r="CG16" s="400"/>
      <c r="CH16" s="400"/>
      <c r="CI16" s="400"/>
      <c r="CJ16" s="400"/>
      <c r="CK16" s="400"/>
      <c r="CL16" s="400"/>
      <c r="CM16" s="400"/>
      <c r="CN16" s="400"/>
      <c r="CO16" s="400"/>
      <c r="CP16" s="400"/>
      <c r="CQ16" s="400"/>
      <c r="CR16" s="400"/>
      <c r="CS16" s="400"/>
      <c r="CT16" s="400"/>
      <c r="CU16" s="400"/>
      <c r="CV16" s="400"/>
      <c r="CW16" s="400"/>
      <c r="CX16" s="400"/>
      <c r="CY16" s="400"/>
      <c r="CZ16" s="400"/>
      <c r="DA16" s="400"/>
      <c r="DB16" s="400"/>
      <c r="DC16" s="400"/>
      <c r="DD16" s="400"/>
      <c r="DE16" s="400"/>
      <c r="DF16" s="400"/>
      <c r="DG16" s="400"/>
      <c r="DH16" s="400"/>
      <c r="DI16" s="400"/>
      <c r="DJ16" s="400"/>
      <c r="DK16" s="400"/>
      <c r="DL16" s="400"/>
      <c r="DM16" s="400"/>
      <c r="DN16" s="400"/>
      <c r="DO16" s="400"/>
      <c r="DP16" s="400"/>
      <c r="DQ16" s="400"/>
      <c r="DR16" s="400"/>
      <c r="DS16" s="400"/>
      <c r="DT16" s="400"/>
      <c r="DU16" s="400"/>
      <c r="DV16" s="400"/>
      <c r="DW16" s="400"/>
      <c r="DX16" s="400"/>
      <c r="DY16" s="400"/>
      <c r="DZ16" s="400"/>
      <c r="EA16" s="400"/>
      <c r="EB16" s="400"/>
      <c r="EC16" s="400"/>
      <c r="ED16" s="400"/>
      <c r="EE16" s="400"/>
      <c r="EF16" s="400"/>
      <c r="EG16" s="400"/>
      <c r="EH16" s="400"/>
      <c r="EI16" s="400"/>
      <c r="EJ16" s="400"/>
      <c r="EK16" s="400"/>
      <c r="EL16" s="400"/>
      <c r="EM16" s="400"/>
      <c r="EN16" s="400"/>
      <c r="EO16" s="400"/>
      <c r="EP16" s="400"/>
      <c r="EQ16" s="400"/>
      <c r="ER16" s="400"/>
      <c r="ES16" s="400"/>
      <c r="ET16" s="400"/>
      <c r="EU16" s="400"/>
      <c r="EV16" s="400"/>
      <c r="EW16" s="400"/>
      <c r="EX16" s="400"/>
      <c r="EY16" s="400"/>
      <c r="EZ16" s="400"/>
      <c r="FA16" s="400"/>
      <c r="FB16" s="400"/>
      <c r="FC16" s="400"/>
      <c r="FD16" s="400"/>
      <c r="FE16" s="400"/>
      <c r="FF16" s="400"/>
      <c r="FG16" s="400"/>
      <c r="FH16" s="400"/>
      <c r="FI16" s="400"/>
      <c r="FJ16" s="400"/>
      <c r="FK16" s="400"/>
      <c r="FL16" s="400"/>
      <c r="FM16" s="400"/>
      <c r="FN16" s="400"/>
      <c r="FO16" s="400"/>
      <c r="FP16" s="400"/>
      <c r="FQ16" s="400"/>
      <c r="FR16" s="400"/>
      <c r="FS16" s="400"/>
      <c r="FT16" s="400"/>
      <c r="FU16" s="400"/>
      <c r="FV16" s="400"/>
      <c r="FW16" s="400"/>
      <c r="FX16" s="400"/>
      <c r="FY16" s="400"/>
      <c r="FZ16" s="400"/>
      <c r="GA16" s="400"/>
      <c r="GB16" s="400"/>
      <c r="GC16" s="400"/>
      <c r="GD16" s="400"/>
      <c r="GE16" s="400"/>
      <c r="GF16" s="400"/>
      <c r="GG16" s="400"/>
      <c r="GH16" s="400"/>
      <c r="GI16" s="400"/>
      <c r="GJ16" s="400"/>
      <c r="GK16" s="400"/>
      <c r="GL16" s="400"/>
      <c r="GM16" s="400"/>
      <c r="GN16" s="400"/>
      <c r="GO16" s="400"/>
      <c r="GP16" s="400"/>
      <c r="GQ16" s="400"/>
      <c r="GR16" s="400"/>
      <c r="GS16" s="400"/>
      <c r="GT16" s="400"/>
      <c r="GU16" s="400"/>
      <c r="GV16" s="400"/>
      <c r="GW16" s="400"/>
      <c r="GX16" s="400"/>
      <c r="GY16" s="400"/>
      <c r="GZ16" s="400"/>
      <c r="HA16" s="400"/>
      <c r="HB16" s="400"/>
      <c r="HC16" s="400"/>
      <c r="HD16" s="400"/>
      <c r="HE16" s="400"/>
      <c r="HF16" s="400"/>
      <c r="HG16" s="400"/>
      <c r="HH16" s="400"/>
      <c r="HI16" s="400"/>
      <c r="HJ16" s="400"/>
      <c r="HK16" s="400"/>
      <c r="HL16" s="400"/>
      <c r="HM16" s="400"/>
      <c r="HN16" s="400"/>
      <c r="HO16" s="400"/>
      <c r="HP16" s="400"/>
      <c r="HQ16" s="400"/>
      <c r="HR16" s="400"/>
      <c r="HS16" s="400"/>
      <c r="HT16" s="400"/>
      <c r="HU16" s="400"/>
      <c r="HV16" s="400"/>
      <c r="HW16" s="400"/>
      <c r="HX16" s="400"/>
      <c r="HY16" s="400"/>
      <c r="HZ16" s="400"/>
      <c r="IA16" s="400"/>
      <c r="IB16" s="400"/>
      <c r="IC16" s="400"/>
      <c r="ID16" s="400"/>
      <c r="IE16" s="400"/>
      <c r="IF16" s="400"/>
      <c r="IG16" s="400"/>
      <c r="IH16" s="400"/>
      <c r="II16" s="400"/>
    </row>
    <row r="17" spans="1:243" s="480" customFormat="1" x14ac:dyDescent="0.2">
      <c r="A17" s="475"/>
      <c r="B17" s="475" t="s">
        <v>60</v>
      </c>
      <c r="C17" s="476">
        <f>ROUND(C14*C15,2)</f>
        <v>677.14</v>
      </c>
      <c r="D17" s="476">
        <f t="shared" ref="D17:Q17" si="3">ROUND(D14*D15,2)</f>
        <v>14.26</v>
      </c>
      <c r="E17" s="476">
        <f t="shared" si="3"/>
        <v>235.72</v>
      </c>
      <c r="F17" s="476">
        <f t="shared" si="3"/>
        <v>0</v>
      </c>
      <c r="G17" s="476">
        <f t="shared" si="3"/>
        <v>294.66000000000003</v>
      </c>
      <c r="H17" s="476">
        <f t="shared" si="3"/>
        <v>116.72</v>
      </c>
      <c r="I17" s="476">
        <f t="shared" si="3"/>
        <v>0</v>
      </c>
      <c r="J17" s="476">
        <f t="shared" si="3"/>
        <v>0</v>
      </c>
      <c r="K17" s="476">
        <f t="shared" si="3"/>
        <v>92.2</v>
      </c>
      <c r="L17" s="476">
        <f t="shared" si="3"/>
        <v>0</v>
      </c>
      <c r="M17" s="476">
        <f t="shared" si="3"/>
        <v>0</v>
      </c>
      <c r="N17" s="476">
        <f t="shared" si="3"/>
        <v>0</v>
      </c>
      <c r="O17" s="476">
        <f t="shared" si="3"/>
        <v>0</v>
      </c>
      <c r="P17" s="476">
        <f t="shared" si="3"/>
        <v>0</v>
      </c>
      <c r="Q17" s="476">
        <f t="shared" si="3"/>
        <v>0</v>
      </c>
      <c r="R17" s="476">
        <f>SUM(C17:Q17)</f>
        <v>1430.7</v>
      </c>
      <c r="S17" s="477"/>
      <c r="T17" s="478"/>
      <c r="U17" s="478"/>
      <c r="V17" s="479"/>
      <c r="W17" s="479"/>
      <c r="X17" s="479"/>
      <c r="Y17" s="479"/>
      <c r="Z17" s="479"/>
      <c r="AA17" s="479"/>
      <c r="AB17" s="479"/>
      <c r="AC17" s="479"/>
      <c r="AD17" s="479"/>
      <c r="AE17" s="479"/>
      <c r="AF17" s="479"/>
      <c r="AG17" s="479"/>
      <c r="AH17" s="479"/>
      <c r="AI17" s="479"/>
      <c r="AJ17" s="479"/>
      <c r="AK17" s="479"/>
      <c r="AL17" s="479"/>
      <c r="AM17" s="479"/>
      <c r="AN17" s="479"/>
      <c r="AO17" s="479"/>
      <c r="AP17" s="479"/>
      <c r="AQ17" s="479"/>
      <c r="AR17" s="479"/>
      <c r="AS17" s="479"/>
      <c r="AT17" s="479"/>
      <c r="AU17" s="479"/>
      <c r="AV17" s="479"/>
      <c r="AW17" s="479"/>
      <c r="AX17" s="479"/>
      <c r="AY17" s="479"/>
      <c r="AZ17" s="479"/>
      <c r="BA17" s="479"/>
      <c r="BB17" s="479"/>
      <c r="BC17" s="479"/>
      <c r="BD17" s="479"/>
      <c r="BE17" s="479"/>
      <c r="BF17" s="479"/>
      <c r="BG17" s="479"/>
      <c r="BH17" s="479"/>
      <c r="BI17" s="479"/>
      <c r="BJ17" s="479"/>
      <c r="BK17" s="479"/>
      <c r="BL17" s="479"/>
      <c r="BM17" s="479"/>
      <c r="BN17" s="479"/>
      <c r="BO17" s="479"/>
      <c r="BP17" s="479"/>
      <c r="BQ17" s="479"/>
      <c r="BR17" s="479"/>
      <c r="BS17" s="479"/>
      <c r="BT17" s="479"/>
      <c r="BU17" s="479"/>
      <c r="BV17" s="479"/>
      <c r="BW17" s="479"/>
      <c r="BX17" s="479"/>
      <c r="BY17" s="479"/>
      <c r="BZ17" s="479"/>
      <c r="CA17" s="479"/>
      <c r="CB17" s="479"/>
      <c r="CC17" s="479"/>
      <c r="CD17" s="479"/>
      <c r="CE17" s="479"/>
      <c r="CF17" s="479"/>
      <c r="CG17" s="479"/>
      <c r="CH17" s="479"/>
      <c r="CI17" s="479"/>
      <c r="CJ17" s="479"/>
      <c r="CK17" s="479"/>
      <c r="CL17" s="479"/>
      <c r="CM17" s="479"/>
      <c r="CN17" s="479"/>
      <c r="CO17" s="479"/>
      <c r="CP17" s="479"/>
      <c r="CQ17" s="479"/>
      <c r="CR17" s="479"/>
      <c r="CS17" s="479"/>
      <c r="CT17" s="479"/>
      <c r="CU17" s="479"/>
      <c r="CV17" s="479"/>
      <c r="CW17" s="479"/>
      <c r="CX17" s="479"/>
      <c r="CY17" s="479"/>
      <c r="CZ17" s="479"/>
      <c r="DA17" s="479"/>
      <c r="DB17" s="479"/>
      <c r="DC17" s="479"/>
      <c r="DD17" s="479"/>
      <c r="DE17" s="479"/>
      <c r="DF17" s="479"/>
      <c r="DG17" s="479"/>
      <c r="DH17" s="479"/>
      <c r="DI17" s="479"/>
      <c r="DJ17" s="479"/>
      <c r="DK17" s="479"/>
      <c r="DL17" s="479"/>
      <c r="DM17" s="479"/>
      <c r="DN17" s="479"/>
      <c r="DO17" s="479"/>
      <c r="DP17" s="479"/>
      <c r="DQ17" s="479"/>
      <c r="DR17" s="479"/>
      <c r="DS17" s="479"/>
      <c r="DT17" s="479"/>
      <c r="DU17" s="479"/>
      <c r="DV17" s="479"/>
      <c r="DW17" s="479"/>
      <c r="DX17" s="479"/>
      <c r="DY17" s="479"/>
      <c r="DZ17" s="479"/>
      <c r="EA17" s="479"/>
      <c r="EB17" s="479"/>
      <c r="EC17" s="479"/>
      <c r="ED17" s="479"/>
      <c r="EE17" s="479"/>
      <c r="EF17" s="479"/>
      <c r="EG17" s="479"/>
      <c r="EH17" s="479"/>
      <c r="EI17" s="479"/>
      <c r="EJ17" s="479"/>
      <c r="EK17" s="479"/>
      <c r="EL17" s="479"/>
      <c r="EM17" s="479"/>
      <c r="EN17" s="479"/>
      <c r="EO17" s="479"/>
      <c r="EP17" s="479"/>
      <c r="EQ17" s="479"/>
      <c r="ER17" s="479"/>
      <c r="ES17" s="479"/>
      <c r="ET17" s="479"/>
      <c r="EU17" s="479"/>
      <c r="EV17" s="479"/>
      <c r="EW17" s="479"/>
      <c r="EX17" s="479"/>
      <c r="EY17" s="479"/>
      <c r="EZ17" s="479"/>
      <c r="FA17" s="479"/>
      <c r="FB17" s="479"/>
      <c r="FC17" s="479"/>
      <c r="FD17" s="479"/>
      <c r="FE17" s="479"/>
      <c r="FF17" s="479"/>
      <c r="FG17" s="479"/>
      <c r="FH17" s="479"/>
      <c r="FI17" s="479"/>
      <c r="FJ17" s="479"/>
      <c r="FK17" s="479"/>
      <c r="FL17" s="479"/>
      <c r="FM17" s="479"/>
      <c r="FN17" s="479"/>
      <c r="FO17" s="479"/>
      <c r="FP17" s="479"/>
      <c r="FQ17" s="479"/>
      <c r="FR17" s="479"/>
      <c r="FS17" s="479"/>
      <c r="FT17" s="479"/>
      <c r="FU17" s="479"/>
      <c r="FV17" s="479"/>
      <c r="FW17" s="479"/>
      <c r="FX17" s="479"/>
      <c r="FY17" s="479"/>
      <c r="FZ17" s="479"/>
      <c r="GA17" s="479"/>
      <c r="GB17" s="479"/>
      <c r="GC17" s="479"/>
      <c r="GD17" s="479"/>
      <c r="GE17" s="479"/>
      <c r="GF17" s="479"/>
      <c r="GG17" s="479"/>
      <c r="GH17" s="479"/>
      <c r="GI17" s="479"/>
      <c r="GJ17" s="479"/>
      <c r="GK17" s="479"/>
      <c r="GL17" s="479"/>
      <c r="GM17" s="479"/>
      <c r="GN17" s="479"/>
      <c r="GO17" s="479"/>
      <c r="GP17" s="479"/>
      <c r="GQ17" s="479"/>
      <c r="GR17" s="479"/>
      <c r="GS17" s="479"/>
      <c r="GT17" s="479"/>
      <c r="GU17" s="479"/>
      <c r="GV17" s="479"/>
      <c r="GW17" s="479"/>
      <c r="GX17" s="479"/>
      <c r="GY17" s="479"/>
      <c r="GZ17" s="479"/>
      <c r="HA17" s="479"/>
      <c r="HB17" s="479"/>
      <c r="HC17" s="479"/>
      <c r="HD17" s="479"/>
      <c r="HE17" s="479"/>
      <c r="HF17" s="479"/>
      <c r="HG17" s="479"/>
      <c r="HH17" s="479"/>
      <c r="HI17" s="479"/>
      <c r="HJ17" s="479"/>
      <c r="HK17" s="479"/>
      <c r="HL17" s="479"/>
      <c r="HM17" s="479"/>
      <c r="HN17" s="479"/>
      <c r="HO17" s="479"/>
      <c r="HP17" s="479"/>
      <c r="HQ17" s="479"/>
      <c r="HR17" s="479"/>
      <c r="HS17" s="479"/>
      <c r="HT17" s="479"/>
      <c r="HU17" s="479"/>
      <c r="HV17" s="479"/>
      <c r="HW17" s="479"/>
      <c r="HX17" s="479"/>
      <c r="HY17" s="479"/>
      <c r="HZ17" s="479"/>
      <c r="IA17" s="479"/>
      <c r="IB17" s="479"/>
      <c r="IC17" s="479"/>
      <c r="ID17" s="479"/>
      <c r="IE17" s="479"/>
      <c r="IF17" s="479"/>
      <c r="IG17" s="479"/>
      <c r="IH17" s="479"/>
      <c r="II17" s="479"/>
    </row>
    <row r="18" spans="1:243" x14ac:dyDescent="0.2">
      <c r="A18" s="382" t="s">
        <v>280</v>
      </c>
      <c r="B18" s="386" t="s">
        <v>59</v>
      </c>
      <c r="C18" s="386">
        <v>3906</v>
      </c>
      <c r="D18" s="386"/>
      <c r="E18" s="386"/>
      <c r="F18" s="424"/>
      <c r="G18" s="386"/>
      <c r="H18" s="386"/>
      <c r="I18" s="386"/>
      <c r="J18" s="386"/>
      <c r="K18" s="386"/>
      <c r="L18" s="386"/>
      <c r="M18" s="386"/>
      <c r="N18" s="386"/>
      <c r="O18" s="386"/>
      <c r="P18" s="386"/>
      <c r="Q18" s="386"/>
      <c r="R18" s="391">
        <f>SUM(C18:Q18)</f>
        <v>3906</v>
      </c>
      <c r="S18" s="389"/>
      <c r="T18" s="401"/>
      <c r="U18" s="401"/>
      <c r="V18" s="400"/>
      <c r="W18" s="400"/>
      <c r="X18" s="400"/>
      <c r="Y18" s="400"/>
      <c r="Z18" s="400"/>
      <c r="AA18" s="400"/>
      <c r="AB18" s="400"/>
      <c r="AC18" s="400"/>
      <c r="AD18" s="400"/>
      <c r="AE18" s="400"/>
      <c r="AF18" s="400"/>
      <c r="AG18" s="400"/>
      <c r="AH18" s="400"/>
      <c r="AI18" s="400"/>
      <c r="AJ18" s="400"/>
      <c r="AK18" s="400"/>
      <c r="AL18" s="400"/>
      <c r="AM18" s="400"/>
      <c r="AN18" s="400"/>
      <c r="AO18" s="400"/>
      <c r="AP18" s="400"/>
      <c r="AQ18" s="400"/>
      <c r="AR18" s="400"/>
      <c r="AS18" s="400"/>
      <c r="AT18" s="400"/>
      <c r="AU18" s="400"/>
      <c r="AV18" s="400"/>
      <c r="AW18" s="400"/>
      <c r="AX18" s="400"/>
      <c r="AY18" s="400"/>
      <c r="AZ18" s="400"/>
      <c r="BA18" s="400"/>
      <c r="BB18" s="400"/>
      <c r="BC18" s="400"/>
      <c r="BD18" s="400"/>
      <c r="BE18" s="400"/>
      <c r="BF18" s="400"/>
      <c r="BG18" s="400"/>
      <c r="BH18" s="400"/>
      <c r="BI18" s="400"/>
      <c r="BJ18" s="400"/>
      <c r="BK18" s="400"/>
      <c r="BL18" s="400"/>
      <c r="BM18" s="400"/>
      <c r="BN18" s="400"/>
      <c r="BO18" s="400"/>
      <c r="BP18" s="400"/>
      <c r="BQ18" s="400"/>
      <c r="BR18" s="400"/>
      <c r="BS18" s="400"/>
      <c r="BT18" s="400"/>
      <c r="BU18" s="400"/>
      <c r="BV18" s="400"/>
      <c r="BW18" s="400"/>
      <c r="BX18" s="400"/>
      <c r="BY18" s="400"/>
      <c r="BZ18" s="400"/>
      <c r="CA18" s="400"/>
      <c r="CB18" s="400"/>
      <c r="CC18" s="400"/>
      <c r="CD18" s="400"/>
      <c r="CE18" s="400"/>
      <c r="CF18" s="400"/>
      <c r="CG18" s="400"/>
      <c r="CH18" s="400"/>
      <c r="CI18" s="400"/>
      <c r="CJ18" s="400"/>
      <c r="CK18" s="400"/>
      <c r="CL18" s="400"/>
      <c r="CM18" s="400"/>
      <c r="CN18" s="400"/>
      <c r="CO18" s="400"/>
      <c r="CP18" s="400"/>
      <c r="CQ18" s="400"/>
      <c r="CR18" s="400"/>
      <c r="CS18" s="400"/>
      <c r="CT18" s="400"/>
      <c r="CU18" s="400"/>
      <c r="CV18" s="400"/>
      <c r="CW18" s="400"/>
      <c r="CX18" s="400"/>
      <c r="CY18" s="400"/>
      <c r="CZ18" s="400"/>
      <c r="DA18" s="400"/>
      <c r="DB18" s="400"/>
      <c r="DC18" s="400"/>
      <c r="DD18" s="400"/>
      <c r="DE18" s="400"/>
      <c r="DF18" s="400"/>
      <c r="DG18" s="400"/>
      <c r="DH18" s="400"/>
      <c r="DI18" s="400"/>
      <c r="DJ18" s="400"/>
      <c r="DK18" s="400"/>
      <c r="DL18" s="400"/>
      <c r="DM18" s="400"/>
      <c r="DN18" s="400"/>
      <c r="DO18" s="400"/>
      <c r="DP18" s="400"/>
      <c r="DQ18" s="400"/>
      <c r="DR18" s="400"/>
      <c r="DS18" s="400"/>
      <c r="DT18" s="400"/>
      <c r="DU18" s="400"/>
      <c r="DV18" s="400"/>
      <c r="DW18" s="400"/>
      <c r="DX18" s="400"/>
      <c r="DY18" s="400"/>
      <c r="DZ18" s="400"/>
      <c r="EA18" s="400"/>
      <c r="EB18" s="400"/>
      <c r="EC18" s="400"/>
      <c r="ED18" s="400"/>
      <c r="EE18" s="400"/>
      <c r="EF18" s="400"/>
      <c r="EG18" s="400"/>
      <c r="EH18" s="400"/>
      <c r="EI18" s="400"/>
      <c r="EJ18" s="400"/>
      <c r="EK18" s="400"/>
      <c r="EL18" s="400"/>
      <c r="EM18" s="400"/>
      <c r="EN18" s="400"/>
      <c r="EO18" s="400"/>
      <c r="EP18" s="400"/>
      <c r="EQ18" s="400"/>
      <c r="ER18" s="400"/>
      <c r="ES18" s="400"/>
      <c r="ET18" s="400"/>
      <c r="EU18" s="400"/>
      <c r="EV18" s="400"/>
      <c r="EW18" s="400"/>
      <c r="EX18" s="400"/>
      <c r="EY18" s="400"/>
      <c r="EZ18" s="400"/>
      <c r="FA18" s="400"/>
      <c r="FB18" s="400"/>
      <c r="FC18" s="400"/>
      <c r="FD18" s="400"/>
      <c r="FE18" s="400"/>
      <c r="FF18" s="400"/>
      <c r="FG18" s="400"/>
      <c r="FH18" s="400"/>
      <c r="FI18" s="400"/>
      <c r="FJ18" s="400"/>
      <c r="FK18" s="400"/>
      <c r="FL18" s="400"/>
      <c r="FM18" s="400"/>
      <c r="FN18" s="400"/>
      <c r="FO18" s="400"/>
      <c r="FP18" s="400"/>
      <c r="FQ18" s="400"/>
      <c r="FR18" s="400"/>
      <c r="FS18" s="400"/>
      <c r="FT18" s="400"/>
      <c r="FU18" s="400"/>
      <c r="FV18" s="400"/>
      <c r="FW18" s="400"/>
      <c r="FX18" s="400"/>
      <c r="FY18" s="400"/>
      <c r="FZ18" s="400"/>
      <c r="GA18" s="400"/>
      <c r="GB18" s="400"/>
      <c r="GC18" s="400"/>
      <c r="GD18" s="400"/>
      <c r="GE18" s="400"/>
      <c r="GF18" s="400"/>
      <c r="GG18" s="400"/>
      <c r="GH18" s="400"/>
      <c r="GI18" s="400"/>
      <c r="GJ18" s="400"/>
      <c r="GK18" s="400"/>
      <c r="GL18" s="400"/>
      <c r="GM18" s="400"/>
      <c r="GN18" s="400"/>
      <c r="GO18" s="400"/>
      <c r="GP18" s="400"/>
      <c r="GQ18" s="400"/>
      <c r="GR18" s="400"/>
      <c r="GS18" s="400"/>
      <c r="GT18" s="400"/>
      <c r="GU18" s="400"/>
      <c r="GV18" s="400"/>
      <c r="GW18" s="400"/>
      <c r="GX18" s="400"/>
      <c r="GY18" s="400"/>
      <c r="GZ18" s="400"/>
      <c r="HA18" s="400"/>
      <c r="HB18" s="400"/>
      <c r="HC18" s="400"/>
      <c r="HD18" s="400"/>
      <c r="HE18" s="400"/>
      <c r="HF18" s="400"/>
      <c r="HG18" s="400"/>
      <c r="HH18" s="400"/>
      <c r="HI18" s="400"/>
      <c r="HJ18" s="400"/>
      <c r="HK18" s="400"/>
      <c r="HL18" s="400"/>
      <c r="HM18" s="400"/>
      <c r="HN18" s="400"/>
      <c r="HO18" s="400"/>
      <c r="HP18" s="400"/>
      <c r="HQ18" s="400"/>
      <c r="HR18" s="400"/>
      <c r="HS18" s="400"/>
      <c r="HT18" s="400"/>
      <c r="HU18" s="400"/>
      <c r="HV18" s="400"/>
      <c r="HW18" s="400"/>
      <c r="HX18" s="400"/>
      <c r="HY18" s="400"/>
      <c r="HZ18" s="400"/>
      <c r="IA18" s="400"/>
      <c r="IB18" s="400"/>
      <c r="IC18" s="400"/>
      <c r="ID18" s="400"/>
      <c r="IE18" s="400"/>
      <c r="IF18" s="400"/>
      <c r="IG18" s="400"/>
      <c r="IH18" s="400"/>
      <c r="II18" s="400"/>
    </row>
    <row r="19" spans="1:243" x14ac:dyDescent="0.2">
      <c r="A19" s="388"/>
      <c r="B19" s="384"/>
      <c r="C19" s="490">
        <v>0.19009999999999999</v>
      </c>
      <c r="D19" s="490">
        <v>0.19009999999999999</v>
      </c>
      <c r="E19" s="490">
        <v>0.19009999999999999</v>
      </c>
      <c r="F19" s="490">
        <v>0.19009999999999999</v>
      </c>
      <c r="G19" s="490">
        <v>0.19009999999999999</v>
      </c>
      <c r="H19" s="490">
        <v>0.19009999999999999</v>
      </c>
      <c r="I19" s="490">
        <v>0.19009999999999999</v>
      </c>
      <c r="J19" s="490">
        <v>0.19009999999999999</v>
      </c>
      <c r="K19" s="490">
        <v>0.19009999999999999</v>
      </c>
      <c r="L19" s="490">
        <v>0.19009999999999999</v>
      </c>
      <c r="M19" s="490">
        <v>0.19009999999999999</v>
      </c>
      <c r="N19" s="490">
        <v>0.19009999999999999</v>
      </c>
      <c r="O19" s="490">
        <v>0.19009999999999999</v>
      </c>
      <c r="P19" s="490">
        <v>0.19009999999999999</v>
      </c>
      <c r="Q19" s="490">
        <v>0.19009999999999999</v>
      </c>
      <c r="R19" s="399"/>
      <c r="S19" s="389"/>
      <c r="T19" s="401"/>
      <c r="U19" s="401"/>
      <c r="V19" s="400"/>
      <c r="W19" s="400"/>
      <c r="X19" s="400"/>
      <c r="Y19" s="400"/>
      <c r="Z19" s="400"/>
      <c r="AA19" s="400"/>
      <c r="AB19" s="400"/>
      <c r="AC19" s="400"/>
      <c r="AD19" s="400"/>
      <c r="AE19" s="400"/>
      <c r="AF19" s="400"/>
      <c r="AG19" s="400"/>
      <c r="AH19" s="400"/>
      <c r="AI19" s="400"/>
      <c r="AJ19" s="400"/>
      <c r="AK19" s="400"/>
      <c r="AL19" s="400"/>
      <c r="AM19" s="400"/>
      <c r="AN19" s="400"/>
      <c r="AO19" s="400"/>
      <c r="AP19" s="400"/>
      <c r="AQ19" s="400"/>
      <c r="AR19" s="400"/>
      <c r="AS19" s="400"/>
      <c r="AT19" s="400"/>
      <c r="AU19" s="400"/>
      <c r="AV19" s="400"/>
      <c r="AW19" s="400"/>
      <c r="AX19" s="400"/>
      <c r="AY19" s="400"/>
      <c r="AZ19" s="400"/>
      <c r="BA19" s="400"/>
      <c r="BB19" s="400"/>
      <c r="BC19" s="400"/>
      <c r="BD19" s="400"/>
      <c r="BE19" s="400"/>
      <c r="BF19" s="400"/>
      <c r="BG19" s="400"/>
      <c r="BH19" s="400"/>
      <c r="BI19" s="400"/>
      <c r="BJ19" s="400"/>
      <c r="BK19" s="400"/>
      <c r="BL19" s="400"/>
      <c r="BM19" s="400"/>
      <c r="BN19" s="400"/>
      <c r="BO19" s="400"/>
      <c r="BP19" s="400"/>
      <c r="BQ19" s="400"/>
      <c r="BR19" s="400"/>
      <c r="BS19" s="400"/>
      <c r="BT19" s="400"/>
      <c r="BU19" s="400"/>
      <c r="BV19" s="400"/>
      <c r="BW19" s="400"/>
      <c r="BX19" s="400"/>
      <c r="BY19" s="400"/>
      <c r="BZ19" s="400"/>
      <c r="CA19" s="400"/>
      <c r="CB19" s="400"/>
      <c r="CC19" s="400"/>
      <c r="CD19" s="400"/>
      <c r="CE19" s="400"/>
      <c r="CF19" s="400"/>
      <c r="CG19" s="400"/>
      <c r="CH19" s="400"/>
      <c r="CI19" s="400"/>
      <c r="CJ19" s="400"/>
      <c r="CK19" s="400"/>
      <c r="CL19" s="400"/>
      <c r="CM19" s="400"/>
      <c r="CN19" s="400"/>
      <c r="CO19" s="400"/>
      <c r="CP19" s="400"/>
      <c r="CQ19" s="400"/>
      <c r="CR19" s="400"/>
      <c r="CS19" s="400"/>
      <c r="CT19" s="400"/>
      <c r="CU19" s="400"/>
      <c r="CV19" s="400"/>
      <c r="CW19" s="400"/>
      <c r="CX19" s="400"/>
      <c r="CY19" s="400"/>
      <c r="CZ19" s="400"/>
      <c r="DA19" s="400"/>
      <c r="DB19" s="400"/>
      <c r="DC19" s="400"/>
      <c r="DD19" s="400"/>
      <c r="DE19" s="400"/>
      <c r="DF19" s="400"/>
      <c r="DG19" s="400"/>
      <c r="DH19" s="400"/>
      <c r="DI19" s="400"/>
      <c r="DJ19" s="400"/>
      <c r="DK19" s="400"/>
      <c r="DL19" s="400"/>
      <c r="DM19" s="400"/>
      <c r="DN19" s="400"/>
      <c r="DO19" s="400"/>
      <c r="DP19" s="400"/>
      <c r="DQ19" s="400"/>
      <c r="DR19" s="400"/>
      <c r="DS19" s="400"/>
      <c r="DT19" s="400"/>
      <c r="DU19" s="400"/>
      <c r="DV19" s="400"/>
      <c r="DW19" s="400"/>
      <c r="DX19" s="400"/>
      <c r="DY19" s="400"/>
      <c r="DZ19" s="400"/>
      <c r="EA19" s="400"/>
      <c r="EB19" s="400"/>
      <c r="EC19" s="400"/>
      <c r="ED19" s="400"/>
      <c r="EE19" s="400"/>
      <c r="EF19" s="400"/>
      <c r="EG19" s="400"/>
      <c r="EH19" s="400"/>
      <c r="EI19" s="400"/>
      <c r="EJ19" s="400"/>
      <c r="EK19" s="400"/>
      <c r="EL19" s="400"/>
      <c r="EM19" s="400"/>
      <c r="EN19" s="400"/>
      <c r="EO19" s="400"/>
      <c r="EP19" s="400"/>
      <c r="EQ19" s="400"/>
      <c r="ER19" s="400"/>
      <c r="ES19" s="400"/>
      <c r="ET19" s="400"/>
      <c r="EU19" s="400"/>
      <c r="EV19" s="400"/>
      <c r="EW19" s="400"/>
      <c r="EX19" s="400"/>
      <c r="EY19" s="400"/>
      <c r="EZ19" s="400"/>
      <c r="FA19" s="400"/>
      <c r="FB19" s="400"/>
      <c r="FC19" s="400"/>
      <c r="FD19" s="400"/>
      <c r="FE19" s="400"/>
      <c r="FF19" s="400"/>
      <c r="FG19" s="400"/>
      <c r="FH19" s="400"/>
      <c r="FI19" s="400"/>
      <c r="FJ19" s="400"/>
      <c r="FK19" s="400"/>
      <c r="FL19" s="400"/>
      <c r="FM19" s="400"/>
      <c r="FN19" s="400"/>
      <c r="FO19" s="400"/>
      <c r="FP19" s="400"/>
      <c r="FQ19" s="400"/>
      <c r="FR19" s="400"/>
      <c r="FS19" s="400"/>
      <c r="FT19" s="400"/>
      <c r="FU19" s="400"/>
      <c r="FV19" s="400"/>
      <c r="FW19" s="400"/>
      <c r="FX19" s="400"/>
      <c r="FY19" s="400"/>
      <c r="FZ19" s="400"/>
      <c r="GA19" s="400"/>
      <c r="GB19" s="400"/>
      <c r="GC19" s="400"/>
      <c r="GD19" s="400"/>
      <c r="GE19" s="400"/>
      <c r="GF19" s="400"/>
      <c r="GG19" s="400"/>
      <c r="GH19" s="400"/>
      <c r="GI19" s="400"/>
      <c r="GJ19" s="400"/>
      <c r="GK19" s="400"/>
      <c r="GL19" s="400"/>
      <c r="GM19" s="400"/>
      <c r="GN19" s="400"/>
      <c r="GO19" s="400"/>
      <c r="GP19" s="400"/>
      <c r="GQ19" s="400"/>
      <c r="GR19" s="400"/>
      <c r="GS19" s="400"/>
      <c r="GT19" s="400"/>
      <c r="GU19" s="400"/>
      <c r="GV19" s="400"/>
      <c r="GW19" s="400"/>
      <c r="GX19" s="400"/>
      <c r="GY19" s="400"/>
      <c r="GZ19" s="400"/>
      <c r="HA19" s="400"/>
      <c r="HB19" s="400"/>
      <c r="HC19" s="400"/>
      <c r="HD19" s="400"/>
      <c r="HE19" s="400"/>
      <c r="HF19" s="400"/>
      <c r="HG19" s="400"/>
      <c r="HH19" s="400"/>
      <c r="HI19" s="400"/>
      <c r="HJ19" s="400"/>
      <c r="HK19" s="400"/>
      <c r="HL19" s="400"/>
      <c r="HM19" s="400"/>
      <c r="HN19" s="400"/>
      <c r="HO19" s="400"/>
      <c r="HP19" s="400"/>
      <c r="HQ19" s="400"/>
      <c r="HR19" s="400"/>
      <c r="HS19" s="400"/>
      <c r="HT19" s="400"/>
      <c r="HU19" s="400"/>
      <c r="HV19" s="400"/>
      <c r="HW19" s="400"/>
      <c r="HX19" s="400"/>
      <c r="HY19" s="400"/>
      <c r="HZ19" s="400"/>
      <c r="IA19" s="400"/>
      <c r="IB19" s="400"/>
      <c r="IC19" s="400"/>
      <c r="ID19" s="400"/>
      <c r="IE19" s="400"/>
      <c r="IF19" s="400"/>
      <c r="IG19" s="400"/>
      <c r="IH19" s="400"/>
      <c r="II19" s="400"/>
    </row>
    <row r="20" spans="1:243" x14ac:dyDescent="0.2">
      <c r="A20" s="387"/>
      <c r="B20" s="405" t="s">
        <v>76</v>
      </c>
      <c r="C20" s="406"/>
      <c r="D20" s="406"/>
      <c r="E20" s="406"/>
      <c r="F20" s="406"/>
      <c r="G20" s="406"/>
      <c r="H20" s="406"/>
      <c r="I20" s="406"/>
      <c r="J20" s="406"/>
      <c r="K20" s="406"/>
      <c r="L20" s="406"/>
      <c r="M20" s="406"/>
      <c r="N20" s="406"/>
      <c r="O20" s="406"/>
      <c r="P20" s="406"/>
      <c r="Q20" s="406"/>
      <c r="R20" s="383"/>
      <c r="S20" s="389"/>
      <c r="T20" s="401"/>
      <c r="U20" s="401"/>
      <c r="V20" s="400"/>
      <c r="W20" s="400"/>
      <c r="X20" s="400"/>
      <c r="Y20" s="400"/>
      <c r="Z20" s="400"/>
      <c r="AA20" s="400"/>
      <c r="AB20" s="400"/>
      <c r="AC20" s="400"/>
      <c r="AD20" s="400"/>
      <c r="AE20" s="400"/>
      <c r="AF20" s="400"/>
      <c r="AG20" s="400"/>
      <c r="AH20" s="400"/>
      <c r="AI20" s="400"/>
      <c r="AJ20" s="400"/>
      <c r="AK20" s="400"/>
      <c r="AL20" s="400"/>
      <c r="AM20" s="400"/>
      <c r="AN20" s="400"/>
      <c r="AO20" s="400"/>
      <c r="AP20" s="400"/>
      <c r="AQ20" s="400"/>
      <c r="AR20" s="400"/>
      <c r="AS20" s="400"/>
      <c r="AT20" s="400"/>
      <c r="AU20" s="400"/>
      <c r="AV20" s="400"/>
      <c r="AW20" s="400"/>
      <c r="AX20" s="400"/>
      <c r="AY20" s="400"/>
      <c r="AZ20" s="400"/>
      <c r="BA20" s="400"/>
      <c r="BB20" s="400"/>
      <c r="BC20" s="400"/>
      <c r="BD20" s="400"/>
      <c r="BE20" s="400"/>
      <c r="BF20" s="400"/>
      <c r="BG20" s="400"/>
      <c r="BH20" s="400"/>
      <c r="BI20" s="400"/>
      <c r="BJ20" s="400"/>
      <c r="BK20" s="400"/>
      <c r="BL20" s="400"/>
      <c r="BM20" s="400"/>
      <c r="BN20" s="400"/>
      <c r="BO20" s="400"/>
      <c r="BP20" s="400"/>
      <c r="BQ20" s="400"/>
      <c r="BR20" s="400"/>
      <c r="BS20" s="400"/>
      <c r="BT20" s="400"/>
      <c r="BU20" s="400"/>
      <c r="BV20" s="400"/>
      <c r="BW20" s="400"/>
      <c r="BX20" s="400"/>
      <c r="BY20" s="400"/>
      <c r="BZ20" s="400"/>
      <c r="CA20" s="400"/>
      <c r="CB20" s="400"/>
      <c r="CC20" s="400"/>
      <c r="CD20" s="400"/>
      <c r="CE20" s="400"/>
      <c r="CF20" s="400"/>
      <c r="CG20" s="400"/>
      <c r="CH20" s="400"/>
      <c r="CI20" s="400"/>
      <c r="CJ20" s="400"/>
      <c r="CK20" s="400"/>
      <c r="CL20" s="400"/>
      <c r="CM20" s="400"/>
      <c r="CN20" s="400"/>
      <c r="CO20" s="400"/>
      <c r="CP20" s="400"/>
      <c r="CQ20" s="400"/>
      <c r="CR20" s="400"/>
      <c r="CS20" s="400"/>
      <c r="CT20" s="400"/>
      <c r="CU20" s="400"/>
      <c r="CV20" s="400"/>
      <c r="CW20" s="400"/>
      <c r="CX20" s="400"/>
      <c r="CY20" s="400"/>
      <c r="CZ20" s="400"/>
      <c r="DA20" s="400"/>
      <c r="DB20" s="400"/>
      <c r="DC20" s="400"/>
      <c r="DD20" s="400"/>
      <c r="DE20" s="400"/>
      <c r="DF20" s="400"/>
      <c r="DG20" s="400"/>
      <c r="DH20" s="400"/>
      <c r="DI20" s="400"/>
      <c r="DJ20" s="400"/>
      <c r="DK20" s="400"/>
      <c r="DL20" s="400"/>
      <c r="DM20" s="400"/>
      <c r="DN20" s="400"/>
      <c r="DO20" s="400"/>
      <c r="DP20" s="400"/>
      <c r="DQ20" s="400"/>
      <c r="DR20" s="400"/>
      <c r="DS20" s="400"/>
      <c r="DT20" s="400"/>
      <c r="DU20" s="400"/>
      <c r="DV20" s="400"/>
      <c r="DW20" s="400"/>
      <c r="DX20" s="400"/>
      <c r="DY20" s="400"/>
      <c r="DZ20" s="400"/>
      <c r="EA20" s="400"/>
      <c r="EB20" s="400"/>
      <c r="EC20" s="400"/>
      <c r="ED20" s="400"/>
      <c r="EE20" s="400"/>
      <c r="EF20" s="400"/>
      <c r="EG20" s="400"/>
      <c r="EH20" s="400"/>
      <c r="EI20" s="400"/>
      <c r="EJ20" s="400"/>
      <c r="EK20" s="400"/>
      <c r="EL20" s="400"/>
      <c r="EM20" s="400"/>
      <c r="EN20" s="400"/>
      <c r="EO20" s="400"/>
      <c r="EP20" s="400"/>
      <c r="EQ20" s="400"/>
      <c r="ER20" s="400"/>
      <c r="ES20" s="400"/>
      <c r="ET20" s="400"/>
      <c r="EU20" s="400"/>
      <c r="EV20" s="400"/>
      <c r="EW20" s="400"/>
      <c r="EX20" s="400"/>
      <c r="EY20" s="400"/>
      <c r="EZ20" s="400"/>
      <c r="FA20" s="400"/>
      <c r="FB20" s="400"/>
      <c r="FC20" s="400"/>
      <c r="FD20" s="400"/>
      <c r="FE20" s="400"/>
      <c r="FF20" s="400"/>
      <c r="FG20" s="400"/>
      <c r="FH20" s="400"/>
      <c r="FI20" s="400"/>
      <c r="FJ20" s="400"/>
      <c r="FK20" s="400"/>
      <c r="FL20" s="400"/>
      <c r="FM20" s="400"/>
      <c r="FN20" s="400"/>
      <c r="FO20" s="400"/>
      <c r="FP20" s="400"/>
      <c r="FQ20" s="400"/>
      <c r="FR20" s="400"/>
      <c r="FS20" s="400"/>
      <c r="FT20" s="400"/>
      <c r="FU20" s="400"/>
      <c r="FV20" s="400"/>
      <c r="FW20" s="400"/>
      <c r="FX20" s="400"/>
      <c r="FY20" s="400"/>
      <c r="FZ20" s="400"/>
      <c r="GA20" s="400"/>
      <c r="GB20" s="400"/>
      <c r="GC20" s="400"/>
      <c r="GD20" s="400"/>
      <c r="GE20" s="400"/>
      <c r="GF20" s="400"/>
      <c r="GG20" s="400"/>
      <c r="GH20" s="400"/>
      <c r="GI20" s="400"/>
      <c r="GJ20" s="400"/>
      <c r="GK20" s="400"/>
      <c r="GL20" s="400"/>
      <c r="GM20" s="400"/>
      <c r="GN20" s="400"/>
      <c r="GO20" s="400"/>
      <c r="GP20" s="400"/>
      <c r="GQ20" s="400"/>
      <c r="GR20" s="400"/>
      <c r="GS20" s="400"/>
      <c r="GT20" s="400"/>
      <c r="GU20" s="400"/>
      <c r="GV20" s="400"/>
      <c r="GW20" s="400"/>
      <c r="GX20" s="400"/>
      <c r="GY20" s="400"/>
      <c r="GZ20" s="400"/>
      <c r="HA20" s="400"/>
      <c r="HB20" s="400"/>
      <c r="HC20" s="400"/>
      <c r="HD20" s="400"/>
      <c r="HE20" s="400"/>
      <c r="HF20" s="400"/>
      <c r="HG20" s="400"/>
      <c r="HH20" s="400"/>
      <c r="HI20" s="400"/>
      <c r="HJ20" s="400"/>
      <c r="HK20" s="400"/>
      <c r="HL20" s="400"/>
      <c r="HM20" s="400"/>
      <c r="HN20" s="400"/>
      <c r="HO20" s="400"/>
      <c r="HP20" s="400"/>
      <c r="HQ20" s="400"/>
      <c r="HR20" s="400"/>
      <c r="HS20" s="400"/>
      <c r="HT20" s="400"/>
      <c r="HU20" s="400"/>
      <c r="HV20" s="400"/>
      <c r="HW20" s="400"/>
      <c r="HX20" s="400"/>
      <c r="HY20" s="400"/>
      <c r="HZ20" s="400"/>
      <c r="IA20" s="400"/>
      <c r="IB20" s="400"/>
      <c r="IC20" s="400"/>
      <c r="ID20" s="400"/>
      <c r="IE20" s="400"/>
      <c r="IF20" s="400"/>
      <c r="IG20" s="400"/>
      <c r="IH20" s="400"/>
      <c r="II20" s="400"/>
    </row>
    <row r="21" spans="1:243" s="480" customFormat="1" x14ac:dyDescent="0.2">
      <c r="A21" s="475"/>
      <c r="B21" s="475" t="s">
        <v>60</v>
      </c>
      <c r="C21" s="476">
        <f>ROUND(C18*C19,2)</f>
        <v>742.53</v>
      </c>
      <c r="D21" s="476">
        <f t="shared" ref="D21:Q21" si="4">ROUND(D18*D19,2)</f>
        <v>0</v>
      </c>
      <c r="E21" s="476">
        <f t="shared" si="4"/>
        <v>0</v>
      </c>
      <c r="F21" s="476">
        <f t="shared" si="4"/>
        <v>0</v>
      </c>
      <c r="G21" s="476">
        <f t="shared" si="4"/>
        <v>0</v>
      </c>
      <c r="H21" s="476">
        <f t="shared" si="4"/>
        <v>0</v>
      </c>
      <c r="I21" s="476">
        <f t="shared" si="4"/>
        <v>0</v>
      </c>
      <c r="J21" s="476">
        <f t="shared" si="4"/>
        <v>0</v>
      </c>
      <c r="K21" s="476">
        <f t="shared" si="4"/>
        <v>0</v>
      </c>
      <c r="L21" s="476">
        <f t="shared" si="4"/>
        <v>0</v>
      </c>
      <c r="M21" s="476">
        <f t="shared" si="4"/>
        <v>0</v>
      </c>
      <c r="N21" s="476">
        <f t="shared" si="4"/>
        <v>0</v>
      </c>
      <c r="O21" s="476">
        <f t="shared" si="4"/>
        <v>0</v>
      </c>
      <c r="P21" s="476">
        <f t="shared" si="4"/>
        <v>0</v>
      </c>
      <c r="Q21" s="476">
        <f t="shared" si="4"/>
        <v>0</v>
      </c>
      <c r="R21" s="475">
        <f>SUM(C21:Q21)</f>
        <v>742.53</v>
      </c>
      <c r="S21" s="477"/>
      <c r="T21" s="478"/>
      <c r="U21" s="478"/>
      <c r="V21" s="479"/>
      <c r="W21" s="479"/>
      <c r="X21" s="479"/>
      <c r="Y21" s="479"/>
      <c r="Z21" s="479"/>
      <c r="AA21" s="479"/>
      <c r="AB21" s="479"/>
      <c r="AC21" s="479"/>
      <c r="AD21" s="479"/>
      <c r="AE21" s="479"/>
      <c r="AF21" s="479"/>
      <c r="AG21" s="479"/>
      <c r="AH21" s="479"/>
      <c r="AI21" s="479"/>
      <c r="AJ21" s="479"/>
      <c r="AK21" s="479"/>
      <c r="AL21" s="479"/>
      <c r="AM21" s="479"/>
      <c r="AN21" s="479"/>
      <c r="AO21" s="479"/>
      <c r="AP21" s="479"/>
      <c r="AQ21" s="479"/>
      <c r="AR21" s="479"/>
      <c r="AS21" s="479"/>
      <c r="AT21" s="479"/>
      <c r="AU21" s="479"/>
      <c r="AV21" s="479"/>
      <c r="AW21" s="479"/>
      <c r="AX21" s="479"/>
      <c r="AY21" s="479"/>
      <c r="AZ21" s="479"/>
      <c r="BA21" s="479"/>
      <c r="BB21" s="479"/>
      <c r="BC21" s="479"/>
      <c r="BD21" s="479"/>
      <c r="BE21" s="479"/>
      <c r="BF21" s="479"/>
      <c r="BG21" s="479"/>
      <c r="BH21" s="479"/>
      <c r="BI21" s="479"/>
      <c r="BJ21" s="479"/>
      <c r="BK21" s="479"/>
      <c r="BL21" s="479"/>
      <c r="BM21" s="479"/>
      <c r="BN21" s="479"/>
      <c r="BO21" s="479"/>
      <c r="BP21" s="479"/>
      <c r="BQ21" s="479"/>
      <c r="BR21" s="479"/>
      <c r="BS21" s="479"/>
      <c r="BT21" s="479"/>
      <c r="BU21" s="479"/>
      <c r="BV21" s="479"/>
      <c r="BW21" s="479"/>
      <c r="BX21" s="479"/>
      <c r="BY21" s="479"/>
      <c r="BZ21" s="479"/>
      <c r="CA21" s="479"/>
      <c r="CB21" s="479"/>
      <c r="CC21" s="479"/>
      <c r="CD21" s="479"/>
      <c r="CE21" s="479"/>
      <c r="CF21" s="479"/>
      <c r="CG21" s="479"/>
      <c r="CH21" s="479"/>
      <c r="CI21" s="479"/>
      <c r="CJ21" s="479"/>
      <c r="CK21" s="479"/>
      <c r="CL21" s="479"/>
      <c r="CM21" s="479"/>
      <c r="CN21" s="479"/>
      <c r="CO21" s="479"/>
      <c r="CP21" s="479"/>
      <c r="CQ21" s="479"/>
      <c r="CR21" s="479"/>
      <c r="CS21" s="479"/>
      <c r="CT21" s="479"/>
      <c r="CU21" s="479"/>
      <c r="CV21" s="479"/>
      <c r="CW21" s="479"/>
      <c r="CX21" s="479"/>
      <c r="CY21" s="479"/>
      <c r="CZ21" s="479"/>
      <c r="DA21" s="479"/>
      <c r="DB21" s="479"/>
      <c r="DC21" s="479"/>
      <c r="DD21" s="479"/>
      <c r="DE21" s="479"/>
      <c r="DF21" s="479"/>
      <c r="DG21" s="479"/>
      <c r="DH21" s="479"/>
      <c r="DI21" s="479"/>
      <c r="DJ21" s="479"/>
      <c r="DK21" s="479"/>
      <c r="DL21" s="479"/>
      <c r="DM21" s="479"/>
      <c r="DN21" s="479"/>
      <c r="DO21" s="479"/>
      <c r="DP21" s="479"/>
      <c r="DQ21" s="479"/>
      <c r="DR21" s="479"/>
      <c r="DS21" s="479"/>
      <c r="DT21" s="479"/>
      <c r="DU21" s="479"/>
      <c r="DV21" s="479"/>
      <c r="DW21" s="479"/>
      <c r="DX21" s="479"/>
      <c r="DY21" s="479"/>
      <c r="DZ21" s="479"/>
      <c r="EA21" s="479"/>
      <c r="EB21" s="479"/>
      <c r="EC21" s="479"/>
      <c r="ED21" s="479"/>
      <c r="EE21" s="479"/>
      <c r="EF21" s="479"/>
      <c r="EG21" s="479"/>
      <c r="EH21" s="479"/>
      <c r="EI21" s="479"/>
      <c r="EJ21" s="479"/>
      <c r="EK21" s="479"/>
      <c r="EL21" s="479"/>
      <c r="EM21" s="479"/>
      <c r="EN21" s="479"/>
      <c r="EO21" s="479"/>
      <c r="EP21" s="479"/>
      <c r="EQ21" s="479"/>
      <c r="ER21" s="479"/>
      <c r="ES21" s="479"/>
      <c r="ET21" s="479"/>
      <c r="EU21" s="479"/>
      <c r="EV21" s="479"/>
      <c r="EW21" s="479"/>
      <c r="EX21" s="479"/>
      <c r="EY21" s="479"/>
      <c r="EZ21" s="479"/>
      <c r="FA21" s="479"/>
      <c r="FB21" s="479"/>
      <c r="FC21" s="479"/>
      <c r="FD21" s="479"/>
      <c r="FE21" s="479"/>
      <c r="FF21" s="479"/>
      <c r="FG21" s="479"/>
      <c r="FH21" s="479"/>
      <c r="FI21" s="479"/>
      <c r="FJ21" s="479"/>
      <c r="FK21" s="479"/>
      <c r="FL21" s="479"/>
      <c r="FM21" s="479"/>
      <c r="FN21" s="479"/>
      <c r="FO21" s="479"/>
      <c r="FP21" s="479"/>
      <c r="FQ21" s="479"/>
      <c r="FR21" s="479"/>
      <c r="FS21" s="479"/>
      <c r="FT21" s="479"/>
      <c r="FU21" s="479"/>
      <c r="FV21" s="479"/>
      <c r="FW21" s="479"/>
      <c r="FX21" s="479"/>
      <c r="FY21" s="479"/>
      <c r="FZ21" s="479"/>
      <c r="GA21" s="479"/>
      <c r="GB21" s="479"/>
      <c r="GC21" s="479"/>
      <c r="GD21" s="479"/>
      <c r="GE21" s="479"/>
      <c r="GF21" s="479"/>
      <c r="GG21" s="479"/>
      <c r="GH21" s="479"/>
      <c r="GI21" s="479"/>
      <c r="GJ21" s="479"/>
      <c r="GK21" s="479"/>
      <c r="GL21" s="479"/>
      <c r="GM21" s="479"/>
      <c r="GN21" s="479"/>
      <c r="GO21" s="479"/>
      <c r="GP21" s="479"/>
      <c r="GQ21" s="479"/>
      <c r="GR21" s="479"/>
      <c r="GS21" s="479"/>
      <c r="GT21" s="479"/>
      <c r="GU21" s="479"/>
      <c r="GV21" s="479"/>
      <c r="GW21" s="479"/>
      <c r="GX21" s="479"/>
      <c r="GY21" s="479"/>
      <c r="GZ21" s="479"/>
      <c r="HA21" s="479"/>
      <c r="HB21" s="479"/>
      <c r="HC21" s="479"/>
      <c r="HD21" s="479"/>
      <c r="HE21" s="479"/>
      <c r="HF21" s="479"/>
      <c r="HG21" s="479"/>
      <c r="HH21" s="479"/>
      <c r="HI21" s="479"/>
      <c r="HJ21" s="479"/>
      <c r="HK21" s="479"/>
      <c r="HL21" s="479"/>
      <c r="HM21" s="479"/>
      <c r="HN21" s="479"/>
      <c r="HO21" s="479"/>
      <c r="HP21" s="479"/>
      <c r="HQ21" s="479"/>
      <c r="HR21" s="479"/>
      <c r="HS21" s="479"/>
      <c r="HT21" s="479"/>
      <c r="HU21" s="479"/>
      <c r="HV21" s="479"/>
      <c r="HW21" s="479"/>
      <c r="HX21" s="479"/>
      <c r="HY21" s="479"/>
      <c r="HZ21" s="479"/>
      <c r="IA21" s="479"/>
      <c r="IB21" s="479"/>
      <c r="IC21" s="479"/>
      <c r="ID21" s="479"/>
      <c r="IE21" s="479"/>
      <c r="IF21" s="479"/>
      <c r="IG21" s="479"/>
      <c r="IH21" s="479"/>
      <c r="II21" s="479"/>
    </row>
    <row r="22" spans="1:243" s="403" customFormat="1" x14ac:dyDescent="0.2">
      <c r="A22" s="382" t="s">
        <v>61</v>
      </c>
      <c r="B22" s="386" t="s">
        <v>59</v>
      </c>
      <c r="C22" s="386">
        <v>8809</v>
      </c>
      <c r="D22" s="386">
        <v>4746</v>
      </c>
      <c r="E22" s="386">
        <v>4065</v>
      </c>
      <c r="F22" s="424">
        <v>17533</v>
      </c>
      <c r="G22" s="386">
        <v>14554</v>
      </c>
      <c r="H22" s="386">
        <v>9800</v>
      </c>
      <c r="I22" s="386">
        <v>17540</v>
      </c>
      <c r="J22" s="386">
        <v>12158</v>
      </c>
      <c r="K22" s="386">
        <v>7447</v>
      </c>
      <c r="L22" s="386">
        <v>5727</v>
      </c>
      <c r="M22" s="386">
        <v>23625</v>
      </c>
      <c r="N22" s="386"/>
      <c r="O22" s="386"/>
      <c r="P22" s="386"/>
      <c r="Q22" s="386"/>
      <c r="R22" s="391">
        <f>SUM(C22:Q22)</f>
        <v>126004</v>
      </c>
      <c r="S22" s="389"/>
      <c r="T22" s="401"/>
      <c r="U22" s="401"/>
      <c r="V22" s="400"/>
      <c r="W22" s="400"/>
      <c r="X22" s="400"/>
      <c r="Y22" s="400"/>
      <c r="Z22" s="400"/>
      <c r="AA22" s="400"/>
      <c r="AB22" s="400"/>
      <c r="AC22" s="400"/>
      <c r="AD22" s="400"/>
      <c r="AE22" s="400"/>
      <c r="AF22" s="400"/>
      <c r="AG22" s="400"/>
      <c r="AH22" s="400"/>
      <c r="AI22" s="400"/>
      <c r="AJ22" s="400"/>
      <c r="AK22" s="400"/>
      <c r="AL22" s="400"/>
      <c r="AM22" s="400"/>
      <c r="AN22" s="400"/>
      <c r="AO22" s="400"/>
      <c r="AP22" s="400"/>
      <c r="AQ22" s="400"/>
      <c r="AR22" s="400"/>
      <c r="AS22" s="400"/>
      <c r="AT22" s="400"/>
      <c r="AU22" s="400"/>
      <c r="AV22" s="400"/>
      <c r="AW22" s="400"/>
      <c r="AX22" s="400"/>
      <c r="AY22" s="400"/>
      <c r="AZ22" s="400"/>
      <c r="BA22" s="400"/>
      <c r="BB22" s="400"/>
      <c r="BC22" s="400"/>
      <c r="BD22" s="400"/>
      <c r="BE22" s="400"/>
      <c r="BF22" s="400"/>
      <c r="BG22" s="400"/>
      <c r="BH22" s="400"/>
      <c r="BI22" s="400"/>
      <c r="BJ22" s="400"/>
      <c r="BK22" s="400"/>
      <c r="BL22" s="400"/>
      <c r="BM22" s="400"/>
      <c r="BN22" s="400"/>
      <c r="BO22" s="400"/>
      <c r="BP22" s="400"/>
      <c r="BQ22" s="400"/>
      <c r="BR22" s="400"/>
      <c r="BS22" s="400"/>
      <c r="BT22" s="400"/>
      <c r="BU22" s="400"/>
      <c r="BV22" s="400"/>
      <c r="BW22" s="400"/>
      <c r="BX22" s="400"/>
      <c r="BY22" s="400"/>
      <c r="BZ22" s="400"/>
      <c r="CA22" s="400"/>
      <c r="CB22" s="400"/>
      <c r="CC22" s="400"/>
      <c r="CD22" s="400"/>
      <c r="CE22" s="400"/>
      <c r="CF22" s="400"/>
      <c r="CG22" s="400"/>
      <c r="CH22" s="400"/>
      <c r="CI22" s="400"/>
      <c r="CJ22" s="400"/>
      <c r="CK22" s="400"/>
      <c r="CL22" s="400"/>
      <c r="CM22" s="400"/>
      <c r="CN22" s="400"/>
      <c r="CO22" s="400"/>
      <c r="CP22" s="400"/>
      <c r="CQ22" s="400"/>
      <c r="CR22" s="400"/>
      <c r="CS22" s="400"/>
      <c r="CT22" s="400"/>
      <c r="CU22" s="400"/>
      <c r="CV22" s="400"/>
      <c r="CW22" s="400"/>
      <c r="CX22" s="400"/>
      <c r="CY22" s="400"/>
      <c r="CZ22" s="400"/>
      <c r="DA22" s="400"/>
      <c r="DB22" s="400"/>
      <c r="DC22" s="400"/>
      <c r="DD22" s="400"/>
      <c r="DE22" s="400"/>
      <c r="DF22" s="400"/>
      <c r="DG22" s="400"/>
      <c r="DH22" s="400"/>
      <c r="DI22" s="400"/>
      <c r="DJ22" s="400"/>
      <c r="DK22" s="400"/>
      <c r="DL22" s="400"/>
      <c r="DM22" s="400"/>
      <c r="DN22" s="400"/>
      <c r="DO22" s="400"/>
      <c r="DP22" s="400"/>
      <c r="DQ22" s="400"/>
      <c r="DR22" s="400"/>
      <c r="DS22" s="400"/>
      <c r="DT22" s="400"/>
      <c r="DU22" s="400"/>
      <c r="DV22" s="400"/>
      <c r="DW22" s="400"/>
      <c r="DX22" s="400"/>
      <c r="DY22" s="400"/>
      <c r="DZ22" s="400"/>
      <c r="EA22" s="400"/>
      <c r="EB22" s="400"/>
      <c r="EC22" s="400"/>
      <c r="ED22" s="400"/>
      <c r="EE22" s="400"/>
      <c r="EF22" s="400"/>
      <c r="EG22" s="400"/>
      <c r="EH22" s="400"/>
      <c r="EI22" s="400"/>
      <c r="EJ22" s="400"/>
      <c r="EK22" s="400"/>
      <c r="EL22" s="400"/>
      <c r="EM22" s="400"/>
      <c r="EN22" s="400"/>
      <c r="EO22" s="400"/>
      <c r="EP22" s="400"/>
      <c r="EQ22" s="400"/>
      <c r="ER22" s="400"/>
      <c r="ES22" s="400"/>
      <c r="ET22" s="400"/>
      <c r="EU22" s="400"/>
      <c r="EV22" s="400"/>
      <c r="EW22" s="400"/>
      <c r="EX22" s="400"/>
      <c r="EY22" s="400"/>
      <c r="EZ22" s="400"/>
      <c r="FA22" s="400"/>
      <c r="FB22" s="400"/>
      <c r="FC22" s="400"/>
      <c r="FD22" s="400"/>
      <c r="FE22" s="400"/>
      <c r="FF22" s="400"/>
      <c r="FG22" s="400"/>
      <c r="FH22" s="400"/>
      <c r="FI22" s="400"/>
      <c r="FJ22" s="400"/>
      <c r="FK22" s="400"/>
      <c r="FL22" s="400"/>
      <c r="FM22" s="400"/>
      <c r="FN22" s="400"/>
      <c r="FO22" s="400"/>
      <c r="FP22" s="400"/>
      <c r="FQ22" s="400"/>
      <c r="FR22" s="400"/>
      <c r="FS22" s="400"/>
      <c r="FT22" s="400"/>
      <c r="FU22" s="400"/>
      <c r="FV22" s="400"/>
      <c r="FW22" s="400"/>
      <c r="FX22" s="400"/>
      <c r="FY22" s="400"/>
      <c r="FZ22" s="400"/>
      <c r="GA22" s="400"/>
      <c r="GB22" s="400"/>
      <c r="GC22" s="400"/>
      <c r="GD22" s="400"/>
      <c r="GE22" s="400"/>
      <c r="GF22" s="400"/>
      <c r="GG22" s="400"/>
      <c r="GH22" s="400"/>
      <c r="GI22" s="400"/>
      <c r="GJ22" s="400"/>
      <c r="GK22" s="400"/>
      <c r="GL22" s="400"/>
      <c r="GM22" s="400"/>
      <c r="GN22" s="400"/>
      <c r="GO22" s="400"/>
      <c r="GP22" s="400"/>
      <c r="GQ22" s="400"/>
      <c r="GR22" s="400"/>
      <c r="GS22" s="400"/>
      <c r="GT22" s="400"/>
      <c r="GU22" s="400"/>
      <c r="GV22" s="400"/>
      <c r="GW22" s="400"/>
      <c r="GX22" s="400"/>
      <c r="GY22" s="400"/>
      <c r="GZ22" s="400"/>
      <c r="HA22" s="400"/>
      <c r="HB22" s="400"/>
      <c r="HC22" s="400"/>
      <c r="HD22" s="400"/>
      <c r="HE22" s="400"/>
      <c r="HF22" s="400"/>
      <c r="HG22" s="400"/>
      <c r="HH22" s="400"/>
      <c r="HI22" s="400"/>
      <c r="HJ22" s="400"/>
      <c r="HK22" s="400"/>
      <c r="HL22" s="400"/>
      <c r="HM22" s="400"/>
      <c r="HN22" s="400"/>
      <c r="HO22" s="400"/>
      <c r="HP22" s="400"/>
      <c r="HQ22" s="400"/>
      <c r="HR22" s="400"/>
      <c r="HS22" s="400"/>
      <c r="HT22" s="400"/>
      <c r="HU22" s="400"/>
      <c r="HV22" s="400"/>
      <c r="HW22" s="400"/>
      <c r="HX22" s="400"/>
      <c r="HY22" s="400"/>
      <c r="HZ22" s="400"/>
      <c r="IA22" s="400"/>
      <c r="IB22" s="400"/>
      <c r="IC22" s="400"/>
      <c r="ID22" s="400"/>
      <c r="IE22" s="400"/>
      <c r="IF22" s="400"/>
      <c r="IG22" s="400"/>
      <c r="IH22" s="400"/>
      <c r="II22" s="400"/>
    </row>
    <row r="23" spans="1:243" x14ac:dyDescent="0.2">
      <c r="A23" s="387"/>
      <c r="B23" s="383"/>
      <c r="C23" s="490">
        <v>0.19009999999999999</v>
      </c>
      <c r="D23" s="490">
        <v>0.19009999999999999</v>
      </c>
      <c r="E23" s="490">
        <v>0.19009999999999999</v>
      </c>
      <c r="F23" s="490">
        <v>0.19009999999999999</v>
      </c>
      <c r="G23" s="490">
        <v>0.19009999999999999</v>
      </c>
      <c r="H23" s="490">
        <v>0.19009999999999999</v>
      </c>
      <c r="I23" s="490">
        <v>0.19009999999999999</v>
      </c>
      <c r="J23" s="490">
        <v>0.19009999999999999</v>
      </c>
      <c r="K23" s="490">
        <v>0.19009999999999999</v>
      </c>
      <c r="L23" s="490">
        <v>0.19009999999999999</v>
      </c>
      <c r="M23" s="490">
        <v>0.19009999999999999</v>
      </c>
      <c r="N23" s="490">
        <v>0.19009999999999999</v>
      </c>
      <c r="O23" s="490">
        <v>0.19009999999999999</v>
      </c>
      <c r="P23" s="490">
        <v>0.19009999999999999</v>
      </c>
      <c r="Q23" s="490">
        <v>0.19009999999999999</v>
      </c>
      <c r="R23" s="399"/>
      <c r="S23" s="389"/>
      <c r="T23" s="401"/>
      <c r="U23" s="401"/>
      <c r="V23" s="400"/>
      <c r="W23" s="400"/>
      <c r="X23" s="400"/>
      <c r="Y23" s="400"/>
      <c r="Z23" s="400"/>
      <c r="AA23" s="400"/>
      <c r="AB23" s="400"/>
      <c r="AC23" s="400"/>
      <c r="AD23" s="400"/>
      <c r="AE23" s="400"/>
      <c r="AF23" s="400"/>
      <c r="AG23" s="400"/>
      <c r="AH23" s="400"/>
      <c r="AI23" s="400"/>
      <c r="AJ23" s="400"/>
      <c r="AK23" s="400"/>
      <c r="AL23" s="400"/>
      <c r="AM23" s="400"/>
      <c r="AN23" s="400"/>
      <c r="AO23" s="400"/>
      <c r="AP23" s="400"/>
      <c r="AQ23" s="400"/>
      <c r="AR23" s="400"/>
      <c r="AS23" s="400"/>
      <c r="AT23" s="400"/>
      <c r="AU23" s="400"/>
      <c r="AV23" s="400"/>
      <c r="AW23" s="400"/>
      <c r="AX23" s="400"/>
      <c r="AY23" s="400"/>
      <c r="AZ23" s="400"/>
      <c r="BA23" s="400"/>
      <c r="BB23" s="400"/>
      <c r="BC23" s="400"/>
      <c r="BD23" s="400"/>
      <c r="BE23" s="400"/>
      <c r="BF23" s="400"/>
      <c r="BG23" s="400"/>
      <c r="BH23" s="400"/>
      <c r="BI23" s="400"/>
      <c r="BJ23" s="400"/>
      <c r="BK23" s="400"/>
      <c r="BL23" s="400"/>
      <c r="BM23" s="400"/>
      <c r="BN23" s="400"/>
      <c r="BO23" s="400"/>
      <c r="BP23" s="400"/>
      <c r="BQ23" s="400"/>
      <c r="BR23" s="400"/>
      <c r="BS23" s="400"/>
      <c r="BT23" s="400"/>
      <c r="BU23" s="400"/>
      <c r="BV23" s="400"/>
      <c r="BW23" s="400"/>
      <c r="BX23" s="400"/>
      <c r="BY23" s="400"/>
      <c r="BZ23" s="400"/>
      <c r="CA23" s="400"/>
      <c r="CB23" s="400"/>
      <c r="CC23" s="400"/>
      <c r="CD23" s="400"/>
      <c r="CE23" s="400"/>
      <c r="CF23" s="400"/>
      <c r="CG23" s="400"/>
      <c r="CH23" s="400"/>
      <c r="CI23" s="400"/>
      <c r="CJ23" s="400"/>
      <c r="CK23" s="400"/>
      <c r="CL23" s="400"/>
      <c r="CM23" s="400"/>
      <c r="CN23" s="400"/>
      <c r="CO23" s="400"/>
      <c r="CP23" s="400"/>
      <c r="CQ23" s="400"/>
      <c r="CR23" s="400"/>
      <c r="CS23" s="400"/>
      <c r="CT23" s="400"/>
      <c r="CU23" s="400"/>
      <c r="CV23" s="400"/>
      <c r="CW23" s="400"/>
      <c r="CX23" s="400"/>
      <c r="CY23" s="400"/>
      <c r="CZ23" s="400"/>
      <c r="DA23" s="400"/>
      <c r="DB23" s="400"/>
      <c r="DC23" s="400"/>
      <c r="DD23" s="400"/>
      <c r="DE23" s="400"/>
      <c r="DF23" s="400"/>
      <c r="DG23" s="400"/>
      <c r="DH23" s="400"/>
      <c r="DI23" s="400"/>
      <c r="DJ23" s="400"/>
      <c r="DK23" s="400"/>
      <c r="DL23" s="400"/>
      <c r="DM23" s="400"/>
      <c r="DN23" s="400"/>
      <c r="DO23" s="400"/>
      <c r="DP23" s="400"/>
      <c r="DQ23" s="400"/>
      <c r="DR23" s="400"/>
      <c r="DS23" s="400"/>
      <c r="DT23" s="400"/>
      <c r="DU23" s="400"/>
      <c r="DV23" s="400"/>
      <c r="DW23" s="400"/>
      <c r="DX23" s="400"/>
      <c r="DY23" s="400"/>
      <c r="DZ23" s="400"/>
      <c r="EA23" s="400"/>
      <c r="EB23" s="400"/>
      <c r="EC23" s="400"/>
      <c r="ED23" s="400"/>
      <c r="EE23" s="400"/>
      <c r="EF23" s="400"/>
      <c r="EG23" s="400"/>
      <c r="EH23" s="400"/>
      <c r="EI23" s="400"/>
      <c r="EJ23" s="400"/>
      <c r="EK23" s="400"/>
      <c r="EL23" s="400"/>
      <c r="EM23" s="400"/>
      <c r="EN23" s="400"/>
      <c r="EO23" s="400"/>
      <c r="EP23" s="400"/>
      <c r="EQ23" s="400"/>
      <c r="ER23" s="400"/>
      <c r="ES23" s="400"/>
      <c r="ET23" s="400"/>
      <c r="EU23" s="400"/>
      <c r="EV23" s="400"/>
      <c r="EW23" s="400"/>
      <c r="EX23" s="400"/>
      <c r="EY23" s="400"/>
      <c r="EZ23" s="400"/>
      <c r="FA23" s="400"/>
      <c r="FB23" s="400"/>
      <c r="FC23" s="400"/>
      <c r="FD23" s="400"/>
      <c r="FE23" s="400"/>
      <c r="FF23" s="400"/>
      <c r="FG23" s="400"/>
      <c r="FH23" s="400"/>
      <c r="FI23" s="400"/>
      <c r="FJ23" s="400"/>
      <c r="FK23" s="400"/>
      <c r="FL23" s="400"/>
      <c r="FM23" s="400"/>
      <c r="FN23" s="400"/>
      <c r="FO23" s="400"/>
      <c r="FP23" s="400"/>
      <c r="FQ23" s="400"/>
      <c r="FR23" s="400"/>
      <c r="FS23" s="400"/>
      <c r="FT23" s="400"/>
      <c r="FU23" s="400"/>
      <c r="FV23" s="400"/>
      <c r="FW23" s="400"/>
      <c r="FX23" s="400"/>
      <c r="FY23" s="400"/>
      <c r="FZ23" s="400"/>
      <c r="GA23" s="400"/>
      <c r="GB23" s="400"/>
      <c r="GC23" s="400"/>
      <c r="GD23" s="400"/>
      <c r="GE23" s="400"/>
      <c r="GF23" s="400"/>
      <c r="GG23" s="400"/>
      <c r="GH23" s="400"/>
      <c r="GI23" s="400"/>
      <c r="GJ23" s="400"/>
      <c r="GK23" s="400"/>
      <c r="GL23" s="400"/>
      <c r="GM23" s="400"/>
      <c r="GN23" s="400"/>
      <c r="GO23" s="400"/>
      <c r="GP23" s="400"/>
      <c r="GQ23" s="400"/>
      <c r="GR23" s="400"/>
      <c r="GS23" s="400"/>
      <c r="GT23" s="400"/>
      <c r="GU23" s="400"/>
      <c r="GV23" s="400"/>
      <c r="GW23" s="400"/>
      <c r="GX23" s="400"/>
      <c r="GY23" s="400"/>
      <c r="GZ23" s="400"/>
      <c r="HA23" s="400"/>
      <c r="HB23" s="400"/>
      <c r="HC23" s="400"/>
      <c r="HD23" s="400"/>
      <c r="HE23" s="400"/>
      <c r="HF23" s="400"/>
      <c r="HG23" s="400"/>
      <c r="HH23" s="400"/>
      <c r="HI23" s="400"/>
      <c r="HJ23" s="400"/>
      <c r="HK23" s="400"/>
      <c r="HL23" s="400"/>
      <c r="HM23" s="400"/>
      <c r="HN23" s="400"/>
      <c r="HO23" s="400"/>
      <c r="HP23" s="400"/>
      <c r="HQ23" s="400"/>
      <c r="HR23" s="400"/>
      <c r="HS23" s="400"/>
      <c r="HT23" s="400"/>
      <c r="HU23" s="400"/>
      <c r="HV23" s="400"/>
      <c r="HW23" s="400"/>
      <c r="HX23" s="400"/>
      <c r="HY23" s="400"/>
      <c r="HZ23" s="400"/>
      <c r="IA23" s="400"/>
      <c r="IB23" s="400"/>
      <c r="IC23" s="400"/>
      <c r="ID23" s="400"/>
      <c r="IE23" s="400"/>
      <c r="IF23" s="400"/>
      <c r="IG23" s="400"/>
      <c r="IH23" s="400"/>
      <c r="II23" s="400"/>
    </row>
    <row r="24" spans="1:243" s="480" customFormat="1" x14ac:dyDescent="0.2">
      <c r="A24" s="475"/>
      <c r="B24" s="475" t="s">
        <v>60</v>
      </c>
      <c r="C24" s="476">
        <f>ROUND(C22*C23,2)</f>
        <v>1674.59</v>
      </c>
      <c r="D24" s="476">
        <f t="shared" ref="D24:Q24" si="5">ROUND(D22*D23,2)</f>
        <v>902.21</v>
      </c>
      <c r="E24" s="476">
        <f t="shared" si="5"/>
        <v>772.76</v>
      </c>
      <c r="F24" s="476">
        <f t="shared" si="5"/>
        <v>3333.02</v>
      </c>
      <c r="G24" s="476">
        <f t="shared" si="5"/>
        <v>2766.72</v>
      </c>
      <c r="H24" s="476">
        <f t="shared" si="5"/>
        <v>1862.98</v>
      </c>
      <c r="I24" s="476">
        <f t="shared" si="5"/>
        <v>3334.35</v>
      </c>
      <c r="J24" s="476">
        <f t="shared" si="5"/>
        <v>2311.2399999999998</v>
      </c>
      <c r="K24" s="476">
        <f t="shared" si="5"/>
        <v>1415.67</v>
      </c>
      <c r="L24" s="476">
        <f t="shared" si="5"/>
        <v>1088.7</v>
      </c>
      <c r="M24" s="476">
        <f t="shared" si="5"/>
        <v>4491.1099999999997</v>
      </c>
      <c r="N24" s="476">
        <f t="shared" si="5"/>
        <v>0</v>
      </c>
      <c r="O24" s="476">
        <f t="shared" si="5"/>
        <v>0</v>
      </c>
      <c r="P24" s="476">
        <f t="shared" si="5"/>
        <v>0</v>
      </c>
      <c r="Q24" s="476">
        <f t="shared" si="5"/>
        <v>0</v>
      </c>
      <c r="R24" s="476">
        <f>SUM(C24:Q24)</f>
        <v>23953.350000000002</v>
      </c>
      <c r="S24" s="477"/>
      <c r="T24" s="478"/>
      <c r="U24" s="478"/>
      <c r="V24" s="479"/>
      <c r="W24" s="479"/>
      <c r="X24" s="479"/>
      <c r="Y24" s="479"/>
      <c r="Z24" s="479"/>
      <c r="AA24" s="479"/>
      <c r="AB24" s="479"/>
      <c r="AC24" s="479"/>
      <c r="AD24" s="479"/>
      <c r="AE24" s="479"/>
      <c r="AF24" s="479"/>
      <c r="AG24" s="479"/>
      <c r="AH24" s="479"/>
      <c r="AI24" s="479"/>
      <c r="AJ24" s="479"/>
      <c r="AK24" s="479"/>
      <c r="AL24" s="479"/>
      <c r="AM24" s="479"/>
      <c r="AN24" s="479"/>
      <c r="AO24" s="479"/>
      <c r="AP24" s="479"/>
      <c r="AQ24" s="479"/>
      <c r="AR24" s="479"/>
      <c r="AS24" s="479"/>
      <c r="AT24" s="479"/>
      <c r="AU24" s="479"/>
      <c r="AV24" s="479"/>
      <c r="AW24" s="479"/>
      <c r="AX24" s="479"/>
      <c r="AY24" s="479"/>
      <c r="AZ24" s="479"/>
      <c r="BA24" s="479"/>
      <c r="BB24" s="479"/>
      <c r="BC24" s="479"/>
      <c r="BD24" s="479"/>
      <c r="BE24" s="479"/>
      <c r="BF24" s="479"/>
      <c r="BG24" s="479"/>
      <c r="BH24" s="479"/>
      <c r="BI24" s="479"/>
      <c r="BJ24" s="479"/>
      <c r="BK24" s="479"/>
      <c r="BL24" s="479"/>
      <c r="BM24" s="479"/>
      <c r="BN24" s="479"/>
      <c r="BO24" s="479"/>
      <c r="BP24" s="479"/>
      <c r="BQ24" s="479"/>
      <c r="BR24" s="479"/>
      <c r="BS24" s="479"/>
      <c r="BT24" s="479"/>
      <c r="BU24" s="479"/>
      <c r="BV24" s="479"/>
      <c r="BW24" s="479"/>
      <c r="BX24" s="479"/>
      <c r="BY24" s="479"/>
      <c r="BZ24" s="479"/>
      <c r="CA24" s="479"/>
      <c r="CB24" s="479"/>
      <c r="CC24" s="479"/>
      <c r="CD24" s="479"/>
      <c r="CE24" s="479"/>
      <c r="CF24" s="479"/>
      <c r="CG24" s="479"/>
      <c r="CH24" s="479"/>
      <c r="CI24" s="479"/>
      <c r="CJ24" s="479"/>
      <c r="CK24" s="479"/>
      <c r="CL24" s="479"/>
      <c r="CM24" s="479"/>
      <c r="CN24" s="479"/>
      <c r="CO24" s="479"/>
      <c r="CP24" s="479"/>
      <c r="CQ24" s="479"/>
      <c r="CR24" s="479"/>
      <c r="CS24" s="479"/>
      <c r="CT24" s="479"/>
      <c r="CU24" s="479"/>
      <c r="CV24" s="479"/>
      <c r="CW24" s="479"/>
      <c r="CX24" s="479"/>
      <c r="CY24" s="479"/>
      <c r="CZ24" s="479"/>
      <c r="DA24" s="479"/>
      <c r="DB24" s="479"/>
      <c r="DC24" s="479"/>
      <c r="DD24" s="479"/>
      <c r="DE24" s="479"/>
      <c r="DF24" s="479"/>
      <c r="DG24" s="479"/>
      <c r="DH24" s="479"/>
      <c r="DI24" s="479"/>
      <c r="DJ24" s="479"/>
      <c r="DK24" s="479"/>
      <c r="DL24" s="479"/>
      <c r="DM24" s="479"/>
      <c r="DN24" s="479"/>
      <c r="DO24" s="479"/>
      <c r="DP24" s="479"/>
      <c r="DQ24" s="479"/>
      <c r="DR24" s="479"/>
      <c r="DS24" s="479"/>
      <c r="DT24" s="479"/>
      <c r="DU24" s="479"/>
      <c r="DV24" s="479"/>
      <c r="DW24" s="479"/>
      <c r="DX24" s="479"/>
      <c r="DY24" s="479"/>
      <c r="DZ24" s="479"/>
      <c r="EA24" s="479"/>
      <c r="EB24" s="479"/>
      <c r="EC24" s="479"/>
      <c r="ED24" s="479"/>
      <c r="EE24" s="479"/>
      <c r="EF24" s="479"/>
      <c r="EG24" s="479"/>
      <c r="EH24" s="479"/>
      <c r="EI24" s="479"/>
      <c r="EJ24" s="479"/>
      <c r="EK24" s="479"/>
      <c r="EL24" s="479"/>
      <c r="EM24" s="479"/>
      <c r="EN24" s="479"/>
      <c r="EO24" s="479"/>
      <c r="EP24" s="479"/>
      <c r="EQ24" s="479"/>
      <c r="ER24" s="479"/>
      <c r="ES24" s="479"/>
      <c r="ET24" s="479"/>
      <c r="EU24" s="479"/>
      <c r="EV24" s="479"/>
      <c r="EW24" s="479"/>
      <c r="EX24" s="479"/>
      <c r="EY24" s="479"/>
      <c r="EZ24" s="479"/>
      <c r="FA24" s="479"/>
      <c r="FB24" s="479"/>
      <c r="FC24" s="479"/>
      <c r="FD24" s="479"/>
      <c r="FE24" s="479"/>
      <c r="FF24" s="479"/>
      <c r="FG24" s="479"/>
      <c r="FH24" s="479"/>
      <c r="FI24" s="479"/>
      <c r="FJ24" s="479"/>
      <c r="FK24" s="479"/>
      <c r="FL24" s="479"/>
      <c r="FM24" s="479"/>
      <c r="FN24" s="479"/>
      <c r="FO24" s="479"/>
      <c r="FP24" s="479"/>
      <c r="FQ24" s="479"/>
      <c r="FR24" s="479"/>
      <c r="FS24" s="479"/>
      <c r="FT24" s="479"/>
      <c r="FU24" s="479"/>
      <c r="FV24" s="479"/>
      <c r="FW24" s="479"/>
      <c r="FX24" s="479"/>
      <c r="FY24" s="479"/>
      <c r="FZ24" s="479"/>
      <c r="GA24" s="479"/>
      <c r="GB24" s="479"/>
      <c r="GC24" s="479"/>
      <c r="GD24" s="479"/>
      <c r="GE24" s="479"/>
      <c r="GF24" s="479"/>
      <c r="GG24" s="479"/>
      <c r="GH24" s="479"/>
      <c r="GI24" s="479"/>
      <c r="GJ24" s="479"/>
      <c r="GK24" s="479"/>
      <c r="GL24" s="479"/>
      <c r="GM24" s="479"/>
      <c r="GN24" s="479"/>
      <c r="GO24" s="479"/>
      <c r="GP24" s="479"/>
      <c r="GQ24" s="479"/>
      <c r="GR24" s="479"/>
      <c r="GS24" s="479"/>
      <c r="GT24" s="479"/>
      <c r="GU24" s="479"/>
      <c r="GV24" s="479"/>
      <c r="GW24" s="479"/>
      <c r="GX24" s="479"/>
      <c r="GY24" s="479"/>
      <c r="GZ24" s="479"/>
      <c r="HA24" s="479"/>
      <c r="HB24" s="479"/>
      <c r="HC24" s="479"/>
      <c r="HD24" s="479"/>
      <c r="HE24" s="479"/>
      <c r="HF24" s="479"/>
      <c r="HG24" s="479"/>
      <c r="HH24" s="479"/>
      <c r="HI24" s="479"/>
      <c r="HJ24" s="479"/>
      <c r="HK24" s="479"/>
      <c r="HL24" s="479"/>
      <c r="HM24" s="479"/>
      <c r="HN24" s="479"/>
      <c r="HO24" s="479"/>
      <c r="HP24" s="479"/>
      <c r="HQ24" s="479"/>
      <c r="HR24" s="479"/>
      <c r="HS24" s="479"/>
      <c r="HT24" s="479"/>
      <c r="HU24" s="479"/>
      <c r="HV24" s="479"/>
      <c r="HW24" s="479"/>
      <c r="HX24" s="479"/>
      <c r="HY24" s="479"/>
      <c r="HZ24" s="479"/>
      <c r="IA24" s="479"/>
      <c r="IB24" s="479"/>
      <c r="IC24" s="479"/>
      <c r="ID24" s="479"/>
      <c r="IE24" s="479"/>
      <c r="IF24" s="479"/>
      <c r="IG24" s="479"/>
      <c r="IH24" s="479"/>
      <c r="II24" s="479"/>
    </row>
    <row r="25" spans="1:243" s="403" customFormat="1" x14ac:dyDescent="0.2">
      <c r="A25" s="382" t="s">
        <v>62</v>
      </c>
      <c r="B25" s="386" t="s">
        <v>59</v>
      </c>
      <c r="C25" s="386">
        <v>240</v>
      </c>
      <c r="D25" s="386">
        <v>140</v>
      </c>
      <c r="E25" s="386">
        <v>119</v>
      </c>
      <c r="F25" s="386">
        <v>573</v>
      </c>
      <c r="G25" s="386">
        <v>58</v>
      </c>
      <c r="H25" s="386">
        <v>244</v>
      </c>
      <c r="I25" s="386">
        <v>101</v>
      </c>
      <c r="J25" s="386">
        <v>121</v>
      </c>
      <c r="K25" s="386">
        <v>358</v>
      </c>
      <c r="L25" s="386">
        <v>165</v>
      </c>
      <c r="M25" s="386">
        <v>306</v>
      </c>
      <c r="N25" s="386"/>
      <c r="O25" s="386"/>
      <c r="P25" s="386"/>
      <c r="Q25" s="386">
        <v>762</v>
      </c>
      <c r="R25" s="391">
        <f>SUM(C25:Q25)</f>
        <v>3187</v>
      </c>
      <c r="S25" s="389"/>
      <c r="T25" s="401"/>
      <c r="U25" s="401"/>
      <c r="V25" s="400"/>
      <c r="W25" s="400"/>
      <c r="X25" s="400"/>
      <c r="Y25" s="400"/>
      <c r="Z25" s="400"/>
      <c r="AA25" s="400"/>
      <c r="AB25" s="400"/>
      <c r="AC25" s="400"/>
      <c r="AD25" s="400"/>
      <c r="AE25" s="400"/>
      <c r="AF25" s="400"/>
      <c r="AG25" s="400"/>
      <c r="AH25" s="400"/>
      <c r="AI25" s="400"/>
      <c r="AJ25" s="400"/>
      <c r="AK25" s="400"/>
      <c r="AL25" s="400"/>
      <c r="AM25" s="400"/>
      <c r="AN25" s="400"/>
      <c r="AO25" s="400"/>
      <c r="AP25" s="400"/>
      <c r="AQ25" s="400"/>
      <c r="AR25" s="400"/>
      <c r="AS25" s="400"/>
      <c r="AT25" s="400"/>
      <c r="AU25" s="400"/>
      <c r="AV25" s="400"/>
      <c r="AW25" s="400"/>
      <c r="AX25" s="400"/>
      <c r="AY25" s="400"/>
      <c r="AZ25" s="400"/>
      <c r="BA25" s="400"/>
      <c r="BB25" s="400"/>
      <c r="BC25" s="400"/>
      <c r="BD25" s="400"/>
      <c r="BE25" s="400"/>
      <c r="BF25" s="400"/>
      <c r="BG25" s="400"/>
      <c r="BH25" s="400"/>
      <c r="BI25" s="400"/>
      <c r="BJ25" s="400"/>
      <c r="BK25" s="400"/>
      <c r="BL25" s="400"/>
      <c r="BM25" s="400"/>
      <c r="BN25" s="400"/>
      <c r="BO25" s="400"/>
      <c r="BP25" s="400"/>
      <c r="BQ25" s="400"/>
      <c r="BR25" s="400"/>
      <c r="BS25" s="400"/>
      <c r="BT25" s="400"/>
      <c r="BU25" s="400"/>
      <c r="BV25" s="400"/>
      <c r="BW25" s="400"/>
      <c r="BX25" s="400"/>
      <c r="BY25" s="400"/>
      <c r="BZ25" s="400"/>
      <c r="CA25" s="400"/>
      <c r="CB25" s="400"/>
      <c r="CC25" s="400"/>
      <c r="CD25" s="400"/>
      <c r="CE25" s="400"/>
      <c r="CF25" s="400"/>
      <c r="CG25" s="400"/>
      <c r="CH25" s="400"/>
      <c r="CI25" s="400"/>
      <c r="CJ25" s="400"/>
      <c r="CK25" s="400"/>
      <c r="CL25" s="400"/>
      <c r="CM25" s="400"/>
      <c r="CN25" s="400"/>
      <c r="CO25" s="400"/>
      <c r="CP25" s="400"/>
      <c r="CQ25" s="400"/>
      <c r="CR25" s="400"/>
      <c r="CS25" s="400"/>
      <c r="CT25" s="400"/>
      <c r="CU25" s="400"/>
      <c r="CV25" s="400"/>
      <c r="CW25" s="400"/>
      <c r="CX25" s="400"/>
      <c r="CY25" s="400"/>
      <c r="CZ25" s="400"/>
      <c r="DA25" s="400"/>
      <c r="DB25" s="400"/>
      <c r="DC25" s="400"/>
      <c r="DD25" s="400"/>
      <c r="DE25" s="400"/>
      <c r="DF25" s="400"/>
      <c r="DG25" s="400"/>
      <c r="DH25" s="400"/>
      <c r="DI25" s="400"/>
      <c r="DJ25" s="400"/>
      <c r="DK25" s="400"/>
      <c r="DL25" s="400"/>
      <c r="DM25" s="400"/>
      <c r="DN25" s="400"/>
      <c r="DO25" s="400"/>
      <c r="DP25" s="400"/>
      <c r="DQ25" s="400"/>
      <c r="DR25" s="400"/>
      <c r="DS25" s="400"/>
      <c r="DT25" s="400"/>
      <c r="DU25" s="400"/>
      <c r="DV25" s="400"/>
      <c r="DW25" s="400"/>
      <c r="DX25" s="400"/>
      <c r="DY25" s="400"/>
      <c r="DZ25" s="400"/>
      <c r="EA25" s="400"/>
      <c r="EB25" s="400"/>
      <c r="EC25" s="400"/>
      <c r="ED25" s="400"/>
      <c r="EE25" s="400"/>
      <c r="EF25" s="400"/>
      <c r="EG25" s="400"/>
      <c r="EH25" s="400"/>
      <c r="EI25" s="400"/>
      <c r="EJ25" s="400"/>
      <c r="EK25" s="400"/>
      <c r="EL25" s="400"/>
      <c r="EM25" s="400"/>
      <c r="EN25" s="400"/>
      <c r="EO25" s="400"/>
      <c r="EP25" s="400"/>
      <c r="EQ25" s="400"/>
      <c r="ER25" s="400"/>
      <c r="ES25" s="400"/>
      <c r="ET25" s="400"/>
      <c r="EU25" s="400"/>
      <c r="EV25" s="400"/>
      <c r="EW25" s="400"/>
      <c r="EX25" s="400"/>
      <c r="EY25" s="400"/>
      <c r="EZ25" s="400"/>
      <c r="FA25" s="400"/>
      <c r="FB25" s="400"/>
      <c r="FC25" s="400"/>
      <c r="FD25" s="400"/>
      <c r="FE25" s="400"/>
      <c r="FF25" s="400"/>
      <c r="FG25" s="400"/>
      <c r="FH25" s="400"/>
      <c r="FI25" s="400"/>
      <c r="FJ25" s="400"/>
      <c r="FK25" s="400"/>
      <c r="FL25" s="400"/>
      <c r="FM25" s="400"/>
      <c r="FN25" s="400"/>
      <c r="FO25" s="400"/>
      <c r="FP25" s="400"/>
      <c r="FQ25" s="400"/>
      <c r="FR25" s="400"/>
      <c r="FS25" s="400"/>
      <c r="FT25" s="400"/>
      <c r="FU25" s="400"/>
      <c r="FV25" s="400"/>
      <c r="FW25" s="400"/>
      <c r="FX25" s="400"/>
      <c r="FY25" s="400"/>
      <c r="FZ25" s="400"/>
      <c r="GA25" s="400"/>
      <c r="GB25" s="400"/>
      <c r="GC25" s="400"/>
      <c r="GD25" s="400"/>
      <c r="GE25" s="400"/>
      <c r="GF25" s="400"/>
      <c r="GG25" s="400"/>
      <c r="GH25" s="400"/>
      <c r="GI25" s="400"/>
      <c r="GJ25" s="400"/>
      <c r="GK25" s="400"/>
      <c r="GL25" s="400"/>
      <c r="GM25" s="400"/>
      <c r="GN25" s="400"/>
      <c r="GO25" s="400"/>
      <c r="GP25" s="400"/>
      <c r="GQ25" s="400"/>
      <c r="GR25" s="400"/>
      <c r="GS25" s="400"/>
      <c r="GT25" s="400"/>
      <c r="GU25" s="400"/>
      <c r="GV25" s="400"/>
      <c r="GW25" s="400"/>
      <c r="GX25" s="400"/>
      <c r="GY25" s="400"/>
      <c r="GZ25" s="400"/>
      <c r="HA25" s="400"/>
      <c r="HB25" s="400"/>
      <c r="HC25" s="400"/>
      <c r="HD25" s="400"/>
      <c r="HE25" s="400"/>
      <c r="HF25" s="400"/>
      <c r="HG25" s="400"/>
      <c r="HH25" s="400"/>
      <c r="HI25" s="400"/>
      <c r="HJ25" s="400"/>
      <c r="HK25" s="400"/>
      <c r="HL25" s="400"/>
      <c r="HM25" s="400"/>
      <c r="HN25" s="400"/>
      <c r="HO25" s="400"/>
      <c r="HP25" s="400"/>
      <c r="HQ25" s="400"/>
      <c r="HR25" s="400"/>
      <c r="HS25" s="400"/>
      <c r="HT25" s="400"/>
      <c r="HU25" s="400"/>
      <c r="HV25" s="400"/>
      <c r="HW25" s="400"/>
      <c r="HX25" s="400"/>
      <c r="HY25" s="400"/>
      <c r="HZ25" s="400"/>
      <c r="IA25" s="400"/>
      <c r="IB25" s="400"/>
      <c r="IC25" s="400"/>
      <c r="ID25" s="400"/>
      <c r="IE25" s="400"/>
      <c r="IF25" s="400"/>
      <c r="IG25" s="400"/>
      <c r="IH25" s="400"/>
      <c r="II25" s="400"/>
    </row>
    <row r="26" spans="1:243" s="485" customFormat="1" x14ac:dyDescent="0.2">
      <c r="A26" s="716">
        <v>25.2</v>
      </c>
      <c r="B26" s="481"/>
      <c r="C26" s="481">
        <v>0.33048</v>
      </c>
      <c r="D26" s="481">
        <v>0.33048</v>
      </c>
      <c r="E26" s="481">
        <v>0.33048</v>
      </c>
      <c r="F26" s="481">
        <v>0.33048</v>
      </c>
      <c r="G26" s="481">
        <v>0.33048</v>
      </c>
      <c r="H26" s="481">
        <v>0.33048</v>
      </c>
      <c r="I26" s="481">
        <v>0.33048</v>
      </c>
      <c r="J26" s="481">
        <v>0.33048</v>
      </c>
      <c r="K26" s="481">
        <v>0.33048</v>
      </c>
      <c r="L26" s="481">
        <v>0.33048</v>
      </c>
      <c r="M26" s="481">
        <v>0.33048</v>
      </c>
      <c r="N26" s="481">
        <v>0.33048</v>
      </c>
      <c r="O26" s="481">
        <v>0.33048</v>
      </c>
      <c r="P26" s="481">
        <v>0.33048</v>
      </c>
      <c r="Q26" s="481">
        <v>0.33048</v>
      </c>
      <c r="R26" s="481"/>
      <c r="S26" s="482"/>
      <c r="T26" s="483"/>
      <c r="U26" s="483"/>
      <c r="V26" s="484"/>
      <c r="W26" s="484"/>
      <c r="X26" s="484"/>
      <c r="Y26" s="484"/>
      <c r="Z26" s="484"/>
      <c r="AA26" s="484"/>
      <c r="AB26" s="484"/>
      <c r="AC26" s="484"/>
      <c r="AD26" s="484"/>
      <c r="AE26" s="484"/>
      <c r="AF26" s="484"/>
      <c r="AG26" s="484"/>
      <c r="AH26" s="484"/>
      <c r="AI26" s="484"/>
      <c r="AJ26" s="484"/>
      <c r="AK26" s="484"/>
      <c r="AL26" s="484"/>
      <c r="AM26" s="484"/>
      <c r="AN26" s="484"/>
      <c r="AO26" s="484"/>
      <c r="AP26" s="484"/>
      <c r="AQ26" s="484"/>
      <c r="AR26" s="484"/>
      <c r="AS26" s="484"/>
      <c r="AT26" s="484"/>
      <c r="AU26" s="484"/>
      <c r="AV26" s="484"/>
      <c r="AW26" s="484"/>
      <c r="AX26" s="484"/>
      <c r="AY26" s="484"/>
      <c r="AZ26" s="484"/>
      <c r="BA26" s="484"/>
      <c r="BB26" s="484"/>
      <c r="BC26" s="484"/>
      <c r="BD26" s="484"/>
      <c r="BE26" s="484"/>
      <c r="BF26" s="484"/>
      <c r="BG26" s="484"/>
      <c r="BH26" s="484"/>
      <c r="BI26" s="484"/>
      <c r="BJ26" s="484"/>
      <c r="BK26" s="484"/>
      <c r="BL26" s="484"/>
      <c r="BM26" s="484"/>
      <c r="BN26" s="484"/>
      <c r="BO26" s="484"/>
      <c r="BP26" s="484"/>
      <c r="BQ26" s="484"/>
      <c r="BR26" s="484"/>
      <c r="BS26" s="484"/>
      <c r="BT26" s="484"/>
      <c r="BU26" s="484"/>
      <c r="BV26" s="484"/>
      <c r="BW26" s="484"/>
      <c r="BX26" s="484"/>
      <c r="BY26" s="484"/>
      <c r="BZ26" s="484"/>
      <c r="CA26" s="484"/>
      <c r="CB26" s="484"/>
      <c r="CC26" s="484"/>
      <c r="CD26" s="484"/>
      <c r="CE26" s="484"/>
      <c r="CF26" s="484"/>
      <c r="CG26" s="484"/>
      <c r="CH26" s="484"/>
      <c r="CI26" s="484"/>
      <c r="CJ26" s="484"/>
      <c r="CK26" s="484"/>
      <c r="CL26" s="484"/>
      <c r="CM26" s="484"/>
      <c r="CN26" s="484"/>
      <c r="CO26" s="484"/>
      <c r="CP26" s="484"/>
      <c r="CQ26" s="484"/>
      <c r="CR26" s="484"/>
      <c r="CS26" s="484"/>
      <c r="CT26" s="484"/>
      <c r="CU26" s="484"/>
      <c r="CV26" s="484"/>
      <c r="CW26" s="484"/>
      <c r="CX26" s="484"/>
      <c r="CY26" s="484"/>
      <c r="CZ26" s="484"/>
      <c r="DA26" s="484"/>
      <c r="DB26" s="484"/>
      <c r="DC26" s="484"/>
      <c r="DD26" s="484"/>
      <c r="DE26" s="484"/>
      <c r="DF26" s="484"/>
      <c r="DG26" s="484"/>
      <c r="DH26" s="484"/>
      <c r="DI26" s="484"/>
      <c r="DJ26" s="484"/>
      <c r="DK26" s="484"/>
      <c r="DL26" s="484"/>
      <c r="DM26" s="484"/>
      <c r="DN26" s="484"/>
      <c r="DO26" s="484"/>
      <c r="DP26" s="484"/>
      <c r="DQ26" s="484"/>
      <c r="DR26" s="484"/>
      <c r="DS26" s="484"/>
      <c r="DT26" s="484"/>
      <c r="DU26" s="484"/>
      <c r="DV26" s="484"/>
      <c r="DW26" s="484"/>
      <c r="DX26" s="484"/>
      <c r="DY26" s="484"/>
      <c r="DZ26" s="484"/>
      <c r="EA26" s="484"/>
      <c r="EB26" s="484"/>
      <c r="EC26" s="484"/>
      <c r="ED26" s="484"/>
      <c r="EE26" s="484"/>
      <c r="EF26" s="484"/>
      <c r="EG26" s="484"/>
      <c r="EH26" s="484"/>
      <c r="EI26" s="484"/>
      <c r="EJ26" s="484"/>
      <c r="EK26" s="484"/>
      <c r="EL26" s="484"/>
      <c r="EM26" s="484"/>
      <c r="EN26" s="484"/>
      <c r="EO26" s="484"/>
      <c r="EP26" s="484"/>
      <c r="EQ26" s="484"/>
      <c r="ER26" s="484"/>
      <c r="ES26" s="484"/>
      <c r="ET26" s="484"/>
      <c r="EU26" s="484"/>
      <c r="EV26" s="484"/>
      <c r="EW26" s="484"/>
      <c r="EX26" s="484"/>
      <c r="EY26" s="484"/>
      <c r="EZ26" s="484"/>
      <c r="FA26" s="484"/>
      <c r="FB26" s="484"/>
      <c r="FC26" s="484"/>
      <c r="FD26" s="484"/>
      <c r="FE26" s="484"/>
      <c r="FF26" s="484"/>
      <c r="FG26" s="484"/>
      <c r="FH26" s="484"/>
      <c r="FI26" s="484"/>
      <c r="FJ26" s="484"/>
      <c r="FK26" s="484"/>
      <c r="FL26" s="484"/>
      <c r="FM26" s="484"/>
      <c r="FN26" s="484"/>
      <c r="FO26" s="484"/>
      <c r="FP26" s="484"/>
      <c r="FQ26" s="484"/>
      <c r="FR26" s="484"/>
      <c r="FS26" s="484"/>
      <c r="FT26" s="484"/>
      <c r="FU26" s="484"/>
      <c r="FV26" s="484"/>
      <c r="FW26" s="484"/>
      <c r="FX26" s="484"/>
      <c r="FY26" s="484"/>
      <c r="FZ26" s="484"/>
      <c r="GA26" s="484"/>
      <c r="GB26" s="484"/>
      <c r="GC26" s="484"/>
      <c r="GD26" s="484"/>
      <c r="GE26" s="484"/>
      <c r="GF26" s="484"/>
      <c r="GG26" s="484"/>
      <c r="GH26" s="484"/>
      <c r="GI26" s="484"/>
      <c r="GJ26" s="484"/>
      <c r="GK26" s="484"/>
      <c r="GL26" s="484"/>
      <c r="GM26" s="484"/>
      <c r="GN26" s="484"/>
      <c r="GO26" s="484"/>
      <c r="GP26" s="484"/>
      <c r="GQ26" s="484"/>
      <c r="GR26" s="484"/>
      <c r="GS26" s="484"/>
      <c r="GT26" s="484"/>
      <c r="GU26" s="484"/>
      <c r="GV26" s="484"/>
      <c r="GW26" s="484"/>
      <c r="GX26" s="484"/>
      <c r="GY26" s="484"/>
      <c r="GZ26" s="484"/>
      <c r="HA26" s="484"/>
      <c r="HB26" s="484"/>
      <c r="HC26" s="484"/>
      <c r="HD26" s="484"/>
      <c r="HE26" s="484"/>
      <c r="HF26" s="484"/>
      <c r="HG26" s="484"/>
      <c r="HH26" s="484"/>
      <c r="HI26" s="484"/>
      <c r="HJ26" s="484"/>
      <c r="HK26" s="484"/>
      <c r="HL26" s="484"/>
      <c r="HM26" s="484"/>
      <c r="HN26" s="484"/>
      <c r="HO26" s="484"/>
      <c r="HP26" s="484"/>
      <c r="HQ26" s="484"/>
      <c r="HR26" s="484"/>
      <c r="HS26" s="484"/>
      <c r="HT26" s="484"/>
      <c r="HU26" s="484"/>
      <c r="HV26" s="484"/>
      <c r="HW26" s="484"/>
      <c r="HX26" s="484"/>
      <c r="HY26" s="484"/>
      <c r="HZ26" s="484"/>
      <c r="IA26" s="484"/>
      <c r="IB26" s="484"/>
      <c r="IC26" s="484"/>
      <c r="ID26" s="484"/>
      <c r="IE26" s="484"/>
      <c r="IF26" s="484"/>
      <c r="IG26" s="484"/>
      <c r="IH26" s="484"/>
      <c r="II26" s="484"/>
    </row>
    <row r="27" spans="1:243" s="412" customFormat="1" x14ac:dyDescent="0.2">
      <c r="A27" s="405"/>
      <c r="B27" s="405" t="s">
        <v>76</v>
      </c>
      <c r="C27" s="407">
        <v>1.1080239999999999</v>
      </c>
      <c r="D27" s="407">
        <v>1.1080239999999999</v>
      </c>
      <c r="E27" s="407">
        <v>1.1080239999999999</v>
      </c>
      <c r="F27" s="407">
        <v>1.1080239999999999</v>
      </c>
      <c r="G27" s="407">
        <v>1.1080239999999999</v>
      </c>
      <c r="H27" s="407">
        <v>1.1080239999999999</v>
      </c>
      <c r="I27" s="407">
        <v>1.1080239999999999</v>
      </c>
      <c r="J27" s="407">
        <v>1.1080239999999999</v>
      </c>
      <c r="K27" s="407">
        <v>1.1080239999999999</v>
      </c>
      <c r="L27" s="407">
        <v>1.1080239999999999</v>
      </c>
      <c r="M27" s="407">
        <v>1.1080239999999999</v>
      </c>
      <c r="N27" s="407">
        <v>1.1080239999999999</v>
      </c>
      <c r="O27" s="407">
        <v>1.1080239999999999</v>
      </c>
      <c r="P27" s="407">
        <v>1.1080239999999999</v>
      </c>
      <c r="Q27" s="407">
        <v>1.1080239999999999</v>
      </c>
      <c r="R27" s="408"/>
      <c r="S27" s="409"/>
      <c r="T27" s="410"/>
      <c r="U27" s="410"/>
      <c r="V27" s="411"/>
      <c r="W27" s="411"/>
      <c r="X27" s="411"/>
      <c r="Y27" s="411"/>
      <c r="Z27" s="411"/>
      <c r="AA27" s="411"/>
      <c r="AB27" s="411"/>
      <c r="AC27" s="411"/>
      <c r="AD27" s="411"/>
      <c r="AE27" s="411"/>
      <c r="AF27" s="411"/>
      <c r="AG27" s="411"/>
      <c r="AH27" s="411"/>
      <c r="AI27" s="411"/>
      <c r="AJ27" s="411"/>
      <c r="AK27" s="411"/>
      <c r="AL27" s="411"/>
      <c r="AM27" s="411"/>
      <c r="AN27" s="411"/>
      <c r="AO27" s="411"/>
      <c r="AP27" s="411"/>
      <c r="AQ27" s="411"/>
      <c r="AR27" s="411"/>
      <c r="AS27" s="411"/>
      <c r="AT27" s="411"/>
      <c r="AU27" s="411"/>
      <c r="AV27" s="411"/>
      <c r="AW27" s="411"/>
      <c r="AX27" s="411"/>
      <c r="AY27" s="411"/>
      <c r="AZ27" s="411"/>
      <c r="BA27" s="411"/>
      <c r="BB27" s="411"/>
      <c r="BC27" s="411"/>
      <c r="BD27" s="411"/>
      <c r="BE27" s="411"/>
      <c r="BF27" s="411"/>
      <c r="BG27" s="411"/>
      <c r="BH27" s="411"/>
      <c r="BI27" s="411"/>
      <c r="BJ27" s="411"/>
      <c r="BK27" s="411"/>
      <c r="BL27" s="411"/>
      <c r="BM27" s="411"/>
      <c r="BN27" s="411"/>
      <c r="BO27" s="411"/>
      <c r="BP27" s="411"/>
      <c r="BQ27" s="411"/>
      <c r="BR27" s="411"/>
      <c r="BS27" s="411"/>
      <c r="BT27" s="411"/>
      <c r="BU27" s="411"/>
      <c r="BV27" s="411"/>
      <c r="BW27" s="411"/>
      <c r="BX27" s="411"/>
      <c r="BY27" s="411"/>
      <c r="BZ27" s="411"/>
      <c r="CA27" s="411"/>
      <c r="CB27" s="411"/>
      <c r="CC27" s="411"/>
      <c r="CD27" s="411"/>
      <c r="CE27" s="411"/>
      <c r="CF27" s="411"/>
      <c r="CG27" s="411"/>
      <c r="CH27" s="411"/>
      <c r="CI27" s="411"/>
      <c r="CJ27" s="411"/>
      <c r="CK27" s="411"/>
      <c r="CL27" s="411"/>
      <c r="CM27" s="411"/>
      <c r="CN27" s="411"/>
      <c r="CO27" s="411"/>
      <c r="CP27" s="411"/>
      <c r="CQ27" s="411"/>
      <c r="CR27" s="411"/>
      <c r="CS27" s="411"/>
      <c r="CT27" s="411"/>
      <c r="CU27" s="411"/>
      <c r="CV27" s="411"/>
      <c r="CW27" s="411"/>
      <c r="CX27" s="411"/>
      <c r="CY27" s="411"/>
      <c r="CZ27" s="411"/>
      <c r="DA27" s="411"/>
      <c r="DB27" s="411"/>
      <c r="DC27" s="411"/>
      <c r="DD27" s="411"/>
      <c r="DE27" s="411"/>
      <c r="DF27" s="411"/>
      <c r="DG27" s="411"/>
      <c r="DH27" s="411"/>
      <c r="DI27" s="411"/>
      <c r="DJ27" s="411"/>
      <c r="DK27" s="411"/>
      <c r="DL27" s="411"/>
      <c r="DM27" s="411"/>
      <c r="DN27" s="411"/>
      <c r="DO27" s="411"/>
      <c r="DP27" s="411"/>
      <c r="DQ27" s="411"/>
      <c r="DR27" s="411"/>
      <c r="DS27" s="411"/>
      <c r="DT27" s="411"/>
      <c r="DU27" s="411"/>
      <c r="DV27" s="411"/>
      <c r="DW27" s="411"/>
      <c r="DX27" s="411"/>
      <c r="DY27" s="411"/>
      <c r="DZ27" s="411"/>
      <c r="EA27" s="411"/>
      <c r="EB27" s="411"/>
      <c r="EC27" s="411"/>
      <c r="ED27" s="411"/>
      <c r="EE27" s="411"/>
      <c r="EF27" s="411"/>
      <c r="EG27" s="411"/>
      <c r="EH27" s="411"/>
      <c r="EI27" s="411"/>
      <c r="EJ27" s="411"/>
      <c r="EK27" s="411"/>
      <c r="EL27" s="411"/>
      <c r="EM27" s="411"/>
      <c r="EN27" s="411"/>
      <c r="EO27" s="411"/>
      <c r="EP27" s="411"/>
      <c r="EQ27" s="411"/>
      <c r="ER27" s="411"/>
      <c r="ES27" s="411"/>
      <c r="ET27" s="411"/>
      <c r="EU27" s="411"/>
      <c r="EV27" s="411"/>
      <c r="EW27" s="411"/>
      <c r="EX27" s="411"/>
      <c r="EY27" s="411"/>
      <c r="EZ27" s="411"/>
      <c r="FA27" s="411"/>
      <c r="FB27" s="411"/>
      <c r="FC27" s="411"/>
      <c r="FD27" s="411"/>
      <c r="FE27" s="411"/>
      <c r="FF27" s="411"/>
      <c r="FG27" s="411"/>
      <c r="FH27" s="411"/>
      <c r="FI27" s="411"/>
      <c r="FJ27" s="411"/>
      <c r="FK27" s="411"/>
      <c r="FL27" s="411"/>
      <c r="FM27" s="411"/>
      <c r="FN27" s="411"/>
      <c r="FO27" s="411"/>
      <c r="FP27" s="411"/>
      <c r="FQ27" s="411"/>
      <c r="FR27" s="411"/>
      <c r="FS27" s="411"/>
      <c r="FT27" s="411"/>
      <c r="FU27" s="411"/>
      <c r="FV27" s="411"/>
      <c r="FW27" s="411"/>
      <c r="FX27" s="411"/>
      <c r="FY27" s="411"/>
      <c r="FZ27" s="411"/>
      <c r="GA27" s="411"/>
      <c r="GB27" s="411"/>
      <c r="GC27" s="411"/>
      <c r="GD27" s="411"/>
      <c r="GE27" s="411"/>
      <c r="GF27" s="411"/>
      <c r="GG27" s="411"/>
      <c r="GH27" s="411"/>
      <c r="GI27" s="411"/>
      <c r="GJ27" s="411"/>
      <c r="GK27" s="411"/>
      <c r="GL27" s="411"/>
      <c r="GM27" s="411"/>
      <c r="GN27" s="411"/>
      <c r="GO27" s="411"/>
      <c r="GP27" s="411"/>
      <c r="GQ27" s="411"/>
      <c r="GR27" s="411"/>
      <c r="GS27" s="411"/>
      <c r="GT27" s="411"/>
      <c r="GU27" s="411"/>
      <c r="GV27" s="411"/>
      <c r="GW27" s="411"/>
      <c r="GX27" s="411"/>
      <c r="GY27" s="411"/>
      <c r="GZ27" s="411"/>
      <c r="HA27" s="411"/>
      <c r="HB27" s="411"/>
      <c r="HC27" s="411"/>
      <c r="HD27" s="411"/>
      <c r="HE27" s="411"/>
      <c r="HF27" s="411"/>
      <c r="HG27" s="411"/>
      <c r="HH27" s="411"/>
      <c r="HI27" s="411"/>
      <c r="HJ27" s="411"/>
      <c r="HK27" s="411"/>
      <c r="HL27" s="411"/>
      <c r="HM27" s="411"/>
      <c r="HN27" s="411"/>
      <c r="HO27" s="411"/>
      <c r="HP27" s="411"/>
      <c r="HQ27" s="411"/>
      <c r="HR27" s="411"/>
      <c r="HS27" s="411"/>
      <c r="HT27" s="411"/>
      <c r="HU27" s="411"/>
      <c r="HV27" s="411"/>
      <c r="HW27" s="411"/>
      <c r="HX27" s="411"/>
      <c r="HY27" s="411"/>
      <c r="HZ27" s="411"/>
      <c r="IA27" s="411"/>
      <c r="IB27" s="411"/>
      <c r="IC27" s="411"/>
      <c r="ID27" s="411"/>
      <c r="IE27" s="411"/>
      <c r="IF27" s="411"/>
      <c r="IG27" s="411"/>
      <c r="IH27" s="411"/>
      <c r="II27" s="411"/>
    </row>
    <row r="28" spans="1:243" s="480" customFormat="1" x14ac:dyDescent="0.2">
      <c r="A28" s="475"/>
      <c r="B28" s="475" t="s">
        <v>60</v>
      </c>
      <c r="C28" s="476">
        <f>ROUND(C26*C27*C25,2)</f>
        <v>87.88</v>
      </c>
      <c r="D28" s="476">
        <f t="shared" ref="D28:Q28" si="6">ROUND(D26*D27*D25,2)</f>
        <v>51.27</v>
      </c>
      <c r="E28" s="476">
        <f t="shared" si="6"/>
        <v>43.58</v>
      </c>
      <c r="F28" s="476">
        <f t="shared" si="6"/>
        <v>209.82</v>
      </c>
      <c r="G28" s="476">
        <f t="shared" si="6"/>
        <v>21.24</v>
      </c>
      <c r="H28" s="476">
        <f t="shared" si="6"/>
        <v>89.35</v>
      </c>
      <c r="I28" s="476">
        <f t="shared" si="6"/>
        <v>36.979999999999997</v>
      </c>
      <c r="J28" s="476">
        <f t="shared" si="6"/>
        <v>44.31</v>
      </c>
      <c r="K28" s="476">
        <f t="shared" si="6"/>
        <v>131.09</v>
      </c>
      <c r="L28" s="476">
        <f t="shared" si="6"/>
        <v>60.42</v>
      </c>
      <c r="M28" s="476">
        <f t="shared" si="6"/>
        <v>112.05</v>
      </c>
      <c r="N28" s="476">
        <f t="shared" si="6"/>
        <v>0</v>
      </c>
      <c r="O28" s="476">
        <f t="shared" si="6"/>
        <v>0</v>
      </c>
      <c r="P28" s="476">
        <f t="shared" si="6"/>
        <v>0</v>
      </c>
      <c r="Q28" s="476">
        <f t="shared" si="6"/>
        <v>279.02999999999997</v>
      </c>
      <c r="R28" s="475">
        <f>SUM(C28:Q28)</f>
        <v>1167.02</v>
      </c>
      <c r="S28" s="477"/>
      <c r="T28" s="478"/>
      <c r="U28" s="478"/>
      <c r="V28" s="479"/>
      <c r="W28" s="479"/>
      <c r="X28" s="479"/>
      <c r="Y28" s="479"/>
      <c r="Z28" s="479"/>
      <c r="AA28" s="479"/>
      <c r="AB28" s="479"/>
      <c r="AC28" s="479"/>
      <c r="AD28" s="479"/>
      <c r="AE28" s="479"/>
      <c r="AF28" s="479"/>
      <c r="AG28" s="479"/>
      <c r="AH28" s="479"/>
      <c r="AI28" s="479"/>
      <c r="AJ28" s="479"/>
      <c r="AK28" s="479"/>
      <c r="AL28" s="479"/>
      <c r="AM28" s="479"/>
      <c r="AN28" s="479"/>
      <c r="AO28" s="479"/>
      <c r="AP28" s="479"/>
      <c r="AQ28" s="479"/>
      <c r="AR28" s="479"/>
      <c r="AS28" s="479"/>
      <c r="AT28" s="479"/>
      <c r="AU28" s="479"/>
      <c r="AV28" s="479"/>
      <c r="AW28" s="479"/>
      <c r="AX28" s="479"/>
      <c r="AY28" s="479"/>
      <c r="AZ28" s="479"/>
      <c r="BA28" s="479"/>
      <c r="BB28" s="479"/>
      <c r="BC28" s="479"/>
      <c r="BD28" s="479"/>
      <c r="BE28" s="479"/>
      <c r="BF28" s="479"/>
      <c r="BG28" s="479"/>
      <c r="BH28" s="479"/>
      <c r="BI28" s="479"/>
      <c r="BJ28" s="479"/>
      <c r="BK28" s="479"/>
      <c r="BL28" s="479"/>
      <c r="BM28" s="479"/>
      <c r="BN28" s="479"/>
      <c r="BO28" s="479"/>
      <c r="BP28" s="479"/>
      <c r="BQ28" s="479"/>
      <c r="BR28" s="479"/>
      <c r="BS28" s="479"/>
      <c r="BT28" s="479"/>
      <c r="BU28" s="479"/>
      <c r="BV28" s="479"/>
      <c r="BW28" s="479"/>
      <c r="BX28" s="479"/>
      <c r="BY28" s="479"/>
      <c r="BZ28" s="479"/>
      <c r="CA28" s="479"/>
      <c r="CB28" s="479"/>
      <c r="CC28" s="479"/>
      <c r="CD28" s="479"/>
      <c r="CE28" s="479"/>
      <c r="CF28" s="479"/>
      <c r="CG28" s="479"/>
      <c r="CH28" s="479"/>
      <c r="CI28" s="479"/>
      <c r="CJ28" s="479"/>
      <c r="CK28" s="479"/>
      <c r="CL28" s="479"/>
      <c r="CM28" s="479"/>
      <c r="CN28" s="479"/>
      <c r="CO28" s="479"/>
      <c r="CP28" s="479"/>
      <c r="CQ28" s="479"/>
      <c r="CR28" s="479"/>
      <c r="CS28" s="479"/>
      <c r="CT28" s="479"/>
      <c r="CU28" s="479"/>
      <c r="CV28" s="479"/>
      <c r="CW28" s="479"/>
      <c r="CX28" s="479"/>
      <c r="CY28" s="479"/>
      <c r="CZ28" s="479"/>
      <c r="DA28" s="479"/>
      <c r="DB28" s="479"/>
      <c r="DC28" s="479"/>
      <c r="DD28" s="479"/>
      <c r="DE28" s="479"/>
      <c r="DF28" s="479"/>
      <c r="DG28" s="479"/>
      <c r="DH28" s="479"/>
      <c r="DI28" s="479"/>
      <c r="DJ28" s="479"/>
      <c r="DK28" s="479"/>
      <c r="DL28" s="479"/>
      <c r="DM28" s="479"/>
      <c r="DN28" s="479"/>
      <c r="DO28" s="479"/>
      <c r="DP28" s="479"/>
      <c r="DQ28" s="479"/>
      <c r="DR28" s="479"/>
      <c r="DS28" s="479"/>
      <c r="DT28" s="479"/>
      <c r="DU28" s="479"/>
      <c r="DV28" s="479"/>
      <c r="DW28" s="479"/>
      <c r="DX28" s="479"/>
      <c r="DY28" s="479"/>
      <c r="DZ28" s="479"/>
      <c r="EA28" s="479"/>
      <c r="EB28" s="479"/>
      <c r="EC28" s="479"/>
      <c r="ED28" s="479"/>
      <c r="EE28" s="479"/>
      <c r="EF28" s="479"/>
      <c r="EG28" s="479"/>
      <c r="EH28" s="479"/>
      <c r="EI28" s="479"/>
      <c r="EJ28" s="479"/>
      <c r="EK28" s="479"/>
      <c r="EL28" s="479"/>
      <c r="EM28" s="479"/>
      <c r="EN28" s="479"/>
      <c r="EO28" s="479"/>
      <c r="EP28" s="479"/>
      <c r="EQ28" s="479"/>
      <c r="ER28" s="479"/>
      <c r="ES28" s="479"/>
      <c r="ET28" s="479"/>
      <c r="EU28" s="479"/>
      <c r="EV28" s="479"/>
      <c r="EW28" s="479"/>
      <c r="EX28" s="479"/>
      <c r="EY28" s="479"/>
      <c r="EZ28" s="479"/>
      <c r="FA28" s="479"/>
      <c r="FB28" s="479"/>
      <c r="FC28" s="479"/>
      <c r="FD28" s="479"/>
      <c r="FE28" s="479"/>
      <c r="FF28" s="479"/>
      <c r="FG28" s="479"/>
      <c r="FH28" s="479"/>
      <c r="FI28" s="479"/>
      <c r="FJ28" s="479"/>
      <c r="FK28" s="479"/>
      <c r="FL28" s="479"/>
      <c r="FM28" s="479"/>
      <c r="FN28" s="479"/>
      <c r="FO28" s="479"/>
      <c r="FP28" s="479"/>
      <c r="FQ28" s="479"/>
      <c r="FR28" s="479"/>
      <c r="FS28" s="479"/>
      <c r="FT28" s="479"/>
      <c r="FU28" s="479"/>
      <c r="FV28" s="479"/>
      <c r="FW28" s="479"/>
      <c r="FX28" s="479"/>
      <c r="FY28" s="479"/>
      <c r="FZ28" s="479"/>
      <c r="GA28" s="479"/>
      <c r="GB28" s="479"/>
      <c r="GC28" s="479"/>
      <c r="GD28" s="479"/>
      <c r="GE28" s="479"/>
      <c r="GF28" s="479"/>
      <c r="GG28" s="479"/>
      <c r="GH28" s="479"/>
      <c r="GI28" s="479"/>
      <c r="GJ28" s="479"/>
      <c r="GK28" s="479"/>
      <c r="GL28" s="479"/>
      <c r="GM28" s="479"/>
      <c r="GN28" s="479"/>
      <c r="GO28" s="479"/>
      <c r="GP28" s="479"/>
      <c r="GQ28" s="479"/>
      <c r="GR28" s="479"/>
      <c r="GS28" s="479"/>
      <c r="GT28" s="479"/>
      <c r="GU28" s="479"/>
      <c r="GV28" s="479"/>
      <c r="GW28" s="479"/>
      <c r="GX28" s="479"/>
      <c r="GY28" s="479"/>
      <c r="GZ28" s="479"/>
      <c r="HA28" s="479"/>
      <c r="HB28" s="479"/>
      <c r="HC28" s="479"/>
      <c r="HD28" s="479"/>
      <c r="HE28" s="479"/>
      <c r="HF28" s="479"/>
      <c r="HG28" s="479"/>
      <c r="HH28" s="479"/>
      <c r="HI28" s="479"/>
      <c r="HJ28" s="479"/>
      <c r="HK28" s="479"/>
      <c r="HL28" s="479"/>
      <c r="HM28" s="479"/>
      <c r="HN28" s="479"/>
      <c r="HO28" s="479"/>
      <c r="HP28" s="479"/>
      <c r="HQ28" s="479"/>
      <c r="HR28" s="479"/>
      <c r="HS28" s="479"/>
      <c r="HT28" s="479"/>
      <c r="HU28" s="479"/>
      <c r="HV28" s="479"/>
      <c r="HW28" s="479"/>
      <c r="HX28" s="479"/>
      <c r="HY28" s="479"/>
      <c r="HZ28" s="479"/>
      <c r="IA28" s="479"/>
      <c r="IB28" s="479"/>
      <c r="IC28" s="479"/>
      <c r="ID28" s="479"/>
      <c r="IE28" s="479"/>
      <c r="IF28" s="479"/>
      <c r="IG28" s="479"/>
      <c r="IH28" s="479"/>
      <c r="II28" s="479"/>
    </row>
    <row r="29" spans="1:243" s="403" customFormat="1" x14ac:dyDescent="0.2">
      <c r="A29" s="382" t="s">
        <v>63</v>
      </c>
      <c r="B29" s="386" t="s">
        <v>59</v>
      </c>
      <c r="C29" s="386">
        <v>65</v>
      </c>
      <c r="D29" s="386">
        <v>164</v>
      </c>
      <c r="E29" s="386">
        <v>219</v>
      </c>
      <c r="F29" s="386">
        <v>86</v>
      </c>
      <c r="G29" s="386">
        <v>128</v>
      </c>
      <c r="H29" s="386"/>
      <c r="I29" s="386">
        <v>68</v>
      </c>
      <c r="J29" s="386">
        <v>169</v>
      </c>
      <c r="K29" s="386">
        <v>130</v>
      </c>
      <c r="L29" s="386">
        <v>251</v>
      </c>
      <c r="M29" s="386"/>
      <c r="N29" s="386"/>
      <c r="O29" s="386"/>
      <c r="P29" s="386"/>
      <c r="Q29" s="386"/>
      <c r="R29" s="391">
        <f>SUM(C29:Q29)</f>
        <v>1280</v>
      </c>
      <c r="S29" s="389"/>
      <c r="T29" s="401"/>
      <c r="U29" s="401"/>
      <c r="V29" s="400"/>
      <c r="W29" s="400"/>
      <c r="X29" s="400"/>
      <c r="Y29" s="400"/>
      <c r="Z29" s="400"/>
      <c r="AA29" s="400"/>
      <c r="AB29" s="400"/>
      <c r="AC29" s="400"/>
      <c r="AD29" s="400"/>
      <c r="AE29" s="400"/>
      <c r="AF29" s="400"/>
      <c r="AG29" s="400"/>
      <c r="AH29" s="400"/>
      <c r="AI29" s="400"/>
      <c r="AJ29" s="400"/>
      <c r="AK29" s="400"/>
      <c r="AL29" s="400"/>
      <c r="AM29" s="400"/>
      <c r="AN29" s="400"/>
      <c r="AO29" s="400"/>
      <c r="AP29" s="400"/>
      <c r="AQ29" s="400"/>
      <c r="AR29" s="400"/>
      <c r="AS29" s="400"/>
      <c r="AT29" s="400"/>
      <c r="AU29" s="400"/>
      <c r="AV29" s="400"/>
      <c r="AW29" s="400"/>
      <c r="AX29" s="400"/>
      <c r="AY29" s="400"/>
      <c r="AZ29" s="400"/>
      <c r="BA29" s="400"/>
      <c r="BB29" s="400"/>
      <c r="BC29" s="400"/>
      <c r="BD29" s="400"/>
      <c r="BE29" s="400"/>
      <c r="BF29" s="400"/>
      <c r="BG29" s="400"/>
      <c r="BH29" s="400"/>
      <c r="BI29" s="400"/>
      <c r="BJ29" s="400"/>
      <c r="BK29" s="400"/>
      <c r="BL29" s="400"/>
      <c r="BM29" s="400"/>
      <c r="BN29" s="400"/>
      <c r="BO29" s="400"/>
      <c r="BP29" s="400"/>
      <c r="BQ29" s="400"/>
      <c r="BR29" s="400"/>
      <c r="BS29" s="400"/>
      <c r="BT29" s="400"/>
      <c r="BU29" s="400"/>
      <c r="BV29" s="400"/>
      <c r="BW29" s="400"/>
      <c r="BX29" s="400"/>
      <c r="BY29" s="400"/>
      <c r="BZ29" s="400"/>
      <c r="CA29" s="400"/>
      <c r="CB29" s="400"/>
      <c r="CC29" s="400"/>
      <c r="CD29" s="400"/>
      <c r="CE29" s="400"/>
      <c r="CF29" s="400"/>
      <c r="CG29" s="400"/>
      <c r="CH29" s="400"/>
      <c r="CI29" s="400"/>
      <c r="CJ29" s="400"/>
      <c r="CK29" s="400"/>
      <c r="CL29" s="400"/>
      <c r="CM29" s="400"/>
      <c r="CN29" s="400"/>
      <c r="CO29" s="400"/>
      <c r="CP29" s="400"/>
      <c r="CQ29" s="400"/>
      <c r="CR29" s="400"/>
      <c r="CS29" s="400"/>
      <c r="CT29" s="400"/>
      <c r="CU29" s="400"/>
      <c r="CV29" s="400"/>
      <c r="CW29" s="400"/>
      <c r="CX29" s="400"/>
      <c r="CY29" s="400"/>
      <c r="CZ29" s="400"/>
      <c r="DA29" s="400"/>
      <c r="DB29" s="400"/>
      <c r="DC29" s="400"/>
      <c r="DD29" s="400"/>
      <c r="DE29" s="400"/>
      <c r="DF29" s="400"/>
      <c r="DG29" s="400"/>
      <c r="DH29" s="400"/>
      <c r="DI29" s="400"/>
      <c r="DJ29" s="400"/>
      <c r="DK29" s="400"/>
      <c r="DL29" s="400"/>
      <c r="DM29" s="400"/>
      <c r="DN29" s="400"/>
      <c r="DO29" s="400"/>
      <c r="DP29" s="400"/>
      <c r="DQ29" s="400"/>
      <c r="DR29" s="400"/>
      <c r="DS29" s="400"/>
      <c r="DT29" s="400"/>
      <c r="DU29" s="400"/>
      <c r="DV29" s="400"/>
      <c r="DW29" s="400"/>
      <c r="DX29" s="400"/>
      <c r="DY29" s="400"/>
      <c r="DZ29" s="400"/>
      <c r="EA29" s="400"/>
      <c r="EB29" s="400"/>
      <c r="EC29" s="400"/>
      <c r="ED29" s="400"/>
      <c r="EE29" s="400"/>
      <c r="EF29" s="400"/>
      <c r="EG29" s="400"/>
      <c r="EH29" s="400"/>
      <c r="EI29" s="400"/>
      <c r="EJ29" s="400"/>
      <c r="EK29" s="400"/>
      <c r="EL29" s="400"/>
      <c r="EM29" s="400"/>
      <c r="EN29" s="400"/>
      <c r="EO29" s="400"/>
      <c r="EP29" s="400"/>
      <c r="EQ29" s="400"/>
      <c r="ER29" s="400"/>
      <c r="ES29" s="400"/>
      <c r="ET29" s="400"/>
      <c r="EU29" s="400"/>
      <c r="EV29" s="400"/>
      <c r="EW29" s="400"/>
      <c r="EX29" s="400"/>
      <c r="EY29" s="400"/>
      <c r="EZ29" s="400"/>
      <c r="FA29" s="400"/>
      <c r="FB29" s="400"/>
      <c r="FC29" s="400"/>
      <c r="FD29" s="400"/>
      <c r="FE29" s="400"/>
      <c r="FF29" s="400"/>
      <c r="FG29" s="400"/>
      <c r="FH29" s="400"/>
      <c r="FI29" s="400"/>
      <c r="FJ29" s="400"/>
      <c r="FK29" s="400"/>
      <c r="FL29" s="400"/>
      <c r="FM29" s="400"/>
      <c r="FN29" s="400"/>
      <c r="FO29" s="400"/>
      <c r="FP29" s="400"/>
      <c r="FQ29" s="400"/>
      <c r="FR29" s="400"/>
      <c r="FS29" s="400"/>
      <c r="FT29" s="400"/>
      <c r="FU29" s="400"/>
      <c r="FV29" s="400"/>
      <c r="FW29" s="400"/>
      <c r="FX29" s="400"/>
      <c r="FY29" s="400"/>
      <c r="FZ29" s="400"/>
      <c r="GA29" s="400"/>
      <c r="GB29" s="400"/>
      <c r="GC29" s="400"/>
      <c r="GD29" s="400"/>
      <c r="GE29" s="400"/>
      <c r="GF29" s="400"/>
      <c r="GG29" s="400"/>
      <c r="GH29" s="400"/>
      <c r="GI29" s="400"/>
      <c r="GJ29" s="400"/>
      <c r="GK29" s="400"/>
      <c r="GL29" s="400"/>
      <c r="GM29" s="400"/>
      <c r="GN29" s="400"/>
      <c r="GO29" s="400"/>
      <c r="GP29" s="400"/>
      <c r="GQ29" s="400"/>
      <c r="GR29" s="400"/>
      <c r="GS29" s="400"/>
      <c r="GT29" s="400"/>
      <c r="GU29" s="400"/>
      <c r="GV29" s="400"/>
      <c r="GW29" s="400"/>
      <c r="GX29" s="400"/>
      <c r="GY29" s="400"/>
      <c r="GZ29" s="400"/>
      <c r="HA29" s="400"/>
      <c r="HB29" s="400"/>
      <c r="HC29" s="400"/>
      <c r="HD29" s="400"/>
      <c r="HE29" s="400"/>
      <c r="HF29" s="400"/>
      <c r="HG29" s="400"/>
      <c r="HH29" s="400"/>
      <c r="HI29" s="400"/>
      <c r="HJ29" s="400"/>
      <c r="HK29" s="400"/>
      <c r="HL29" s="400"/>
      <c r="HM29" s="400"/>
      <c r="HN29" s="400"/>
      <c r="HO29" s="400"/>
      <c r="HP29" s="400"/>
      <c r="HQ29" s="400"/>
      <c r="HR29" s="400"/>
      <c r="HS29" s="400"/>
      <c r="HT29" s="400"/>
      <c r="HU29" s="400"/>
      <c r="HV29" s="400"/>
      <c r="HW29" s="400"/>
      <c r="HX29" s="400"/>
      <c r="HY29" s="400"/>
      <c r="HZ29" s="400"/>
      <c r="IA29" s="400"/>
      <c r="IB29" s="400"/>
      <c r="IC29" s="400"/>
      <c r="ID29" s="400"/>
      <c r="IE29" s="400"/>
      <c r="IF29" s="400"/>
      <c r="IG29" s="400"/>
      <c r="IH29" s="400"/>
      <c r="II29" s="400"/>
    </row>
    <row r="30" spans="1:243" x14ac:dyDescent="0.2">
      <c r="A30" s="387" t="s">
        <v>171</v>
      </c>
      <c r="B30" s="383"/>
      <c r="C30" s="481">
        <v>0.24295</v>
      </c>
      <c r="D30" s="481">
        <v>0.24295</v>
      </c>
      <c r="E30" s="481">
        <v>0.24295</v>
      </c>
      <c r="F30" s="481">
        <v>0.24295</v>
      </c>
      <c r="G30" s="481">
        <v>0.24295</v>
      </c>
      <c r="H30" s="481">
        <v>0.24295</v>
      </c>
      <c r="I30" s="481">
        <v>0.24295</v>
      </c>
      <c r="J30" s="481">
        <v>0.24295</v>
      </c>
      <c r="K30" s="481">
        <v>0.24295</v>
      </c>
      <c r="L30" s="481">
        <v>0.24295</v>
      </c>
      <c r="M30" s="481">
        <v>0.24295</v>
      </c>
      <c r="N30" s="481">
        <v>0.24295</v>
      </c>
      <c r="O30" s="481">
        <v>0.24295</v>
      </c>
      <c r="P30" s="481">
        <v>0.24295</v>
      </c>
      <c r="Q30" s="481">
        <v>0.24295</v>
      </c>
      <c r="R30" s="399"/>
      <c r="S30" s="389"/>
      <c r="T30" s="401"/>
      <c r="U30" s="401"/>
      <c r="V30" s="400"/>
      <c r="W30" s="400"/>
      <c r="X30" s="400"/>
      <c r="Y30" s="400"/>
      <c r="Z30" s="400"/>
      <c r="AA30" s="400"/>
      <c r="AB30" s="400"/>
      <c r="AC30" s="400"/>
      <c r="AD30" s="400"/>
      <c r="AE30" s="400"/>
      <c r="AF30" s="400"/>
      <c r="AG30" s="400"/>
      <c r="AH30" s="400"/>
      <c r="AI30" s="400"/>
      <c r="AJ30" s="400"/>
      <c r="AK30" s="400"/>
      <c r="AL30" s="400"/>
      <c r="AM30" s="400"/>
      <c r="AN30" s="400"/>
      <c r="AO30" s="400"/>
      <c r="AP30" s="400"/>
      <c r="AQ30" s="400"/>
      <c r="AR30" s="400"/>
      <c r="AS30" s="400"/>
      <c r="AT30" s="400"/>
      <c r="AU30" s="400"/>
      <c r="AV30" s="400"/>
      <c r="AW30" s="400"/>
      <c r="AX30" s="400"/>
      <c r="AY30" s="400"/>
      <c r="AZ30" s="400"/>
      <c r="BA30" s="400"/>
      <c r="BB30" s="400"/>
      <c r="BC30" s="400"/>
      <c r="BD30" s="400"/>
      <c r="BE30" s="400"/>
      <c r="BF30" s="400"/>
      <c r="BG30" s="400"/>
      <c r="BH30" s="400"/>
      <c r="BI30" s="400"/>
      <c r="BJ30" s="400"/>
      <c r="BK30" s="400"/>
      <c r="BL30" s="400"/>
      <c r="BM30" s="400"/>
      <c r="BN30" s="400"/>
      <c r="BO30" s="400"/>
      <c r="BP30" s="400"/>
      <c r="BQ30" s="400"/>
      <c r="BR30" s="400"/>
      <c r="BS30" s="400"/>
      <c r="BT30" s="400"/>
      <c r="BU30" s="400"/>
      <c r="BV30" s="400"/>
      <c r="BW30" s="400"/>
      <c r="BX30" s="400"/>
      <c r="BY30" s="400"/>
      <c r="BZ30" s="400"/>
      <c r="CA30" s="400"/>
      <c r="CB30" s="400"/>
      <c r="CC30" s="400"/>
      <c r="CD30" s="400"/>
      <c r="CE30" s="400"/>
      <c r="CF30" s="400"/>
      <c r="CG30" s="400"/>
      <c r="CH30" s="400"/>
      <c r="CI30" s="400"/>
      <c r="CJ30" s="400"/>
      <c r="CK30" s="400"/>
      <c r="CL30" s="400"/>
      <c r="CM30" s="400"/>
      <c r="CN30" s="400"/>
      <c r="CO30" s="400"/>
      <c r="CP30" s="400"/>
      <c r="CQ30" s="400"/>
      <c r="CR30" s="400"/>
      <c r="CS30" s="400"/>
      <c r="CT30" s="400"/>
      <c r="CU30" s="400"/>
      <c r="CV30" s="400"/>
      <c r="CW30" s="400"/>
      <c r="CX30" s="400"/>
      <c r="CY30" s="400"/>
      <c r="CZ30" s="400"/>
      <c r="DA30" s="400"/>
      <c r="DB30" s="400"/>
      <c r="DC30" s="400"/>
      <c r="DD30" s="400"/>
      <c r="DE30" s="400"/>
      <c r="DF30" s="400"/>
      <c r="DG30" s="400"/>
      <c r="DH30" s="400"/>
      <c r="DI30" s="400"/>
      <c r="DJ30" s="400"/>
      <c r="DK30" s="400"/>
      <c r="DL30" s="400"/>
      <c r="DM30" s="400"/>
      <c r="DN30" s="400"/>
      <c r="DO30" s="400"/>
      <c r="DP30" s="400"/>
      <c r="DQ30" s="400"/>
      <c r="DR30" s="400"/>
      <c r="DS30" s="400"/>
      <c r="DT30" s="400"/>
      <c r="DU30" s="400"/>
      <c r="DV30" s="400"/>
      <c r="DW30" s="400"/>
      <c r="DX30" s="400"/>
      <c r="DY30" s="400"/>
      <c r="DZ30" s="400"/>
      <c r="EA30" s="400"/>
      <c r="EB30" s="400"/>
      <c r="EC30" s="400"/>
      <c r="ED30" s="400"/>
      <c r="EE30" s="400"/>
      <c r="EF30" s="400"/>
      <c r="EG30" s="400"/>
      <c r="EH30" s="400"/>
      <c r="EI30" s="400"/>
      <c r="EJ30" s="400"/>
      <c r="EK30" s="400"/>
      <c r="EL30" s="400"/>
      <c r="EM30" s="400"/>
      <c r="EN30" s="400"/>
      <c r="EO30" s="400"/>
      <c r="EP30" s="400"/>
      <c r="EQ30" s="400"/>
      <c r="ER30" s="400"/>
      <c r="ES30" s="400"/>
      <c r="ET30" s="400"/>
      <c r="EU30" s="400"/>
      <c r="EV30" s="400"/>
      <c r="EW30" s="400"/>
      <c r="EX30" s="400"/>
      <c r="EY30" s="400"/>
      <c r="EZ30" s="400"/>
      <c r="FA30" s="400"/>
      <c r="FB30" s="400"/>
      <c r="FC30" s="400"/>
      <c r="FD30" s="400"/>
      <c r="FE30" s="400"/>
      <c r="FF30" s="400"/>
      <c r="FG30" s="400"/>
      <c r="FH30" s="400"/>
      <c r="FI30" s="400"/>
      <c r="FJ30" s="400"/>
      <c r="FK30" s="400"/>
      <c r="FL30" s="400"/>
      <c r="FM30" s="400"/>
      <c r="FN30" s="400"/>
      <c r="FO30" s="400"/>
      <c r="FP30" s="400"/>
      <c r="FQ30" s="400"/>
      <c r="FR30" s="400"/>
      <c r="FS30" s="400"/>
      <c r="FT30" s="400"/>
      <c r="FU30" s="400"/>
      <c r="FV30" s="400"/>
      <c r="FW30" s="400"/>
      <c r="FX30" s="400"/>
      <c r="FY30" s="400"/>
      <c r="FZ30" s="400"/>
      <c r="GA30" s="400"/>
      <c r="GB30" s="400"/>
      <c r="GC30" s="400"/>
      <c r="GD30" s="400"/>
      <c r="GE30" s="400"/>
      <c r="GF30" s="400"/>
      <c r="GG30" s="400"/>
      <c r="GH30" s="400"/>
      <c r="GI30" s="400"/>
      <c r="GJ30" s="400"/>
      <c r="GK30" s="400"/>
      <c r="GL30" s="400"/>
      <c r="GM30" s="400"/>
      <c r="GN30" s="400"/>
      <c r="GO30" s="400"/>
      <c r="GP30" s="400"/>
      <c r="GQ30" s="400"/>
      <c r="GR30" s="400"/>
      <c r="GS30" s="400"/>
      <c r="GT30" s="400"/>
      <c r="GU30" s="400"/>
      <c r="GV30" s="400"/>
      <c r="GW30" s="400"/>
      <c r="GX30" s="400"/>
      <c r="GY30" s="400"/>
      <c r="GZ30" s="400"/>
      <c r="HA30" s="400"/>
      <c r="HB30" s="400"/>
      <c r="HC30" s="400"/>
      <c r="HD30" s="400"/>
      <c r="HE30" s="400"/>
      <c r="HF30" s="400"/>
      <c r="HG30" s="400"/>
      <c r="HH30" s="400"/>
      <c r="HI30" s="400"/>
      <c r="HJ30" s="400"/>
      <c r="HK30" s="400"/>
      <c r="HL30" s="400"/>
      <c r="HM30" s="400"/>
      <c r="HN30" s="400"/>
      <c r="HO30" s="400"/>
      <c r="HP30" s="400"/>
      <c r="HQ30" s="400"/>
      <c r="HR30" s="400"/>
      <c r="HS30" s="400"/>
      <c r="HT30" s="400"/>
      <c r="HU30" s="400"/>
      <c r="HV30" s="400"/>
      <c r="HW30" s="400"/>
      <c r="HX30" s="400"/>
      <c r="HY30" s="400"/>
      <c r="HZ30" s="400"/>
      <c r="IA30" s="400"/>
      <c r="IB30" s="400"/>
      <c r="IC30" s="400"/>
      <c r="ID30" s="400"/>
      <c r="IE30" s="400"/>
      <c r="IF30" s="400"/>
      <c r="IG30" s="400"/>
      <c r="IH30" s="400"/>
      <c r="II30" s="400"/>
    </row>
    <row r="31" spans="1:243" s="412" customFormat="1" x14ac:dyDescent="0.2">
      <c r="A31" s="388" t="s">
        <v>170</v>
      </c>
      <c r="B31" s="405" t="s">
        <v>76</v>
      </c>
      <c r="C31" s="407">
        <v>1.1080239999999999</v>
      </c>
      <c r="D31" s="407">
        <v>1.1080239999999999</v>
      </c>
      <c r="E31" s="407">
        <v>1.1080239999999999</v>
      </c>
      <c r="F31" s="407">
        <v>1.1080239999999999</v>
      </c>
      <c r="G31" s="407">
        <v>1.1080239999999999</v>
      </c>
      <c r="H31" s="407">
        <v>1.1080239999999999</v>
      </c>
      <c r="I31" s="407">
        <v>1.1080239999999999</v>
      </c>
      <c r="J31" s="407">
        <v>1.1080239999999999</v>
      </c>
      <c r="K31" s="407">
        <v>1.1080239999999999</v>
      </c>
      <c r="L31" s="407">
        <v>1.1080239999999999</v>
      </c>
      <c r="M31" s="407">
        <v>1.1080239999999999</v>
      </c>
      <c r="N31" s="407">
        <v>1.1080239999999999</v>
      </c>
      <c r="O31" s="407">
        <v>1.1080239999999999</v>
      </c>
      <c r="P31" s="407">
        <v>1.1080239999999999</v>
      </c>
      <c r="Q31" s="407">
        <v>1.1080239999999999</v>
      </c>
      <c r="R31" s="407"/>
      <c r="S31" s="409"/>
      <c r="T31" s="410"/>
      <c r="U31" s="410"/>
      <c r="V31" s="411"/>
      <c r="W31" s="411"/>
      <c r="X31" s="411"/>
      <c r="Y31" s="411"/>
      <c r="Z31" s="411"/>
      <c r="AA31" s="411"/>
      <c r="AB31" s="411"/>
      <c r="AC31" s="411"/>
      <c r="AD31" s="411"/>
      <c r="AE31" s="411"/>
      <c r="AF31" s="411"/>
      <c r="AG31" s="411"/>
      <c r="AH31" s="411"/>
      <c r="AI31" s="411"/>
      <c r="AJ31" s="411"/>
      <c r="AK31" s="411"/>
      <c r="AL31" s="411"/>
      <c r="AM31" s="411"/>
      <c r="AN31" s="411"/>
      <c r="AO31" s="411"/>
      <c r="AP31" s="411"/>
      <c r="AQ31" s="411"/>
      <c r="AR31" s="411"/>
      <c r="AS31" s="411"/>
      <c r="AT31" s="411"/>
      <c r="AU31" s="411"/>
      <c r="AV31" s="411"/>
      <c r="AW31" s="411"/>
      <c r="AX31" s="411"/>
      <c r="AY31" s="411"/>
      <c r="AZ31" s="411"/>
      <c r="BA31" s="411"/>
      <c r="BB31" s="411"/>
      <c r="BC31" s="411"/>
      <c r="BD31" s="411"/>
      <c r="BE31" s="411"/>
      <c r="BF31" s="411"/>
      <c r="BG31" s="411"/>
      <c r="BH31" s="411"/>
      <c r="BI31" s="411"/>
      <c r="BJ31" s="411"/>
      <c r="BK31" s="411"/>
      <c r="BL31" s="411"/>
      <c r="BM31" s="411"/>
      <c r="BN31" s="411"/>
      <c r="BO31" s="411"/>
      <c r="BP31" s="411"/>
      <c r="BQ31" s="411"/>
      <c r="BR31" s="411"/>
      <c r="BS31" s="411"/>
      <c r="BT31" s="411"/>
      <c r="BU31" s="411"/>
      <c r="BV31" s="411"/>
      <c r="BW31" s="411"/>
      <c r="BX31" s="411"/>
      <c r="BY31" s="411"/>
      <c r="BZ31" s="411"/>
      <c r="CA31" s="411"/>
      <c r="CB31" s="411"/>
      <c r="CC31" s="411"/>
      <c r="CD31" s="411"/>
      <c r="CE31" s="411"/>
      <c r="CF31" s="411"/>
      <c r="CG31" s="411"/>
      <c r="CH31" s="411"/>
      <c r="CI31" s="411"/>
      <c r="CJ31" s="411"/>
      <c r="CK31" s="411"/>
      <c r="CL31" s="411"/>
      <c r="CM31" s="411"/>
      <c r="CN31" s="411"/>
      <c r="CO31" s="411"/>
      <c r="CP31" s="411"/>
      <c r="CQ31" s="411"/>
      <c r="CR31" s="411"/>
      <c r="CS31" s="411"/>
      <c r="CT31" s="411"/>
      <c r="CU31" s="411"/>
      <c r="CV31" s="411"/>
      <c r="CW31" s="411"/>
      <c r="CX31" s="411"/>
      <c r="CY31" s="411"/>
      <c r="CZ31" s="411"/>
      <c r="DA31" s="411"/>
      <c r="DB31" s="411"/>
      <c r="DC31" s="411"/>
      <c r="DD31" s="411"/>
      <c r="DE31" s="411"/>
      <c r="DF31" s="411"/>
      <c r="DG31" s="411"/>
      <c r="DH31" s="411"/>
      <c r="DI31" s="411"/>
      <c r="DJ31" s="411"/>
      <c r="DK31" s="411"/>
      <c r="DL31" s="411"/>
      <c r="DM31" s="411"/>
      <c r="DN31" s="411"/>
      <c r="DO31" s="411"/>
      <c r="DP31" s="411"/>
      <c r="DQ31" s="411"/>
      <c r="DR31" s="411"/>
      <c r="DS31" s="411"/>
      <c r="DT31" s="411"/>
      <c r="DU31" s="411"/>
      <c r="DV31" s="411"/>
      <c r="DW31" s="411"/>
      <c r="DX31" s="411"/>
      <c r="DY31" s="411"/>
      <c r="DZ31" s="411"/>
      <c r="EA31" s="411"/>
      <c r="EB31" s="411"/>
      <c r="EC31" s="411"/>
      <c r="ED31" s="411"/>
      <c r="EE31" s="411"/>
      <c r="EF31" s="411"/>
      <c r="EG31" s="411"/>
      <c r="EH31" s="411"/>
      <c r="EI31" s="411"/>
      <c r="EJ31" s="411"/>
      <c r="EK31" s="411"/>
      <c r="EL31" s="411"/>
      <c r="EM31" s="411"/>
      <c r="EN31" s="411"/>
      <c r="EO31" s="411"/>
      <c r="EP31" s="411"/>
      <c r="EQ31" s="411"/>
      <c r="ER31" s="411"/>
      <c r="ES31" s="411"/>
      <c r="ET31" s="411"/>
      <c r="EU31" s="411"/>
      <c r="EV31" s="411"/>
      <c r="EW31" s="411"/>
      <c r="EX31" s="411"/>
      <c r="EY31" s="411"/>
      <c r="EZ31" s="411"/>
      <c r="FA31" s="411"/>
      <c r="FB31" s="411"/>
      <c r="FC31" s="411"/>
      <c r="FD31" s="411"/>
      <c r="FE31" s="411"/>
      <c r="FF31" s="411"/>
      <c r="FG31" s="411"/>
      <c r="FH31" s="411"/>
      <c r="FI31" s="411"/>
      <c r="FJ31" s="411"/>
      <c r="FK31" s="411"/>
      <c r="FL31" s="411"/>
      <c r="FM31" s="411"/>
      <c r="FN31" s="411"/>
      <c r="FO31" s="411"/>
      <c r="FP31" s="411"/>
      <c r="FQ31" s="411"/>
      <c r="FR31" s="411"/>
      <c r="FS31" s="411"/>
      <c r="FT31" s="411"/>
      <c r="FU31" s="411"/>
      <c r="FV31" s="411"/>
      <c r="FW31" s="411"/>
      <c r="FX31" s="411"/>
      <c r="FY31" s="411"/>
      <c r="FZ31" s="411"/>
      <c r="GA31" s="411"/>
      <c r="GB31" s="411"/>
      <c r="GC31" s="411"/>
      <c r="GD31" s="411"/>
      <c r="GE31" s="411"/>
      <c r="GF31" s="411"/>
      <c r="GG31" s="411"/>
      <c r="GH31" s="411"/>
      <c r="GI31" s="411"/>
      <c r="GJ31" s="411"/>
      <c r="GK31" s="411"/>
      <c r="GL31" s="411"/>
      <c r="GM31" s="411"/>
      <c r="GN31" s="411"/>
      <c r="GO31" s="411"/>
      <c r="GP31" s="411"/>
      <c r="GQ31" s="411"/>
      <c r="GR31" s="411"/>
      <c r="GS31" s="411"/>
      <c r="GT31" s="411"/>
      <c r="GU31" s="411"/>
      <c r="GV31" s="411"/>
      <c r="GW31" s="411"/>
      <c r="GX31" s="411"/>
      <c r="GY31" s="411"/>
      <c r="GZ31" s="411"/>
      <c r="HA31" s="411"/>
      <c r="HB31" s="411"/>
      <c r="HC31" s="411"/>
      <c r="HD31" s="411"/>
      <c r="HE31" s="411"/>
      <c r="HF31" s="411"/>
      <c r="HG31" s="411"/>
      <c r="HH31" s="411"/>
      <c r="HI31" s="411"/>
      <c r="HJ31" s="411"/>
      <c r="HK31" s="411"/>
      <c r="HL31" s="411"/>
      <c r="HM31" s="411"/>
      <c r="HN31" s="411"/>
      <c r="HO31" s="411"/>
      <c r="HP31" s="411"/>
      <c r="HQ31" s="411"/>
      <c r="HR31" s="411"/>
      <c r="HS31" s="411"/>
      <c r="HT31" s="411"/>
      <c r="HU31" s="411"/>
      <c r="HV31" s="411"/>
      <c r="HW31" s="411"/>
      <c r="HX31" s="411"/>
      <c r="HY31" s="411"/>
      <c r="HZ31" s="411"/>
      <c r="IA31" s="411"/>
      <c r="IB31" s="411"/>
      <c r="IC31" s="411"/>
      <c r="ID31" s="411"/>
      <c r="IE31" s="411"/>
      <c r="IF31" s="411"/>
      <c r="IG31" s="411"/>
      <c r="IH31" s="411"/>
      <c r="II31" s="411"/>
    </row>
    <row r="32" spans="1:243" s="480" customFormat="1" x14ac:dyDescent="0.2">
      <c r="A32" s="475"/>
      <c r="B32" s="475" t="s">
        <v>60</v>
      </c>
      <c r="C32" s="476">
        <f>ROUND(C30*C31*C29,2)</f>
        <v>17.5</v>
      </c>
      <c r="D32" s="476">
        <f t="shared" ref="D32:Q32" si="7">ROUND(D30*D31*D29,2)</f>
        <v>44.15</v>
      </c>
      <c r="E32" s="476">
        <f t="shared" si="7"/>
        <v>58.95</v>
      </c>
      <c r="F32" s="476">
        <f t="shared" si="7"/>
        <v>23.15</v>
      </c>
      <c r="G32" s="476">
        <f t="shared" si="7"/>
        <v>34.46</v>
      </c>
      <c r="H32" s="476">
        <f t="shared" si="7"/>
        <v>0</v>
      </c>
      <c r="I32" s="476">
        <f t="shared" si="7"/>
        <v>18.309999999999999</v>
      </c>
      <c r="J32" s="476">
        <f t="shared" si="7"/>
        <v>45.49</v>
      </c>
      <c r="K32" s="476">
        <f t="shared" si="7"/>
        <v>35</v>
      </c>
      <c r="L32" s="476">
        <f t="shared" si="7"/>
        <v>67.569999999999993</v>
      </c>
      <c r="M32" s="476">
        <f t="shared" si="7"/>
        <v>0</v>
      </c>
      <c r="N32" s="476">
        <f t="shared" si="7"/>
        <v>0</v>
      </c>
      <c r="O32" s="476">
        <f t="shared" si="7"/>
        <v>0</v>
      </c>
      <c r="P32" s="476">
        <f t="shared" si="7"/>
        <v>0</v>
      </c>
      <c r="Q32" s="476">
        <f t="shared" si="7"/>
        <v>0</v>
      </c>
      <c r="R32" s="475">
        <f>SUM(C32:Q32)</f>
        <v>344.58</v>
      </c>
      <c r="S32" s="477"/>
      <c r="T32" s="478"/>
      <c r="U32" s="478"/>
      <c r="V32" s="479"/>
      <c r="W32" s="479"/>
      <c r="X32" s="479"/>
      <c r="Y32" s="479"/>
      <c r="Z32" s="479"/>
      <c r="AA32" s="479"/>
      <c r="AB32" s="479"/>
      <c r="AC32" s="479"/>
      <c r="AD32" s="479"/>
      <c r="AE32" s="479"/>
      <c r="AF32" s="479"/>
      <c r="AG32" s="479"/>
      <c r="AH32" s="479"/>
      <c r="AI32" s="479"/>
      <c r="AJ32" s="479"/>
      <c r="AK32" s="479"/>
      <c r="AL32" s="479"/>
      <c r="AM32" s="479"/>
      <c r="AN32" s="479"/>
      <c r="AO32" s="479"/>
      <c r="AP32" s="479"/>
      <c r="AQ32" s="479"/>
      <c r="AR32" s="479"/>
      <c r="AS32" s="479"/>
      <c r="AT32" s="479"/>
      <c r="AU32" s="479"/>
      <c r="AV32" s="479"/>
      <c r="AW32" s="479"/>
      <c r="AX32" s="479"/>
      <c r="AY32" s="479"/>
      <c r="AZ32" s="479"/>
      <c r="BA32" s="479"/>
      <c r="BB32" s="479"/>
      <c r="BC32" s="479"/>
      <c r="BD32" s="479"/>
      <c r="BE32" s="479"/>
      <c r="BF32" s="479"/>
      <c r="BG32" s="479"/>
      <c r="BH32" s="479"/>
      <c r="BI32" s="479"/>
      <c r="BJ32" s="479"/>
      <c r="BK32" s="479"/>
      <c r="BL32" s="479"/>
      <c r="BM32" s="479"/>
      <c r="BN32" s="479"/>
      <c r="BO32" s="479"/>
      <c r="BP32" s="479"/>
      <c r="BQ32" s="479"/>
      <c r="BR32" s="479"/>
      <c r="BS32" s="479"/>
      <c r="BT32" s="479"/>
      <c r="BU32" s="479"/>
      <c r="BV32" s="479"/>
      <c r="BW32" s="479"/>
      <c r="BX32" s="479"/>
      <c r="BY32" s="479"/>
      <c r="BZ32" s="479"/>
      <c r="CA32" s="479"/>
      <c r="CB32" s="479"/>
      <c r="CC32" s="479"/>
      <c r="CD32" s="479"/>
      <c r="CE32" s="479"/>
      <c r="CF32" s="479"/>
      <c r="CG32" s="479"/>
      <c r="CH32" s="479"/>
      <c r="CI32" s="479"/>
      <c r="CJ32" s="479"/>
      <c r="CK32" s="479"/>
      <c r="CL32" s="479"/>
      <c r="CM32" s="479"/>
      <c r="CN32" s="479"/>
      <c r="CO32" s="479"/>
      <c r="CP32" s="479"/>
      <c r="CQ32" s="479"/>
      <c r="CR32" s="479"/>
      <c r="CS32" s="479"/>
      <c r="CT32" s="479"/>
      <c r="CU32" s="479"/>
      <c r="CV32" s="479"/>
      <c r="CW32" s="479"/>
      <c r="CX32" s="479"/>
      <c r="CY32" s="479"/>
      <c r="CZ32" s="479"/>
      <c r="DA32" s="479"/>
      <c r="DB32" s="479"/>
      <c r="DC32" s="479"/>
      <c r="DD32" s="479"/>
      <c r="DE32" s="479"/>
      <c r="DF32" s="479"/>
      <c r="DG32" s="479"/>
      <c r="DH32" s="479"/>
      <c r="DI32" s="479"/>
      <c r="DJ32" s="479"/>
      <c r="DK32" s="479"/>
      <c r="DL32" s="479"/>
      <c r="DM32" s="479"/>
      <c r="DN32" s="479"/>
      <c r="DO32" s="479"/>
      <c r="DP32" s="479"/>
      <c r="DQ32" s="479"/>
      <c r="DR32" s="479"/>
      <c r="DS32" s="479"/>
      <c r="DT32" s="479"/>
      <c r="DU32" s="479"/>
      <c r="DV32" s="479"/>
      <c r="DW32" s="479"/>
      <c r="DX32" s="479"/>
      <c r="DY32" s="479"/>
      <c r="DZ32" s="479"/>
      <c r="EA32" s="479"/>
      <c r="EB32" s="479"/>
      <c r="EC32" s="479"/>
      <c r="ED32" s="479"/>
      <c r="EE32" s="479"/>
      <c r="EF32" s="479"/>
      <c r="EG32" s="479"/>
      <c r="EH32" s="479"/>
      <c r="EI32" s="479"/>
      <c r="EJ32" s="479"/>
      <c r="EK32" s="479"/>
      <c r="EL32" s="479"/>
      <c r="EM32" s="479"/>
      <c r="EN32" s="479"/>
      <c r="EO32" s="479"/>
      <c r="EP32" s="479"/>
      <c r="EQ32" s="479"/>
      <c r="ER32" s="479"/>
      <c r="ES32" s="479"/>
      <c r="ET32" s="479"/>
      <c r="EU32" s="479"/>
      <c r="EV32" s="479"/>
      <c r="EW32" s="479"/>
      <c r="EX32" s="479"/>
      <c r="EY32" s="479"/>
      <c r="EZ32" s="479"/>
      <c r="FA32" s="479"/>
      <c r="FB32" s="479"/>
      <c r="FC32" s="479"/>
      <c r="FD32" s="479"/>
      <c r="FE32" s="479"/>
      <c r="FF32" s="479"/>
      <c r="FG32" s="479"/>
      <c r="FH32" s="479"/>
      <c r="FI32" s="479"/>
      <c r="FJ32" s="479"/>
      <c r="FK32" s="479"/>
      <c r="FL32" s="479"/>
      <c r="FM32" s="479"/>
      <c r="FN32" s="479"/>
      <c r="FO32" s="479"/>
      <c r="FP32" s="479"/>
      <c r="FQ32" s="479"/>
      <c r="FR32" s="479"/>
      <c r="FS32" s="479"/>
      <c r="FT32" s="479"/>
      <c r="FU32" s="479"/>
      <c r="FV32" s="479"/>
      <c r="FW32" s="479"/>
      <c r="FX32" s="479"/>
      <c r="FY32" s="479"/>
      <c r="FZ32" s="479"/>
      <c r="GA32" s="479"/>
      <c r="GB32" s="479"/>
      <c r="GC32" s="479"/>
      <c r="GD32" s="479"/>
      <c r="GE32" s="479"/>
      <c r="GF32" s="479"/>
      <c r="GG32" s="479"/>
      <c r="GH32" s="479"/>
      <c r="GI32" s="479"/>
      <c r="GJ32" s="479"/>
      <c r="GK32" s="479"/>
      <c r="GL32" s="479"/>
      <c r="GM32" s="479"/>
      <c r="GN32" s="479"/>
      <c r="GO32" s="479"/>
      <c r="GP32" s="479"/>
      <c r="GQ32" s="479"/>
      <c r="GR32" s="479"/>
      <c r="GS32" s="479"/>
      <c r="GT32" s="479"/>
      <c r="GU32" s="479"/>
      <c r="GV32" s="479"/>
      <c r="GW32" s="479"/>
      <c r="GX32" s="479"/>
      <c r="GY32" s="479"/>
      <c r="GZ32" s="479"/>
      <c r="HA32" s="479"/>
      <c r="HB32" s="479"/>
      <c r="HC32" s="479"/>
      <c r="HD32" s="479"/>
      <c r="HE32" s="479"/>
      <c r="HF32" s="479"/>
      <c r="HG32" s="479"/>
      <c r="HH32" s="479"/>
      <c r="HI32" s="479"/>
      <c r="HJ32" s="479"/>
      <c r="HK32" s="479"/>
      <c r="HL32" s="479"/>
      <c r="HM32" s="479"/>
      <c r="HN32" s="479"/>
      <c r="HO32" s="479"/>
      <c r="HP32" s="479"/>
      <c r="HQ32" s="479"/>
      <c r="HR32" s="479"/>
      <c r="HS32" s="479"/>
      <c r="HT32" s="479"/>
      <c r="HU32" s="479"/>
      <c r="HV32" s="479"/>
      <c r="HW32" s="479"/>
      <c r="HX32" s="479"/>
      <c r="HY32" s="479"/>
      <c r="HZ32" s="479"/>
      <c r="IA32" s="479"/>
      <c r="IB32" s="479"/>
      <c r="IC32" s="479"/>
      <c r="ID32" s="479"/>
      <c r="IE32" s="479"/>
      <c r="IF32" s="479"/>
      <c r="IG32" s="479"/>
      <c r="IH32" s="479"/>
      <c r="II32" s="479"/>
    </row>
    <row r="33" spans="1:256" x14ac:dyDescent="0.2">
      <c r="A33" s="404"/>
      <c r="B33" s="384"/>
      <c r="C33" s="384"/>
      <c r="D33" s="384"/>
      <c r="E33" s="383"/>
      <c r="F33" s="383"/>
      <c r="G33" s="383"/>
      <c r="H33" s="383"/>
      <c r="I33" s="383"/>
      <c r="J33" s="383"/>
      <c r="K33" s="383"/>
      <c r="L33" s="383"/>
      <c r="M33" s="383"/>
      <c r="N33" s="383"/>
      <c r="O33" s="383"/>
      <c r="P33" s="383"/>
      <c r="Q33" s="383"/>
      <c r="R33" s="383"/>
      <c r="S33" s="389"/>
      <c r="T33" s="401"/>
      <c r="U33" s="401"/>
      <c r="V33" s="400"/>
      <c r="W33" s="400"/>
      <c r="X33" s="400"/>
      <c r="Y33" s="400"/>
      <c r="Z33" s="400"/>
      <c r="AA33" s="400"/>
      <c r="AB33" s="400"/>
      <c r="AC33" s="400"/>
      <c r="AD33" s="400"/>
      <c r="AE33" s="400"/>
      <c r="AF33" s="400"/>
      <c r="AG33" s="400"/>
      <c r="AH33" s="400"/>
      <c r="AI33" s="400"/>
      <c r="AJ33" s="400"/>
      <c r="AK33" s="400"/>
      <c r="AL33" s="400"/>
      <c r="AM33" s="400"/>
      <c r="AN33" s="400"/>
      <c r="AO33" s="400"/>
      <c r="AP33" s="400"/>
      <c r="AQ33" s="400"/>
      <c r="AR33" s="400"/>
      <c r="AS33" s="400"/>
      <c r="AT33" s="400"/>
      <c r="AU33" s="400"/>
      <c r="AV33" s="400"/>
      <c r="AW33" s="400"/>
      <c r="AX33" s="400"/>
      <c r="AY33" s="400"/>
      <c r="AZ33" s="400"/>
      <c r="BA33" s="400"/>
      <c r="BB33" s="400"/>
      <c r="BC33" s="400"/>
      <c r="BD33" s="400"/>
      <c r="BE33" s="400"/>
      <c r="BF33" s="400"/>
      <c r="BG33" s="400"/>
      <c r="BH33" s="400"/>
      <c r="BI33" s="400"/>
      <c r="BJ33" s="400"/>
      <c r="BK33" s="400"/>
      <c r="BL33" s="400"/>
      <c r="BM33" s="400"/>
      <c r="BN33" s="400"/>
      <c r="BO33" s="400"/>
      <c r="BP33" s="400"/>
      <c r="BQ33" s="400"/>
      <c r="BR33" s="400"/>
      <c r="BS33" s="400"/>
      <c r="BT33" s="400"/>
      <c r="BU33" s="400"/>
      <c r="BV33" s="400"/>
      <c r="BW33" s="400"/>
      <c r="BX33" s="400"/>
      <c r="BY33" s="400"/>
      <c r="BZ33" s="400"/>
      <c r="CA33" s="400"/>
      <c r="CB33" s="400"/>
      <c r="CC33" s="400"/>
      <c r="CD33" s="400"/>
      <c r="CE33" s="400"/>
      <c r="CF33" s="400"/>
      <c r="CG33" s="400"/>
      <c r="CH33" s="400"/>
      <c r="CI33" s="400"/>
      <c r="CJ33" s="400"/>
      <c r="CK33" s="400"/>
      <c r="CL33" s="400"/>
      <c r="CM33" s="400"/>
      <c r="CN33" s="400"/>
      <c r="CO33" s="400"/>
      <c r="CP33" s="400"/>
      <c r="CQ33" s="400"/>
      <c r="CR33" s="400"/>
      <c r="CS33" s="400"/>
      <c r="CT33" s="400"/>
      <c r="CU33" s="400"/>
      <c r="CV33" s="400"/>
      <c r="CW33" s="400"/>
      <c r="CX33" s="400"/>
      <c r="CY33" s="400"/>
      <c r="CZ33" s="400"/>
      <c r="DA33" s="400"/>
      <c r="DB33" s="400"/>
      <c r="DC33" s="400"/>
      <c r="DD33" s="400"/>
      <c r="DE33" s="400"/>
      <c r="DF33" s="400"/>
      <c r="DG33" s="400"/>
      <c r="DH33" s="400"/>
      <c r="DI33" s="400"/>
      <c r="DJ33" s="400"/>
      <c r="DK33" s="400"/>
      <c r="DL33" s="400"/>
      <c r="DM33" s="400"/>
      <c r="DN33" s="400"/>
      <c r="DO33" s="400"/>
      <c r="DP33" s="400"/>
      <c r="DQ33" s="400"/>
      <c r="DR33" s="400"/>
      <c r="DS33" s="400"/>
      <c r="DT33" s="400"/>
      <c r="DU33" s="400"/>
      <c r="DV33" s="400"/>
      <c r="DW33" s="400"/>
      <c r="DX33" s="400"/>
      <c r="DY33" s="400"/>
      <c r="DZ33" s="400"/>
      <c r="EA33" s="400"/>
      <c r="EB33" s="400"/>
      <c r="EC33" s="400"/>
      <c r="ED33" s="400"/>
      <c r="EE33" s="400"/>
      <c r="EF33" s="400"/>
      <c r="EG33" s="400"/>
      <c r="EH33" s="400"/>
      <c r="EI33" s="400"/>
      <c r="EJ33" s="400"/>
      <c r="EK33" s="400"/>
      <c r="EL33" s="400"/>
      <c r="EM33" s="400"/>
      <c r="EN33" s="400"/>
      <c r="EO33" s="400"/>
      <c r="EP33" s="400"/>
      <c r="EQ33" s="400"/>
      <c r="ER33" s="400"/>
      <c r="ES33" s="400"/>
      <c r="ET33" s="400"/>
      <c r="EU33" s="400"/>
      <c r="EV33" s="400"/>
      <c r="EW33" s="400"/>
      <c r="EX33" s="400"/>
      <c r="EY33" s="400"/>
      <c r="EZ33" s="400"/>
      <c r="FA33" s="400"/>
      <c r="FB33" s="400"/>
      <c r="FC33" s="400"/>
      <c r="FD33" s="400"/>
      <c r="FE33" s="400"/>
      <c r="FF33" s="400"/>
      <c r="FG33" s="400"/>
      <c r="FH33" s="400"/>
      <c r="FI33" s="400"/>
      <c r="FJ33" s="400"/>
      <c r="FK33" s="400"/>
      <c r="FL33" s="400"/>
      <c r="FM33" s="400"/>
      <c r="FN33" s="400"/>
      <c r="FO33" s="400"/>
      <c r="FP33" s="400"/>
      <c r="FQ33" s="400"/>
      <c r="FR33" s="400"/>
      <c r="FS33" s="400"/>
      <c r="FT33" s="400"/>
      <c r="FU33" s="400"/>
      <c r="FV33" s="400"/>
      <c r="FW33" s="400"/>
      <c r="FX33" s="400"/>
      <c r="FY33" s="400"/>
      <c r="FZ33" s="400"/>
      <c r="GA33" s="400"/>
      <c r="GB33" s="400"/>
      <c r="GC33" s="400"/>
      <c r="GD33" s="400"/>
      <c r="GE33" s="400"/>
      <c r="GF33" s="400"/>
      <c r="GG33" s="400"/>
      <c r="GH33" s="400"/>
      <c r="GI33" s="400"/>
      <c r="GJ33" s="400"/>
      <c r="GK33" s="400"/>
      <c r="GL33" s="400"/>
      <c r="GM33" s="400"/>
      <c r="GN33" s="400"/>
      <c r="GO33" s="400"/>
      <c r="GP33" s="400"/>
      <c r="GQ33" s="400"/>
      <c r="GR33" s="400"/>
      <c r="GS33" s="400"/>
      <c r="GT33" s="400"/>
      <c r="GU33" s="400"/>
      <c r="GV33" s="400"/>
      <c r="GW33" s="400"/>
      <c r="GX33" s="400"/>
      <c r="GY33" s="400"/>
      <c r="GZ33" s="400"/>
      <c r="HA33" s="400"/>
      <c r="HB33" s="400"/>
      <c r="HC33" s="400"/>
      <c r="HD33" s="400"/>
      <c r="HE33" s="400"/>
      <c r="HF33" s="400"/>
      <c r="HG33" s="400"/>
      <c r="HH33" s="400"/>
      <c r="HI33" s="400"/>
      <c r="HJ33" s="400"/>
      <c r="HK33" s="400"/>
      <c r="HL33" s="400"/>
      <c r="HM33" s="400"/>
      <c r="HN33" s="400"/>
      <c r="HO33" s="400"/>
      <c r="HP33" s="400"/>
      <c r="HQ33" s="400"/>
      <c r="HR33" s="400"/>
      <c r="HS33" s="400"/>
      <c r="HT33" s="400"/>
      <c r="HU33" s="400"/>
      <c r="HV33" s="400"/>
      <c r="HW33" s="400"/>
      <c r="HX33" s="400"/>
      <c r="HY33" s="400"/>
      <c r="HZ33" s="400"/>
      <c r="IA33" s="400"/>
      <c r="IB33" s="400"/>
      <c r="IC33" s="400"/>
      <c r="ID33" s="400"/>
      <c r="IE33" s="400"/>
      <c r="IF33" s="400"/>
      <c r="IG33" s="400"/>
      <c r="IH33" s="400"/>
      <c r="II33" s="400"/>
      <c r="IJ33" s="400"/>
      <c r="IK33" s="400"/>
      <c r="IL33" s="400"/>
      <c r="IM33" s="400"/>
      <c r="IN33" s="400"/>
      <c r="IO33" s="400"/>
      <c r="IP33" s="400"/>
      <c r="IQ33" s="400"/>
      <c r="IR33" s="400"/>
      <c r="IS33" s="400"/>
      <c r="IT33" s="400"/>
      <c r="IU33" s="400"/>
      <c r="IV33" s="400"/>
    </row>
    <row r="34" spans="1:256" s="403" customFormat="1" x14ac:dyDescent="0.2">
      <c r="A34" s="382" t="s">
        <v>64</v>
      </c>
      <c r="B34" s="386" t="s">
        <v>59</v>
      </c>
      <c r="C34" s="386">
        <v>60</v>
      </c>
      <c r="D34" s="386"/>
      <c r="E34" s="386"/>
      <c r="F34" s="386">
        <v>75</v>
      </c>
      <c r="G34" s="386">
        <v>129</v>
      </c>
      <c r="H34" s="386">
        <v>22</v>
      </c>
      <c r="I34" s="386">
        <v>134</v>
      </c>
      <c r="J34" s="386">
        <v>86</v>
      </c>
      <c r="K34" s="386"/>
      <c r="L34" s="386">
        <v>32</v>
      </c>
      <c r="M34" s="386">
        <v>153</v>
      </c>
      <c r="N34" s="386"/>
      <c r="O34" s="386"/>
      <c r="P34" s="386"/>
      <c r="Q34" s="386">
        <v>82</v>
      </c>
      <c r="R34" s="391">
        <f>SUM(C34:Q34)</f>
        <v>773</v>
      </c>
      <c r="S34" s="389"/>
      <c r="T34" s="401"/>
      <c r="U34" s="401"/>
      <c r="V34" s="400"/>
      <c r="W34" s="400"/>
      <c r="X34" s="400"/>
      <c r="Y34" s="400"/>
      <c r="Z34" s="400"/>
      <c r="AA34" s="400"/>
      <c r="AB34" s="400"/>
      <c r="AC34" s="400"/>
      <c r="AD34" s="400"/>
      <c r="AE34" s="400"/>
      <c r="AF34" s="400"/>
      <c r="AG34" s="400"/>
      <c r="AH34" s="400"/>
      <c r="AI34" s="400"/>
      <c r="AJ34" s="400"/>
      <c r="AK34" s="400"/>
      <c r="AL34" s="400"/>
      <c r="AM34" s="400"/>
      <c r="AN34" s="400"/>
      <c r="AO34" s="400"/>
      <c r="AP34" s="400"/>
      <c r="AQ34" s="400"/>
      <c r="AR34" s="400"/>
      <c r="AS34" s="400"/>
      <c r="AT34" s="400"/>
      <c r="AU34" s="400"/>
      <c r="AV34" s="400"/>
      <c r="AW34" s="400"/>
      <c r="AX34" s="400"/>
      <c r="AY34" s="400"/>
      <c r="AZ34" s="400"/>
      <c r="BA34" s="400"/>
      <c r="BB34" s="400"/>
      <c r="BC34" s="400"/>
      <c r="BD34" s="400"/>
      <c r="BE34" s="400"/>
      <c r="BF34" s="400"/>
      <c r="BG34" s="400"/>
      <c r="BH34" s="400"/>
      <c r="BI34" s="400"/>
      <c r="BJ34" s="400"/>
      <c r="BK34" s="400"/>
      <c r="BL34" s="400"/>
      <c r="BM34" s="400"/>
      <c r="BN34" s="400"/>
      <c r="BO34" s="400"/>
      <c r="BP34" s="400"/>
      <c r="BQ34" s="400"/>
      <c r="BR34" s="400"/>
      <c r="BS34" s="400"/>
      <c r="BT34" s="400"/>
      <c r="BU34" s="400"/>
      <c r="BV34" s="400"/>
      <c r="BW34" s="400"/>
      <c r="BX34" s="400"/>
      <c r="BY34" s="400"/>
      <c r="BZ34" s="400"/>
      <c r="CA34" s="400"/>
      <c r="CB34" s="400"/>
      <c r="CC34" s="400"/>
      <c r="CD34" s="400"/>
      <c r="CE34" s="400"/>
      <c r="CF34" s="400"/>
      <c r="CG34" s="400"/>
      <c r="CH34" s="400"/>
      <c r="CI34" s="400"/>
      <c r="CJ34" s="400"/>
      <c r="CK34" s="400"/>
      <c r="CL34" s="400"/>
      <c r="CM34" s="400"/>
      <c r="CN34" s="400"/>
      <c r="CO34" s="400"/>
      <c r="CP34" s="400"/>
      <c r="CQ34" s="400"/>
      <c r="CR34" s="400"/>
      <c r="CS34" s="400"/>
      <c r="CT34" s="400"/>
      <c r="CU34" s="400"/>
      <c r="CV34" s="400"/>
      <c r="CW34" s="400"/>
      <c r="CX34" s="400"/>
      <c r="CY34" s="400"/>
      <c r="CZ34" s="400"/>
      <c r="DA34" s="400"/>
      <c r="DB34" s="400"/>
      <c r="DC34" s="400"/>
      <c r="DD34" s="400"/>
      <c r="DE34" s="400"/>
      <c r="DF34" s="400"/>
      <c r="DG34" s="400"/>
      <c r="DH34" s="400"/>
      <c r="DI34" s="400"/>
      <c r="DJ34" s="400"/>
      <c r="DK34" s="400"/>
      <c r="DL34" s="400"/>
      <c r="DM34" s="400"/>
      <c r="DN34" s="400"/>
      <c r="DO34" s="400"/>
      <c r="DP34" s="400"/>
      <c r="DQ34" s="400"/>
      <c r="DR34" s="400"/>
      <c r="DS34" s="400"/>
      <c r="DT34" s="400"/>
      <c r="DU34" s="400"/>
      <c r="DV34" s="400"/>
      <c r="DW34" s="400"/>
      <c r="DX34" s="400"/>
      <c r="DY34" s="400"/>
      <c r="DZ34" s="400"/>
      <c r="EA34" s="400"/>
      <c r="EB34" s="400"/>
      <c r="EC34" s="400"/>
      <c r="ED34" s="400"/>
      <c r="EE34" s="400"/>
      <c r="EF34" s="400"/>
      <c r="EG34" s="400"/>
      <c r="EH34" s="400"/>
      <c r="EI34" s="400"/>
      <c r="EJ34" s="400"/>
      <c r="EK34" s="400"/>
      <c r="EL34" s="400"/>
      <c r="EM34" s="400"/>
      <c r="EN34" s="400"/>
      <c r="EO34" s="400"/>
      <c r="EP34" s="400"/>
      <c r="EQ34" s="400"/>
      <c r="ER34" s="400"/>
      <c r="ES34" s="400"/>
      <c r="ET34" s="400"/>
      <c r="EU34" s="400"/>
      <c r="EV34" s="400"/>
      <c r="EW34" s="400"/>
      <c r="EX34" s="400"/>
      <c r="EY34" s="400"/>
      <c r="EZ34" s="400"/>
      <c r="FA34" s="400"/>
      <c r="FB34" s="400"/>
      <c r="FC34" s="400"/>
      <c r="FD34" s="400"/>
      <c r="FE34" s="400"/>
      <c r="FF34" s="400"/>
      <c r="FG34" s="400"/>
      <c r="FH34" s="400"/>
      <c r="FI34" s="400"/>
      <c r="FJ34" s="400"/>
      <c r="FK34" s="400"/>
      <c r="FL34" s="400"/>
      <c r="FM34" s="400"/>
      <c r="FN34" s="400"/>
      <c r="FO34" s="400"/>
      <c r="FP34" s="400"/>
      <c r="FQ34" s="400"/>
      <c r="FR34" s="400"/>
      <c r="FS34" s="400"/>
      <c r="FT34" s="400"/>
      <c r="FU34" s="400"/>
      <c r="FV34" s="400"/>
      <c r="FW34" s="400"/>
      <c r="FX34" s="400"/>
      <c r="FY34" s="400"/>
      <c r="FZ34" s="400"/>
      <c r="GA34" s="400"/>
      <c r="GB34" s="400"/>
      <c r="GC34" s="400"/>
      <c r="GD34" s="400"/>
      <c r="GE34" s="400"/>
      <c r="GF34" s="400"/>
      <c r="GG34" s="400"/>
      <c r="GH34" s="400"/>
      <c r="GI34" s="400"/>
      <c r="GJ34" s="400"/>
      <c r="GK34" s="400"/>
      <c r="GL34" s="400"/>
      <c r="GM34" s="400"/>
      <c r="GN34" s="400"/>
      <c r="GO34" s="400"/>
      <c r="GP34" s="400"/>
      <c r="GQ34" s="400"/>
      <c r="GR34" s="400"/>
      <c r="GS34" s="400"/>
      <c r="GT34" s="400"/>
      <c r="GU34" s="400"/>
      <c r="GV34" s="400"/>
      <c r="GW34" s="400"/>
      <c r="GX34" s="400"/>
      <c r="GY34" s="400"/>
      <c r="GZ34" s="400"/>
      <c r="HA34" s="400"/>
      <c r="HB34" s="400"/>
      <c r="HC34" s="400"/>
      <c r="HD34" s="400"/>
      <c r="HE34" s="400"/>
      <c r="HF34" s="400"/>
      <c r="HG34" s="400"/>
      <c r="HH34" s="400"/>
      <c r="HI34" s="400"/>
      <c r="HJ34" s="400"/>
      <c r="HK34" s="400"/>
      <c r="HL34" s="400"/>
      <c r="HM34" s="400"/>
      <c r="HN34" s="400"/>
      <c r="HO34" s="400"/>
      <c r="HP34" s="400"/>
      <c r="HQ34" s="400"/>
      <c r="HR34" s="400"/>
      <c r="HS34" s="400"/>
      <c r="HT34" s="400"/>
      <c r="HU34" s="400"/>
      <c r="HV34" s="400"/>
      <c r="HW34" s="400"/>
      <c r="HX34" s="400"/>
      <c r="HY34" s="400"/>
      <c r="HZ34" s="400"/>
      <c r="IA34" s="400"/>
      <c r="IB34" s="400"/>
      <c r="IC34" s="400"/>
      <c r="ID34" s="400"/>
      <c r="IE34" s="400"/>
      <c r="IF34" s="400"/>
      <c r="IG34" s="400"/>
      <c r="IH34" s="400"/>
      <c r="II34" s="400"/>
      <c r="IJ34" s="400"/>
      <c r="IK34" s="400"/>
      <c r="IL34" s="400"/>
      <c r="IM34" s="400"/>
      <c r="IN34" s="400"/>
      <c r="IO34" s="400"/>
      <c r="IP34" s="400"/>
      <c r="IQ34" s="400"/>
      <c r="IR34" s="400"/>
      <c r="IS34" s="400"/>
      <c r="IT34" s="400"/>
      <c r="IU34" s="400"/>
      <c r="IV34" s="400"/>
    </row>
    <row r="35" spans="1:256" x14ac:dyDescent="0.2">
      <c r="A35" s="387" t="s">
        <v>171</v>
      </c>
      <c r="B35" s="383"/>
      <c r="C35" s="481">
        <v>0.33048</v>
      </c>
      <c r="D35" s="481">
        <v>0.33048</v>
      </c>
      <c r="E35" s="481">
        <v>0.33048</v>
      </c>
      <c r="F35" s="481">
        <v>0.33048</v>
      </c>
      <c r="G35" s="481">
        <v>0.33048</v>
      </c>
      <c r="H35" s="481">
        <v>0.33048</v>
      </c>
      <c r="I35" s="481">
        <v>0.33048</v>
      </c>
      <c r="J35" s="481">
        <v>0.33048</v>
      </c>
      <c r="K35" s="481">
        <v>0.33048</v>
      </c>
      <c r="L35" s="481">
        <v>0.33048</v>
      </c>
      <c r="M35" s="481">
        <v>0.33048</v>
      </c>
      <c r="N35" s="481">
        <v>0.33048</v>
      </c>
      <c r="O35" s="481">
        <v>0.33048</v>
      </c>
      <c r="P35" s="481">
        <v>0.33048</v>
      </c>
      <c r="Q35" s="481">
        <v>0.33048</v>
      </c>
      <c r="R35" s="399"/>
      <c r="S35" s="389"/>
      <c r="T35" s="401"/>
      <c r="U35" s="401"/>
      <c r="V35" s="400"/>
      <c r="W35" s="400"/>
      <c r="X35" s="400"/>
      <c r="Y35" s="400"/>
      <c r="Z35" s="400"/>
      <c r="AA35" s="400"/>
      <c r="AB35" s="400"/>
      <c r="AC35" s="400"/>
      <c r="AD35" s="400"/>
      <c r="AE35" s="400"/>
      <c r="AF35" s="400"/>
      <c r="AG35" s="400"/>
      <c r="AH35" s="400"/>
      <c r="AI35" s="400"/>
      <c r="AJ35" s="400"/>
      <c r="AK35" s="400"/>
      <c r="AL35" s="400"/>
      <c r="AM35" s="400"/>
      <c r="AN35" s="400"/>
      <c r="AO35" s="400"/>
      <c r="AP35" s="400"/>
      <c r="AQ35" s="400"/>
      <c r="AR35" s="400"/>
      <c r="AS35" s="400"/>
      <c r="AT35" s="400"/>
      <c r="AU35" s="400"/>
      <c r="AV35" s="400"/>
      <c r="AW35" s="400"/>
      <c r="AX35" s="400"/>
      <c r="AY35" s="400"/>
      <c r="AZ35" s="400"/>
      <c r="BA35" s="400"/>
      <c r="BB35" s="400"/>
      <c r="BC35" s="400"/>
      <c r="BD35" s="400"/>
      <c r="BE35" s="400"/>
      <c r="BF35" s="400"/>
      <c r="BG35" s="400"/>
      <c r="BH35" s="400"/>
      <c r="BI35" s="400"/>
      <c r="BJ35" s="400"/>
      <c r="BK35" s="400"/>
      <c r="BL35" s="400"/>
      <c r="BM35" s="400"/>
      <c r="BN35" s="400"/>
      <c r="BO35" s="400"/>
      <c r="BP35" s="400"/>
      <c r="BQ35" s="400"/>
      <c r="BR35" s="400"/>
      <c r="BS35" s="400"/>
      <c r="BT35" s="400"/>
      <c r="BU35" s="400"/>
      <c r="BV35" s="400"/>
      <c r="BW35" s="400"/>
      <c r="BX35" s="400"/>
      <c r="BY35" s="400"/>
      <c r="BZ35" s="400"/>
      <c r="CA35" s="400"/>
      <c r="CB35" s="400"/>
      <c r="CC35" s="400"/>
      <c r="CD35" s="400"/>
      <c r="CE35" s="400"/>
      <c r="CF35" s="400"/>
      <c r="CG35" s="400"/>
      <c r="CH35" s="400"/>
      <c r="CI35" s="400"/>
      <c r="CJ35" s="400"/>
      <c r="CK35" s="400"/>
      <c r="CL35" s="400"/>
      <c r="CM35" s="400"/>
      <c r="CN35" s="400"/>
      <c r="CO35" s="400"/>
      <c r="CP35" s="400"/>
      <c r="CQ35" s="400"/>
      <c r="CR35" s="400"/>
      <c r="CS35" s="400"/>
      <c r="CT35" s="400"/>
      <c r="CU35" s="400"/>
      <c r="CV35" s="400"/>
      <c r="CW35" s="400"/>
      <c r="CX35" s="400"/>
      <c r="CY35" s="400"/>
      <c r="CZ35" s="400"/>
      <c r="DA35" s="400"/>
      <c r="DB35" s="400"/>
      <c r="DC35" s="400"/>
      <c r="DD35" s="400"/>
      <c r="DE35" s="400"/>
      <c r="DF35" s="400"/>
      <c r="DG35" s="400"/>
      <c r="DH35" s="400"/>
      <c r="DI35" s="400"/>
      <c r="DJ35" s="400"/>
      <c r="DK35" s="400"/>
      <c r="DL35" s="400"/>
      <c r="DM35" s="400"/>
      <c r="DN35" s="400"/>
      <c r="DO35" s="400"/>
      <c r="DP35" s="400"/>
      <c r="DQ35" s="400"/>
      <c r="DR35" s="400"/>
      <c r="DS35" s="400"/>
      <c r="DT35" s="400"/>
      <c r="DU35" s="400"/>
      <c r="DV35" s="400"/>
      <c r="DW35" s="400"/>
      <c r="DX35" s="400"/>
      <c r="DY35" s="400"/>
      <c r="DZ35" s="400"/>
      <c r="EA35" s="400"/>
      <c r="EB35" s="400"/>
      <c r="EC35" s="400"/>
      <c r="ED35" s="400"/>
      <c r="EE35" s="400"/>
      <c r="EF35" s="400"/>
      <c r="EG35" s="400"/>
      <c r="EH35" s="400"/>
      <c r="EI35" s="400"/>
      <c r="EJ35" s="400"/>
      <c r="EK35" s="400"/>
      <c r="EL35" s="400"/>
      <c r="EM35" s="400"/>
      <c r="EN35" s="400"/>
      <c r="EO35" s="400"/>
      <c r="EP35" s="400"/>
      <c r="EQ35" s="400"/>
      <c r="ER35" s="400"/>
      <c r="ES35" s="400"/>
      <c r="ET35" s="400"/>
      <c r="EU35" s="400"/>
      <c r="EV35" s="400"/>
      <c r="EW35" s="400"/>
      <c r="EX35" s="400"/>
      <c r="EY35" s="400"/>
      <c r="EZ35" s="400"/>
      <c r="FA35" s="400"/>
      <c r="FB35" s="400"/>
      <c r="FC35" s="400"/>
      <c r="FD35" s="400"/>
      <c r="FE35" s="400"/>
      <c r="FF35" s="400"/>
      <c r="FG35" s="400"/>
      <c r="FH35" s="400"/>
      <c r="FI35" s="400"/>
      <c r="FJ35" s="400"/>
      <c r="FK35" s="400"/>
      <c r="FL35" s="400"/>
      <c r="FM35" s="400"/>
      <c r="FN35" s="400"/>
      <c r="FO35" s="400"/>
      <c r="FP35" s="400"/>
      <c r="FQ35" s="400"/>
      <c r="FR35" s="400"/>
      <c r="FS35" s="400"/>
      <c r="FT35" s="400"/>
      <c r="FU35" s="400"/>
      <c r="FV35" s="400"/>
      <c r="FW35" s="400"/>
      <c r="FX35" s="400"/>
      <c r="FY35" s="400"/>
      <c r="FZ35" s="400"/>
      <c r="GA35" s="400"/>
      <c r="GB35" s="400"/>
      <c r="GC35" s="400"/>
      <c r="GD35" s="400"/>
      <c r="GE35" s="400"/>
      <c r="GF35" s="400"/>
      <c r="GG35" s="400"/>
      <c r="GH35" s="400"/>
      <c r="GI35" s="400"/>
      <c r="GJ35" s="400"/>
      <c r="GK35" s="400"/>
      <c r="GL35" s="400"/>
      <c r="GM35" s="400"/>
      <c r="GN35" s="400"/>
      <c r="GO35" s="400"/>
      <c r="GP35" s="400"/>
      <c r="GQ35" s="400"/>
      <c r="GR35" s="400"/>
      <c r="GS35" s="400"/>
      <c r="GT35" s="400"/>
      <c r="GU35" s="400"/>
      <c r="GV35" s="400"/>
      <c r="GW35" s="400"/>
      <c r="GX35" s="400"/>
      <c r="GY35" s="400"/>
      <c r="GZ35" s="400"/>
      <c r="HA35" s="400"/>
      <c r="HB35" s="400"/>
      <c r="HC35" s="400"/>
      <c r="HD35" s="400"/>
      <c r="HE35" s="400"/>
      <c r="HF35" s="400"/>
      <c r="HG35" s="400"/>
      <c r="HH35" s="400"/>
      <c r="HI35" s="400"/>
      <c r="HJ35" s="400"/>
      <c r="HK35" s="400"/>
      <c r="HL35" s="400"/>
      <c r="HM35" s="400"/>
      <c r="HN35" s="400"/>
      <c r="HO35" s="400"/>
      <c r="HP35" s="400"/>
      <c r="HQ35" s="400"/>
      <c r="HR35" s="400"/>
      <c r="HS35" s="400"/>
      <c r="HT35" s="400"/>
      <c r="HU35" s="400"/>
      <c r="HV35" s="400"/>
      <c r="HW35" s="400"/>
      <c r="HX35" s="400"/>
      <c r="HY35" s="400"/>
      <c r="HZ35" s="400"/>
      <c r="IA35" s="400"/>
      <c r="IB35" s="400"/>
      <c r="IC35" s="400"/>
      <c r="ID35" s="400"/>
      <c r="IE35" s="400"/>
      <c r="IF35" s="400"/>
      <c r="IG35" s="400"/>
      <c r="IH35" s="400"/>
      <c r="II35" s="400"/>
      <c r="IJ35" s="400"/>
      <c r="IK35" s="400"/>
      <c r="IL35" s="400"/>
      <c r="IM35" s="400"/>
      <c r="IN35" s="400"/>
      <c r="IO35" s="400"/>
      <c r="IP35" s="400"/>
      <c r="IQ35" s="400"/>
      <c r="IR35" s="400"/>
      <c r="IS35" s="400"/>
      <c r="IT35" s="400"/>
      <c r="IU35" s="400"/>
      <c r="IV35" s="400"/>
    </row>
    <row r="36" spans="1:256" s="412" customFormat="1" x14ac:dyDescent="0.2">
      <c r="A36" s="388" t="s">
        <v>170</v>
      </c>
      <c r="B36" s="405" t="s">
        <v>76</v>
      </c>
      <c r="C36" s="407">
        <v>1.1080239999999999</v>
      </c>
      <c r="D36" s="407">
        <v>1.1080239999999999</v>
      </c>
      <c r="E36" s="407">
        <v>1.1080239999999999</v>
      </c>
      <c r="F36" s="407">
        <v>1.1080239999999999</v>
      </c>
      <c r="G36" s="407">
        <v>1.1080239999999999</v>
      </c>
      <c r="H36" s="407">
        <v>1.1080239999999999</v>
      </c>
      <c r="I36" s="407">
        <v>1.1080239999999999</v>
      </c>
      <c r="J36" s="407">
        <v>1.1080239999999999</v>
      </c>
      <c r="K36" s="407">
        <v>1.1080239999999999</v>
      </c>
      <c r="L36" s="407">
        <v>1.1080239999999999</v>
      </c>
      <c r="M36" s="407">
        <v>1.1080239999999999</v>
      </c>
      <c r="N36" s="407">
        <v>1.1080239999999999</v>
      </c>
      <c r="O36" s="407">
        <v>1.1080239999999999</v>
      </c>
      <c r="P36" s="407">
        <v>1.1080239999999999</v>
      </c>
      <c r="Q36" s="407">
        <v>1.1080239999999999</v>
      </c>
      <c r="R36" s="408"/>
      <c r="S36" s="409"/>
      <c r="T36" s="410"/>
      <c r="U36" s="410"/>
      <c r="V36" s="411"/>
      <c r="W36" s="411"/>
      <c r="X36" s="411"/>
      <c r="Y36" s="411"/>
      <c r="Z36" s="411"/>
      <c r="AA36" s="411"/>
      <c r="AB36" s="411"/>
      <c r="AC36" s="411"/>
      <c r="AD36" s="411"/>
      <c r="AE36" s="411"/>
      <c r="AF36" s="411"/>
      <c r="AG36" s="411"/>
      <c r="AH36" s="411"/>
      <c r="AI36" s="411"/>
      <c r="AJ36" s="411"/>
      <c r="AK36" s="411"/>
      <c r="AL36" s="411"/>
      <c r="AM36" s="411"/>
      <c r="AN36" s="411"/>
      <c r="AO36" s="411"/>
      <c r="AP36" s="411"/>
      <c r="AQ36" s="411"/>
      <c r="AR36" s="411"/>
      <c r="AS36" s="411"/>
      <c r="AT36" s="411"/>
      <c r="AU36" s="411"/>
      <c r="AV36" s="411"/>
      <c r="AW36" s="411"/>
      <c r="AX36" s="411"/>
      <c r="AY36" s="411"/>
      <c r="AZ36" s="411"/>
      <c r="BA36" s="411"/>
      <c r="BB36" s="411"/>
      <c r="BC36" s="411"/>
      <c r="BD36" s="411"/>
      <c r="BE36" s="411"/>
      <c r="BF36" s="411"/>
      <c r="BG36" s="411"/>
      <c r="BH36" s="411"/>
      <c r="BI36" s="411"/>
      <c r="BJ36" s="411"/>
      <c r="BK36" s="411"/>
      <c r="BL36" s="411"/>
      <c r="BM36" s="411"/>
      <c r="BN36" s="411"/>
      <c r="BO36" s="411"/>
      <c r="BP36" s="411"/>
      <c r="BQ36" s="411"/>
      <c r="BR36" s="411"/>
      <c r="BS36" s="411"/>
      <c r="BT36" s="411"/>
      <c r="BU36" s="411"/>
      <c r="BV36" s="411"/>
      <c r="BW36" s="411"/>
      <c r="BX36" s="411"/>
      <c r="BY36" s="411"/>
      <c r="BZ36" s="411"/>
      <c r="CA36" s="411"/>
      <c r="CB36" s="411"/>
      <c r="CC36" s="411"/>
      <c r="CD36" s="411"/>
      <c r="CE36" s="411"/>
      <c r="CF36" s="411"/>
      <c r="CG36" s="411"/>
      <c r="CH36" s="411"/>
      <c r="CI36" s="411"/>
      <c r="CJ36" s="411"/>
      <c r="CK36" s="411"/>
      <c r="CL36" s="411"/>
      <c r="CM36" s="411"/>
      <c r="CN36" s="411"/>
      <c r="CO36" s="411"/>
      <c r="CP36" s="411"/>
      <c r="CQ36" s="411"/>
      <c r="CR36" s="411"/>
      <c r="CS36" s="411"/>
      <c r="CT36" s="411"/>
      <c r="CU36" s="411"/>
      <c r="CV36" s="411"/>
      <c r="CW36" s="411"/>
      <c r="CX36" s="411"/>
      <c r="CY36" s="411"/>
      <c r="CZ36" s="411"/>
      <c r="DA36" s="411"/>
      <c r="DB36" s="411"/>
      <c r="DC36" s="411"/>
      <c r="DD36" s="411"/>
      <c r="DE36" s="411"/>
      <c r="DF36" s="411"/>
      <c r="DG36" s="411"/>
      <c r="DH36" s="411"/>
      <c r="DI36" s="411"/>
      <c r="DJ36" s="411"/>
      <c r="DK36" s="411"/>
      <c r="DL36" s="411"/>
      <c r="DM36" s="411"/>
      <c r="DN36" s="411"/>
      <c r="DO36" s="411"/>
      <c r="DP36" s="411"/>
      <c r="DQ36" s="411"/>
      <c r="DR36" s="411"/>
      <c r="DS36" s="411"/>
      <c r="DT36" s="411"/>
      <c r="DU36" s="411"/>
      <c r="DV36" s="411"/>
      <c r="DW36" s="411"/>
      <c r="DX36" s="411"/>
      <c r="DY36" s="411"/>
      <c r="DZ36" s="411"/>
      <c r="EA36" s="411"/>
      <c r="EB36" s="411"/>
      <c r="EC36" s="411"/>
      <c r="ED36" s="411"/>
      <c r="EE36" s="411"/>
      <c r="EF36" s="411"/>
      <c r="EG36" s="411"/>
      <c r="EH36" s="411"/>
      <c r="EI36" s="411"/>
      <c r="EJ36" s="411"/>
      <c r="EK36" s="411"/>
      <c r="EL36" s="411"/>
      <c r="EM36" s="411"/>
      <c r="EN36" s="411"/>
      <c r="EO36" s="411"/>
      <c r="EP36" s="411"/>
      <c r="EQ36" s="411"/>
      <c r="ER36" s="411"/>
      <c r="ES36" s="411"/>
      <c r="ET36" s="411"/>
      <c r="EU36" s="411"/>
      <c r="EV36" s="411"/>
      <c r="EW36" s="411"/>
      <c r="EX36" s="411"/>
      <c r="EY36" s="411"/>
      <c r="EZ36" s="411"/>
      <c r="FA36" s="411"/>
      <c r="FB36" s="411"/>
      <c r="FC36" s="411"/>
      <c r="FD36" s="411"/>
      <c r="FE36" s="411"/>
      <c r="FF36" s="411"/>
      <c r="FG36" s="411"/>
      <c r="FH36" s="411"/>
      <c r="FI36" s="411"/>
      <c r="FJ36" s="411"/>
      <c r="FK36" s="411"/>
      <c r="FL36" s="411"/>
      <c r="FM36" s="411"/>
      <c r="FN36" s="411"/>
      <c r="FO36" s="411"/>
      <c r="FP36" s="411"/>
      <c r="FQ36" s="411"/>
      <c r="FR36" s="411"/>
      <c r="FS36" s="411"/>
      <c r="FT36" s="411"/>
      <c r="FU36" s="411"/>
      <c r="FV36" s="411"/>
      <c r="FW36" s="411"/>
      <c r="FX36" s="411"/>
      <c r="FY36" s="411"/>
      <c r="FZ36" s="411"/>
      <c r="GA36" s="411"/>
      <c r="GB36" s="411"/>
      <c r="GC36" s="411"/>
      <c r="GD36" s="411"/>
      <c r="GE36" s="411"/>
      <c r="GF36" s="411"/>
      <c r="GG36" s="411"/>
      <c r="GH36" s="411"/>
      <c r="GI36" s="411"/>
      <c r="GJ36" s="411"/>
      <c r="GK36" s="411"/>
      <c r="GL36" s="411"/>
      <c r="GM36" s="411"/>
      <c r="GN36" s="411"/>
      <c r="GO36" s="411"/>
      <c r="GP36" s="411"/>
      <c r="GQ36" s="411"/>
      <c r="GR36" s="411"/>
      <c r="GS36" s="411"/>
      <c r="GT36" s="411"/>
      <c r="GU36" s="411"/>
      <c r="GV36" s="411"/>
      <c r="GW36" s="411"/>
      <c r="GX36" s="411"/>
      <c r="GY36" s="411"/>
      <c r="GZ36" s="411"/>
      <c r="HA36" s="411"/>
      <c r="HB36" s="411"/>
      <c r="HC36" s="411"/>
      <c r="HD36" s="411"/>
      <c r="HE36" s="411"/>
      <c r="HF36" s="411"/>
      <c r="HG36" s="411"/>
      <c r="HH36" s="411"/>
      <c r="HI36" s="411"/>
      <c r="HJ36" s="411"/>
      <c r="HK36" s="411"/>
      <c r="HL36" s="411"/>
      <c r="HM36" s="411"/>
      <c r="HN36" s="411"/>
      <c r="HO36" s="411"/>
      <c r="HP36" s="411"/>
      <c r="HQ36" s="411"/>
      <c r="HR36" s="411"/>
      <c r="HS36" s="411"/>
      <c r="HT36" s="411"/>
      <c r="HU36" s="411"/>
      <c r="HV36" s="411"/>
      <c r="HW36" s="411"/>
      <c r="HX36" s="411"/>
      <c r="HY36" s="411"/>
      <c r="HZ36" s="411"/>
      <c r="IA36" s="411"/>
      <c r="IB36" s="411"/>
      <c r="IC36" s="411"/>
      <c r="ID36" s="411"/>
      <c r="IE36" s="411"/>
      <c r="IF36" s="411"/>
      <c r="IG36" s="411"/>
      <c r="IH36" s="411"/>
      <c r="II36" s="411"/>
      <c r="IJ36" s="411"/>
      <c r="IK36" s="411"/>
      <c r="IL36" s="411"/>
      <c r="IM36" s="411"/>
      <c r="IN36" s="411"/>
      <c r="IO36" s="411"/>
      <c r="IP36" s="411"/>
      <c r="IQ36" s="411"/>
      <c r="IR36" s="411"/>
      <c r="IS36" s="411"/>
      <c r="IT36" s="411"/>
      <c r="IU36" s="411"/>
      <c r="IV36" s="411"/>
    </row>
    <row r="37" spans="1:256" s="480" customFormat="1" x14ac:dyDescent="0.2">
      <c r="A37" s="475"/>
      <c r="B37" s="475" t="s">
        <v>60</v>
      </c>
      <c r="C37" s="476">
        <f>ROUND(C35*C36*C34,2)</f>
        <v>21.97</v>
      </c>
      <c r="D37" s="476">
        <f t="shared" ref="D37:Q37" si="8">ROUND(D35*D36*D34,2)</f>
        <v>0</v>
      </c>
      <c r="E37" s="476">
        <f t="shared" si="8"/>
        <v>0</v>
      </c>
      <c r="F37" s="476">
        <f t="shared" si="8"/>
        <v>27.46</v>
      </c>
      <c r="G37" s="476">
        <f t="shared" si="8"/>
        <v>47.24</v>
      </c>
      <c r="H37" s="476">
        <f t="shared" si="8"/>
        <v>8.06</v>
      </c>
      <c r="I37" s="476">
        <f t="shared" si="8"/>
        <v>49.07</v>
      </c>
      <c r="J37" s="476">
        <f t="shared" si="8"/>
        <v>31.49</v>
      </c>
      <c r="K37" s="476">
        <f t="shared" si="8"/>
        <v>0</v>
      </c>
      <c r="L37" s="476">
        <f t="shared" si="8"/>
        <v>11.72</v>
      </c>
      <c r="M37" s="476">
        <f t="shared" si="8"/>
        <v>56.03</v>
      </c>
      <c r="N37" s="476">
        <f t="shared" si="8"/>
        <v>0</v>
      </c>
      <c r="O37" s="476">
        <f t="shared" si="8"/>
        <v>0</v>
      </c>
      <c r="P37" s="476">
        <f t="shared" si="8"/>
        <v>0</v>
      </c>
      <c r="Q37" s="476">
        <f t="shared" si="8"/>
        <v>30.03</v>
      </c>
      <c r="R37" s="513">
        <f>SUM(C37:Q37)</f>
        <v>283.07000000000005</v>
      </c>
      <c r="S37" s="477"/>
      <c r="T37" s="478"/>
      <c r="U37" s="478"/>
      <c r="V37" s="479"/>
      <c r="W37" s="479"/>
      <c r="X37" s="479"/>
      <c r="Y37" s="479"/>
      <c r="Z37" s="479"/>
      <c r="AA37" s="479"/>
      <c r="AB37" s="479"/>
      <c r="AC37" s="479"/>
      <c r="AD37" s="479"/>
      <c r="AE37" s="479"/>
      <c r="AF37" s="479"/>
      <c r="AG37" s="479"/>
      <c r="AH37" s="479"/>
      <c r="AI37" s="479"/>
      <c r="AJ37" s="479"/>
      <c r="AK37" s="479"/>
      <c r="AL37" s="479"/>
      <c r="AM37" s="479"/>
      <c r="AN37" s="479"/>
      <c r="AO37" s="479"/>
      <c r="AP37" s="479"/>
      <c r="AQ37" s="479"/>
      <c r="AR37" s="479"/>
      <c r="AS37" s="479"/>
      <c r="AT37" s="479"/>
      <c r="AU37" s="479"/>
      <c r="AV37" s="479"/>
      <c r="AW37" s="479"/>
      <c r="AX37" s="479"/>
      <c r="AY37" s="479"/>
      <c r="AZ37" s="479"/>
      <c r="BA37" s="479"/>
      <c r="BB37" s="479"/>
      <c r="BC37" s="479"/>
      <c r="BD37" s="479"/>
      <c r="BE37" s="479"/>
      <c r="BF37" s="479"/>
      <c r="BG37" s="479"/>
      <c r="BH37" s="479"/>
      <c r="BI37" s="479"/>
      <c r="BJ37" s="479"/>
      <c r="BK37" s="479"/>
      <c r="BL37" s="479"/>
      <c r="BM37" s="479"/>
      <c r="BN37" s="479"/>
      <c r="BO37" s="479"/>
      <c r="BP37" s="479"/>
      <c r="BQ37" s="479"/>
      <c r="BR37" s="479"/>
      <c r="BS37" s="479"/>
      <c r="BT37" s="479"/>
      <c r="BU37" s="479"/>
      <c r="BV37" s="479"/>
      <c r="BW37" s="479"/>
      <c r="BX37" s="479"/>
      <c r="BY37" s="479"/>
      <c r="BZ37" s="479"/>
      <c r="CA37" s="479"/>
      <c r="CB37" s="479"/>
      <c r="CC37" s="479"/>
      <c r="CD37" s="479"/>
      <c r="CE37" s="479"/>
      <c r="CF37" s="479"/>
      <c r="CG37" s="479"/>
      <c r="CH37" s="479"/>
      <c r="CI37" s="479"/>
      <c r="CJ37" s="479"/>
      <c r="CK37" s="479"/>
      <c r="CL37" s="479"/>
      <c r="CM37" s="479"/>
      <c r="CN37" s="479"/>
      <c r="CO37" s="479"/>
      <c r="CP37" s="479"/>
      <c r="CQ37" s="479"/>
      <c r="CR37" s="479"/>
      <c r="CS37" s="479"/>
      <c r="CT37" s="479"/>
      <c r="CU37" s="479"/>
      <c r="CV37" s="479"/>
      <c r="CW37" s="479"/>
      <c r="CX37" s="479"/>
      <c r="CY37" s="479"/>
      <c r="CZ37" s="479"/>
      <c r="DA37" s="479"/>
      <c r="DB37" s="479"/>
      <c r="DC37" s="479"/>
      <c r="DD37" s="479"/>
      <c r="DE37" s="479"/>
      <c r="DF37" s="479"/>
      <c r="DG37" s="479"/>
      <c r="DH37" s="479"/>
      <c r="DI37" s="479"/>
      <c r="DJ37" s="479"/>
      <c r="DK37" s="479"/>
      <c r="DL37" s="479"/>
      <c r="DM37" s="479"/>
      <c r="DN37" s="479"/>
      <c r="DO37" s="479"/>
      <c r="DP37" s="479"/>
      <c r="DQ37" s="479"/>
      <c r="DR37" s="479"/>
      <c r="DS37" s="479"/>
      <c r="DT37" s="479"/>
      <c r="DU37" s="479"/>
      <c r="DV37" s="479"/>
      <c r="DW37" s="479"/>
      <c r="DX37" s="479"/>
      <c r="DY37" s="479"/>
      <c r="DZ37" s="479"/>
      <c r="EA37" s="479"/>
      <c r="EB37" s="479"/>
      <c r="EC37" s="479"/>
      <c r="ED37" s="479"/>
      <c r="EE37" s="479"/>
      <c r="EF37" s="479"/>
      <c r="EG37" s="479"/>
      <c r="EH37" s="479"/>
      <c r="EI37" s="479"/>
      <c r="EJ37" s="479"/>
      <c r="EK37" s="479"/>
      <c r="EL37" s="479"/>
      <c r="EM37" s="479"/>
      <c r="EN37" s="479"/>
      <c r="EO37" s="479"/>
      <c r="EP37" s="479"/>
      <c r="EQ37" s="479"/>
      <c r="ER37" s="479"/>
      <c r="ES37" s="479"/>
      <c r="ET37" s="479"/>
      <c r="EU37" s="479"/>
      <c r="EV37" s="479"/>
      <c r="EW37" s="479"/>
      <c r="EX37" s="479"/>
      <c r="EY37" s="479"/>
      <c r="EZ37" s="479"/>
      <c r="FA37" s="479"/>
      <c r="FB37" s="479"/>
      <c r="FC37" s="479"/>
      <c r="FD37" s="479"/>
      <c r="FE37" s="479"/>
      <c r="FF37" s="479"/>
      <c r="FG37" s="479"/>
      <c r="FH37" s="479"/>
      <c r="FI37" s="479"/>
      <c r="FJ37" s="479"/>
      <c r="FK37" s="479"/>
      <c r="FL37" s="479"/>
      <c r="FM37" s="479"/>
      <c r="FN37" s="479"/>
      <c r="FO37" s="479"/>
      <c r="FP37" s="479"/>
      <c r="FQ37" s="479"/>
      <c r="FR37" s="479"/>
      <c r="FS37" s="479"/>
      <c r="FT37" s="479"/>
      <c r="FU37" s="479"/>
      <c r="FV37" s="479"/>
      <c r="FW37" s="479"/>
      <c r="FX37" s="479"/>
      <c r="FY37" s="479"/>
      <c r="FZ37" s="479"/>
      <c r="GA37" s="479"/>
      <c r="GB37" s="479"/>
      <c r="GC37" s="479"/>
      <c r="GD37" s="479"/>
      <c r="GE37" s="479"/>
      <c r="GF37" s="479"/>
      <c r="GG37" s="479"/>
      <c r="GH37" s="479"/>
      <c r="GI37" s="479"/>
      <c r="GJ37" s="479"/>
      <c r="GK37" s="479"/>
      <c r="GL37" s="479"/>
      <c r="GM37" s="479"/>
      <c r="GN37" s="479"/>
      <c r="GO37" s="479"/>
      <c r="GP37" s="479"/>
      <c r="GQ37" s="479"/>
      <c r="GR37" s="479"/>
      <c r="GS37" s="479"/>
      <c r="GT37" s="479"/>
      <c r="GU37" s="479"/>
      <c r="GV37" s="479"/>
      <c r="GW37" s="479"/>
      <c r="GX37" s="479"/>
      <c r="GY37" s="479"/>
      <c r="GZ37" s="479"/>
      <c r="HA37" s="479"/>
      <c r="HB37" s="479"/>
      <c r="HC37" s="479"/>
      <c r="HD37" s="479"/>
      <c r="HE37" s="479"/>
      <c r="HF37" s="479"/>
      <c r="HG37" s="479"/>
      <c r="HH37" s="479"/>
      <c r="HI37" s="479"/>
      <c r="HJ37" s="479"/>
      <c r="HK37" s="479"/>
      <c r="HL37" s="479"/>
      <c r="HM37" s="479"/>
      <c r="HN37" s="479"/>
      <c r="HO37" s="479"/>
      <c r="HP37" s="479"/>
      <c r="HQ37" s="479"/>
      <c r="HR37" s="479"/>
      <c r="HS37" s="479"/>
      <c r="HT37" s="479"/>
      <c r="HU37" s="479"/>
      <c r="HV37" s="479"/>
      <c r="HW37" s="479"/>
      <c r="HX37" s="479"/>
      <c r="HY37" s="479"/>
      <c r="HZ37" s="479"/>
      <c r="IA37" s="479"/>
      <c r="IB37" s="479"/>
      <c r="IC37" s="479"/>
      <c r="ID37" s="479"/>
      <c r="IE37" s="479"/>
      <c r="IF37" s="479"/>
      <c r="IG37" s="479"/>
      <c r="IH37" s="479"/>
      <c r="II37" s="479"/>
      <c r="IJ37" s="479"/>
      <c r="IK37" s="479"/>
      <c r="IL37" s="479"/>
      <c r="IM37" s="479"/>
      <c r="IN37" s="479"/>
      <c r="IO37" s="479"/>
      <c r="IP37" s="479"/>
      <c r="IQ37" s="479"/>
      <c r="IR37" s="479"/>
      <c r="IS37" s="479"/>
      <c r="IT37" s="479"/>
      <c r="IU37" s="479"/>
      <c r="IV37" s="479"/>
    </row>
    <row r="38" spans="1:256" s="403" customFormat="1" x14ac:dyDescent="0.2">
      <c r="A38" s="382" t="s">
        <v>262</v>
      </c>
      <c r="B38" s="386" t="s">
        <v>59</v>
      </c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91">
        <f>SUM(C38:Q38)</f>
        <v>0</v>
      </c>
      <c r="S38" s="389"/>
      <c r="T38" s="401"/>
      <c r="U38" s="401"/>
      <c r="V38" s="400"/>
      <c r="W38" s="400"/>
      <c r="X38" s="400"/>
      <c r="Y38" s="400"/>
      <c r="Z38" s="400"/>
      <c r="AA38" s="400"/>
      <c r="AB38" s="400"/>
      <c r="AC38" s="400"/>
      <c r="AD38" s="400"/>
      <c r="AE38" s="400"/>
      <c r="AF38" s="400"/>
      <c r="AG38" s="400"/>
      <c r="AH38" s="400"/>
      <c r="AI38" s="400"/>
      <c r="AJ38" s="400"/>
      <c r="AK38" s="400"/>
      <c r="AL38" s="400"/>
      <c r="AM38" s="400"/>
      <c r="AN38" s="400"/>
      <c r="AO38" s="400"/>
      <c r="AP38" s="400"/>
      <c r="AQ38" s="400"/>
      <c r="AR38" s="400"/>
      <c r="AS38" s="400"/>
      <c r="AT38" s="400"/>
      <c r="AU38" s="400"/>
      <c r="AV38" s="400"/>
      <c r="AW38" s="400"/>
      <c r="AX38" s="400"/>
      <c r="AY38" s="400"/>
      <c r="AZ38" s="400"/>
      <c r="BA38" s="400"/>
      <c r="BB38" s="400"/>
      <c r="BC38" s="400"/>
      <c r="BD38" s="400"/>
      <c r="BE38" s="400"/>
      <c r="BF38" s="400"/>
      <c r="BG38" s="400"/>
      <c r="BH38" s="400"/>
      <c r="BI38" s="400"/>
      <c r="BJ38" s="400"/>
      <c r="BK38" s="400"/>
      <c r="BL38" s="400"/>
      <c r="BM38" s="400"/>
      <c r="BN38" s="400"/>
      <c r="BO38" s="400"/>
      <c r="BP38" s="400"/>
      <c r="BQ38" s="400"/>
      <c r="BR38" s="400"/>
      <c r="BS38" s="400"/>
      <c r="BT38" s="400"/>
      <c r="BU38" s="400"/>
      <c r="BV38" s="400"/>
      <c r="BW38" s="400"/>
      <c r="BX38" s="400"/>
      <c r="BY38" s="400"/>
      <c r="BZ38" s="400"/>
      <c r="CA38" s="400"/>
      <c r="CB38" s="400"/>
      <c r="CC38" s="400"/>
      <c r="CD38" s="400"/>
      <c r="CE38" s="400"/>
      <c r="CF38" s="400"/>
      <c r="CG38" s="400"/>
      <c r="CH38" s="400"/>
      <c r="CI38" s="400"/>
      <c r="CJ38" s="400"/>
      <c r="CK38" s="400"/>
      <c r="CL38" s="400"/>
      <c r="CM38" s="400"/>
      <c r="CN38" s="400"/>
      <c r="CO38" s="400"/>
      <c r="CP38" s="400"/>
      <c r="CQ38" s="400"/>
      <c r="CR38" s="400"/>
      <c r="CS38" s="400"/>
      <c r="CT38" s="400"/>
      <c r="CU38" s="400"/>
      <c r="CV38" s="400"/>
      <c r="CW38" s="400"/>
      <c r="CX38" s="400"/>
      <c r="CY38" s="400"/>
      <c r="CZ38" s="400"/>
      <c r="DA38" s="400"/>
      <c r="DB38" s="400"/>
      <c r="DC38" s="400"/>
      <c r="DD38" s="400"/>
      <c r="DE38" s="400"/>
      <c r="DF38" s="400"/>
      <c r="DG38" s="400"/>
      <c r="DH38" s="400"/>
      <c r="DI38" s="400"/>
      <c r="DJ38" s="400"/>
      <c r="DK38" s="400"/>
      <c r="DL38" s="400"/>
      <c r="DM38" s="400"/>
      <c r="DN38" s="400"/>
      <c r="DO38" s="400"/>
      <c r="DP38" s="400"/>
      <c r="DQ38" s="400"/>
      <c r="DR38" s="400"/>
      <c r="DS38" s="400"/>
      <c r="DT38" s="400"/>
      <c r="DU38" s="400"/>
      <c r="DV38" s="400"/>
      <c r="DW38" s="400"/>
      <c r="DX38" s="400"/>
      <c r="DY38" s="400"/>
      <c r="DZ38" s="400"/>
      <c r="EA38" s="400"/>
      <c r="EB38" s="400"/>
      <c r="EC38" s="400"/>
      <c r="ED38" s="400"/>
      <c r="EE38" s="400"/>
      <c r="EF38" s="400"/>
      <c r="EG38" s="400"/>
      <c r="EH38" s="400"/>
      <c r="EI38" s="400"/>
      <c r="EJ38" s="400"/>
      <c r="EK38" s="400"/>
      <c r="EL38" s="400"/>
      <c r="EM38" s="400"/>
      <c r="EN38" s="400"/>
      <c r="EO38" s="400"/>
      <c r="EP38" s="400"/>
      <c r="EQ38" s="400"/>
      <c r="ER38" s="400"/>
      <c r="ES38" s="400"/>
      <c r="ET38" s="400"/>
      <c r="EU38" s="400"/>
      <c r="EV38" s="400"/>
      <c r="EW38" s="400"/>
      <c r="EX38" s="400"/>
      <c r="EY38" s="400"/>
      <c r="EZ38" s="400"/>
      <c r="FA38" s="400"/>
      <c r="FB38" s="400"/>
      <c r="FC38" s="400"/>
      <c r="FD38" s="400"/>
      <c r="FE38" s="400"/>
      <c r="FF38" s="400"/>
      <c r="FG38" s="400"/>
      <c r="FH38" s="400"/>
      <c r="FI38" s="400"/>
      <c r="FJ38" s="400"/>
      <c r="FK38" s="400"/>
      <c r="FL38" s="400"/>
      <c r="FM38" s="400"/>
      <c r="FN38" s="400"/>
      <c r="FO38" s="400"/>
      <c r="FP38" s="400"/>
      <c r="FQ38" s="400"/>
      <c r="FR38" s="400"/>
      <c r="FS38" s="400"/>
      <c r="FT38" s="400"/>
      <c r="FU38" s="400"/>
      <c r="FV38" s="400"/>
      <c r="FW38" s="400"/>
      <c r="FX38" s="400"/>
      <c r="FY38" s="400"/>
      <c r="FZ38" s="400"/>
      <c r="GA38" s="400"/>
      <c r="GB38" s="400"/>
      <c r="GC38" s="400"/>
      <c r="GD38" s="400"/>
      <c r="GE38" s="400"/>
      <c r="GF38" s="400"/>
      <c r="GG38" s="400"/>
      <c r="GH38" s="400"/>
      <c r="GI38" s="400"/>
      <c r="GJ38" s="400"/>
      <c r="GK38" s="400"/>
      <c r="GL38" s="400"/>
      <c r="GM38" s="400"/>
      <c r="GN38" s="400"/>
      <c r="GO38" s="400"/>
      <c r="GP38" s="400"/>
      <c r="GQ38" s="400"/>
      <c r="GR38" s="400"/>
      <c r="GS38" s="400"/>
      <c r="GT38" s="400"/>
      <c r="GU38" s="400"/>
      <c r="GV38" s="400"/>
      <c r="GW38" s="400"/>
      <c r="GX38" s="400"/>
      <c r="GY38" s="400"/>
      <c r="GZ38" s="400"/>
      <c r="HA38" s="400"/>
      <c r="HB38" s="400"/>
      <c r="HC38" s="400"/>
      <c r="HD38" s="400"/>
      <c r="HE38" s="400"/>
      <c r="HF38" s="400"/>
      <c r="HG38" s="400"/>
      <c r="HH38" s="400"/>
      <c r="HI38" s="400"/>
      <c r="HJ38" s="400"/>
      <c r="HK38" s="400"/>
      <c r="HL38" s="400"/>
      <c r="HM38" s="400"/>
      <c r="HN38" s="400"/>
      <c r="HO38" s="400"/>
      <c r="HP38" s="400"/>
      <c r="HQ38" s="400"/>
      <c r="HR38" s="400"/>
      <c r="HS38" s="400"/>
      <c r="HT38" s="400"/>
      <c r="HU38" s="400"/>
      <c r="HV38" s="400"/>
      <c r="HW38" s="400"/>
      <c r="HX38" s="400"/>
      <c r="HY38" s="400"/>
      <c r="HZ38" s="400"/>
      <c r="IA38" s="400"/>
      <c r="IB38" s="400"/>
      <c r="IC38" s="400"/>
      <c r="ID38" s="400"/>
      <c r="IE38" s="400"/>
      <c r="IF38" s="400"/>
      <c r="IG38" s="400"/>
      <c r="IH38" s="400"/>
      <c r="II38" s="400"/>
      <c r="IJ38" s="400"/>
      <c r="IK38" s="400"/>
      <c r="IL38" s="400"/>
      <c r="IM38" s="400"/>
      <c r="IN38" s="400"/>
      <c r="IO38" s="400"/>
      <c r="IP38" s="400"/>
      <c r="IQ38" s="400"/>
      <c r="IR38" s="400"/>
      <c r="IS38" s="400"/>
      <c r="IT38" s="400"/>
      <c r="IU38" s="400"/>
      <c r="IV38" s="400"/>
    </row>
    <row r="39" spans="1:256" s="485" customFormat="1" x14ac:dyDescent="0.2">
      <c r="A39" s="481"/>
      <c r="B39" s="481"/>
      <c r="C39" s="481">
        <v>0.24295</v>
      </c>
      <c r="D39" s="481">
        <v>0.24295</v>
      </c>
      <c r="E39" s="481">
        <v>0.24295</v>
      </c>
      <c r="F39" s="481">
        <v>0.24295</v>
      </c>
      <c r="G39" s="481">
        <v>0.24295</v>
      </c>
      <c r="H39" s="481">
        <v>0.24295</v>
      </c>
      <c r="I39" s="481">
        <v>0.24295</v>
      </c>
      <c r="J39" s="481">
        <v>0.24295</v>
      </c>
      <c r="K39" s="481">
        <v>0.24295</v>
      </c>
      <c r="L39" s="481">
        <v>0.24295</v>
      </c>
      <c r="M39" s="481">
        <v>0.24295</v>
      </c>
      <c r="N39" s="481">
        <v>0.24295</v>
      </c>
      <c r="O39" s="481">
        <v>0.24295</v>
      </c>
      <c r="P39" s="481">
        <v>0.24295</v>
      </c>
      <c r="Q39" s="481">
        <v>0.24295</v>
      </c>
      <c r="R39" s="481"/>
      <c r="S39" s="482"/>
      <c r="T39" s="483"/>
      <c r="U39" s="483"/>
      <c r="V39" s="484"/>
      <c r="W39" s="484"/>
      <c r="X39" s="484"/>
      <c r="Y39" s="484"/>
      <c r="Z39" s="484"/>
      <c r="AA39" s="484"/>
      <c r="AB39" s="484"/>
      <c r="AC39" s="484"/>
      <c r="AD39" s="484"/>
      <c r="AE39" s="484"/>
      <c r="AF39" s="484"/>
      <c r="AG39" s="484"/>
      <c r="AH39" s="484"/>
      <c r="AI39" s="484"/>
      <c r="AJ39" s="484"/>
      <c r="AK39" s="484"/>
      <c r="AL39" s="484"/>
      <c r="AM39" s="484"/>
      <c r="AN39" s="484"/>
      <c r="AO39" s="484"/>
      <c r="AP39" s="484"/>
      <c r="AQ39" s="484"/>
      <c r="AR39" s="484"/>
      <c r="AS39" s="484"/>
      <c r="AT39" s="484"/>
      <c r="AU39" s="484"/>
      <c r="AV39" s="484"/>
      <c r="AW39" s="484"/>
      <c r="AX39" s="484"/>
      <c r="AY39" s="484"/>
      <c r="AZ39" s="484"/>
      <c r="BA39" s="484"/>
      <c r="BB39" s="484"/>
      <c r="BC39" s="484"/>
      <c r="BD39" s="484"/>
      <c r="BE39" s="484"/>
      <c r="BF39" s="484"/>
      <c r="BG39" s="484"/>
      <c r="BH39" s="484"/>
      <c r="BI39" s="484"/>
      <c r="BJ39" s="484"/>
      <c r="BK39" s="484"/>
      <c r="BL39" s="484"/>
      <c r="BM39" s="484"/>
      <c r="BN39" s="484"/>
      <c r="BO39" s="484"/>
      <c r="BP39" s="484"/>
      <c r="BQ39" s="484"/>
      <c r="BR39" s="484"/>
      <c r="BS39" s="484"/>
      <c r="BT39" s="484"/>
      <c r="BU39" s="484"/>
      <c r="BV39" s="484"/>
      <c r="BW39" s="484"/>
      <c r="BX39" s="484"/>
      <c r="BY39" s="484"/>
      <c r="BZ39" s="484"/>
      <c r="CA39" s="484"/>
      <c r="CB39" s="484"/>
      <c r="CC39" s="484"/>
      <c r="CD39" s="484"/>
      <c r="CE39" s="484"/>
      <c r="CF39" s="484"/>
      <c r="CG39" s="484"/>
      <c r="CH39" s="484"/>
      <c r="CI39" s="484"/>
      <c r="CJ39" s="484"/>
      <c r="CK39" s="484"/>
      <c r="CL39" s="484"/>
      <c r="CM39" s="484"/>
      <c r="CN39" s="484"/>
      <c r="CO39" s="484"/>
      <c r="CP39" s="484"/>
      <c r="CQ39" s="484"/>
      <c r="CR39" s="484"/>
      <c r="CS39" s="484"/>
      <c r="CT39" s="484"/>
      <c r="CU39" s="484"/>
      <c r="CV39" s="484"/>
      <c r="CW39" s="484"/>
      <c r="CX39" s="484"/>
      <c r="CY39" s="484"/>
      <c r="CZ39" s="484"/>
      <c r="DA39" s="484"/>
      <c r="DB39" s="484"/>
      <c r="DC39" s="484"/>
      <c r="DD39" s="484"/>
      <c r="DE39" s="484"/>
      <c r="DF39" s="484"/>
      <c r="DG39" s="484"/>
      <c r="DH39" s="484"/>
      <c r="DI39" s="484"/>
      <c r="DJ39" s="484"/>
      <c r="DK39" s="484"/>
      <c r="DL39" s="484"/>
      <c r="DM39" s="484"/>
      <c r="DN39" s="484"/>
      <c r="DO39" s="484"/>
      <c r="DP39" s="484"/>
      <c r="DQ39" s="484"/>
      <c r="DR39" s="484"/>
      <c r="DS39" s="484"/>
      <c r="DT39" s="484"/>
      <c r="DU39" s="484"/>
      <c r="DV39" s="484"/>
      <c r="DW39" s="484"/>
      <c r="DX39" s="484"/>
      <c r="DY39" s="484"/>
      <c r="DZ39" s="484"/>
      <c r="EA39" s="484"/>
      <c r="EB39" s="484"/>
      <c r="EC39" s="484"/>
      <c r="ED39" s="484"/>
      <c r="EE39" s="484"/>
      <c r="EF39" s="484"/>
      <c r="EG39" s="484"/>
      <c r="EH39" s="484"/>
      <c r="EI39" s="484"/>
      <c r="EJ39" s="484"/>
      <c r="EK39" s="484"/>
      <c r="EL39" s="484"/>
      <c r="EM39" s="484"/>
      <c r="EN39" s="484"/>
      <c r="EO39" s="484"/>
      <c r="EP39" s="484"/>
      <c r="EQ39" s="484"/>
      <c r="ER39" s="484"/>
      <c r="ES39" s="484"/>
      <c r="ET39" s="484"/>
      <c r="EU39" s="484"/>
      <c r="EV39" s="484"/>
      <c r="EW39" s="484"/>
      <c r="EX39" s="484"/>
      <c r="EY39" s="484"/>
      <c r="EZ39" s="484"/>
      <c r="FA39" s="484"/>
      <c r="FB39" s="484"/>
      <c r="FC39" s="484"/>
      <c r="FD39" s="484"/>
      <c r="FE39" s="484"/>
      <c r="FF39" s="484"/>
      <c r="FG39" s="484"/>
      <c r="FH39" s="484"/>
      <c r="FI39" s="484"/>
      <c r="FJ39" s="484"/>
      <c r="FK39" s="484"/>
      <c r="FL39" s="484"/>
      <c r="FM39" s="484"/>
      <c r="FN39" s="484"/>
      <c r="FO39" s="484"/>
      <c r="FP39" s="484"/>
      <c r="FQ39" s="484"/>
      <c r="FR39" s="484"/>
      <c r="FS39" s="484"/>
      <c r="FT39" s="484"/>
      <c r="FU39" s="484"/>
      <c r="FV39" s="484"/>
      <c r="FW39" s="484"/>
      <c r="FX39" s="484"/>
      <c r="FY39" s="484"/>
      <c r="FZ39" s="484"/>
      <c r="GA39" s="484"/>
      <c r="GB39" s="484"/>
      <c r="GC39" s="484"/>
      <c r="GD39" s="484"/>
      <c r="GE39" s="484"/>
      <c r="GF39" s="484"/>
      <c r="GG39" s="484"/>
      <c r="GH39" s="484"/>
      <c r="GI39" s="484"/>
      <c r="GJ39" s="484"/>
      <c r="GK39" s="484"/>
      <c r="GL39" s="484"/>
      <c r="GM39" s="484"/>
      <c r="GN39" s="484"/>
      <c r="GO39" s="484"/>
      <c r="GP39" s="484"/>
      <c r="GQ39" s="484"/>
      <c r="GR39" s="484"/>
      <c r="GS39" s="484"/>
      <c r="GT39" s="484"/>
      <c r="GU39" s="484"/>
      <c r="GV39" s="484"/>
      <c r="GW39" s="484"/>
      <c r="GX39" s="484"/>
      <c r="GY39" s="484"/>
      <c r="GZ39" s="484"/>
      <c r="HA39" s="484"/>
      <c r="HB39" s="484"/>
      <c r="HC39" s="484"/>
      <c r="HD39" s="484"/>
      <c r="HE39" s="484"/>
      <c r="HF39" s="484"/>
      <c r="HG39" s="484"/>
      <c r="HH39" s="484"/>
      <c r="HI39" s="484"/>
      <c r="HJ39" s="484"/>
      <c r="HK39" s="484"/>
      <c r="HL39" s="484"/>
      <c r="HM39" s="484"/>
      <c r="HN39" s="484"/>
      <c r="HO39" s="484"/>
      <c r="HP39" s="484"/>
      <c r="HQ39" s="484"/>
      <c r="HR39" s="484"/>
      <c r="HS39" s="484"/>
      <c r="HT39" s="484"/>
      <c r="HU39" s="484"/>
      <c r="HV39" s="484"/>
      <c r="HW39" s="484"/>
      <c r="HX39" s="484"/>
      <c r="HY39" s="484"/>
      <c r="HZ39" s="484"/>
      <c r="IA39" s="484"/>
      <c r="IB39" s="484"/>
      <c r="IC39" s="484"/>
      <c r="ID39" s="484"/>
      <c r="IE39" s="484"/>
      <c r="IF39" s="484"/>
      <c r="IG39" s="484"/>
      <c r="IH39" s="484"/>
      <c r="II39" s="484"/>
      <c r="IJ39" s="484"/>
      <c r="IK39" s="484"/>
      <c r="IL39" s="484"/>
      <c r="IM39" s="484"/>
      <c r="IN39" s="484"/>
      <c r="IO39" s="484"/>
      <c r="IP39" s="484"/>
      <c r="IQ39" s="484"/>
      <c r="IR39" s="484"/>
      <c r="IS39" s="484"/>
      <c r="IT39" s="484"/>
      <c r="IU39" s="484"/>
      <c r="IV39" s="484"/>
    </row>
    <row r="40" spans="1:256" s="412" customFormat="1" x14ac:dyDescent="0.2">
      <c r="A40" s="405"/>
      <c r="B40" s="405" t="s">
        <v>76</v>
      </c>
      <c r="C40" s="407">
        <v>1.1080239999999999</v>
      </c>
      <c r="D40" s="407">
        <v>1.1080239999999999</v>
      </c>
      <c r="E40" s="407">
        <v>1.1080239999999999</v>
      </c>
      <c r="F40" s="407">
        <v>1.1080239999999999</v>
      </c>
      <c r="G40" s="407">
        <v>1.1080239999999999</v>
      </c>
      <c r="H40" s="407">
        <v>1.1080239999999999</v>
      </c>
      <c r="I40" s="407">
        <v>1.1080239999999999</v>
      </c>
      <c r="J40" s="407">
        <v>1.1080239999999999</v>
      </c>
      <c r="K40" s="407">
        <v>1.1080239999999999</v>
      </c>
      <c r="L40" s="407">
        <v>1.1080239999999999</v>
      </c>
      <c r="M40" s="407">
        <v>1.1080239999999999</v>
      </c>
      <c r="N40" s="407">
        <v>1.1080239999999999</v>
      </c>
      <c r="O40" s="407">
        <v>1.1080239999999999</v>
      </c>
      <c r="P40" s="407">
        <v>1.1080239999999999</v>
      </c>
      <c r="Q40" s="407">
        <v>1.1080239999999999</v>
      </c>
      <c r="R40" s="408"/>
      <c r="S40" s="409"/>
      <c r="T40" s="410"/>
      <c r="U40" s="410"/>
      <c r="V40" s="411"/>
      <c r="W40" s="411"/>
      <c r="X40" s="411"/>
      <c r="Y40" s="411"/>
      <c r="Z40" s="411"/>
      <c r="AA40" s="411"/>
      <c r="AB40" s="411"/>
      <c r="AC40" s="411"/>
      <c r="AD40" s="411"/>
      <c r="AE40" s="411"/>
      <c r="AF40" s="411"/>
      <c r="AG40" s="411"/>
      <c r="AH40" s="411"/>
      <c r="AI40" s="411"/>
      <c r="AJ40" s="411"/>
      <c r="AK40" s="411"/>
      <c r="AL40" s="411"/>
      <c r="AM40" s="411"/>
      <c r="AN40" s="411"/>
      <c r="AO40" s="411"/>
      <c r="AP40" s="411"/>
      <c r="AQ40" s="411"/>
      <c r="AR40" s="411"/>
      <c r="AS40" s="411"/>
      <c r="AT40" s="411"/>
      <c r="AU40" s="411"/>
      <c r="AV40" s="411"/>
      <c r="AW40" s="411"/>
      <c r="AX40" s="411"/>
      <c r="AY40" s="411"/>
      <c r="AZ40" s="411"/>
      <c r="BA40" s="411"/>
      <c r="BB40" s="411"/>
      <c r="BC40" s="411"/>
      <c r="BD40" s="411"/>
      <c r="BE40" s="411"/>
      <c r="BF40" s="411"/>
      <c r="BG40" s="411"/>
      <c r="BH40" s="411"/>
      <c r="BI40" s="411"/>
      <c r="BJ40" s="411"/>
      <c r="BK40" s="411"/>
      <c r="BL40" s="411"/>
      <c r="BM40" s="411"/>
      <c r="BN40" s="411"/>
      <c r="BO40" s="411"/>
      <c r="BP40" s="411"/>
      <c r="BQ40" s="411"/>
      <c r="BR40" s="411"/>
      <c r="BS40" s="411"/>
      <c r="BT40" s="411"/>
      <c r="BU40" s="411"/>
      <c r="BV40" s="411"/>
      <c r="BW40" s="411"/>
      <c r="BX40" s="411"/>
      <c r="BY40" s="411"/>
      <c r="BZ40" s="411"/>
      <c r="CA40" s="411"/>
      <c r="CB40" s="411"/>
      <c r="CC40" s="411"/>
      <c r="CD40" s="411"/>
      <c r="CE40" s="411"/>
      <c r="CF40" s="411"/>
      <c r="CG40" s="411"/>
      <c r="CH40" s="411"/>
      <c r="CI40" s="411"/>
      <c r="CJ40" s="411"/>
      <c r="CK40" s="411"/>
      <c r="CL40" s="411"/>
      <c r="CM40" s="411"/>
      <c r="CN40" s="411"/>
      <c r="CO40" s="411"/>
      <c r="CP40" s="411"/>
      <c r="CQ40" s="411"/>
      <c r="CR40" s="411"/>
      <c r="CS40" s="411"/>
      <c r="CT40" s="411"/>
      <c r="CU40" s="411"/>
      <c r="CV40" s="411"/>
      <c r="CW40" s="411"/>
      <c r="CX40" s="411"/>
      <c r="CY40" s="411"/>
      <c r="CZ40" s="411"/>
      <c r="DA40" s="411"/>
      <c r="DB40" s="411"/>
      <c r="DC40" s="411"/>
      <c r="DD40" s="411"/>
      <c r="DE40" s="411"/>
      <c r="DF40" s="411"/>
      <c r="DG40" s="411"/>
      <c r="DH40" s="411"/>
      <c r="DI40" s="411"/>
      <c r="DJ40" s="411"/>
      <c r="DK40" s="411"/>
      <c r="DL40" s="411"/>
      <c r="DM40" s="411"/>
      <c r="DN40" s="411"/>
      <c r="DO40" s="411"/>
      <c r="DP40" s="411"/>
      <c r="DQ40" s="411"/>
      <c r="DR40" s="411"/>
      <c r="DS40" s="411"/>
      <c r="DT40" s="411"/>
      <c r="DU40" s="411"/>
      <c r="DV40" s="411"/>
      <c r="DW40" s="411"/>
      <c r="DX40" s="411"/>
      <c r="DY40" s="411"/>
      <c r="DZ40" s="411"/>
      <c r="EA40" s="411"/>
      <c r="EB40" s="411"/>
      <c r="EC40" s="411"/>
      <c r="ED40" s="411"/>
      <c r="EE40" s="411"/>
      <c r="EF40" s="411"/>
      <c r="EG40" s="411"/>
      <c r="EH40" s="411"/>
      <c r="EI40" s="411"/>
      <c r="EJ40" s="411"/>
      <c r="EK40" s="411"/>
      <c r="EL40" s="411"/>
      <c r="EM40" s="411"/>
      <c r="EN40" s="411"/>
      <c r="EO40" s="411"/>
      <c r="EP40" s="411"/>
      <c r="EQ40" s="411"/>
      <c r="ER40" s="411"/>
      <c r="ES40" s="411"/>
      <c r="ET40" s="411"/>
      <c r="EU40" s="411"/>
      <c r="EV40" s="411"/>
      <c r="EW40" s="411"/>
      <c r="EX40" s="411"/>
      <c r="EY40" s="411"/>
      <c r="EZ40" s="411"/>
      <c r="FA40" s="411"/>
      <c r="FB40" s="411"/>
      <c r="FC40" s="411"/>
      <c r="FD40" s="411"/>
      <c r="FE40" s="411"/>
      <c r="FF40" s="411"/>
      <c r="FG40" s="411"/>
      <c r="FH40" s="411"/>
      <c r="FI40" s="411"/>
      <c r="FJ40" s="411"/>
      <c r="FK40" s="411"/>
      <c r="FL40" s="411"/>
      <c r="FM40" s="411"/>
      <c r="FN40" s="411"/>
      <c r="FO40" s="411"/>
      <c r="FP40" s="411"/>
      <c r="FQ40" s="411"/>
      <c r="FR40" s="411"/>
      <c r="FS40" s="411"/>
      <c r="FT40" s="411"/>
      <c r="FU40" s="411"/>
      <c r="FV40" s="411"/>
      <c r="FW40" s="411"/>
      <c r="FX40" s="411"/>
      <c r="FY40" s="411"/>
      <c r="FZ40" s="411"/>
      <c r="GA40" s="411"/>
      <c r="GB40" s="411"/>
      <c r="GC40" s="411"/>
      <c r="GD40" s="411"/>
      <c r="GE40" s="411"/>
      <c r="GF40" s="411"/>
      <c r="GG40" s="411"/>
      <c r="GH40" s="411"/>
      <c r="GI40" s="411"/>
      <c r="GJ40" s="411"/>
      <c r="GK40" s="411"/>
      <c r="GL40" s="411"/>
      <c r="GM40" s="411"/>
      <c r="GN40" s="411"/>
      <c r="GO40" s="411"/>
      <c r="GP40" s="411"/>
      <c r="GQ40" s="411"/>
      <c r="GR40" s="411"/>
      <c r="GS40" s="411"/>
      <c r="GT40" s="411"/>
      <c r="GU40" s="411"/>
      <c r="GV40" s="411"/>
      <c r="GW40" s="411"/>
      <c r="GX40" s="411"/>
      <c r="GY40" s="411"/>
      <c r="GZ40" s="411"/>
      <c r="HA40" s="411"/>
      <c r="HB40" s="411"/>
      <c r="HC40" s="411"/>
      <c r="HD40" s="411"/>
      <c r="HE40" s="411"/>
      <c r="HF40" s="411"/>
      <c r="HG40" s="411"/>
      <c r="HH40" s="411"/>
      <c r="HI40" s="411"/>
      <c r="HJ40" s="411"/>
      <c r="HK40" s="411"/>
      <c r="HL40" s="411"/>
      <c r="HM40" s="411"/>
      <c r="HN40" s="411"/>
      <c r="HO40" s="411"/>
      <c r="HP40" s="411"/>
      <c r="HQ40" s="411"/>
      <c r="HR40" s="411"/>
      <c r="HS40" s="411"/>
      <c r="HT40" s="411"/>
      <c r="HU40" s="411"/>
      <c r="HV40" s="411"/>
      <c r="HW40" s="411"/>
      <c r="HX40" s="411"/>
      <c r="HY40" s="411"/>
      <c r="HZ40" s="411"/>
      <c r="IA40" s="411"/>
      <c r="IB40" s="411"/>
      <c r="IC40" s="411"/>
      <c r="ID40" s="411"/>
      <c r="IE40" s="411"/>
      <c r="IF40" s="411"/>
      <c r="IG40" s="411"/>
      <c r="IH40" s="411"/>
      <c r="II40" s="411"/>
    </row>
    <row r="41" spans="1:256" s="480" customFormat="1" x14ac:dyDescent="0.2">
      <c r="A41" s="475"/>
      <c r="B41" s="475" t="s">
        <v>60</v>
      </c>
      <c r="C41" s="475">
        <f>ROUND(C40*C39*C38,2)</f>
        <v>0</v>
      </c>
      <c r="D41" s="475">
        <f t="shared" ref="D41:Q41" si="9">ROUND(D40*D39*D38,2)</f>
        <v>0</v>
      </c>
      <c r="E41" s="475">
        <f t="shared" si="9"/>
        <v>0</v>
      </c>
      <c r="F41" s="475">
        <f t="shared" si="9"/>
        <v>0</v>
      </c>
      <c r="G41" s="475">
        <f t="shared" si="9"/>
        <v>0</v>
      </c>
      <c r="H41" s="475">
        <f t="shared" si="9"/>
        <v>0</v>
      </c>
      <c r="I41" s="475">
        <f t="shared" si="9"/>
        <v>0</v>
      </c>
      <c r="J41" s="475">
        <f t="shared" si="9"/>
        <v>0</v>
      </c>
      <c r="K41" s="475">
        <f t="shared" si="9"/>
        <v>0</v>
      </c>
      <c r="L41" s="475">
        <f t="shared" si="9"/>
        <v>0</v>
      </c>
      <c r="M41" s="475">
        <f t="shared" si="9"/>
        <v>0</v>
      </c>
      <c r="N41" s="475">
        <f t="shared" si="9"/>
        <v>0</v>
      </c>
      <c r="O41" s="475">
        <f t="shared" si="9"/>
        <v>0</v>
      </c>
      <c r="P41" s="475">
        <f t="shared" si="9"/>
        <v>0</v>
      </c>
      <c r="Q41" s="475">
        <f t="shared" si="9"/>
        <v>0</v>
      </c>
      <c r="R41" s="475">
        <f>SUM(C41:Q41)</f>
        <v>0</v>
      </c>
      <c r="S41" s="477"/>
      <c r="T41" s="478"/>
      <c r="U41" s="478"/>
      <c r="V41" s="479"/>
      <c r="W41" s="479"/>
      <c r="X41" s="479"/>
      <c r="Y41" s="479"/>
      <c r="Z41" s="479"/>
      <c r="AA41" s="479"/>
      <c r="AB41" s="479"/>
      <c r="AC41" s="479"/>
      <c r="AD41" s="479"/>
      <c r="AE41" s="479"/>
      <c r="AF41" s="479"/>
      <c r="AG41" s="479"/>
      <c r="AH41" s="479"/>
      <c r="AI41" s="479"/>
      <c r="AJ41" s="479"/>
      <c r="AK41" s="479"/>
      <c r="AL41" s="479"/>
      <c r="AM41" s="479"/>
      <c r="AN41" s="479"/>
      <c r="AO41" s="479"/>
      <c r="AP41" s="479"/>
      <c r="AQ41" s="479"/>
      <c r="AR41" s="479"/>
      <c r="AS41" s="479"/>
      <c r="AT41" s="479"/>
      <c r="AU41" s="479"/>
      <c r="AV41" s="479"/>
      <c r="AW41" s="479"/>
      <c r="AX41" s="479"/>
      <c r="AY41" s="479"/>
      <c r="AZ41" s="479"/>
      <c r="BA41" s="479"/>
      <c r="BB41" s="479"/>
      <c r="BC41" s="479"/>
      <c r="BD41" s="479"/>
      <c r="BE41" s="479"/>
      <c r="BF41" s="479"/>
      <c r="BG41" s="479"/>
      <c r="BH41" s="479"/>
      <c r="BI41" s="479"/>
      <c r="BJ41" s="479"/>
      <c r="BK41" s="479"/>
      <c r="BL41" s="479"/>
      <c r="BM41" s="479"/>
      <c r="BN41" s="479"/>
      <c r="BO41" s="479"/>
      <c r="BP41" s="479"/>
      <c r="BQ41" s="479"/>
      <c r="BR41" s="479"/>
      <c r="BS41" s="479"/>
      <c r="BT41" s="479"/>
      <c r="BU41" s="479"/>
      <c r="BV41" s="479"/>
      <c r="BW41" s="479"/>
      <c r="BX41" s="479"/>
      <c r="BY41" s="479"/>
      <c r="BZ41" s="479"/>
      <c r="CA41" s="479"/>
      <c r="CB41" s="479"/>
      <c r="CC41" s="479"/>
      <c r="CD41" s="479"/>
      <c r="CE41" s="479"/>
      <c r="CF41" s="479"/>
      <c r="CG41" s="479"/>
      <c r="CH41" s="479"/>
      <c r="CI41" s="479"/>
      <c r="CJ41" s="479"/>
      <c r="CK41" s="479"/>
      <c r="CL41" s="479"/>
      <c r="CM41" s="479"/>
      <c r="CN41" s="479"/>
      <c r="CO41" s="479"/>
      <c r="CP41" s="479"/>
      <c r="CQ41" s="479"/>
      <c r="CR41" s="479"/>
      <c r="CS41" s="479"/>
      <c r="CT41" s="479"/>
      <c r="CU41" s="479"/>
      <c r="CV41" s="479"/>
      <c r="CW41" s="479"/>
      <c r="CX41" s="479"/>
      <c r="CY41" s="479"/>
      <c r="CZ41" s="479"/>
      <c r="DA41" s="479"/>
      <c r="DB41" s="479"/>
      <c r="DC41" s="479"/>
      <c r="DD41" s="479"/>
      <c r="DE41" s="479"/>
      <c r="DF41" s="479"/>
      <c r="DG41" s="479"/>
      <c r="DH41" s="479"/>
      <c r="DI41" s="479"/>
      <c r="DJ41" s="479"/>
      <c r="DK41" s="479"/>
      <c r="DL41" s="479"/>
      <c r="DM41" s="479"/>
      <c r="DN41" s="479"/>
      <c r="DO41" s="479"/>
      <c r="DP41" s="479"/>
      <c r="DQ41" s="479"/>
      <c r="DR41" s="479"/>
      <c r="DS41" s="479"/>
      <c r="DT41" s="479"/>
      <c r="DU41" s="479"/>
      <c r="DV41" s="479"/>
      <c r="DW41" s="479"/>
      <c r="DX41" s="479"/>
      <c r="DY41" s="479"/>
      <c r="DZ41" s="479"/>
      <c r="EA41" s="479"/>
      <c r="EB41" s="479"/>
      <c r="EC41" s="479"/>
      <c r="ED41" s="479"/>
      <c r="EE41" s="479"/>
      <c r="EF41" s="479"/>
      <c r="EG41" s="479"/>
      <c r="EH41" s="479"/>
      <c r="EI41" s="479"/>
      <c r="EJ41" s="479"/>
      <c r="EK41" s="479"/>
      <c r="EL41" s="479"/>
      <c r="EM41" s="479"/>
      <c r="EN41" s="479"/>
      <c r="EO41" s="479"/>
      <c r="EP41" s="479"/>
      <c r="EQ41" s="479"/>
      <c r="ER41" s="479"/>
      <c r="ES41" s="479"/>
      <c r="ET41" s="479"/>
      <c r="EU41" s="479"/>
      <c r="EV41" s="479"/>
      <c r="EW41" s="479"/>
      <c r="EX41" s="479"/>
      <c r="EY41" s="479"/>
      <c r="EZ41" s="479"/>
      <c r="FA41" s="479"/>
      <c r="FB41" s="479"/>
      <c r="FC41" s="479"/>
      <c r="FD41" s="479"/>
      <c r="FE41" s="479"/>
      <c r="FF41" s="479"/>
      <c r="FG41" s="479"/>
      <c r="FH41" s="479"/>
      <c r="FI41" s="479"/>
      <c r="FJ41" s="479"/>
      <c r="FK41" s="479"/>
      <c r="FL41" s="479"/>
      <c r="FM41" s="479"/>
      <c r="FN41" s="479"/>
      <c r="FO41" s="479"/>
      <c r="FP41" s="479"/>
      <c r="FQ41" s="479"/>
      <c r="FR41" s="479"/>
      <c r="FS41" s="479"/>
      <c r="FT41" s="479"/>
      <c r="FU41" s="479"/>
      <c r="FV41" s="479"/>
      <c r="FW41" s="479"/>
      <c r="FX41" s="479"/>
      <c r="FY41" s="479"/>
      <c r="FZ41" s="479"/>
      <c r="GA41" s="479"/>
      <c r="GB41" s="479"/>
      <c r="GC41" s="479"/>
      <c r="GD41" s="479"/>
      <c r="GE41" s="479"/>
      <c r="GF41" s="479"/>
      <c r="GG41" s="479"/>
      <c r="GH41" s="479"/>
      <c r="GI41" s="479"/>
      <c r="GJ41" s="479"/>
      <c r="GK41" s="479"/>
      <c r="GL41" s="479"/>
      <c r="GM41" s="479"/>
      <c r="GN41" s="479"/>
      <c r="GO41" s="479"/>
      <c r="GP41" s="479"/>
      <c r="GQ41" s="479"/>
      <c r="GR41" s="479"/>
      <c r="GS41" s="479"/>
      <c r="GT41" s="479"/>
      <c r="GU41" s="479"/>
      <c r="GV41" s="479"/>
      <c r="GW41" s="479"/>
      <c r="GX41" s="479"/>
      <c r="GY41" s="479"/>
      <c r="GZ41" s="479"/>
      <c r="HA41" s="479"/>
      <c r="HB41" s="479"/>
      <c r="HC41" s="479"/>
      <c r="HD41" s="479"/>
      <c r="HE41" s="479"/>
      <c r="HF41" s="479"/>
      <c r="HG41" s="479"/>
      <c r="HH41" s="479"/>
      <c r="HI41" s="479"/>
      <c r="HJ41" s="479"/>
      <c r="HK41" s="479"/>
      <c r="HL41" s="479"/>
      <c r="HM41" s="479"/>
      <c r="HN41" s="479"/>
      <c r="HO41" s="479"/>
      <c r="HP41" s="479"/>
      <c r="HQ41" s="479"/>
      <c r="HR41" s="479"/>
      <c r="HS41" s="479"/>
      <c r="HT41" s="479"/>
      <c r="HU41" s="479"/>
      <c r="HV41" s="479"/>
      <c r="HW41" s="479"/>
      <c r="HX41" s="479"/>
      <c r="HY41" s="479"/>
      <c r="HZ41" s="479"/>
      <c r="IA41" s="479"/>
      <c r="IB41" s="479"/>
      <c r="IC41" s="479"/>
      <c r="ID41" s="479"/>
      <c r="IE41" s="479"/>
      <c r="IF41" s="479"/>
      <c r="IG41" s="479"/>
      <c r="IH41" s="479"/>
      <c r="II41" s="479"/>
    </row>
    <row r="42" spans="1:256" x14ac:dyDescent="0.2">
      <c r="A42" s="385" t="s">
        <v>66</v>
      </c>
      <c r="B42" s="386" t="s">
        <v>59</v>
      </c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391">
        <v>-2888</v>
      </c>
      <c r="O42" s="391">
        <v>193630</v>
      </c>
      <c r="P42" s="391">
        <v>17642</v>
      </c>
      <c r="Q42" s="391">
        <v>0</v>
      </c>
      <c r="R42" s="391">
        <f>N42+O42+P42+Q42</f>
        <v>208384</v>
      </c>
      <c r="S42" s="400"/>
      <c r="T42" s="401"/>
      <c r="U42" s="401"/>
      <c r="V42" s="400"/>
      <c r="W42" s="400"/>
      <c r="X42" s="400"/>
      <c r="Y42" s="400"/>
      <c r="Z42" s="400"/>
      <c r="AA42" s="400"/>
      <c r="AB42" s="400"/>
      <c r="AC42" s="400"/>
      <c r="AD42" s="400"/>
      <c r="AE42" s="400"/>
      <c r="AF42" s="400"/>
      <c r="AG42" s="400"/>
      <c r="AH42" s="400"/>
      <c r="AI42" s="400"/>
      <c r="AJ42" s="400"/>
      <c r="AK42" s="400"/>
      <c r="AL42" s="400"/>
      <c r="AM42" s="400"/>
      <c r="AN42" s="400"/>
      <c r="AO42" s="400"/>
      <c r="AP42" s="400"/>
      <c r="AQ42" s="400"/>
      <c r="AR42" s="400"/>
      <c r="AS42" s="400"/>
      <c r="AT42" s="400"/>
      <c r="AU42" s="400"/>
      <c r="AV42" s="400"/>
      <c r="AW42" s="400"/>
      <c r="AX42" s="400"/>
      <c r="AY42" s="400"/>
      <c r="AZ42" s="400"/>
      <c r="BA42" s="400"/>
      <c r="BB42" s="400"/>
      <c r="BC42" s="400"/>
      <c r="BD42" s="400"/>
      <c r="BE42" s="400"/>
      <c r="BF42" s="400"/>
      <c r="BG42" s="400"/>
      <c r="BH42" s="400"/>
      <c r="BI42" s="400"/>
      <c r="BJ42" s="400"/>
      <c r="BK42" s="400"/>
      <c r="BL42" s="400"/>
      <c r="BM42" s="400"/>
      <c r="BN42" s="400"/>
      <c r="BO42" s="400"/>
      <c r="BP42" s="400"/>
      <c r="BQ42" s="400"/>
      <c r="BR42" s="400"/>
      <c r="BS42" s="400"/>
      <c r="BT42" s="400"/>
      <c r="BU42" s="400"/>
      <c r="BV42" s="400"/>
      <c r="BW42" s="400"/>
      <c r="BX42" s="400"/>
      <c r="BY42" s="400"/>
      <c r="BZ42" s="400"/>
      <c r="CA42" s="400"/>
      <c r="CB42" s="400"/>
      <c r="CC42" s="400"/>
      <c r="CD42" s="400"/>
      <c r="CE42" s="400"/>
      <c r="CF42" s="400"/>
      <c r="CG42" s="400"/>
      <c r="CH42" s="400"/>
      <c r="CI42" s="400"/>
      <c r="CJ42" s="400"/>
      <c r="CK42" s="400"/>
      <c r="CL42" s="400"/>
      <c r="CM42" s="400"/>
      <c r="CN42" s="400"/>
      <c r="CO42" s="400"/>
      <c r="CP42" s="400"/>
      <c r="CQ42" s="400"/>
      <c r="CR42" s="400"/>
      <c r="CS42" s="400"/>
      <c r="CT42" s="400"/>
      <c r="CU42" s="400"/>
      <c r="CV42" s="400"/>
      <c r="CW42" s="400"/>
      <c r="CX42" s="400"/>
      <c r="CY42" s="400"/>
      <c r="CZ42" s="400"/>
      <c r="DA42" s="400"/>
      <c r="DB42" s="400"/>
      <c r="DC42" s="400"/>
      <c r="DD42" s="400"/>
      <c r="DE42" s="400"/>
      <c r="DF42" s="400"/>
      <c r="DG42" s="400"/>
      <c r="DH42" s="400"/>
      <c r="DI42" s="400"/>
      <c r="DJ42" s="400"/>
      <c r="DK42" s="400"/>
      <c r="DL42" s="400"/>
      <c r="DM42" s="400"/>
      <c r="DN42" s="400"/>
      <c r="DO42" s="400"/>
      <c r="DP42" s="400"/>
      <c r="DQ42" s="400"/>
      <c r="DR42" s="400"/>
      <c r="DS42" s="400"/>
      <c r="DT42" s="400"/>
      <c r="DU42" s="400"/>
      <c r="DV42" s="400"/>
      <c r="DW42" s="400"/>
      <c r="DX42" s="400"/>
      <c r="DY42" s="400"/>
      <c r="DZ42" s="400"/>
      <c r="EA42" s="400"/>
      <c r="EB42" s="400"/>
      <c r="EC42" s="400"/>
      <c r="ED42" s="400"/>
      <c r="EE42" s="400"/>
      <c r="EF42" s="400"/>
      <c r="EG42" s="400"/>
      <c r="EH42" s="400"/>
      <c r="EI42" s="400"/>
      <c r="EJ42" s="400"/>
      <c r="EK42" s="400"/>
      <c r="EL42" s="400"/>
      <c r="EM42" s="400"/>
      <c r="EN42" s="400"/>
      <c r="EO42" s="400"/>
      <c r="EP42" s="400"/>
      <c r="EQ42" s="400"/>
      <c r="ER42" s="400"/>
      <c r="ES42" s="400"/>
      <c r="ET42" s="400"/>
      <c r="EU42" s="400"/>
      <c r="EV42" s="400"/>
      <c r="EW42" s="400"/>
      <c r="EX42" s="400"/>
      <c r="EY42" s="400"/>
      <c r="EZ42" s="400"/>
      <c r="FA42" s="400"/>
      <c r="FB42" s="400"/>
      <c r="FC42" s="400"/>
      <c r="FD42" s="400"/>
      <c r="FE42" s="400"/>
      <c r="FF42" s="400"/>
      <c r="FG42" s="400"/>
      <c r="FH42" s="400"/>
      <c r="FI42" s="400"/>
      <c r="FJ42" s="400"/>
      <c r="FK42" s="400"/>
      <c r="FL42" s="400"/>
      <c r="FM42" s="400"/>
      <c r="FN42" s="400"/>
      <c r="FO42" s="400"/>
      <c r="FP42" s="400"/>
      <c r="FQ42" s="400"/>
      <c r="FR42" s="400"/>
      <c r="FS42" s="400"/>
      <c r="FT42" s="400"/>
      <c r="FU42" s="400"/>
      <c r="FV42" s="400"/>
      <c r="FW42" s="400"/>
      <c r="FX42" s="400"/>
      <c r="FY42" s="400"/>
      <c r="FZ42" s="400"/>
      <c r="GA42" s="400"/>
      <c r="GB42" s="400"/>
      <c r="GC42" s="400"/>
      <c r="GD42" s="400"/>
      <c r="GE42" s="400"/>
      <c r="GF42" s="400"/>
      <c r="GG42" s="400"/>
      <c r="GH42" s="400"/>
      <c r="GI42" s="400"/>
      <c r="GJ42" s="400"/>
      <c r="GK42" s="400"/>
      <c r="GL42" s="400"/>
      <c r="GM42" s="400"/>
      <c r="GN42" s="400"/>
      <c r="GO42" s="400"/>
      <c r="GP42" s="400"/>
      <c r="GQ42" s="400"/>
      <c r="GR42" s="400"/>
      <c r="GS42" s="400"/>
      <c r="GT42" s="400"/>
      <c r="GU42" s="400"/>
      <c r="GV42" s="400"/>
      <c r="GW42" s="400"/>
      <c r="GX42" s="400"/>
      <c r="GY42" s="400"/>
      <c r="GZ42" s="400"/>
      <c r="HA42" s="400"/>
      <c r="HB42" s="400"/>
      <c r="HC42" s="400"/>
      <c r="HD42" s="400"/>
      <c r="HE42" s="400"/>
      <c r="HF42" s="400"/>
      <c r="HG42" s="400"/>
      <c r="HH42" s="400"/>
      <c r="HI42" s="400"/>
      <c r="HJ42" s="400"/>
      <c r="HK42" s="400"/>
      <c r="HL42" s="400"/>
      <c r="HM42" s="400"/>
      <c r="HN42" s="400"/>
      <c r="HO42" s="400"/>
      <c r="HP42" s="400"/>
      <c r="HQ42" s="400"/>
      <c r="HR42" s="400"/>
      <c r="HS42" s="400"/>
      <c r="HT42" s="400"/>
      <c r="HU42" s="400"/>
      <c r="HV42" s="400"/>
      <c r="HW42" s="400"/>
      <c r="HX42" s="400"/>
      <c r="HY42" s="400"/>
      <c r="HZ42" s="400"/>
      <c r="IA42" s="400"/>
      <c r="IB42" s="400"/>
      <c r="IC42" s="400"/>
      <c r="ID42" s="400"/>
      <c r="IE42" s="400"/>
      <c r="IF42" s="400"/>
      <c r="IG42" s="400"/>
      <c r="IH42" s="400"/>
      <c r="II42" s="400"/>
    </row>
    <row r="43" spans="1:256" x14ac:dyDescent="0.2">
      <c r="A43" s="387">
        <v>20.399999999999999</v>
      </c>
      <c r="B43" s="383"/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481">
        <v>0.24295</v>
      </c>
      <c r="O43" s="481">
        <v>0.24295</v>
      </c>
      <c r="P43" s="481">
        <v>0.24295</v>
      </c>
      <c r="Q43" s="481">
        <v>0.24295</v>
      </c>
      <c r="R43" s="399"/>
      <c r="S43" s="400"/>
      <c r="T43" s="401"/>
      <c r="U43" s="401"/>
      <c r="V43" s="400"/>
      <c r="W43" s="400"/>
      <c r="X43" s="400"/>
      <c r="Y43" s="400"/>
      <c r="Z43" s="400"/>
      <c r="AA43" s="400"/>
      <c r="AB43" s="400"/>
      <c r="AC43" s="400"/>
      <c r="AD43" s="400"/>
      <c r="AE43" s="400"/>
      <c r="AF43" s="400"/>
      <c r="AG43" s="400"/>
      <c r="AH43" s="400"/>
      <c r="AI43" s="400"/>
      <c r="AJ43" s="400"/>
      <c r="AK43" s="400"/>
      <c r="AL43" s="400"/>
      <c r="AM43" s="400"/>
      <c r="AN43" s="400"/>
      <c r="AO43" s="400"/>
      <c r="AP43" s="400"/>
      <c r="AQ43" s="400"/>
      <c r="AR43" s="400"/>
      <c r="AS43" s="400"/>
      <c r="AT43" s="400"/>
      <c r="AU43" s="400"/>
      <c r="AV43" s="400"/>
      <c r="AW43" s="400"/>
      <c r="AX43" s="400"/>
      <c r="AY43" s="400"/>
      <c r="AZ43" s="400"/>
      <c r="BA43" s="400"/>
      <c r="BB43" s="400"/>
      <c r="BC43" s="400"/>
      <c r="BD43" s="400"/>
      <c r="BE43" s="400"/>
      <c r="BF43" s="400"/>
      <c r="BG43" s="400"/>
      <c r="BH43" s="400"/>
      <c r="BI43" s="400"/>
      <c r="BJ43" s="400"/>
      <c r="BK43" s="400"/>
      <c r="BL43" s="400"/>
      <c r="BM43" s="400"/>
      <c r="BN43" s="400"/>
      <c r="BO43" s="400"/>
      <c r="BP43" s="400"/>
      <c r="BQ43" s="400"/>
      <c r="BR43" s="400"/>
      <c r="BS43" s="400"/>
      <c r="BT43" s="400"/>
      <c r="BU43" s="400"/>
      <c r="BV43" s="400"/>
      <c r="BW43" s="400"/>
      <c r="BX43" s="400"/>
      <c r="BY43" s="400"/>
      <c r="BZ43" s="400"/>
      <c r="CA43" s="400"/>
      <c r="CB43" s="400"/>
      <c r="CC43" s="400"/>
      <c r="CD43" s="400"/>
      <c r="CE43" s="400"/>
      <c r="CF43" s="400"/>
      <c r="CG43" s="400"/>
      <c r="CH43" s="400"/>
      <c r="CI43" s="400"/>
      <c r="CJ43" s="400"/>
      <c r="CK43" s="400"/>
      <c r="CL43" s="400"/>
      <c r="CM43" s="400"/>
      <c r="CN43" s="400"/>
      <c r="CO43" s="400"/>
      <c r="CP43" s="400"/>
      <c r="CQ43" s="400"/>
      <c r="CR43" s="400"/>
      <c r="CS43" s="400"/>
      <c r="CT43" s="400"/>
      <c r="CU43" s="400"/>
      <c r="CV43" s="400"/>
      <c r="CW43" s="400"/>
      <c r="CX43" s="400"/>
      <c r="CY43" s="400"/>
      <c r="CZ43" s="400"/>
      <c r="DA43" s="400"/>
      <c r="DB43" s="400"/>
      <c r="DC43" s="400"/>
      <c r="DD43" s="400"/>
      <c r="DE43" s="400"/>
      <c r="DF43" s="400"/>
      <c r="DG43" s="400"/>
      <c r="DH43" s="400"/>
      <c r="DI43" s="400"/>
      <c r="DJ43" s="400"/>
      <c r="DK43" s="400"/>
      <c r="DL43" s="400"/>
      <c r="DM43" s="400"/>
      <c r="DN43" s="400"/>
      <c r="DO43" s="400"/>
      <c r="DP43" s="400"/>
      <c r="DQ43" s="400"/>
      <c r="DR43" s="400"/>
      <c r="DS43" s="400"/>
      <c r="DT43" s="400"/>
      <c r="DU43" s="400"/>
      <c r="DV43" s="400"/>
      <c r="DW43" s="400"/>
      <c r="DX43" s="400"/>
      <c r="DY43" s="400"/>
      <c r="DZ43" s="400"/>
      <c r="EA43" s="400"/>
      <c r="EB43" s="400"/>
      <c r="EC43" s="400"/>
      <c r="ED43" s="400"/>
      <c r="EE43" s="400"/>
      <c r="EF43" s="400"/>
      <c r="EG43" s="400"/>
      <c r="EH43" s="400"/>
      <c r="EI43" s="400"/>
      <c r="EJ43" s="400"/>
      <c r="EK43" s="400"/>
      <c r="EL43" s="400"/>
      <c r="EM43" s="400"/>
      <c r="EN43" s="400"/>
      <c r="EO43" s="400"/>
      <c r="EP43" s="400"/>
      <c r="EQ43" s="400"/>
      <c r="ER43" s="400"/>
      <c r="ES43" s="400"/>
      <c r="ET43" s="400"/>
      <c r="EU43" s="400"/>
      <c r="EV43" s="400"/>
      <c r="EW43" s="400"/>
      <c r="EX43" s="400"/>
      <c r="EY43" s="400"/>
      <c r="EZ43" s="400"/>
      <c r="FA43" s="400"/>
      <c r="FB43" s="400"/>
      <c r="FC43" s="400"/>
      <c r="FD43" s="400"/>
      <c r="FE43" s="400"/>
      <c r="FF43" s="400"/>
      <c r="FG43" s="400"/>
      <c r="FH43" s="400"/>
      <c r="FI43" s="400"/>
      <c r="FJ43" s="400"/>
      <c r="FK43" s="400"/>
      <c r="FL43" s="400"/>
      <c r="FM43" s="400"/>
      <c r="FN43" s="400"/>
      <c r="FO43" s="400"/>
      <c r="FP43" s="400"/>
      <c r="FQ43" s="400"/>
      <c r="FR43" s="400"/>
      <c r="FS43" s="400"/>
      <c r="FT43" s="400"/>
      <c r="FU43" s="400"/>
      <c r="FV43" s="400"/>
      <c r="FW43" s="400"/>
      <c r="FX43" s="400"/>
      <c r="FY43" s="400"/>
      <c r="FZ43" s="400"/>
      <c r="GA43" s="400"/>
      <c r="GB43" s="400"/>
      <c r="GC43" s="400"/>
      <c r="GD43" s="400"/>
      <c r="GE43" s="400"/>
      <c r="GF43" s="400"/>
      <c r="GG43" s="400"/>
      <c r="GH43" s="400"/>
      <c r="GI43" s="400"/>
      <c r="GJ43" s="400"/>
      <c r="GK43" s="400"/>
      <c r="GL43" s="400"/>
      <c r="GM43" s="400"/>
      <c r="GN43" s="400"/>
      <c r="GO43" s="400"/>
      <c r="GP43" s="400"/>
      <c r="GQ43" s="400"/>
      <c r="GR43" s="400"/>
      <c r="GS43" s="400"/>
      <c r="GT43" s="400"/>
      <c r="GU43" s="400"/>
      <c r="GV43" s="400"/>
      <c r="GW43" s="400"/>
      <c r="GX43" s="400"/>
      <c r="GY43" s="400"/>
      <c r="GZ43" s="400"/>
      <c r="HA43" s="400"/>
      <c r="HB43" s="400"/>
      <c r="HC43" s="400"/>
      <c r="HD43" s="400"/>
      <c r="HE43" s="400"/>
      <c r="HF43" s="400"/>
      <c r="HG43" s="400"/>
      <c r="HH43" s="400"/>
      <c r="HI43" s="400"/>
      <c r="HJ43" s="400"/>
      <c r="HK43" s="400"/>
      <c r="HL43" s="400"/>
      <c r="HM43" s="400"/>
      <c r="HN43" s="400"/>
      <c r="HO43" s="400"/>
      <c r="HP43" s="400"/>
      <c r="HQ43" s="400"/>
      <c r="HR43" s="400"/>
      <c r="HS43" s="400"/>
      <c r="HT43" s="400"/>
      <c r="HU43" s="400"/>
      <c r="HV43" s="400"/>
      <c r="HW43" s="400"/>
      <c r="HX43" s="400"/>
      <c r="HY43" s="400"/>
      <c r="HZ43" s="400"/>
      <c r="IA43" s="400"/>
      <c r="IB43" s="400"/>
      <c r="IC43" s="400"/>
      <c r="ID43" s="400"/>
      <c r="IE43" s="400"/>
      <c r="IF43" s="400"/>
      <c r="IG43" s="400"/>
      <c r="IH43" s="400"/>
      <c r="II43" s="400"/>
    </row>
    <row r="44" spans="1:256" s="412" customFormat="1" x14ac:dyDescent="0.2">
      <c r="A44" s="405"/>
      <c r="B44" s="405" t="s">
        <v>76</v>
      </c>
      <c r="C44" s="405"/>
      <c r="D44" s="405"/>
      <c r="E44" s="405"/>
      <c r="F44" s="405"/>
      <c r="G44" s="405"/>
      <c r="H44" s="405"/>
      <c r="I44" s="405"/>
      <c r="J44" s="405"/>
      <c r="K44" s="405"/>
      <c r="L44" s="405"/>
      <c r="M44" s="405"/>
      <c r="N44" s="407">
        <v>1.1080239999999999</v>
      </c>
      <c r="O44" s="407">
        <v>1.1080239999999999</v>
      </c>
      <c r="P44" s="407">
        <v>1.1080239999999999</v>
      </c>
      <c r="Q44" s="407">
        <v>1.1080239999999999</v>
      </c>
      <c r="R44" s="413"/>
      <c r="S44" s="411"/>
      <c r="T44" s="410"/>
      <c r="U44" s="410"/>
      <c r="V44" s="411"/>
      <c r="W44" s="411"/>
      <c r="X44" s="411"/>
      <c r="Y44" s="411"/>
      <c r="Z44" s="411"/>
      <c r="AA44" s="411"/>
      <c r="AB44" s="411"/>
      <c r="AC44" s="411"/>
      <c r="AD44" s="411"/>
      <c r="AE44" s="411"/>
      <c r="AF44" s="411"/>
      <c r="AG44" s="411"/>
      <c r="AH44" s="411"/>
      <c r="AI44" s="411"/>
      <c r="AJ44" s="411"/>
      <c r="AK44" s="411"/>
      <c r="AL44" s="411"/>
      <c r="AM44" s="411"/>
      <c r="AN44" s="411"/>
      <c r="AO44" s="411"/>
      <c r="AP44" s="411"/>
      <c r="AQ44" s="411"/>
      <c r="AR44" s="411"/>
      <c r="AS44" s="411"/>
      <c r="AT44" s="411"/>
      <c r="AU44" s="411"/>
      <c r="AV44" s="411"/>
      <c r="AW44" s="411"/>
      <c r="AX44" s="411"/>
      <c r="AY44" s="411"/>
      <c r="AZ44" s="411"/>
      <c r="BA44" s="411"/>
      <c r="BB44" s="411"/>
      <c r="BC44" s="411"/>
      <c r="BD44" s="411"/>
      <c r="BE44" s="411"/>
      <c r="BF44" s="411"/>
      <c r="BG44" s="411"/>
      <c r="BH44" s="411"/>
      <c r="BI44" s="411"/>
      <c r="BJ44" s="411"/>
      <c r="BK44" s="411"/>
      <c r="BL44" s="411"/>
      <c r="BM44" s="411"/>
      <c r="BN44" s="411"/>
      <c r="BO44" s="411"/>
      <c r="BP44" s="411"/>
      <c r="BQ44" s="411"/>
      <c r="BR44" s="411"/>
      <c r="BS44" s="411"/>
      <c r="BT44" s="411"/>
      <c r="BU44" s="411"/>
      <c r="BV44" s="411"/>
      <c r="BW44" s="411"/>
      <c r="BX44" s="411"/>
      <c r="BY44" s="411"/>
      <c r="BZ44" s="411"/>
      <c r="CA44" s="411"/>
      <c r="CB44" s="411"/>
      <c r="CC44" s="411"/>
      <c r="CD44" s="411"/>
      <c r="CE44" s="411"/>
      <c r="CF44" s="411"/>
      <c r="CG44" s="411"/>
      <c r="CH44" s="411"/>
      <c r="CI44" s="411"/>
      <c r="CJ44" s="411"/>
      <c r="CK44" s="411"/>
      <c r="CL44" s="411"/>
      <c r="CM44" s="411"/>
      <c r="CN44" s="411"/>
      <c r="CO44" s="411"/>
      <c r="CP44" s="411"/>
      <c r="CQ44" s="411"/>
      <c r="CR44" s="411"/>
      <c r="CS44" s="411"/>
      <c r="CT44" s="411"/>
      <c r="CU44" s="411"/>
      <c r="CV44" s="411"/>
      <c r="CW44" s="411"/>
      <c r="CX44" s="411"/>
      <c r="CY44" s="411"/>
      <c r="CZ44" s="411"/>
      <c r="DA44" s="411"/>
      <c r="DB44" s="411"/>
      <c r="DC44" s="411"/>
      <c r="DD44" s="411"/>
      <c r="DE44" s="411"/>
      <c r="DF44" s="411"/>
      <c r="DG44" s="411"/>
      <c r="DH44" s="411"/>
      <c r="DI44" s="411"/>
      <c r="DJ44" s="411"/>
      <c r="DK44" s="411"/>
      <c r="DL44" s="411"/>
      <c r="DM44" s="411"/>
      <c r="DN44" s="411"/>
      <c r="DO44" s="411"/>
      <c r="DP44" s="411"/>
      <c r="DQ44" s="411"/>
      <c r="DR44" s="411"/>
      <c r="DS44" s="411"/>
      <c r="DT44" s="411"/>
      <c r="DU44" s="411"/>
      <c r="DV44" s="411"/>
      <c r="DW44" s="411"/>
      <c r="DX44" s="411"/>
      <c r="DY44" s="411"/>
      <c r="DZ44" s="411"/>
      <c r="EA44" s="411"/>
      <c r="EB44" s="411"/>
      <c r="EC44" s="411"/>
      <c r="ED44" s="411"/>
      <c r="EE44" s="411"/>
      <c r="EF44" s="411"/>
      <c r="EG44" s="411"/>
      <c r="EH44" s="411"/>
      <c r="EI44" s="411"/>
      <c r="EJ44" s="411"/>
      <c r="EK44" s="411"/>
      <c r="EL44" s="411"/>
      <c r="EM44" s="411"/>
      <c r="EN44" s="411"/>
      <c r="EO44" s="411"/>
      <c r="EP44" s="411"/>
      <c r="EQ44" s="411"/>
      <c r="ER44" s="411"/>
      <c r="ES44" s="411"/>
      <c r="ET44" s="411"/>
      <c r="EU44" s="411"/>
      <c r="EV44" s="411"/>
      <c r="EW44" s="411"/>
      <c r="EX44" s="411"/>
      <c r="EY44" s="411"/>
      <c r="EZ44" s="411"/>
      <c r="FA44" s="411"/>
      <c r="FB44" s="411"/>
      <c r="FC44" s="411"/>
      <c r="FD44" s="411"/>
      <c r="FE44" s="411"/>
      <c r="FF44" s="411"/>
      <c r="FG44" s="411"/>
      <c r="FH44" s="411"/>
      <c r="FI44" s="411"/>
      <c r="FJ44" s="411"/>
      <c r="FK44" s="411"/>
      <c r="FL44" s="411"/>
      <c r="FM44" s="411"/>
      <c r="FN44" s="411"/>
      <c r="FO44" s="411"/>
      <c r="FP44" s="411"/>
      <c r="FQ44" s="411"/>
      <c r="FR44" s="411"/>
      <c r="FS44" s="411"/>
      <c r="FT44" s="411"/>
      <c r="FU44" s="411"/>
      <c r="FV44" s="411"/>
      <c r="FW44" s="411"/>
      <c r="FX44" s="411"/>
      <c r="FY44" s="411"/>
      <c r="FZ44" s="411"/>
      <c r="GA44" s="411"/>
      <c r="GB44" s="411"/>
      <c r="GC44" s="411"/>
      <c r="GD44" s="411"/>
      <c r="GE44" s="411"/>
      <c r="GF44" s="411"/>
      <c r="GG44" s="411"/>
      <c r="GH44" s="411"/>
      <c r="GI44" s="411"/>
      <c r="GJ44" s="411"/>
      <c r="GK44" s="411"/>
      <c r="GL44" s="411"/>
      <c r="GM44" s="411"/>
      <c r="GN44" s="411"/>
      <c r="GO44" s="411"/>
      <c r="GP44" s="411"/>
      <c r="GQ44" s="411"/>
      <c r="GR44" s="411"/>
      <c r="GS44" s="411"/>
      <c r="GT44" s="411"/>
      <c r="GU44" s="411"/>
      <c r="GV44" s="411"/>
      <c r="GW44" s="411"/>
      <c r="GX44" s="411"/>
      <c r="GY44" s="411"/>
      <c r="GZ44" s="411"/>
      <c r="HA44" s="411"/>
      <c r="HB44" s="411"/>
      <c r="HC44" s="411"/>
      <c r="HD44" s="411"/>
      <c r="HE44" s="411"/>
      <c r="HF44" s="411"/>
      <c r="HG44" s="411"/>
      <c r="HH44" s="411"/>
      <c r="HI44" s="411"/>
      <c r="HJ44" s="411"/>
      <c r="HK44" s="411"/>
      <c r="HL44" s="411"/>
      <c r="HM44" s="411"/>
      <c r="HN44" s="411"/>
      <c r="HO44" s="411"/>
      <c r="HP44" s="411"/>
      <c r="HQ44" s="411"/>
      <c r="HR44" s="411"/>
      <c r="HS44" s="411"/>
      <c r="HT44" s="411"/>
      <c r="HU44" s="411"/>
      <c r="HV44" s="411"/>
      <c r="HW44" s="411"/>
      <c r="HX44" s="411"/>
      <c r="HY44" s="411"/>
      <c r="HZ44" s="411"/>
      <c r="IA44" s="411"/>
      <c r="IB44" s="411"/>
      <c r="IC44" s="411"/>
      <c r="ID44" s="411"/>
      <c r="IE44" s="411"/>
      <c r="IF44" s="411"/>
      <c r="IG44" s="411"/>
      <c r="IH44" s="411"/>
      <c r="II44" s="411"/>
    </row>
    <row r="45" spans="1:256" s="480" customFormat="1" x14ac:dyDescent="0.2">
      <c r="A45" s="475"/>
      <c r="B45" s="475" t="s">
        <v>60</v>
      </c>
      <c r="C45" s="475"/>
      <c r="D45" s="475"/>
      <c r="E45" s="475"/>
      <c r="F45" s="475"/>
      <c r="G45" s="475"/>
      <c r="H45" s="475"/>
      <c r="I45" s="475"/>
      <c r="J45" s="475"/>
      <c r="K45" s="475"/>
      <c r="L45" s="475"/>
      <c r="M45" s="475"/>
      <c r="N45" s="419">
        <f>ROUND(N42*N43*N44,2)</f>
        <v>-777.43</v>
      </c>
      <c r="O45" s="419">
        <f>ROUND(O42*O43*O44,2)+27.76</f>
        <v>52151.880000000005</v>
      </c>
      <c r="P45" s="419">
        <f>ROUND(P42*P43*P44,2)</f>
        <v>4749.13</v>
      </c>
      <c r="Q45" s="419">
        <f>ROUND(Q42*Q43*Q44,2)</f>
        <v>0</v>
      </c>
      <c r="R45" s="399">
        <f>N45+O45+P45+Q45</f>
        <v>56123.58</v>
      </c>
      <c r="S45" s="479"/>
      <c r="T45" s="478"/>
      <c r="U45" s="478"/>
      <c r="V45" s="479"/>
      <c r="W45" s="479"/>
      <c r="X45" s="479"/>
      <c r="Y45" s="479"/>
      <c r="Z45" s="479"/>
      <c r="AA45" s="479"/>
      <c r="AB45" s="479"/>
      <c r="AC45" s="479"/>
      <c r="AD45" s="479"/>
      <c r="AE45" s="479"/>
      <c r="AF45" s="479"/>
      <c r="AG45" s="479"/>
      <c r="AH45" s="479"/>
      <c r="AI45" s="479"/>
      <c r="AJ45" s="479"/>
      <c r="AK45" s="479"/>
      <c r="AL45" s="479"/>
      <c r="AM45" s="479"/>
      <c r="AN45" s="479"/>
      <c r="AO45" s="479"/>
      <c r="AP45" s="479"/>
      <c r="AQ45" s="479"/>
      <c r="AR45" s="479"/>
      <c r="AS45" s="479"/>
      <c r="AT45" s="479"/>
      <c r="AU45" s="479"/>
      <c r="AV45" s="479"/>
      <c r="AW45" s="479"/>
      <c r="AX45" s="479"/>
      <c r="AY45" s="479"/>
      <c r="AZ45" s="479"/>
      <c r="BA45" s="479"/>
      <c r="BB45" s="479"/>
      <c r="BC45" s="479"/>
      <c r="BD45" s="479"/>
      <c r="BE45" s="479"/>
      <c r="BF45" s="479"/>
      <c r="BG45" s="479"/>
      <c r="BH45" s="479"/>
      <c r="BI45" s="479"/>
      <c r="BJ45" s="479"/>
      <c r="BK45" s="479"/>
      <c r="BL45" s="479"/>
      <c r="BM45" s="479"/>
      <c r="BN45" s="479"/>
      <c r="BO45" s="479"/>
      <c r="BP45" s="479"/>
      <c r="BQ45" s="479"/>
      <c r="BR45" s="479"/>
      <c r="BS45" s="479"/>
      <c r="BT45" s="479"/>
      <c r="BU45" s="479"/>
      <c r="BV45" s="479"/>
      <c r="BW45" s="479"/>
      <c r="BX45" s="479"/>
      <c r="BY45" s="479"/>
      <c r="BZ45" s="479"/>
      <c r="CA45" s="479"/>
      <c r="CB45" s="479"/>
      <c r="CC45" s="479"/>
      <c r="CD45" s="479"/>
      <c r="CE45" s="479"/>
      <c r="CF45" s="479"/>
      <c r="CG45" s="479"/>
      <c r="CH45" s="479"/>
      <c r="CI45" s="479"/>
      <c r="CJ45" s="479"/>
      <c r="CK45" s="479"/>
      <c r="CL45" s="479"/>
      <c r="CM45" s="479"/>
      <c r="CN45" s="479"/>
      <c r="CO45" s="479"/>
      <c r="CP45" s="479"/>
      <c r="CQ45" s="479"/>
      <c r="CR45" s="479"/>
      <c r="CS45" s="479"/>
      <c r="CT45" s="479"/>
      <c r="CU45" s="479"/>
      <c r="CV45" s="479"/>
      <c r="CW45" s="479"/>
      <c r="CX45" s="479"/>
      <c r="CY45" s="479"/>
      <c r="CZ45" s="479"/>
      <c r="DA45" s="479"/>
      <c r="DB45" s="479"/>
      <c r="DC45" s="479"/>
      <c r="DD45" s="479"/>
      <c r="DE45" s="479"/>
      <c r="DF45" s="479"/>
      <c r="DG45" s="479"/>
      <c r="DH45" s="479"/>
      <c r="DI45" s="479"/>
      <c r="DJ45" s="479"/>
      <c r="DK45" s="479"/>
      <c r="DL45" s="479"/>
      <c r="DM45" s="479"/>
      <c r="DN45" s="479"/>
      <c r="DO45" s="479"/>
      <c r="DP45" s="479"/>
      <c r="DQ45" s="479"/>
      <c r="DR45" s="479"/>
      <c r="DS45" s="479"/>
      <c r="DT45" s="479"/>
      <c r="DU45" s="479"/>
      <c r="DV45" s="479"/>
      <c r="DW45" s="479"/>
      <c r="DX45" s="479"/>
      <c r="DY45" s="479"/>
      <c r="DZ45" s="479"/>
      <c r="EA45" s="479"/>
      <c r="EB45" s="479"/>
      <c r="EC45" s="479"/>
      <c r="ED45" s="479"/>
      <c r="EE45" s="479"/>
      <c r="EF45" s="479"/>
      <c r="EG45" s="479"/>
      <c r="EH45" s="479"/>
      <c r="EI45" s="479"/>
      <c r="EJ45" s="479"/>
      <c r="EK45" s="479"/>
      <c r="EL45" s="479"/>
      <c r="EM45" s="479"/>
      <c r="EN45" s="479"/>
      <c r="EO45" s="479"/>
      <c r="EP45" s="479"/>
      <c r="EQ45" s="479"/>
      <c r="ER45" s="479"/>
      <c r="ES45" s="479"/>
      <c r="ET45" s="479"/>
      <c r="EU45" s="479"/>
      <c r="EV45" s="479"/>
      <c r="EW45" s="479"/>
      <c r="EX45" s="479"/>
      <c r="EY45" s="479"/>
      <c r="EZ45" s="479"/>
      <c r="FA45" s="479"/>
      <c r="FB45" s="479"/>
      <c r="FC45" s="479"/>
      <c r="FD45" s="479"/>
      <c r="FE45" s="479"/>
      <c r="FF45" s="479"/>
      <c r="FG45" s="479"/>
      <c r="FH45" s="479"/>
      <c r="FI45" s="479"/>
      <c r="FJ45" s="479"/>
      <c r="FK45" s="479"/>
      <c r="FL45" s="479"/>
      <c r="FM45" s="479"/>
      <c r="FN45" s="479"/>
      <c r="FO45" s="479"/>
      <c r="FP45" s="479"/>
      <c r="FQ45" s="479"/>
      <c r="FR45" s="479"/>
      <c r="FS45" s="479"/>
      <c r="FT45" s="479"/>
      <c r="FU45" s="479"/>
      <c r="FV45" s="479"/>
      <c r="FW45" s="479"/>
      <c r="FX45" s="479"/>
      <c r="FY45" s="479"/>
      <c r="FZ45" s="479"/>
      <c r="GA45" s="479"/>
      <c r="GB45" s="479"/>
      <c r="GC45" s="479"/>
      <c r="GD45" s="479"/>
      <c r="GE45" s="479"/>
      <c r="GF45" s="479"/>
      <c r="GG45" s="479"/>
      <c r="GH45" s="479"/>
      <c r="GI45" s="479"/>
      <c r="GJ45" s="479"/>
      <c r="GK45" s="479"/>
      <c r="GL45" s="479"/>
      <c r="GM45" s="479"/>
      <c r="GN45" s="479"/>
      <c r="GO45" s="479"/>
      <c r="GP45" s="479"/>
      <c r="GQ45" s="479"/>
      <c r="GR45" s="479"/>
      <c r="GS45" s="479"/>
      <c r="GT45" s="479"/>
      <c r="GU45" s="479"/>
      <c r="GV45" s="479"/>
      <c r="GW45" s="479"/>
      <c r="GX45" s="479"/>
      <c r="GY45" s="479"/>
      <c r="GZ45" s="479"/>
      <c r="HA45" s="479"/>
      <c r="HB45" s="479"/>
      <c r="HC45" s="479"/>
      <c r="HD45" s="479"/>
      <c r="HE45" s="479"/>
      <c r="HF45" s="479"/>
      <c r="HG45" s="479"/>
      <c r="HH45" s="479"/>
      <c r="HI45" s="479"/>
      <c r="HJ45" s="479"/>
      <c r="HK45" s="479"/>
      <c r="HL45" s="479"/>
      <c r="HM45" s="479"/>
      <c r="HN45" s="479"/>
      <c r="HO45" s="479"/>
      <c r="HP45" s="479"/>
      <c r="HQ45" s="479"/>
      <c r="HR45" s="479"/>
      <c r="HS45" s="479"/>
      <c r="HT45" s="479"/>
      <c r="HU45" s="479"/>
      <c r="HV45" s="479"/>
      <c r="HW45" s="479"/>
      <c r="HX45" s="479"/>
      <c r="HY45" s="479"/>
      <c r="HZ45" s="479"/>
      <c r="IA45" s="479"/>
      <c r="IB45" s="479"/>
      <c r="IC45" s="479"/>
      <c r="ID45" s="479"/>
      <c r="IE45" s="479"/>
      <c r="IF45" s="479"/>
      <c r="IG45" s="479"/>
      <c r="IH45" s="479"/>
      <c r="II45" s="479"/>
    </row>
    <row r="46" spans="1:256" x14ac:dyDescent="0.2">
      <c r="A46" s="387"/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90"/>
      <c r="O46" s="383"/>
      <c r="P46" s="390" t="s">
        <v>216</v>
      </c>
      <c r="Q46" s="390" t="s">
        <v>271</v>
      </c>
      <c r="R46" s="383"/>
      <c r="S46" s="400"/>
      <c r="T46" s="401"/>
      <c r="U46" s="401"/>
      <c r="V46" s="400"/>
      <c r="W46" s="400"/>
      <c r="X46" s="400"/>
      <c r="Y46" s="400"/>
      <c r="Z46" s="400"/>
      <c r="AA46" s="400"/>
      <c r="AB46" s="400"/>
      <c r="AC46" s="400"/>
      <c r="AD46" s="400"/>
      <c r="AE46" s="400"/>
      <c r="AF46" s="400"/>
      <c r="AG46" s="400"/>
      <c r="AH46" s="400"/>
      <c r="AI46" s="400"/>
      <c r="AJ46" s="400"/>
      <c r="AK46" s="400"/>
      <c r="AL46" s="400"/>
      <c r="AM46" s="400"/>
      <c r="AN46" s="400"/>
      <c r="AO46" s="400"/>
      <c r="AP46" s="400"/>
      <c r="AQ46" s="400"/>
      <c r="AR46" s="400"/>
      <c r="AS46" s="400"/>
      <c r="AT46" s="400"/>
      <c r="AU46" s="400"/>
      <c r="AV46" s="400"/>
      <c r="AW46" s="400"/>
      <c r="AX46" s="400"/>
      <c r="AY46" s="400"/>
      <c r="AZ46" s="400"/>
      <c r="BA46" s="400"/>
      <c r="BB46" s="400"/>
      <c r="BC46" s="400"/>
      <c r="BD46" s="400"/>
      <c r="BE46" s="400"/>
      <c r="BF46" s="400"/>
      <c r="BG46" s="400"/>
      <c r="BH46" s="400"/>
      <c r="BI46" s="400"/>
      <c r="BJ46" s="400"/>
      <c r="BK46" s="400"/>
      <c r="BL46" s="400"/>
      <c r="BM46" s="400"/>
      <c r="BN46" s="400"/>
      <c r="BO46" s="400"/>
      <c r="BP46" s="400"/>
      <c r="BQ46" s="400"/>
      <c r="BR46" s="400"/>
      <c r="BS46" s="400"/>
      <c r="BT46" s="400"/>
      <c r="BU46" s="400"/>
      <c r="BV46" s="400"/>
      <c r="BW46" s="400"/>
      <c r="BX46" s="400"/>
      <c r="BY46" s="400"/>
      <c r="BZ46" s="400"/>
      <c r="CA46" s="400"/>
      <c r="CB46" s="400"/>
      <c r="CC46" s="400"/>
      <c r="CD46" s="400"/>
      <c r="CE46" s="400"/>
      <c r="CF46" s="400"/>
      <c r="CG46" s="400"/>
      <c r="CH46" s="400"/>
      <c r="CI46" s="400"/>
      <c r="CJ46" s="400"/>
      <c r="CK46" s="400"/>
      <c r="CL46" s="400"/>
      <c r="CM46" s="400"/>
      <c r="CN46" s="400"/>
      <c r="CO46" s="400"/>
      <c r="CP46" s="400"/>
      <c r="CQ46" s="400"/>
      <c r="CR46" s="400"/>
      <c r="CS46" s="400"/>
      <c r="CT46" s="400"/>
      <c r="CU46" s="400"/>
      <c r="CV46" s="400"/>
      <c r="CW46" s="400"/>
      <c r="CX46" s="400"/>
      <c r="CY46" s="400"/>
      <c r="CZ46" s="400"/>
      <c r="DA46" s="400"/>
      <c r="DB46" s="400"/>
      <c r="DC46" s="400"/>
      <c r="DD46" s="400"/>
      <c r="DE46" s="400"/>
      <c r="DF46" s="400"/>
      <c r="DG46" s="400"/>
      <c r="DH46" s="400"/>
      <c r="DI46" s="400"/>
      <c r="DJ46" s="400"/>
      <c r="DK46" s="400"/>
      <c r="DL46" s="400"/>
      <c r="DM46" s="400"/>
      <c r="DN46" s="400"/>
      <c r="DO46" s="400"/>
      <c r="DP46" s="400"/>
      <c r="DQ46" s="400"/>
      <c r="DR46" s="400"/>
      <c r="DS46" s="400"/>
      <c r="DT46" s="400"/>
      <c r="DU46" s="400"/>
      <c r="DV46" s="400"/>
      <c r="DW46" s="400"/>
      <c r="DX46" s="400"/>
      <c r="DY46" s="400"/>
      <c r="DZ46" s="400"/>
      <c r="EA46" s="400"/>
      <c r="EB46" s="400"/>
      <c r="EC46" s="400"/>
      <c r="ED46" s="400"/>
      <c r="EE46" s="400"/>
      <c r="EF46" s="400"/>
      <c r="EG46" s="400"/>
      <c r="EH46" s="400"/>
      <c r="EI46" s="400"/>
      <c r="EJ46" s="400"/>
      <c r="EK46" s="400"/>
      <c r="EL46" s="400"/>
      <c r="EM46" s="400"/>
      <c r="EN46" s="400"/>
      <c r="EO46" s="400"/>
      <c r="EP46" s="400"/>
      <c r="EQ46" s="400"/>
      <c r="ER46" s="400"/>
      <c r="ES46" s="400"/>
      <c r="ET46" s="400"/>
      <c r="EU46" s="400"/>
      <c r="EV46" s="400"/>
      <c r="EW46" s="400"/>
      <c r="EX46" s="400"/>
      <c r="EY46" s="400"/>
      <c r="EZ46" s="400"/>
      <c r="FA46" s="400"/>
      <c r="FB46" s="400"/>
      <c r="FC46" s="400"/>
      <c r="FD46" s="400"/>
      <c r="FE46" s="400"/>
      <c r="FF46" s="400"/>
      <c r="FG46" s="400"/>
      <c r="FH46" s="400"/>
      <c r="FI46" s="400"/>
      <c r="FJ46" s="400"/>
      <c r="FK46" s="400"/>
      <c r="FL46" s="400"/>
      <c r="FM46" s="400"/>
      <c r="FN46" s="400"/>
      <c r="FO46" s="400"/>
      <c r="FP46" s="400"/>
      <c r="FQ46" s="400"/>
      <c r="FR46" s="400"/>
      <c r="FS46" s="400"/>
      <c r="FT46" s="400"/>
      <c r="FU46" s="400"/>
      <c r="FV46" s="400"/>
      <c r="FW46" s="400"/>
      <c r="FX46" s="400"/>
      <c r="FY46" s="400"/>
      <c r="FZ46" s="400"/>
      <c r="GA46" s="400"/>
      <c r="GB46" s="400"/>
      <c r="GC46" s="400"/>
      <c r="GD46" s="400"/>
      <c r="GE46" s="400"/>
      <c r="GF46" s="400"/>
      <c r="GG46" s="400"/>
      <c r="GH46" s="400"/>
      <c r="GI46" s="400"/>
      <c r="GJ46" s="400"/>
      <c r="GK46" s="400"/>
      <c r="GL46" s="400"/>
      <c r="GM46" s="400"/>
      <c r="GN46" s="400"/>
      <c r="GO46" s="400"/>
      <c r="GP46" s="400"/>
      <c r="GQ46" s="400"/>
      <c r="GR46" s="400"/>
      <c r="GS46" s="400"/>
      <c r="GT46" s="400"/>
      <c r="GU46" s="400"/>
      <c r="GV46" s="400"/>
      <c r="GW46" s="400"/>
      <c r="GX46" s="400"/>
      <c r="GY46" s="400"/>
      <c r="GZ46" s="400"/>
      <c r="HA46" s="400"/>
      <c r="HB46" s="400"/>
      <c r="HC46" s="400"/>
      <c r="HD46" s="400"/>
      <c r="HE46" s="400"/>
      <c r="HF46" s="400"/>
      <c r="HG46" s="400"/>
      <c r="HH46" s="400"/>
      <c r="HI46" s="400"/>
      <c r="HJ46" s="400"/>
      <c r="HK46" s="400"/>
      <c r="HL46" s="400"/>
      <c r="HM46" s="400"/>
      <c r="HN46" s="400"/>
      <c r="HO46" s="400"/>
      <c r="HP46" s="400"/>
      <c r="HQ46" s="400"/>
      <c r="HR46" s="400"/>
      <c r="HS46" s="400"/>
      <c r="HT46" s="400"/>
      <c r="HU46" s="400"/>
      <c r="HV46" s="400"/>
      <c r="HW46" s="400"/>
      <c r="HX46" s="400"/>
      <c r="HY46" s="400"/>
      <c r="HZ46" s="400"/>
      <c r="IA46" s="400"/>
      <c r="IB46" s="400"/>
      <c r="IC46" s="400"/>
      <c r="ID46" s="400"/>
      <c r="IE46" s="400"/>
      <c r="IF46" s="400"/>
      <c r="IG46" s="400"/>
      <c r="IH46" s="400"/>
      <c r="II46" s="400"/>
    </row>
    <row r="47" spans="1:256" s="498" customFormat="1" x14ac:dyDescent="0.2">
      <c r="A47" s="494" t="s">
        <v>263</v>
      </c>
      <c r="B47" s="494" t="s">
        <v>59</v>
      </c>
      <c r="C47" s="495"/>
      <c r="D47" s="495"/>
      <c r="E47" s="495"/>
      <c r="F47" s="495"/>
      <c r="G47" s="495"/>
      <c r="H47" s="495"/>
      <c r="I47" s="495"/>
      <c r="J47" s="495"/>
      <c r="K47" s="495"/>
      <c r="L47" s="495"/>
      <c r="M47" s="495"/>
      <c r="N47" s="391">
        <v>8054</v>
      </c>
      <c r="O47" s="391">
        <v>86422</v>
      </c>
      <c r="P47" s="386"/>
      <c r="Q47" s="391"/>
      <c r="R47" s="499">
        <f>N47+O47+P47+Q47</f>
        <v>94476</v>
      </c>
      <c r="S47" s="496"/>
      <c r="T47" s="497"/>
      <c r="U47" s="497"/>
      <c r="V47" s="496"/>
      <c r="W47" s="496"/>
      <c r="X47" s="496"/>
      <c r="Y47" s="496"/>
      <c r="Z47" s="496"/>
      <c r="AA47" s="496"/>
      <c r="AB47" s="496"/>
      <c r="AC47" s="496"/>
      <c r="AD47" s="496"/>
      <c r="AE47" s="496"/>
      <c r="AF47" s="496"/>
      <c r="AG47" s="496"/>
      <c r="AH47" s="496"/>
      <c r="AI47" s="496"/>
      <c r="AJ47" s="496"/>
      <c r="AK47" s="496"/>
      <c r="AL47" s="496"/>
      <c r="AM47" s="496"/>
      <c r="AN47" s="496"/>
      <c r="AO47" s="496"/>
      <c r="AP47" s="496"/>
      <c r="AQ47" s="496"/>
      <c r="AR47" s="496"/>
      <c r="AS47" s="496"/>
      <c r="AT47" s="496"/>
      <c r="AU47" s="496"/>
      <c r="AV47" s="496"/>
      <c r="AW47" s="496"/>
      <c r="AX47" s="496"/>
      <c r="AY47" s="496"/>
      <c r="AZ47" s="496"/>
      <c r="BA47" s="496"/>
      <c r="BB47" s="496"/>
      <c r="BC47" s="496"/>
      <c r="BD47" s="496"/>
      <c r="BE47" s="496"/>
      <c r="BF47" s="496"/>
      <c r="BG47" s="496"/>
      <c r="BH47" s="496"/>
      <c r="BI47" s="496"/>
      <c r="BJ47" s="496"/>
      <c r="BK47" s="496"/>
      <c r="BL47" s="496"/>
      <c r="BM47" s="496"/>
      <c r="BN47" s="496"/>
      <c r="BO47" s="496"/>
      <c r="BP47" s="496"/>
      <c r="BQ47" s="496"/>
      <c r="BR47" s="496"/>
      <c r="BS47" s="496"/>
      <c r="BT47" s="496"/>
      <c r="BU47" s="496"/>
      <c r="BV47" s="496"/>
      <c r="BW47" s="496"/>
      <c r="BX47" s="496"/>
      <c r="BY47" s="496"/>
      <c r="BZ47" s="496"/>
      <c r="CA47" s="496"/>
      <c r="CB47" s="496"/>
      <c r="CC47" s="496"/>
      <c r="CD47" s="496"/>
      <c r="CE47" s="496"/>
      <c r="CF47" s="496"/>
      <c r="CG47" s="496"/>
      <c r="CH47" s="496"/>
      <c r="CI47" s="496"/>
      <c r="CJ47" s="496"/>
      <c r="CK47" s="496"/>
      <c r="CL47" s="496"/>
      <c r="CM47" s="496"/>
      <c r="CN47" s="496"/>
      <c r="CO47" s="496"/>
      <c r="CP47" s="496"/>
      <c r="CQ47" s="496"/>
      <c r="CR47" s="496"/>
      <c r="CS47" s="496"/>
      <c r="CT47" s="496"/>
      <c r="CU47" s="496"/>
      <c r="CV47" s="496"/>
      <c r="CW47" s="496"/>
      <c r="CX47" s="496"/>
      <c r="CY47" s="496"/>
      <c r="CZ47" s="496"/>
      <c r="DA47" s="496"/>
      <c r="DB47" s="496"/>
      <c r="DC47" s="496"/>
      <c r="DD47" s="496"/>
      <c r="DE47" s="496"/>
      <c r="DF47" s="496"/>
      <c r="DG47" s="496"/>
      <c r="DH47" s="496"/>
      <c r="DI47" s="496"/>
      <c r="DJ47" s="496"/>
      <c r="DK47" s="496"/>
      <c r="DL47" s="496"/>
      <c r="DM47" s="496"/>
      <c r="DN47" s="496"/>
      <c r="DO47" s="496"/>
      <c r="DP47" s="496"/>
      <c r="DQ47" s="496"/>
      <c r="DR47" s="496"/>
      <c r="DS47" s="496"/>
      <c r="DT47" s="496"/>
      <c r="DU47" s="496"/>
      <c r="DV47" s="496"/>
      <c r="DW47" s="496"/>
      <c r="DX47" s="496"/>
      <c r="DY47" s="496"/>
      <c r="DZ47" s="496"/>
      <c r="EA47" s="496"/>
      <c r="EB47" s="496"/>
      <c r="EC47" s="496"/>
      <c r="ED47" s="496"/>
      <c r="EE47" s="496"/>
      <c r="EF47" s="496"/>
      <c r="EG47" s="496"/>
      <c r="EH47" s="496"/>
      <c r="EI47" s="496"/>
      <c r="EJ47" s="496"/>
      <c r="EK47" s="496"/>
      <c r="EL47" s="496"/>
      <c r="EM47" s="496"/>
      <c r="EN47" s="496"/>
      <c r="EO47" s="496"/>
      <c r="EP47" s="496"/>
      <c r="EQ47" s="496"/>
      <c r="ER47" s="496"/>
      <c r="ES47" s="496"/>
      <c r="ET47" s="496"/>
      <c r="EU47" s="496"/>
      <c r="EV47" s="496"/>
      <c r="EW47" s="496"/>
      <c r="EX47" s="496"/>
      <c r="EY47" s="496"/>
      <c r="EZ47" s="496"/>
      <c r="FA47" s="496"/>
      <c r="FB47" s="496"/>
      <c r="FC47" s="496"/>
      <c r="FD47" s="496"/>
      <c r="FE47" s="496"/>
      <c r="FF47" s="496"/>
      <c r="FG47" s="496"/>
      <c r="FH47" s="496"/>
      <c r="FI47" s="496"/>
      <c r="FJ47" s="496"/>
      <c r="FK47" s="496"/>
      <c r="FL47" s="496"/>
      <c r="FM47" s="496"/>
      <c r="FN47" s="496"/>
      <c r="FO47" s="496"/>
      <c r="FP47" s="496"/>
      <c r="FQ47" s="496"/>
      <c r="FR47" s="496"/>
      <c r="FS47" s="496"/>
      <c r="FT47" s="496"/>
      <c r="FU47" s="496"/>
      <c r="FV47" s="496"/>
      <c r="FW47" s="496"/>
      <c r="FX47" s="496"/>
      <c r="FY47" s="496"/>
      <c r="FZ47" s="496"/>
      <c r="GA47" s="496"/>
      <c r="GB47" s="496"/>
      <c r="GC47" s="496"/>
      <c r="GD47" s="496"/>
      <c r="GE47" s="496"/>
      <c r="GF47" s="496"/>
      <c r="GG47" s="496"/>
      <c r="GH47" s="496"/>
      <c r="GI47" s="496"/>
      <c r="GJ47" s="496"/>
      <c r="GK47" s="496"/>
      <c r="GL47" s="496"/>
      <c r="GM47" s="496"/>
      <c r="GN47" s="496"/>
      <c r="GO47" s="496"/>
      <c r="GP47" s="496"/>
      <c r="GQ47" s="496"/>
      <c r="GR47" s="496"/>
      <c r="GS47" s="496"/>
      <c r="GT47" s="496"/>
      <c r="GU47" s="496"/>
      <c r="GV47" s="496"/>
      <c r="GW47" s="496"/>
      <c r="GX47" s="496"/>
      <c r="GY47" s="496"/>
      <c r="GZ47" s="496"/>
      <c r="HA47" s="496"/>
      <c r="HB47" s="496"/>
      <c r="HC47" s="496"/>
      <c r="HD47" s="496"/>
      <c r="HE47" s="496"/>
      <c r="HF47" s="496"/>
      <c r="HG47" s="496"/>
      <c r="HH47" s="496"/>
      <c r="HI47" s="496"/>
      <c r="HJ47" s="496"/>
      <c r="HK47" s="496"/>
      <c r="HL47" s="496"/>
      <c r="HM47" s="496"/>
      <c r="HN47" s="496"/>
      <c r="HO47" s="496"/>
      <c r="HP47" s="496"/>
      <c r="HQ47" s="496"/>
      <c r="HR47" s="496"/>
      <c r="HS47" s="496"/>
      <c r="HT47" s="496"/>
      <c r="HU47" s="496"/>
      <c r="HV47" s="496"/>
      <c r="HW47" s="496"/>
      <c r="HX47" s="496"/>
      <c r="HY47" s="496"/>
      <c r="HZ47" s="496"/>
      <c r="IA47" s="496"/>
      <c r="IB47" s="496"/>
      <c r="IC47" s="496"/>
      <c r="ID47" s="496"/>
      <c r="IE47" s="496"/>
      <c r="IF47" s="496"/>
      <c r="IG47" s="496"/>
      <c r="IH47" s="496"/>
      <c r="II47" s="496"/>
    </row>
    <row r="48" spans="1:256" x14ac:dyDescent="0.2">
      <c r="A48" s="387">
        <v>20.399999999999999</v>
      </c>
      <c r="B48" s="383"/>
      <c r="C48" s="383"/>
      <c r="D48" s="383"/>
      <c r="E48" s="383"/>
      <c r="F48" s="383"/>
      <c r="G48" s="383"/>
      <c r="H48" s="383"/>
      <c r="I48" s="383"/>
      <c r="J48" s="383"/>
      <c r="K48" s="383"/>
      <c r="L48" s="383"/>
      <c r="M48" s="383"/>
      <c r="N48" s="481">
        <v>0.24295</v>
      </c>
      <c r="O48" s="481">
        <v>0.24295</v>
      </c>
      <c r="P48" s="490">
        <v>0.33048</v>
      </c>
      <c r="Q48" s="490">
        <v>0.15176999999999999</v>
      </c>
      <c r="R48" s="399"/>
      <c r="S48" s="400"/>
      <c r="T48" s="401"/>
      <c r="U48" s="401"/>
      <c r="V48" s="400"/>
      <c r="W48" s="400"/>
      <c r="X48" s="400"/>
      <c r="Y48" s="400"/>
      <c r="Z48" s="400"/>
      <c r="AA48" s="400"/>
      <c r="AB48" s="400"/>
      <c r="AC48" s="400"/>
      <c r="AD48" s="400"/>
      <c r="AE48" s="400"/>
      <c r="AF48" s="400"/>
      <c r="AG48" s="400"/>
      <c r="AH48" s="400"/>
      <c r="AI48" s="400"/>
      <c r="AJ48" s="400"/>
      <c r="AK48" s="400"/>
      <c r="AL48" s="400"/>
      <c r="AM48" s="400"/>
      <c r="AN48" s="400"/>
      <c r="AO48" s="400"/>
      <c r="AP48" s="400"/>
      <c r="AQ48" s="400"/>
      <c r="AR48" s="400"/>
      <c r="AS48" s="400"/>
      <c r="AT48" s="400"/>
      <c r="AU48" s="400"/>
      <c r="AV48" s="400"/>
      <c r="AW48" s="400"/>
      <c r="AX48" s="400"/>
      <c r="AY48" s="400"/>
      <c r="AZ48" s="400"/>
      <c r="BA48" s="400"/>
      <c r="BB48" s="400"/>
      <c r="BC48" s="400"/>
      <c r="BD48" s="400"/>
      <c r="BE48" s="400"/>
      <c r="BF48" s="400"/>
      <c r="BG48" s="400"/>
      <c r="BH48" s="400"/>
      <c r="BI48" s="400"/>
      <c r="BJ48" s="400"/>
      <c r="BK48" s="400"/>
      <c r="BL48" s="400"/>
      <c r="BM48" s="400"/>
      <c r="BN48" s="400"/>
      <c r="BO48" s="400"/>
      <c r="BP48" s="400"/>
      <c r="BQ48" s="400"/>
      <c r="BR48" s="400"/>
      <c r="BS48" s="400"/>
      <c r="BT48" s="400"/>
      <c r="BU48" s="400"/>
      <c r="BV48" s="400"/>
      <c r="BW48" s="400"/>
      <c r="BX48" s="400"/>
      <c r="BY48" s="400"/>
      <c r="BZ48" s="400"/>
      <c r="CA48" s="400"/>
      <c r="CB48" s="400"/>
      <c r="CC48" s="400"/>
      <c r="CD48" s="400"/>
      <c r="CE48" s="400"/>
      <c r="CF48" s="400"/>
      <c r="CG48" s="400"/>
      <c r="CH48" s="400"/>
      <c r="CI48" s="400"/>
      <c r="CJ48" s="400"/>
      <c r="CK48" s="400"/>
      <c r="CL48" s="400"/>
      <c r="CM48" s="400"/>
      <c r="CN48" s="400"/>
      <c r="CO48" s="400"/>
      <c r="CP48" s="400"/>
      <c r="CQ48" s="400"/>
      <c r="CR48" s="400"/>
      <c r="CS48" s="400"/>
      <c r="CT48" s="400"/>
      <c r="CU48" s="400"/>
      <c r="CV48" s="400"/>
      <c r="CW48" s="400"/>
      <c r="CX48" s="400"/>
      <c r="CY48" s="400"/>
      <c r="CZ48" s="400"/>
      <c r="DA48" s="400"/>
      <c r="DB48" s="400"/>
      <c r="DC48" s="400"/>
      <c r="DD48" s="400"/>
      <c r="DE48" s="400"/>
      <c r="DF48" s="400"/>
      <c r="DG48" s="400"/>
      <c r="DH48" s="400"/>
      <c r="DI48" s="400"/>
      <c r="DJ48" s="400"/>
      <c r="DK48" s="400"/>
      <c r="DL48" s="400"/>
      <c r="DM48" s="400"/>
      <c r="DN48" s="400"/>
      <c r="DO48" s="400"/>
      <c r="DP48" s="400"/>
      <c r="DQ48" s="400"/>
      <c r="DR48" s="400"/>
      <c r="DS48" s="400"/>
      <c r="DT48" s="400"/>
      <c r="DU48" s="400"/>
      <c r="DV48" s="400"/>
      <c r="DW48" s="400"/>
      <c r="DX48" s="400"/>
      <c r="DY48" s="400"/>
      <c r="DZ48" s="400"/>
      <c r="EA48" s="400"/>
      <c r="EB48" s="400"/>
      <c r="EC48" s="400"/>
      <c r="ED48" s="400"/>
      <c r="EE48" s="400"/>
      <c r="EF48" s="400"/>
      <c r="EG48" s="400"/>
      <c r="EH48" s="400"/>
      <c r="EI48" s="400"/>
      <c r="EJ48" s="400"/>
      <c r="EK48" s="400"/>
      <c r="EL48" s="400"/>
      <c r="EM48" s="400"/>
      <c r="EN48" s="400"/>
      <c r="EO48" s="400"/>
      <c r="EP48" s="400"/>
      <c r="EQ48" s="400"/>
      <c r="ER48" s="400"/>
      <c r="ES48" s="400"/>
      <c r="ET48" s="400"/>
      <c r="EU48" s="400"/>
      <c r="EV48" s="400"/>
      <c r="EW48" s="400"/>
      <c r="EX48" s="400"/>
      <c r="EY48" s="400"/>
      <c r="EZ48" s="400"/>
      <c r="FA48" s="400"/>
      <c r="FB48" s="400"/>
      <c r="FC48" s="400"/>
      <c r="FD48" s="400"/>
      <c r="FE48" s="400"/>
      <c r="FF48" s="400"/>
      <c r="FG48" s="400"/>
      <c r="FH48" s="400"/>
      <c r="FI48" s="400"/>
      <c r="FJ48" s="400"/>
      <c r="FK48" s="400"/>
      <c r="FL48" s="400"/>
      <c r="FM48" s="400"/>
      <c r="FN48" s="400"/>
      <c r="FO48" s="400"/>
      <c r="FP48" s="400"/>
      <c r="FQ48" s="400"/>
      <c r="FR48" s="400"/>
      <c r="FS48" s="400"/>
      <c r="FT48" s="400"/>
      <c r="FU48" s="400"/>
      <c r="FV48" s="400"/>
      <c r="FW48" s="400"/>
      <c r="FX48" s="400"/>
      <c r="FY48" s="400"/>
      <c r="FZ48" s="400"/>
      <c r="GA48" s="400"/>
      <c r="GB48" s="400"/>
      <c r="GC48" s="400"/>
      <c r="GD48" s="400"/>
      <c r="GE48" s="400"/>
      <c r="GF48" s="400"/>
      <c r="GG48" s="400"/>
      <c r="GH48" s="400"/>
      <c r="GI48" s="400"/>
      <c r="GJ48" s="400"/>
      <c r="GK48" s="400"/>
      <c r="GL48" s="400"/>
      <c r="GM48" s="400"/>
      <c r="GN48" s="400"/>
      <c r="GO48" s="400"/>
      <c r="GP48" s="400"/>
      <c r="GQ48" s="400"/>
      <c r="GR48" s="400"/>
      <c r="GS48" s="400"/>
      <c r="GT48" s="400"/>
      <c r="GU48" s="400"/>
      <c r="GV48" s="400"/>
      <c r="GW48" s="400"/>
      <c r="GX48" s="400"/>
      <c r="GY48" s="400"/>
      <c r="GZ48" s="400"/>
      <c r="HA48" s="400"/>
      <c r="HB48" s="400"/>
      <c r="HC48" s="400"/>
      <c r="HD48" s="400"/>
      <c r="HE48" s="400"/>
      <c r="HF48" s="400"/>
      <c r="HG48" s="400"/>
      <c r="HH48" s="400"/>
      <c r="HI48" s="400"/>
      <c r="HJ48" s="400"/>
      <c r="HK48" s="400"/>
      <c r="HL48" s="400"/>
      <c r="HM48" s="400"/>
      <c r="HN48" s="400"/>
      <c r="HO48" s="400"/>
      <c r="HP48" s="400"/>
      <c r="HQ48" s="400"/>
      <c r="HR48" s="400"/>
      <c r="HS48" s="400"/>
      <c r="HT48" s="400"/>
      <c r="HU48" s="400"/>
      <c r="HV48" s="400"/>
      <c r="HW48" s="400"/>
      <c r="HX48" s="400"/>
      <c r="HY48" s="400"/>
      <c r="HZ48" s="400"/>
      <c r="IA48" s="400"/>
      <c r="IB48" s="400"/>
      <c r="IC48" s="400"/>
      <c r="ID48" s="400"/>
      <c r="IE48" s="400"/>
      <c r="IF48" s="400"/>
      <c r="IG48" s="400"/>
      <c r="IH48" s="400"/>
      <c r="II48" s="400"/>
    </row>
    <row r="49" spans="1:243" x14ac:dyDescent="0.2">
      <c r="A49" s="387"/>
      <c r="B49" s="405" t="s">
        <v>76</v>
      </c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407">
        <v>1.1080239999999999</v>
      </c>
      <c r="O49" s="407">
        <v>1.1080239999999999</v>
      </c>
      <c r="P49" s="407">
        <v>1.1080239999999999</v>
      </c>
      <c r="Q49" s="407">
        <v>1.1080239999999999</v>
      </c>
      <c r="R49" s="413"/>
      <c r="S49" s="400"/>
      <c r="T49" s="401"/>
      <c r="U49" s="401"/>
      <c r="V49" s="400"/>
      <c r="W49" s="400"/>
      <c r="X49" s="400"/>
      <c r="Y49" s="400"/>
      <c r="Z49" s="400"/>
      <c r="AA49" s="400"/>
      <c r="AB49" s="400"/>
      <c r="AC49" s="400"/>
      <c r="AD49" s="400"/>
      <c r="AE49" s="400"/>
      <c r="AF49" s="400"/>
      <c r="AG49" s="400"/>
      <c r="AH49" s="400"/>
      <c r="AI49" s="400"/>
      <c r="AJ49" s="400"/>
      <c r="AK49" s="400"/>
      <c r="AL49" s="400"/>
      <c r="AM49" s="400"/>
      <c r="AN49" s="400"/>
      <c r="AO49" s="400"/>
      <c r="AP49" s="400"/>
      <c r="AQ49" s="400"/>
      <c r="AR49" s="400"/>
      <c r="AS49" s="400"/>
      <c r="AT49" s="400"/>
      <c r="AU49" s="400"/>
      <c r="AV49" s="400"/>
      <c r="AW49" s="400"/>
      <c r="AX49" s="400"/>
      <c r="AY49" s="400"/>
      <c r="AZ49" s="400"/>
      <c r="BA49" s="400"/>
      <c r="BB49" s="400"/>
      <c r="BC49" s="400"/>
      <c r="BD49" s="400"/>
      <c r="BE49" s="400"/>
      <c r="BF49" s="400"/>
      <c r="BG49" s="400"/>
      <c r="BH49" s="400"/>
      <c r="BI49" s="400"/>
      <c r="BJ49" s="400"/>
      <c r="BK49" s="400"/>
      <c r="BL49" s="400"/>
      <c r="BM49" s="400"/>
      <c r="BN49" s="400"/>
      <c r="BO49" s="400"/>
      <c r="BP49" s="400"/>
      <c r="BQ49" s="400"/>
      <c r="BR49" s="400"/>
      <c r="BS49" s="400"/>
      <c r="BT49" s="400"/>
      <c r="BU49" s="400"/>
      <c r="BV49" s="400"/>
      <c r="BW49" s="400"/>
      <c r="BX49" s="400"/>
      <c r="BY49" s="400"/>
      <c r="BZ49" s="400"/>
      <c r="CA49" s="400"/>
      <c r="CB49" s="400"/>
      <c r="CC49" s="400"/>
      <c r="CD49" s="400"/>
      <c r="CE49" s="400"/>
      <c r="CF49" s="400"/>
      <c r="CG49" s="400"/>
      <c r="CH49" s="400"/>
      <c r="CI49" s="400"/>
      <c r="CJ49" s="400"/>
      <c r="CK49" s="400"/>
      <c r="CL49" s="400"/>
      <c r="CM49" s="400"/>
      <c r="CN49" s="400"/>
      <c r="CO49" s="400"/>
      <c r="CP49" s="400"/>
      <c r="CQ49" s="400"/>
      <c r="CR49" s="400"/>
      <c r="CS49" s="400"/>
      <c r="CT49" s="400"/>
      <c r="CU49" s="400"/>
      <c r="CV49" s="400"/>
      <c r="CW49" s="400"/>
      <c r="CX49" s="400"/>
      <c r="CY49" s="400"/>
      <c r="CZ49" s="400"/>
      <c r="DA49" s="400"/>
      <c r="DB49" s="400"/>
      <c r="DC49" s="400"/>
      <c r="DD49" s="400"/>
      <c r="DE49" s="400"/>
      <c r="DF49" s="400"/>
      <c r="DG49" s="400"/>
      <c r="DH49" s="400"/>
      <c r="DI49" s="400"/>
      <c r="DJ49" s="400"/>
      <c r="DK49" s="400"/>
      <c r="DL49" s="400"/>
      <c r="DM49" s="400"/>
      <c r="DN49" s="400"/>
      <c r="DO49" s="400"/>
      <c r="DP49" s="400"/>
      <c r="DQ49" s="400"/>
      <c r="DR49" s="400"/>
      <c r="DS49" s="400"/>
      <c r="DT49" s="400"/>
      <c r="DU49" s="400"/>
      <c r="DV49" s="400"/>
      <c r="DW49" s="400"/>
      <c r="DX49" s="400"/>
      <c r="DY49" s="400"/>
      <c r="DZ49" s="400"/>
      <c r="EA49" s="400"/>
      <c r="EB49" s="400"/>
      <c r="EC49" s="400"/>
      <c r="ED49" s="400"/>
      <c r="EE49" s="400"/>
      <c r="EF49" s="400"/>
      <c r="EG49" s="400"/>
      <c r="EH49" s="400"/>
      <c r="EI49" s="400"/>
      <c r="EJ49" s="400"/>
      <c r="EK49" s="400"/>
      <c r="EL49" s="400"/>
      <c r="EM49" s="400"/>
      <c r="EN49" s="400"/>
      <c r="EO49" s="400"/>
      <c r="EP49" s="400"/>
      <c r="EQ49" s="400"/>
      <c r="ER49" s="400"/>
      <c r="ES49" s="400"/>
      <c r="ET49" s="400"/>
      <c r="EU49" s="400"/>
      <c r="EV49" s="400"/>
      <c r="EW49" s="400"/>
      <c r="EX49" s="400"/>
      <c r="EY49" s="400"/>
      <c r="EZ49" s="400"/>
      <c r="FA49" s="400"/>
      <c r="FB49" s="400"/>
      <c r="FC49" s="400"/>
      <c r="FD49" s="400"/>
      <c r="FE49" s="400"/>
      <c r="FF49" s="400"/>
      <c r="FG49" s="400"/>
      <c r="FH49" s="400"/>
      <c r="FI49" s="400"/>
      <c r="FJ49" s="400"/>
      <c r="FK49" s="400"/>
      <c r="FL49" s="400"/>
      <c r="FM49" s="400"/>
      <c r="FN49" s="400"/>
      <c r="FO49" s="400"/>
      <c r="FP49" s="400"/>
      <c r="FQ49" s="400"/>
      <c r="FR49" s="400"/>
      <c r="FS49" s="400"/>
      <c r="FT49" s="400"/>
      <c r="FU49" s="400"/>
      <c r="FV49" s="400"/>
      <c r="FW49" s="400"/>
      <c r="FX49" s="400"/>
      <c r="FY49" s="400"/>
      <c r="FZ49" s="400"/>
      <c r="GA49" s="400"/>
      <c r="GB49" s="400"/>
      <c r="GC49" s="400"/>
      <c r="GD49" s="400"/>
      <c r="GE49" s="400"/>
      <c r="GF49" s="400"/>
      <c r="GG49" s="400"/>
      <c r="GH49" s="400"/>
      <c r="GI49" s="400"/>
      <c r="GJ49" s="400"/>
      <c r="GK49" s="400"/>
      <c r="GL49" s="400"/>
      <c r="GM49" s="400"/>
      <c r="GN49" s="400"/>
      <c r="GO49" s="400"/>
      <c r="GP49" s="400"/>
      <c r="GQ49" s="400"/>
      <c r="GR49" s="400"/>
      <c r="GS49" s="400"/>
      <c r="GT49" s="400"/>
      <c r="GU49" s="400"/>
      <c r="GV49" s="400"/>
      <c r="GW49" s="400"/>
      <c r="GX49" s="400"/>
      <c r="GY49" s="400"/>
      <c r="GZ49" s="400"/>
      <c r="HA49" s="400"/>
      <c r="HB49" s="400"/>
      <c r="HC49" s="400"/>
      <c r="HD49" s="400"/>
      <c r="HE49" s="400"/>
      <c r="HF49" s="400"/>
      <c r="HG49" s="400"/>
      <c r="HH49" s="400"/>
      <c r="HI49" s="400"/>
      <c r="HJ49" s="400"/>
      <c r="HK49" s="400"/>
      <c r="HL49" s="400"/>
      <c r="HM49" s="400"/>
      <c r="HN49" s="400"/>
      <c r="HO49" s="400"/>
      <c r="HP49" s="400"/>
      <c r="HQ49" s="400"/>
      <c r="HR49" s="400"/>
      <c r="HS49" s="400"/>
      <c r="HT49" s="400"/>
      <c r="HU49" s="400"/>
      <c r="HV49" s="400"/>
      <c r="HW49" s="400"/>
      <c r="HX49" s="400"/>
      <c r="HY49" s="400"/>
      <c r="HZ49" s="400"/>
      <c r="IA49" s="400"/>
      <c r="IB49" s="400"/>
      <c r="IC49" s="400"/>
      <c r="ID49" s="400"/>
      <c r="IE49" s="400"/>
      <c r="IF49" s="400"/>
      <c r="IG49" s="400"/>
      <c r="IH49" s="400"/>
      <c r="II49" s="400"/>
    </row>
    <row r="50" spans="1:243" s="480" customFormat="1" x14ac:dyDescent="0.2">
      <c r="A50" s="475"/>
      <c r="B50" s="475" t="s">
        <v>60</v>
      </c>
      <c r="C50" s="475"/>
      <c r="D50" s="475"/>
      <c r="E50" s="475"/>
      <c r="F50" s="475"/>
      <c r="G50" s="475"/>
      <c r="H50" s="475"/>
      <c r="I50" s="475"/>
      <c r="J50" s="475"/>
      <c r="K50" s="475"/>
      <c r="L50" s="475"/>
      <c r="M50" s="475"/>
      <c r="N50" s="419">
        <f>ROUND(N47*N48*N49,2)</f>
        <v>2168.09</v>
      </c>
      <c r="O50" s="419">
        <f>ROUND(O47*O48*O49,2)</f>
        <v>23264.32</v>
      </c>
      <c r="P50" s="419">
        <f>ROUND(P47*P48*P49,2)</f>
        <v>0</v>
      </c>
      <c r="Q50" s="419">
        <f>ROUND(Q47*Q48*Q49,2)</f>
        <v>0</v>
      </c>
      <c r="R50" s="500">
        <f>N50+O50+P50+Q50</f>
        <v>25432.41</v>
      </c>
      <c r="S50" s="479"/>
      <c r="T50" s="478"/>
      <c r="U50" s="478"/>
      <c r="V50" s="479"/>
      <c r="W50" s="479"/>
      <c r="X50" s="479"/>
      <c r="Y50" s="479"/>
      <c r="Z50" s="479"/>
      <c r="AA50" s="479"/>
      <c r="AB50" s="479"/>
      <c r="AC50" s="479"/>
      <c r="AD50" s="479"/>
      <c r="AE50" s="479"/>
      <c r="AF50" s="479"/>
      <c r="AG50" s="479"/>
      <c r="AH50" s="479"/>
      <c r="AI50" s="479"/>
      <c r="AJ50" s="479"/>
      <c r="AK50" s="479"/>
      <c r="AL50" s="479"/>
      <c r="AM50" s="479"/>
      <c r="AN50" s="479"/>
      <c r="AO50" s="479"/>
      <c r="AP50" s="479"/>
      <c r="AQ50" s="479"/>
      <c r="AR50" s="479"/>
      <c r="AS50" s="479"/>
      <c r="AT50" s="479"/>
      <c r="AU50" s="479"/>
      <c r="AV50" s="479"/>
      <c r="AW50" s="479"/>
      <c r="AX50" s="479"/>
      <c r="AY50" s="479"/>
      <c r="AZ50" s="479"/>
      <c r="BA50" s="479"/>
      <c r="BB50" s="479"/>
      <c r="BC50" s="479"/>
      <c r="BD50" s="479"/>
      <c r="BE50" s="479"/>
      <c r="BF50" s="479"/>
      <c r="BG50" s="479"/>
      <c r="BH50" s="479"/>
      <c r="BI50" s="479"/>
      <c r="BJ50" s="479"/>
      <c r="BK50" s="479"/>
      <c r="BL50" s="479"/>
      <c r="BM50" s="479"/>
      <c r="BN50" s="479"/>
      <c r="BO50" s="479"/>
      <c r="BP50" s="479"/>
      <c r="BQ50" s="479"/>
      <c r="BR50" s="479"/>
      <c r="BS50" s="479"/>
      <c r="BT50" s="479"/>
      <c r="BU50" s="479"/>
      <c r="BV50" s="479"/>
      <c r="BW50" s="479"/>
      <c r="BX50" s="479"/>
      <c r="BY50" s="479"/>
      <c r="BZ50" s="479"/>
      <c r="CA50" s="479"/>
      <c r="CB50" s="479"/>
      <c r="CC50" s="479"/>
      <c r="CD50" s="479"/>
      <c r="CE50" s="479"/>
      <c r="CF50" s="479"/>
      <c r="CG50" s="479"/>
      <c r="CH50" s="479"/>
      <c r="CI50" s="479"/>
      <c r="CJ50" s="479"/>
      <c r="CK50" s="479"/>
      <c r="CL50" s="479"/>
      <c r="CM50" s="479"/>
      <c r="CN50" s="479"/>
      <c r="CO50" s="479"/>
      <c r="CP50" s="479"/>
      <c r="CQ50" s="479"/>
      <c r="CR50" s="479"/>
      <c r="CS50" s="479"/>
      <c r="CT50" s="479"/>
      <c r="CU50" s="479"/>
      <c r="CV50" s="479"/>
      <c r="CW50" s="479"/>
      <c r="CX50" s="479"/>
      <c r="CY50" s="479"/>
      <c r="CZ50" s="479"/>
      <c r="DA50" s="479"/>
      <c r="DB50" s="479"/>
      <c r="DC50" s="479"/>
      <c r="DD50" s="479"/>
      <c r="DE50" s="479"/>
      <c r="DF50" s="479"/>
      <c r="DG50" s="479"/>
      <c r="DH50" s="479"/>
      <c r="DI50" s="479"/>
      <c r="DJ50" s="479"/>
      <c r="DK50" s="479"/>
      <c r="DL50" s="479"/>
      <c r="DM50" s="479"/>
      <c r="DN50" s="479"/>
      <c r="DO50" s="479"/>
      <c r="DP50" s="479"/>
      <c r="DQ50" s="479"/>
      <c r="DR50" s="479"/>
      <c r="DS50" s="479"/>
      <c r="DT50" s="479"/>
      <c r="DU50" s="479"/>
      <c r="DV50" s="479"/>
      <c r="DW50" s="479"/>
      <c r="DX50" s="479"/>
      <c r="DY50" s="479"/>
      <c r="DZ50" s="479"/>
      <c r="EA50" s="479"/>
      <c r="EB50" s="479"/>
      <c r="EC50" s="479"/>
      <c r="ED50" s="479"/>
      <c r="EE50" s="479"/>
      <c r="EF50" s="479"/>
      <c r="EG50" s="479"/>
      <c r="EH50" s="479"/>
      <c r="EI50" s="479"/>
      <c r="EJ50" s="479"/>
      <c r="EK50" s="479"/>
      <c r="EL50" s="479"/>
      <c r="EM50" s="479"/>
      <c r="EN50" s="479"/>
      <c r="EO50" s="479"/>
      <c r="EP50" s="479"/>
      <c r="EQ50" s="479"/>
      <c r="ER50" s="479"/>
      <c r="ES50" s="479"/>
      <c r="ET50" s="479"/>
      <c r="EU50" s="479"/>
      <c r="EV50" s="479"/>
      <c r="EW50" s="479"/>
      <c r="EX50" s="479"/>
      <c r="EY50" s="479"/>
      <c r="EZ50" s="479"/>
      <c r="FA50" s="479"/>
      <c r="FB50" s="479"/>
      <c r="FC50" s="479"/>
      <c r="FD50" s="479"/>
      <c r="FE50" s="479"/>
      <c r="FF50" s="479"/>
      <c r="FG50" s="479"/>
      <c r="FH50" s="479"/>
      <c r="FI50" s="479"/>
      <c r="FJ50" s="479"/>
      <c r="FK50" s="479"/>
      <c r="FL50" s="479"/>
      <c r="FM50" s="479"/>
      <c r="FN50" s="479"/>
      <c r="FO50" s="479"/>
      <c r="FP50" s="479"/>
      <c r="FQ50" s="479"/>
      <c r="FR50" s="479"/>
      <c r="FS50" s="479"/>
      <c r="FT50" s="479"/>
      <c r="FU50" s="479"/>
      <c r="FV50" s="479"/>
      <c r="FW50" s="479"/>
      <c r="FX50" s="479"/>
      <c r="FY50" s="479"/>
      <c r="FZ50" s="479"/>
      <c r="GA50" s="479"/>
      <c r="GB50" s="479"/>
      <c r="GC50" s="479"/>
      <c r="GD50" s="479"/>
      <c r="GE50" s="479"/>
      <c r="GF50" s="479"/>
      <c r="GG50" s="479"/>
      <c r="GH50" s="479"/>
      <c r="GI50" s="479"/>
      <c r="GJ50" s="479"/>
      <c r="GK50" s="479"/>
      <c r="GL50" s="479"/>
      <c r="GM50" s="479"/>
      <c r="GN50" s="479"/>
      <c r="GO50" s="479"/>
      <c r="GP50" s="479"/>
      <c r="GQ50" s="479"/>
      <c r="GR50" s="479"/>
      <c r="GS50" s="479"/>
      <c r="GT50" s="479"/>
      <c r="GU50" s="479"/>
      <c r="GV50" s="479"/>
      <c r="GW50" s="479"/>
      <c r="GX50" s="479"/>
      <c r="GY50" s="479"/>
      <c r="GZ50" s="479"/>
      <c r="HA50" s="479"/>
      <c r="HB50" s="479"/>
      <c r="HC50" s="479"/>
      <c r="HD50" s="479"/>
      <c r="HE50" s="479"/>
      <c r="HF50" s="479"/>
      <c r="HG50" s="479"/>
      <c r="HH50" s="479"/>
      <c r="HI50" s="479"/>
      <c r="HJ50" s="479"/>
      <c r="HK50" s="479"/>
      <c r="HL50" s="479"/>
      <c r="HM50" s="479"/>
      <c r="HN50" s="479"/>
      <c r="HO50" s="479"/>
      <c r="HP50" s="479"/>
      <c r="HQ50" s="479"/>
      <c r="HR50" s="479"/>
      <c r="HS50" s="479"/>
      <c r="HT50" s="479"/>
      <c r="HU50" s="479"/>
      <c r="HV50" s="479"/>
      <c r="HW50" s="479"/>
      <c r="HX50" s="479"/>
      <c r="HY50" s="479"/>
      <c r="HZ50" s="479"/>
      <c r="IA50" s="479"/>
      <c r="IB50" s="479"/>
      <c r="IC50" s="479"/>
      <c r="ID50" s="479"/>
      <c r="IE50" s="479"/>
      <c r="IF50" s="479"/>
      <c r="IG50" s="479"/>
      <c r="IH50" s="479"/>
      <c r="II50" s="479"/>
    </row>
    <row r="51" spans="1:243" x14ac:dyDescent="0.2">
      <c r="A51" s="387"/>
      <c r="B51" s="383"/>
      <c r="C51" s="383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90"/>
      <c r="Q51" s="383"/>
      <c r="R51" s="383"/>
      <c r="S51" s="400"/>
      <c r="T51" s="401"/>
      <c r="U51" s="401"/>
      <c r="V51" s="400"/>
      <c r="W51" s="400"/>
      <c r="X51" s="400"/>
      <c r="Y51" s="400"/>
      <c r="Z51" s="400"/>
      <c r="AA51" s="400"/>
      <c r="AB51" s="400"/>
      <c r="AC51" s="400"/>
      <c r="AD51" s="400"/>
      <c r="AE51" s="400"/>
      <c r="AF51" s="400"/>
      <c r="AG51" s="400"/>
      <c r="AH51" s="400"/>
      <c r="AI51" s="400"/>
      <c r="AJ51" s="400"/>
      <c r="AK51" s="400"/>
      <c r="AL51" s="400"/>
      <c r="AM51" s="400"/>
      <c r="AN51" s="400"/>
      <c r="AO51" s="400"/>
      <c r="AP51" s="400"/>
      <c r="AQ51" s="400"/>
      <c r="AR51" s="400"/>
      <c r="AS51" s="400"/>
      <c r="AT51" s="400"/>
      <c r="AU51" s="400"/>
      <c r="AV51" s="400"/>
      <c r="AW51" s="400"/>
      <c r="AX51" s="400"/>
      <c r="AY51" s="400"/>
      <c r="AZ51" s="400"/>
      <c r="BA51" s="400"/>
      <c r="BB51" s="400"/>
      <c r="BC51" s="400"/>
      <c r="BD51" s="400"/>
      <c r="BE51" s="400"/>
      <c r="BF51" s="400"/>
      <c r="BG51" s="400"/>
      <c r="BH51" s="400"/>
      <c r="BI51" s="400"/>
      <c r="BJ51" s="400"/>
      <c r="BK51" s="400"/>
      <c r="BL51" s="400"/>
      <c r="BM51" s="400"/>
      <c r="BN51" s="400"/>
      <c r="BO51" s="400"/>
      <c r="BP51" s="400"/>
      <c r="BQ51" s="400"/>
      <c r="BR51" s="400"/>
      <c r="BS51" s="400"/>
      <c r="BT51" s="400"/>
      <c r="BU51" s="400"/>
      <c r="BV51" s="400"/>
      <c r="BW51" s="400"/>
      <c r="BX51" s="400"/>
      <c r="BY51" s="400"/>
      <c r="BZ51" s="400"/>
      <c r="CA51" s="400"/>
      <c r="CB51" s="400"/>
      <c r="CC51" s="400"/>
      <c r="CD51" s="400"/>
      <c r="CE51" s="400"/>
      <c r="CF51" s="400"/>
      <c r="CG51" s="400"/>
      <c r="CH51" s="400"/>
      <c r="CI51" s="400"/>
      <c r="CJ51" s="400"/>
      <c r="CK51" s="400"/>
      <c r="CL51" s="400"/>
      <c r="CM51" s="400"/>
      <c r="CN51" s="400"/>
      <c r="CO51" s="400"/>
      <c r="CP51" s="400"/>
      <c r="CQ51" s="400"/>
      <c r="CR51" s="400"/>
      <c r="CS51" s="400"/>
      <c r="CT51" s="400"/>
      <c r="CU51" s="400"/>
      <c r="CV51" s="400"/>
      <c r="CW51" s="400"/>
      <c r="CX51" s="400"/>
      <c r="CY51" s="400"/>
      <c r="CZ51" s="400"/>
      <c r="DA51" s="400"/>
      <c r="DB51" s="400"/>
      <c r="DC51" s="400"/>
      <c r="DD51" s="400"/>
      <c r="DE51" s="400"/>
      <c r="DF51" s="400"/>
      <c r="DG51" s="400"/>
      <c r="DH51" s="400"/>
      <c r="DI51" s="400"/>
      <c r="DJ51" s="400"/>
      <c r="DK51" s="400"/>
      <c r="DL51" s="400"/>
      <c r="DM51" s="400"/>
      <c r="DN51" s="400"/>
      <c r="DO51" s="400"/>
      <c r="DP51" s="400"/>
      <c r="DQ51" s="400"/>
      <c r="DR51" s="400"/>
      <c r="DS51" s="400"/>
      <c r="DT51" s="400"/>
      <c r="DU51" s="400"/>
      <c r="DV51" s="400"/>
      <c r="DW51" s="400"/>
      <c r="DX51" s="400"/>
      <c r="DY51" s="400"/>
      <c r="DZ51" s="400"/>
      <c r="EA51" s="400"/>
      <c r="EB51" s="400"/>
      <c r="EC51" s="400"/>
      <c r="ED51" s="400"/>
      <c r="EE51" s="400"/>
      <c r="EF51" s="400"/>
      <c r="EG51" s="400"/>
      <c r="EH51" s="400"/>
      <c r="EI51" s="400"/>
      <c r="EJ51" s="400"/>
      <c r="EK51" s="400"/>
      <c r="EL51" s="400"/>
      <c r="EM51" s="400"/>
      <c r="EN51" s="400"/>
      <c r="EO51" s="400"/>
      <c r="EP51" s="400"/>
      <c r="EQ51" s="400"/>
      <c r="ER51" s="400"/>
      <c r="ES51" s="400"/>
      <c r="ET51" s="400"/>
      <c r="EU51" s="400"/>
      <c r="EV51" s="400"/>
      <c r="EW51" s="400"/>
      <c r="EX51" s="400"/>
      <c r="EY51" s="400"/>
      <c r="EZ51" s="400"/>
      <c r="FA51" s="400"/>
      <c r="FB51" s="400"/>
      <c r="FC51" s="400"/>
      <c r="FD51" s="400"/>
      <c r="FE51" s="400"/>
      <c r="FF51" s="400"/>
      <c r="FG51" s="400"/>
      <c r="FH51" s="400"/>
      <c r="FI51" s="400"/>
      <c r="FJ51" s="400"/>
      <c r="FK51" s="400"/>
      <c r="FL51" s="400"/>
      <c r="FM51" s="400"/>
      <c r="FN51" s="400"/>
      <c r="FO51" s="400"/>
      <c r="FP51" s="400"/>
      <c r="FQ51" s="400"/>
      <c r="FR51" s="400"/>
      <c r="FS51" s="400"/>
      <c r="FT51" s="400"/>
      <c r="FU51" s="400"/>
      <c r="FV51" s="400"/>
      <c r="FW51" s="400"/>
      <c r="FX51" s="400"/>
      <c r="FY51" s="400"/>
      <c r="FZ51" s="400"/>
      <c r="GA51" s="400"/>
      <c r="GB51" s="400"/>
      <c r="GC51" s="400"/>
      <c r="GD51" s="400"/>
      <c r="GE51" s="400"/>
      <c r="GF51" s="400"/>
      <c r="GG51" s="400"/>
      <c r="GH51" s="400"/>
      <c r="GI51" s="400"/>
      <c r="GJ51" s="400"/>
      <c r="GK51" s="400"/>
      <c r="GL51" s="400"/>
      <c r="GM51" s="400"/>
      <c r="GN51" s="400"/>
      <c r="GO51" s="400"/>
      <c r="GP51" s="400"/>
      <c r="GQ51" s="400"/>
      <c r="GR51" s="400"/>
      <c r="GS51" s="400"/>
      <c r="GT51" s="400"/>
      <c r="GU51" s="400"/>
      <c r="GV51" s="400"/>
      <c r="GW51" s="400"/>
      <c r="GX51" s="400"/>
      <c r="GY51" s="400"/>
      <c r="GZ51" s="400"/>
      <c r="HA51" s="400"/>
      <c r="HB51" s="400"/>
      <c r="HC51" s="400"/>
      <c r="HD51" s="400"/>
      <c r="HE51" s="400"/>
      <c r="HF51" s="400"/>
      <c r="HG51" s="400"/>
      <c r="HH51" s="400"/>
      <c r="HI51" s="400"/>
      <c r="HJ51" s="400"/>
      <c r="HK51" s="400"/>
      <c r="HL51" s="400"/>
      <c r="HM51" s="400"/>
      <c r="HN51" s="400"/>
      <c r="HO51" s="400"/>
      <c r="HP51" s="400"/>
      <c r="HQ51" s="400"/>
      <c r="HR51" s="400"/>
      <c r="HS51" s="400"/>
      <c r="HT51" s="400"/>
      <c r="HU51" s="400"/>
      <c r="HV51" s="400"/>
      <c r="HW51" s="400"/>
      <c r="HX51" s="400"/>
      <c r="HY51" s="400"/>
      <c r="HZ51" s="400"/>
      <c r="IA51" s="400"/>
      <c r="IB51" s="400"/>
      <c r="IC51" s="400"/>
      <c r="ID51" s="400"/>
      <c r="IE51" s="400"/>
      <c r="IF51" s="400"/>
      <c r="IG51" s="400"/>
      <c r="IH51" s="400"/>
      <c r="II51" s="400"/>
    </row>
    <row r="52" spans="1:243" x14ac:dyDescent="0.2">
      <c r="A52" s="385" t="s">
        <v>67</v>
      </c>
      <c r="B52" s="386" t="s">
        <v>59</v>
      </c>
      <c r="C52" s="386"/>
      <c r="D52" s="386"/>
      <c r="E52" s="383"/>
      <c r="F52" s="383"/>
      <c r="G52" s="383"/>
      <c r="H52" s="386"/>
      <c r="I52" s="383"/>
      <c r="J52" s="383"/>
      <c r="K52" s="383"/>
      <c r="L52" s="383"/>
      <c r="M52" s="383"/>
      <c r="N52" s="383"/>
      <c r="O52" s="383"/>
      <c r="P52" s="383"/>
      <c r="Q52" s="383"/>
      <c r="R52" s="391">
        <f>H52+D52+C52</f>
        <v>0</v>
      </c>
      <c r="S52" s="415"/>
      <c r="T52" s="401"/>
      <c r="U52" s="401"/>
      <c r="V52" s="400"/>
      <c r="W52" s="400"/>
      <c r="X52" s="400"/>
      <c r="Y52" s="400"/>
      <c r="Z52" s="400"/>
      <c r="AA52" s="400"/>
      <c r="AB52" s="400"/>
      <c r="AC52" s="400"/>
      <c r="AD52" s="400"/>
      <c r="AE52" s="400"/>
      <c r="AF52" s="400"/>
      <c r="AG52" s="400"/>
      <c r="AH52" s="400"/>
      <c r="AI52" s="400"/>
      <c r="AJ52" s="400"/>
      <c r="AK52" s="400"/>
      <c r="AL52" s="400"/>
      <c r="AM52" s="400"/>
      <c r="AN52" s="400"/>
      <c r="AO52" s="400"/>
      <c r="AP52" s="400"/>
      <c r="AQ52" s="400"/>
      <c r="AR52" s="400"/>
      <c r="AS52" s="400"/>
      <c r="AT52" s="400"/>
      <c r="AU52" s="400"/>
      <c r="AV52" s="400"/>
      <c r="AW52" s="400"/>
      <c r="AX52" s="400"/>
      <c r="AY52" s="400"/>
      <c r="AZ52" s="400"/>
      <c r="BA52" s="400"/>
      <c r="BB52" s="400"/>
      <c r="BC52" s="400"/>
      <c r="BD52" s="400"/>
      <c r="BE52" s="400"/>
      <c r="BF52" s="400"/>
      <c r="BG52" s="400"/>
      <c r="BH52" s="400"/>
      <c r="BI52" s="400"/>
      <c r="BJ52" s="400"/>
      <c r="BK52" s="400"/>
      <c r="BL52" s="400"/>
      <c r="BM52" s="400"/>
      <c r="BN52" s="400"/>
      <c r="BO52" s="400"/>
      <c r="BP52" s="400"/>
      <c r="BQ52" s="400"/>
      <c r="BR52" s="400"/>
      <c r="BS52" s="400"/>
      <c r="BT52" s="400"/>
      <c r="BU52" s="400"/>
      <c r="BV52" s="400"/>
      <c r="BW52" s="400"/>
      <c r="BX52" s="400"/>
      <c r="BY52" s="400"/>
      <c r="BZ52" s="400"/>
      <c r="CA52" s="400"/>
      <c r="CB52" s="400"/>
      <c r="CC52" s="400"/>
      <c r="CD52" s="400"/>
      <c r="CE52" s="400"/>
      <c r="CF52" s="400"/>
      <c r="CG52" s="400"/>
      <c r="CH52" s="400"/>
      <c r="CI52" s="400"/>
      <c r="CJ52" s="400"/>
      <c r="CK52" s="400"/>
      <c r="CL52" s="400"/>
      <c r="CM52" s="400"/>
      <c r="CN52" s="400"/>
      <c r="CO52" s="400"/>
      <c r="CP52" s="400"/>
      <c r="CQ52" s="400"/>
      <c r="CR52" s="400"/>
      <c r="CS52" s="400"/>
      <c r="CT52" s="400"/>
      <c r="CU52" s="400"/>
      <c r="CV52" s="400"/>
      <c r="CW52" s="400"/>
      <c r="CX52" s="400"/>
      <c r="CY52" s="400"/>
      <c r="CZ52" s="400"/>
      <c r="DA52" s="400"/>
      <c r="DB52" s="400"/>
      <c r="DC52" s="400"/>
      <c r="DD52" s="400"/>
      <c r="DE52" s="400"/>
      <c r="DF52" s="400"/>
      <c r="DG52" s="400"/>
      <c r="DH52" s="400"/>
      <c r="DI52" s="400"/>
      <c r="DJ52" s="400"/>
      <c r="DK52" s="400"/>
      <c r="DL52" s="400"/>
      <c r="DM52" s="400"/>
      <c r="DN52" s="400"/>
      <c r="DO52" s="400"/>
      <c r="DP52" s="400"/>
      <c r="DQ52" s="400"/>
      <c r="DR52" s="400"/>
      <c r="DS52" s="400"/>
      <c r="DT52" s="400"/>
      <c r="DU52" s="400"/>
      <c r="DV52" s="400"/>
      <c r="DW52" s="400"/>
      <c r="DX52" s="400"/>
      <c r="DY52" s="400"/>
      <c r="DZ52" s="400"/>
      <c r="EA52" s="400"/>
      <c r="EB52" s="400"/>
      <c r="EC52" s="400"/>
      <c r="ED52" s="400"/>
      <c r="EE52" s="400"/>
      <c r="EF52" s="400"/>
      <c r="EG52" s="400"/>
      <c r="EH52" s="400"/>
      <c r="EI52" s="400"/>
      <c r="EJ52" s="400"/>
      <c r="EK52" s="400"/>
      <c r="EL52" s="400"/>
      <c r="EM52" s="400"/>
      <c r="EN52" s="400"/>
      <c r="EO52" s="400"/>
      <c r="EP52" s="400"/>
      <c r="EQ52" s="400"/>
      <c r="ER52" s="400"/>
      <c r="ES52" s="400"/>
      <c r="ET52" s="400"/>
      <c r="EU52" s="400"/>
      <c r="EV52" s="400"/>
      <c r="EW52" s="400"/>
      <c r="EX52" s="400"/>
      <c r="EY52" s="400"/>
      <c r="EZ52" s="400"/>
      <c r="FA52" s="400"/>
      <c r="FB52" s="400"/>
      <c r="FC52" s="400"/>
      <c r="FD52" s="400"/>
      <c r="FE52" s="400"/>
      <c r="FF52" s="400"/>
      <c r="FG52" s="400"/>
      <c r="FH52" s="400"/>
      <c r="FI52" s="400"/>
      <c r="FJ52" s="400"/>
      <c r="FK52" s="400"/>
      <c r="FL52" s="400"/>
      <c r="FM52" s="400"/>
      <c r="FN52" s="400"/>
      <c r="FO52" s="400"/>
      <c r="FP52" s="400"/>
      <c r="FQ52" s="400"/>
      <c r="FR52" s="400"/>
      <c r="FS52" s="400"/>
      <c r="FT52" s="400"/>
      <c r="FU52" s="400"/>
      <c r="FV52" s="400"/>
      <c r="FW52" s="400"/>
      <c r="FX52" s="400"/>
      <c r="FY52" s="400"/>
      <c r="FZ52" s="400"/>
      <c r="GA52" s="400"/>
      <c r="GB52" s="400"/>
      <c r="GC52" s="400"/>
      <c r="GD52" s="400"/>
      <c r="GE52" s="400"/>
      <c r="GF52" s="400"/>
      <c r="GG52" s="400"/>
      <c r="GH52" s="400"/>
      <c r="GI52" s="400"/>
      <c r="GJ52" s="400"/>
      <c r="GK52" s="400"/>
      <c r="GL52" s="400"/>
      <c r="GM52" s="400"/>
      <c r="GN52" s="400"/>
      <c r="GO52" s="400"/>
      <c r="GP52" s="400"/>
      <c r="GQ52" s="400"/>
      <c r="GR52" s="400"/>
      <c r="GS52" s="400"/>
      <c r="GT52" s="400"/>
      <c r="GU52" s="400"/>
      <c r="GV52" s="400"/>
      <c r="GW52" s="400"/>
      <c r="GX52" s="400"/>
      <c r="GY52" s="400"/>
      <c r="GZ52" s="400"/>
      <c r="HA52" s="400"/>
      <c r="HB52" s="400"/>
      <c r="HC52" s="400"/>
      <c r="HD52" s="400"/>
      <c r="HE52" s="400"/>
      <c r="HF52" s="400"/>
      <c r="HG52" s="400"/>
      <c r="HH52" s="400"/>
      <c r="HI52" s="400"/>
      <c r="HJ52" s="400"/>
      <c r="HK52" s="400"/>
      <c r="HL52" s="400"/>
      <c r="HM52" s="400"/>
      <c r="HN52" s="400"/>
      <c r="HO52" s="400"/>
      <c r="HP52" s="400"/>
      <c r="HQ52" s="400"/>
      <c r="HR52" s="400"/>
      <c r="HS52" s="400"/>
      <c r="HT52" s="400"/>
      <c r="HU52" s="400"/>
      <c r="HV52" s="400"/>
      <c r="HW52" s="400"/>
      <c r="HX52" s="400"/>
      <c r="HY52" s="400"/>
      <c r="HZ52" s="400"/>
      <c r="IA52" s="400"/>
      <c r="IB52" s="400"/>
      <c r="IC52" s="400"/>
      <c r="ID52" s="400"/>
      <c r="IE52" s="400"/>
      <c r="IF52" s="400"/>
      <c r="IG52" s="400"/>
      <c r="IH52" s="400"/>
      <c r="II52" s="400"/>
    </row>
    <row r="53" spans="1:243" x14ac:dyDescent="0.2">
      <c r="A53" s="387">
        <v>25.1</v>
      </c>
      <c r="B53" s="383"/>
      <c r="C53" s="481">
        <v>0.31990000000000002</v>
      </c>
      <c r="D53" s="481">
        <v>0.31990000000000002</v>
      </c>
      <c r="E53" s="383"/>
      <c r="F53" s="383"/>
      <c r="G53" s="383"/>
      <c r="H53" s="481">
        <v>0.33048</v>
      </c>
      <c r="I53" s="383"/>
      <c r="J53" s="383"/>
      <c r="K53" s="383"/>
      <c r="L53" s="383"/>
      <c r="M53" s="383"/>
      <c r="N53" s="383"/>
      <c r="O53" s="383"/>
      <c r="P53" s="383"/>
      <c r="Q53" s="383"/>
      <c r="R53" s="399"/>
      <c r="S53" s="400"/>
      <c r="T53" s="401"/>
      <c r="U53" s="401"/>
      <c r="V53" s="400"/>
      <c r="W53" s="400"/>
      <c r="X53" s="400"/>
      <c r="Y53" s="400"/>
      <c r="Z53" s="400"/>
      <c r="AA53" s="400"/>
      <c r="AB53" s="400"/>
      <c r="AC53" s="400"/>
      <c r="AD53" s="400"/>
      <c r="AE53" s="400"/>
      <c r="AF53" s="400"/>
      <c r="AG53" s="400"/>
      <c r="AH53" s="400"/>
      <c r="AI53" s="400"/>
      <c r="AJ53" s="400"/>
      <c r="AK53" s="400"/>
      <c r="AL53" s="400"/>
      <c r="AM53" s="400"/>
      <c r="AN53" s="400"/>
      <c r="AO53" s="400"/>
      <c r="AP53" s="400"/>
      <c r="AQ53" s="400"/>
      <c r="AR53" s="400"/>
      <c r="AS53" s="400"/>
      <c r="AT53" s="400"/>
      <c r="AU53" s="400"/>
      <c r="AV53" s="400"/>
      <c r="AW53" s="400"/>
      <c r="AX53" s="400"/>
      <c r="AY53" s="400"/>
      <c r="AZ53" s="400"/>
      <c r="BA53" s="400"/>
      <c r="BB53" s="400"/>
      <c r="BC53" s="400"/>
      <c r="BD53" s="400"/>
      <c r="BE53" s="400"/>
      <c r="BF53" s="400"/>
      <c r="BG53" s="400"/>
      <c r="BH53" s="400"/>
      <c r="BI53" s="400"/>
      <c r="BJ53" s="400"/>
      <c r="BK53" s="400"/>
      <c r="BL53" s="400"/>
      <c r="BM53" s="400"/>
      <c r="BN53" s="400"/>
      <c r="BO53" s="400"/>
      <c r="BP53" s="400"/>
      <c r="BQ53" s="400"/>
      <c r="BR53" s="400"/>
      <c r="BS53" s="400"/>
      <c r="BT53" s="400"/>
      <c r="BU53" s="400"/>
      <c r="BV53" s="400"/>
      <c r="BW53" s="400"/>
      <c r="BX53" s="400"/>
      <c r="BY53" s="400"/>
      <c r="BZ53" s="400"/>
      <c r="CA53" s="400"/>
      <c r="CB53" s="400"/>
      <c r="CC53" s="400"/>
      <c r="CD53" s="400"/>
      <c r="CE53" s="400"/>
      <c r="CF53" s="400"/>
      <c r="CG53" s="400"/>
      <c r="CH53" s="400"/>
      <c r="CI53" s="400"/>
      <c r="CJ53" s="400"/>
      <c r="CK53" s="400"/>
      <c r="CL53" s="400"/>
      <c r="CM53" s="400"/>
      <c r="CN53" s="400"/>
      <c r="CO53" s="400"/>
      <c r="CP53" s="400"/>
      <c r="CQ53" s="400"/>
      <c r="CR53" s="400"/>
      <c r="CS53" s="400"/>
      <c r="CT53" s="400"/>
      <c r="CU53" s="400"/>
      <c r="CV53" s="400"/>
      <c r="CW53" s="400"/>
      <c r="CX53" s="400"/>
      <c r="CY53" s="400"/>
      <c r="CZ53" s="400"/>
      <c r="DA53" s="400"/>
      <c r="DB53" s="400"/>
      <c r="DC53" s="400"/>
      <c r="DD53" s="400"/>
      <c r="DE53" s="400"/>
      <c r="DF53" s="400"/>
      <c r="DG53" s="400"/>
      <c r="DH53" s="400"/>
      <c r="DI53" s="400"/>
      <c r="DJ53" s="400"/>
      <c r="DK53" s="400"/>
      <c r="DL53" s="400"/>
      <c r="DM53" s="400"/>
      <c r="DN53" s="400"/>
      <c r="DO53" s="400"/>
      <c r="DP53" s="400"/>
      <c r="DQ53" s="400"/>
      <c r="DR53" s="400"/>
      <c r="DS53" s="400"/>
      <c r="DT53" s="400"/>
      <c r="DU53" s="400"/>
      <c r="DV53" s="400"/>
      <c r="DW53" s="400"/>
      <c r="DX53" s="400"/>
      <c r="DY53" s="400"/>
      <c r="DZ53" s="400"/>
      <c r="EA53" s="400"/>
      <c r="EB53" s="400"/>
      <c r="EC53" s="400"/>
      <c r="ED53" s="400"/>
      <c r="EE53" s="400"/>
      <c r="EF53" s="400"/>
      <c r="EG53" s="400"/>
      <c r="EH53" s="400"/>
      <c r="EI53" s="400"/>
      <c r="EJ53" s="400"/>
      <c r="EK53" s="400"/>
      <c r="EL53" s="400"/>
      <c r="EM53" s="400"/>
      <c r="EN53" s="400"/>
      <c r="EO53" s="400"/>
      <c r="EP53" s="400"/>
      <c r="EQ53" s="400"/>
      <c r="ER53" s="400"/>
      <c r="ES53" s="400"/>
      <c r="ET53" s="400"/>
      <c r="EU53" s="400"/>
      <c r="EV53" s="400"/>
      <c r="EW53" s="400"/>
      <c r="EX53" s="400"/>
      <c r="EY53" s="400"/>
      <c r="EZ53" s="400"/>
      <c r="FA53" s="400"/>
      <c r="FB53" s="400"/>
      <c r="FC53" s="400"/>
      <c r="FD53" s="400"/>
      <c r="FE53" s="400"/>
      <c r="FF53" s="400"/>
      <c r="FG53" s="400"/>
      <c r="FH53" s="400"/>
      <c r="FI53" s="400"/>
      <c r="FJ53" s="400"/>
      <c r="FK53" s="400"/>
      <c r="FL53" s="400"/>
      <c r="FM53" s="400"/>
      <c r="FN53" s="400"/>
      <c r="FO53" s="400"/>
      <c r="FP53" s="400"/>
      <c r="FQ53" s="400"/>
      <c r="FR53" s="400"/>
      <c r="FS53" s="400"/>
      <c r="FT53" s="400"/>
      <c r="FU53" s="400"/>
      <c r="FV53" s="400"/>
      <c r="FW53" s="400"/>
      <c r="FX53" s="400"/>
      <c r="FY53" s="400"/>
      <c r="FZ53" s="400"/>
      <c r="GA53" s="400"/>
      <c r="GB53" s="400"/>
      <c r="GC53" s="400"/>
      <c r="GD53" s="400"/>
      <c r="GE53" s="400"/>
      <c r="GF53" s="400"/>
      <c r="GG53" s="400"/>
      <c r="GH53" s="400"/>
      <c r="GI53" s="400"/>
      <c r="GJ53" s="400"/>
      <c r="GK53" s="400"/>
      <c r="GL53" s="400"/>
      <c r="GM53" s="400"/>
      <c r="GN53" s="400"/>
      <c r="GO53" s="400"/>
      <c r="GP53" s="400"/>
      <c r="GQ53" s="400"/>
      <c r="GR53" s="400"/>
      <c r="GS53" s="400"/>
      <c r="GT53" s="400"/>
      <c r="GU53" s="400"/>
      <c r="GV53" s="400"/>
      <c r="GW53" s="400"/>
      <c r="GX53" s="400"/>
      <c r="GY53" s="400"/>
      <c r="GZ53" s="400"/>
      <c r="HA53" s="400"/>
      <c r="HB53" s="400"/>
      <c r="HC53" s="400"/>
      <c r="HD53" s="400"/>
      <c r="HE53" s="400"/>
      <c r="HF53" s="400"/>
      <c r="HG53" s="400"/>
      <c r="HH53" s="400"/>
      <c r="HI53" s="400"/>
      <c r="HJ53" s="400"/>
      <c r="HK53" s="400"/>
      <c r="HL53" s="400"/>
      <c r="HM53" s="400"/>
      <c r="HN53" s="400"/>
      <c r="HO53" s="400"/>
      <c r="HP53" s="400"/>
      <c r="HQ53" s="400"/>
      <c r="HR53" s="400"/>
      <c r="HS53" s="400"/>
      <c r="HT53" s="400"/>
      <c r="HU53" s="400"/>
      <c r="HV53" s="400"/>
      <c r="HW53" s="400"/>
      <c r="HX53" s="400"/>
      <c r="HY53" s="400"/>
      <c r="HZ53" s="400"/>
      <c r="IA53" s="400"/>
      <c r="IB53" s="400"/>
      <c r="IC53" s="400"/>
      <c r="ID53" s="400"/>
      <c r="IE53" s="400"/>
      <c r="IF53" s="400"/>
      <c r="IG53" s="400"/>
      <c r="IH53" s="400"/>
      <c r="II53" s="400"/>
    </row>
    <row r="54" spans="1:243" s="412" customFormat="1" ht="15.75" customHeight="1" x14ac:dyDescent="0.2">
      <c r="A54" s="405"/>
      <c r="B54" s="405" t="s">
        <v>76</v>
      </c>
      <c r="C54" s="407">
        <v>0.96302299999999996</v>
      </c>
      <c r="D54" s="407">
        <v>0.993448</v>
      </c>
      <c r="E54" s="407"/>
      <c r="F54" s="407"/>
      <c r="G54" s="407"/>
      <c r="H54" s="407">
        <v>1.0095559999999999</v>
      </c>
      <c r="I54" s="407"/>
      <c r="J54" s="407"/>
      <c r="K54" s="407"/>
      <c r="L54" s="407"/>
      <c r="M54" s="407"/>
      <c r="N54" s="407"/>
      <c r="O54" s="407"/>
      <c r="P54" s="407"/>
      <c r="Q54" s="407"/>
      <c r="R54" s="407"/>
      <c r="S54" s="411"/>
      <c r="T54" s="410"/>
      <c r="U54" s="410"/>
      <c r="V54" s="411"/>
      <c r="W54" s="411"/>
      <c r="X54" s="411"/>
      <c r="Y54" s="411"/>
      <c r="Z54" s="411"/>
      <c r="AA54" s="411"/>
      <c r="AB54" s="411"/>
      <c r="AC54" s="411"/>
      <c r="AD54" s="411"/>
      <c r="AE54" s="411"/>
      <c r="AF54" s="411"/>
      <c r="AG54" s="411"/>
      <c r="AH54" s="411"/>
      <c r="AI54" s="411"/>
      <c r="AJ54" s="411"/>
      <c r="AK54" s="411"/>
      <c r="AL54" s="411"/>
      <c r="AM54" s="411"/>
      <c r="AN54" s="411"/>
      <c r="AO54" s="411"/>
      <c r="AP54" s="411"/>
      <c r="AQ54" s="411"/>
      <c r="AR54" s="411"/>
      <c r="AS54" s="411"/>
      <c r="AT54" s="411"/>
      <c r="AU54" s="411"/>
      <c r="AV54" s="411"/>
      <c r="AW54" s="411"/>
      <c r="AX54" s="411"/>
      <c r="AY54" s="411"/>
      <c r="AZ54" s="411"/>
      <c r="BA54" s="411"/>
      <c r="BB54" s="411"/>
      <c r="BC54" s="411"/>
      <c r="BD54" s="411"/>
      <c r="BE54" s="411"/>
      <c r="BF54" s="411"/>
      <c r="BG54" s="411"/>
      <c r="BH54" s="411"/>
      <c r="BI54" s="411"/>
      <c r="BJ54" s="411"/>
      <c r="BK54" s="411"/>
      <c r="BL54" s="411"/>
      <c r="BM54" s="411"/>
      <c r="BN54" s="411"/>
      <c r="BO54" s="411"/>
      <c r="BP54" s="411"/>
      <c r="BQ54" s="411"/>
      <c r="BR54" s="411"/>
      <c r="BS54" s="411"/>
      <c r="BT54" s="411"/>
      <c r="BU54" s="411"/>
      <c r="BV54" s="411"/>
      <c r="BW54" s="411"/>
      <c r="BX54" s="411"/>
      <c r="BY54" s="411"/>
      <c r="BZ54" s="411"/>
      <c r="CA54" s="411"/>
      <c r="CB54" s="411"/>
      <c r="CC54" s="411"/>
      <c r="CD54" s="411"/>
      <c r="CE54" s="411"/>
      <c r="CF54" s="411"/>
      <c r="CG54" s="411"/>
      <c r="CH54" s="411"/>
      <c r="CI54" s="411"/>
      <c r="CJ54" s="411"/>
      <c r="CK54" s="411"/>
      <c r="CL54" s="411"/>
      <c r="CM54" s="411"/>
      <c r="CN54" s="411"/>
      <c r="CO54" s="411"/>
      <c r="CP54" s="411"/>
      <c r="CQ54" s="411"/>
      <c r="CR54" s="411"/>
      <c r="CS54" s="411"/>
      <c r="CT54" s="411"/>
      <c r="CU54" s="411"/>
      <c r="CV54" s="411"/>
      <c r="CW54" s="411"/>
      <c r="CX54" s="411"/>
      <c r="CY54" s="411"/>
      <c r="CZ54" s="411"/>
      <c r="DA54" s="411"/>
      <c r="DB54" s="411"/>
      <c r="DC54" s="411"/>
      <c r="DD54" s="411"/>
      <c r="DE54" s="411"/>
      <c r="DF54" s="411"/>
      <c r="DG54" s="411"/>
      <c r="DH54" s="411"/>
      <c r="DI54" s="411"/>
      <c r="DJ54" s="411"/>
      <c r="DK54" s="411"/>
      <c r="DL54" s="411"/>
      <c r="DM54" s="411"/>
      <c r="DN54" s="411"/>
      <c r="DO54" s="411"/>
      <c r="DP54" s="411"/>
      <c r="DQ54" s="411"/>
      <c r="DR54" s="411"/>
      <c r="DS54" s="411"/>
      <c r="DT54" s="411"/>
      <c r="DU54" s="411"/>
      <c r="DV54" s="411"/>
      <c r="DW54" s="411"/>
      <c r="DX54" s="411"/>
      <c r="DY54" s="411"/>
      <c r="DZ54" s="411"/>
      <c r="EA54" s="411"/>
      <c r="EB54" s="411"/>
      <c r="EC54" s="411"/>
      <c r="ED54" s="411"/>
      <c r="EE54" s="411"/>
      <c r="EF54" s="411"/>
      <c r="EG54" s="411"/>
      <c r="EH54" s="411"/>
      <c r="EI54" s="411"/>
      <c r="EJ54" s="411"/>
      <c r="EK54" s="411"/>
      <c r="EL54" s="411"/>
      <c r="EM54" s="411"/>
      <c r="EN54" s="411"/>
      <c r="EO54" s="411"/>
      <c r="EP54" s="411"/>
      <c r="EQ54" s="411"/>
      <c r="ER54" s="411"/>
      <c r="ES54" s="411"/>
      <c r="ET54" s="411"/>
      <c r="EU54" s="411"/>
      <c r="EV54" s="411"/>
      <c r="EW54" s="411"/>
      <c r="EX54" s="411"/>
      <c r="EY54" s="411"/>
      <c r="EZ54" s="411"/>
      <c r="FA54" s="411"/>
      <c r="FB54" s="411"/>
      <c r="FC54" s="411"/>
      <c r="FD54" s="411"/>
      <c r="FE54" s="411"/>
      <c r="FF54" s="411"/>
      <c r="FG54" s="411"/>
      <c r="FH54" s="411"/>
      <c r="FI54" s="411"/>
      <c r="FJ54" s="411"/>
      <c r="FK54" s="411"/>
      <c r="FL54" s="411"/>
      <c r="FM54" s="411"/>
      <c r="FN54" s="411"/>
      <c r="FO54" s="411"/>
      <c r="FP54" s="411"/>
      <c r="FQ54" s="411"/>
      <c r="FR54" s="411"/>
      <c r="FS54" s="411"/>
      <c r="FT54" s="411"/>
      <c r="FU54" s="411"/>
      <c r="FV54" s="411"/>
      <c r="FW54" s="411"/>
      <c r="FX54" s="411"/>
      <c r="FY54" s="411"/>
      <c r="FZ54" s="411"/>
      <c r="GA54" s="411"/>
      <c r="GB54" s="411"/>
      <c r="GC54" s="411"/>
      <c r="GD54" s="411"/>
      <c r="GE54" s="411"/>
      <c r="GF54" s="411"/>
      <c r="GG54" s="411"/>
      <c r="GH54" s="411"/>
      <c r="GI54" s="411"/>
      <c r="GJ54" s="411"/>
      <c r="GK54" s="411"/>
      <c r="GL54" s="411"/>
      <c r="GM54" s="411"/>
      <c r="GN54" s="411"/>
      <c r="GO54" s="411"/>
      <c r="GP54" s="411"/>
      <c r="GQ54" s="411"/>
      <c r="GR54" s="411"/>
      <c r="GS54" s="411"/>
      <c r="GT54" s="411"/>
      <c r="GU54" s="411"/>
      <c r="GV54" s="411"/>
      <c r="GW54" s="411"/>
      <c r="GX54" s="411"/>
      <c r="GY54" s="411"/>
      <c r="GZ54" s="411"/>
      <c r="HA54" s="411"/>
      <c r="HB54" s="411"/>
      <c r="HC54" s="411"/>
      <c r="HD54" s="411"/>
      <c r="HE54" s="411"/>
      <c r="HF54" s="411"/>
      <c r="HG54" s="411"/>
      <c r="HH54" s="411"/>
      <c r="HI54" s="411"/>
      <c r="HJ54" s="411"/>
      <c r="HK54" s="411"/>
      <c r="HL54" s="411"/>
      <c r="HM54" s="411"/>
      <c r="HN54" s="411"/>
      <c r="HO54" s="411"/>
      <c r="HP54" s="411"/>
      <c r="HQ54" s="411"/>
      <c r="HR54" s="411"/>
      <c r="HS54" s="411"/>
      <c r="HT54" s="411"/>
      <c r="HU54" s="411"/>
      <c r="HV54" s="411"/>
      <c r="HW54" s="411"/>
      <c r="HX54" s="411"/>
      <c r="HY54" s="411"/>
      <c r="HZ54" s="411"/>
      <c r="IA54" s="411"/>
      <c r="IB54" s="411"/>
      <c r="IC54" s="411"/>
      <c r="ID54" s="411"/>
      <c r="IE54" s="411"/>
      <c r="IF54" s="411"/>
      <c r="IG54" s="411"/>
      <c r="IH54" s="411"/>
      <c r="II54" s="411"/>
    </row>
    <row r="55" spans="1:243" s="480" customFormat="1" x14ac:dyDescent="0.2">
      <c r="A55" s="475"/>
      <c r="B55" s="475" t="s">
        <v>60</v>
      </c>
      <c r="C55" s="476">
        <f>ROUND(C54*C53*C52,2)</f>
        <v>0</v>
      </c>
      <c r="D55" s="476">
        <f>ROUND(D54*D53*D52,2)</f>
        <v>0</v>
      </c>
      <c r="E55" s="475"/>
      <c r="F55" s="475"/>
      <c r="G55" s="475"/>
      <c r="H55" s="476">
        <f>ROUND(H54*H53*H52,2)</f>
        <v>0</v>
      </c>
      <c r="I55" s="475"/>
      <c r="J55" s="475"/>
      <c r="K55" s="475"/>
      <c r="L55" s="475"/>
      <c r="M55" s="475"/>
      <c r="N55" s="475"/>
      <c r="O55" s="475"/>
      <c r="P55" s="475"/>
      <c r="Q55" s="475"/>
      <c r="R55" s="476">
        <f>D55+H55+C55</f>
        <v>0</v>
      </c>
      <c r="T55" s="486"/>
      <c r="U55" s="486"/>
    </row>
    <row r="56" spans="1:243" s="400" customFormat="1" x14ac:dyDescent="0.2">
      <c r="A56" s="382" t="s">
        <v>73</v>
      </c>
      <c r="B56" s="386" t="s">
        <v>59</v>
      </c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91">
        <v>70831</v>
      </c>
      <c r="T56" s="401"/>
      <c r="U56" s="401"/>
    </row>
    <row r="57" spans="1:243" s="479" customFormat="1" x14ac:dyDescent="0.2">
      <c r="A57" s="475">
        <v>62.5</v>
      </c>
      <c r="B57" s="475" t="s">
        <v>60</v>
      </c>
      <c r="C57" s="475"/>
      <c r="D57" s="475"/>
      <c r="E57" s="475"/>
      <c r="F57" s="475"/>
      <c r="G57" s="475"/>
      <c r="H57" s="475"/>
      <c r="I57" s="475"/>
      <c r="J57" s="475"/>
      <c r="K57" s="475"/>
      <c r="L57" s="475"/>
      <c r="M57" s="475"/>
      <c r="N57" s="475"/>
      <c r="O57" s="475"/>
      <c r="P57" s="475"/>
      <c r="Q57" s="475"/>
      <c r="R57" s="508">
        <v>29957.919999999998</v>
      </c>
      <c r="S57" s="539">
        <v>4993</v>
      </c>
      <c r="T57" s="478" t="s">
        <v>326</v>
      </c>
      <c r="U57" s="478"/>
    </row>
    <row r="58" spans="1:243" s="400" customFormat="1" x14ac:dyDescent="0.2">
      <c r="A58" s="382" t="s">
        <v>68</v>
      </c>
      <c r="B58" s="386" t="s">
        <v>59</v>
      </c>
      <c r="C58" s="386"/>
      <c r="D58" s="386"/>
      <c r="E58" s="386"/>
      <c r="F58" s="386"/>
      <c r="G58" s="386"/>
      <c r="H58" s="386"/>
      <c r="I58" s="386"/>
      <c r="J58" s="386"/>
      <c r="K58" s="386"/>
      <c r="L58" s="386"/>
      <c r="M58" s="386"/>
      <c r="N58" s="386"/>
      <c r="O58" s="386"/>
      <c r="P58" s="386"/>
      <c r="Q58" s="386"/>
      <c r="R58" s="391">
        <v>34133</v>
      </c>
      <c r="S58" s="416" t="s">
        <v>259</v>
      </c>
      <c r="T58" s="401"/>
      <c r="U58" s="401"/>
    </row>
    <row r="59" spans="1:243" s="480" customFormat="1" x14ac:dyDescent="0.2">
      <c r="A59" s="475">
        <v>20.41</v>
      </c>
      <c r="B59" s="475" t="s">
        <v>60</v>
      </c>
      <c r="C59" s="475"/>
      <c r="D59" s="475"/>
      <c r="E59" s="475"/>
      <c r="F59" s="475"/>
      <c r="G59" s="475"/>
      <c r="H59" s="475"/>
      <c r="I59" s="475"/>
      <c r="J59" s="475"/>
      <c r="K59" s="475"/>
      <c r="L59" s="475"/>
      <c r="M59" s="475"/>
      <c r="N59" s="475"/>
      <c r="O59" s="475"/>
      <c r="P59" s="475"/>
      <c r="Q59" s="475"/>
      <c r="R59" s="509">
        <v>6469.02</v>
      </c>
      <c r="S59" s="501"/>
      <c r="T59" s="486"/>
      <c r="U59" s="478"/>
    </row>
    <row r="60" spans="1:243" x14ac:dyDescent="0.2">
      <c r="A60" s="385" t="s">
        <v>68</v>
      </c>
      <c r="B60" s="386" t="s">
        <v>59</v>
      </c>
      <c r="C60" s="383"/>
      <c r="D60" s="383"/>
      <c r="E60" s="383"/>
      <c r="F60" s="383"/>
      <c r="G60" s="383"/>
      <c r="H60" s="383"/>
      <c r="I60" s="383"/>
      <c r="J60" s="383"/>
      <c r="K60" s="383"/>
      <c r="L60" s="383"/>
      <c r="M60" s="383"/>
      <c r="N60" s="383"/>
      <c r="O60" s="383"/>
      <c r="P60" s="383"/>
      <c r="Q60" s="383"/>
      <c r="R60" s="391">
        <v>46370</v>
      </c>
      <c r="S60" s="416" t="s">
        <v>188</v>
      </c>
      <c r="T60" s="397"/>
      <c r="U60" s="401"/>
    </row>
    <row r="61" spans="1:243" s="480" customFormat="1" x14ac:dyDescent="0.2">
      <c r="A61" s="717">
        <v>20.399999999999999</v>
      </c>
      <c r="B61" s="475" t="s">
        <v>60</v>
      </c>
      <c r="C61" s="475"/>
      <c r="D61" s="475"/>
      <c r="E61" s="475"/>
      <c r="F61" s="475"/>
      <c r="G61" s="475"/>
      <c r="H61" s="475"/>
      <c r="I61" s="475"/>
      <c r="J61" s="475"/>
      <c r="K61" s="475"/>
      <c r="L61" s="475"/>
      <c r="M61" s="475"/>
      <c r="N61" s="475"/>
      <c r="O61" s="475"/>
      <c r="P61" s="475"/>
      <c r="Q61" s="475"/>
      <c r="R61" s="491">
        <v>18775.16</v>
      </c>
      <c r="T61" s="486"/>
      <c r="U61" s="478"/>
    </row>
    <row r="62" spans="1:243" x14ac:dyDescent="0.2">
      <c r="A62" s="385" t="s">
        <v>376</v>
      </c>
      <c r="B62" s="386" t="s">
        <v>109</v>
      </c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6"/>
      <c r="O62" s="386"/>
      <c r="P62" s="386"/>
      <c r="Q62" s="386"/>
      <c r="R62" s="391">
        <v>113</v>
      </c>
      <c r="S62" s="392"/>
      <c r="T62" s="397"/>
      <c r="U62" s="401"/>
    </row>
    <row r="63" spans="1:243" s="480" customFormat="1" ht="24" customHeight="1" x14ac:dyDescent="0.2">
      <c r="A63" s="475"/>
      <c r="B63" s="475" t="s">
        <v>60</v>
      </c>
      <c r="C63" s="475"/>
      <c r="D63" s="475"/>
      <c r="E63" s="475"/>
      <c r="F63" s="475"/>
      <c r="G63" s="475"/>
      <c r="H63" s="475"/>
      <c r="I63" s="475"/>
      <c r="J63" s="475"/>
      <c r="K63" s="475"/>
      <c r="L63" s="475"/>
      <c r="M63" s="476"/>
      <c r="N63" s="476"/>
      <c r="O63" s="476"/>
      <c r="P63" s="476"/>
      <c r="Q63" s="476"/>
      <c r="R63" s="491">
        <v>49.66</v>
      </c>
      <c r="S63" s="492">
        <v>8.2799999999999994</v>
      </c>
      <c r="T63" s="486"/>
      <c r="U63" s="486"/>
    </row>
    <row r="64" spans="1:243" x14ac:dyDescent="0.2">
      <c r="A64" s="385" t="s">
        <v>69</v>
      </c>
      <c r="B64" s="386" t="s">
        <v>59</v>
      </c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407"/>
      <c r="N64" s="383"/>
      <c r="O64" s="383"/>
      <c r="P64" s="383"/>
      <c r="Q64" s="386">
        <v>1007</v>
      </c>
      <c r="R64" s="391">
        <f>Q64</f>
        <v>1007</v>
      </c>
      <c r="T64" s="397"/>
      <c r="U64" s="397"/>
    </row>
    <row r="65" spans="1:23" x14ac:dyDescent="0.2">
      <c r="A65" s="387"/>
      <c r="B65" s="383"/>
      <c r="C65" s="383"/>
      <c r="D65" s="383"/>
      <c r="E65" s="383"/>
      <c r="F65" s="383"/>
      <c r="G65" s="383"/>
      <c r="H65" s="383"/>
      <c r="I65" s="383"/>
      <c r="J65" s="383"/>
      <c r="K65" s="383"/>
      <c r="L65" s="383"/>
      <c r="M65" s="383"/>
      <c r="N65" s="383"/>
      <c r="O65" s="383"/>
      <c r="P65" s="383"/>
      <c r="Q65" s="481">
        <v>0.33048</v>
      </c>
      <c r="R65" s="481"/>
      <c r="T65" s="397"/>
      <c r="U65" s="397"/>
      <c r="W65" s="392"/>
    </row>
    <row r="66" spans="1:23" s="412" customFormat="1" x14ac:dyDescent="0.2">
      <c r="A66" s="405"/>
      <c r="B66" s="405" t="s">
        <v>76</v>
      </c>
      <c r="C66" s="405"/>
      <c r="D66" s="405"/>
      <c r="E66" s="405"/>
      <c r="F66" s="405"/>
      <c r="G66" s="405"/>
      <c r="H66" s="405"/>
      <c r="I66" s="405"/>
      <c r="J66" s="405"/>
      <c r="K66" s="405"/>
      <c r="L66" s="405"/>
      <c r="M66" s="405"/>
      <c r="N66" s="405"/>
      <c r="O66" s="405"/>
      <c r="P66" s="405"/>
      <c r="Q66" s="407">
        <v>1.1080239999999999</v>
      </c>
      <c r="R66" s="407"/>
      <c r="T66" s="417"/>
      <c r="U66" s="417"/>
      <c r="W66" s="392"/>
    </row>
    <row r="67" spans="1:23" s="480" customFormat="1" x14ac:dyDescent="0.2">
      <c r="A67" s="475">
        <v>23.4</v>
      </c>
      <c r="B67" s="475" t="s">
        <v>60</v>
      </c>
      <c r="C67" s="475"/>
      <c r="D67" s="475"/>
      <c r="E67" s="475"/>
      <c r="F67" s="475"/>
      <c r="G67" s="475"/>
      <c r="H67" s="475"/>
      <c r="I67" s="475"/>
      <c r="J67" s="475"/>
      <c r="K67" s="475"/>
      <c r="L67" s="475"/>
      <c r="M67" s="475"/>
      <c r="N67" s="475"/>
      <c r="O67" s="475"/>
      <c r="P67" s="475"/>
      <c r="Q67" s="476">
        <f>ROUND(Q65*Q66*Q64,2)</f>
        <v>368.74</v>
      </c>
      <c r="R67" s="476">
        <f>Q67</f>
        <v>368.74</v>
      </c>
      <c r="T67" s="486"/>
      <c r="U67" s="486"/>
    </row>
    <row r="68" spans="1:23" x14ac:dyDescent="0.2">
      <c r="A68" s="385" t="s">
        <v>70</v>
      </c>
      <c r="B68" s="386" t="s">
        <v>59</v>
      </c>
      <c r="C68" s="386"/>
      <c r="D68" s="386"/>
      <c r="E68" s="386"/>
      <c r="F68" s="386"/>
      <c r="G68" s="386"/>
      <c r="H68" s="386"/>
      <c r="I68" s="386"/>
      <c r="J68" s="386"/>
      <c r="K68" s="386"/>
      <c r="L68" s="386"/>
      <c r="M68" s="386"/>
      <c r="N68" s="386"/>
      <c r="O68" s="386"/>
      <c r="P68" s="386"/>
      <c r="Q68" s="386">
        <v>3592</v>
      </c>
      <c r="R68" s="391">
        <f>P68+Q68</f>
        <v>3592</v>
      </c>
      <c r="T68" s="397"/>
      <c r="U68" s="397"/>
      <c r="W68" s="392"/>
    </row>
    <row r="69" spans="1:23" x14ac:dyDescent="0.2">
      <c r="A69" s="387"/>
      <c r="B69" s="383"/>
      <c r="C69" s="383"/>
      <c r="D69" s="383"/>
      <c r="E69" s="383"/>
      <c r="F69" s="383"/>
      <c r="G69" s="383"/>
      <c r="H69" s="383"/>
      <c r="I69" s="383"/>
      <c r="J69" s="383"/>
      <c r="K69" s="383"/>
      <c r="L69" s="383"/>
      <c r="M69" s="383"/>
      <c r="N69" s="383"/>
      <c r="O69" s="510"/>
      <c r="P69" s="481">
        <v>0.33048</v>
      </c>
      <c r="Q69" s="481">
        <v>0.24295</v>
      </c>
      <c r="R69" s="399"/>
      <c r="S69" s="511">
        <v>1002</v>
      </c>
      <c r="T69" s="397"/>
      <c r="U69" s="397"/>
      <c r="W69" s="392"/>
    </row>
    <row r="70" spans="1:23" s="412" customFormat="1" x14ac:dyDescent="0.2">
      <c r="A70" s="405"/>
      <c r="B70" s="405" t="s">
        <v>76</v>
      </c>
      <c r="C70" s="405"/>
      <c r="D70" s="405"/>
      <c r="E70" s="405"/>
      <c r="F70" s="405"/>
      <c r="G70" s="405"/>
      <c r="H70" s="405"/>
      <c r="I70" s="405"/>
      <c r="J70" s="405"/>
      <c r="K70" s="405"/>
      <c r="L70" s="405"/>
      <c r="M70" s="405"/>
      <c r="N70" s="405"/>
      <c r="O70" s="405"/>
      <c r="P70" s="407">
        <v>1.1080239999999999</v>
      </c>
      <c r="Q70" s="407">
        <v>1.1080239999999999</v>
      </c>
      <c r="R70" s="413"/>
      <c r="T70" s="417"/>
      <c r="U70" s="417"/>
      <c r="W70" s="392"/>
    </row>
    <row r="71" spans="1:23" s="480" customFormat="1" x14ac:dyDescent="0.2">
      <c r="A71" s="475">
        <v>23.8</v>
      </c>
      <c r="B71" s="475" t="s">
        <v>60</v>
      </c>
      <c r="C71" s="475"/>
      <c r="D71" s="475"/>
      <c r="E71" s="475"/>
      <c r="F71" s="475"/>
      <c r="G71" s="475"/>
      <c r="H71" s="475"/>
      <c r="I71" s="475"/>
      <c r="J71" s="475"/>
      <c r="K71" s="475"/>
      <c r="L71" s="475"/>
      <c r="M71" s="475"/>
      <c r="N71" s="475"/>
      <c r="O71" s="475"/>
      <c r="P71" s="476">
        <f>ROUND(P69*P70*P68,2)</f>
        <v>0</v>
      </c>
      <c r="Q71" s="476">
        <f>ROUND(Q69*Q70*Q68,2)</f>
        <v>966.95</v>
      </c>
      <c r="R71" s="475">
        <f>SUM(C71:Q71)</f>
        <v>966.95</v>
      </c>
      <c r="T71" s="486"/>
      <c r="U71" s="486"/>
    </row>
    <row r="72" spans="1:23" x14ac:dyDescent="0.2">
      <c r="A72" s="385" t="s">
        <v>71</v>
      </c>
      <c r="B72" s="386" t="s">
        <v>59</v>
      </c>
      <c r="C72" s="391">
        <v>758</v>
      </c>
      <c r="D72" s="386"/>
      <c r="E72" s="386"/>
      <c r="F72" s="391"/>
      <c r="G72" s="391">
        <v>685</v>
      </c>
      <c r="H72" s="386">
        <v>1469</v>
      </c>
      <c r="I72" s="386"/>
      <c r="J72" s="386"/>
      <c r="K72" s="386"/>
      <c r="L72" s="386"/>
      <c r="M72" s="386"/>
      <c r="N72" s="386"/>
      <c r="O72" s="386"/>
      <c r="P72" s="386"/>
      <c r="Q72" s="386"/>
      <c r="R72" s="391">
        <f>SUM(C72:Q72)</f>
        <v>2912</v>
      </c>
      <c r="T72" s="397"/>
      <c r="U72" s="397"/>
      <c r="W72" s="392"/>
    </row>
    <row r="73" spans="1:23" x14ac:dyDescent="0.2">
      <c r="A73" s="387"/>
      <c r="B73" s="383"/>
      <c r="C73" s="481">
        <v>0.33048</v>
      </c>
      <c r="D73" s="488"/>
      <c r="E73" s="399"/>
      <c r="F73" s="481"/>
      <c r="G73" s="481">
        <v>0.33048</v>
      </c>
      <c r="H73" s="481">
        <v>0.33048</v>
      </c>
      <c r="I73" s="383"/>
      <c r="J73" s="383"/>
      <c r="K73" s="383"/>
      <c r="L73" s="383"/>
      <c r="M73" s="383"/>
      <c r="N73" s="383"/>
      <c r="O73" s="383"/>
      <c r="P73" s="383"/>
      <c r="Q73" s="383"/>
      <c r="R73" s="399"/>
      <c r="T73" s="397"/>
      <c r="U73" s="397"/>
      <c r="W73" s="392"/>
    </row>
    <row r="74" spans="1:23" s="412" customFormat="1" x14ac:dyDescent="0.2">
      <c r="A74" s="405"/>
      <c r="B74" s="405"/>
      <c r="C74" s="407">
        <v>1.1080239999999999</v>
      </c>
      <c r="D74" s="405"/>
      <c r="E74" s="405"/>
      <c r="F74" s="407"/>
      <c r="G74" s="407">
        <v>1.1080239999999999</v>
      </c>
      <c r="H74" s="407">
        <v>1.1080239999999999</v>
      </c>
      <c r="I74" s="405"/>
      <c r="J74" s="405"/>
      <c r="K74" s="405"/>
      <c r="L74" s="405"/>
      <c r="M74" s="405"/>
      <c r="N74" s="405"/>
      <c r="O74" s="405"/>
      <c r="P74" s="405"/>
      <c r="Q74" s="405"/>
      <c r="R74" s="418"/>
      <c r="T74" s="417"/>
      <c r="U74" s="417"/>
      <c r="W74" s="392"/>
    </row>
    <row r="75" spans="1:23" s="480" customFormat="1" x14ac:dyDescent="0.2">
      <c r="A75" s="475">
        <v>25.2</v>
      </c>
      <c r="B75" s="475" t="s">
        <v>60</v>
      </c>
      <c r="C75" s="476">
        <f>ROUND(C74*C73*C72,2)</f>
        <v>277.56</v>
      </c>
      <c r="D75" s="475">
        <f t="shared" ref="D75:Q75" si="10">ROUND(D72*D73,2)</f>
        <v>0</v>
      </c>
      <c r="E75" s="475">
        <f t="shared" si="10"/>
        <v>0</v>
      </c>
      <c r="F75" s="476">
        <f>ROUND(F74*F73*F72,2)</f>
        <v>0</v>
      </c>
      <c r="G75" s="476">
        <f>ROUND(G74*G73*G72,2)</f>
        <v>250.83</v>
      </c>
      <c r="H75" s="476">
        <f>ROUND(H74*H73*H72,2)</f>
        <v>537.91999999999996</v>
      </c>
      <c r="I75" s="475">
        <f t="shared" si="10"/>
        <v>0</v>
      </c>
      <c r="J75" s="475">
        <f t="shared" si="10"/>
        <v>0</v>
      </c>
      <c r="K75" s="475">
        <f t="shared" si="10"/>
        <v>0</v>
      </c>
      <c r="L75" s="475">
        <f t="shared" si="10"/>
        <v>0</v>
      </c>
      <c r="M75" s="475">
        <f t="shared" si="10"/>
        <v>0</v>
      </c>
      <c r="N75" s="475">
        <f t="shared" si="10"/>
        <v>0</v>
      </c>
      <c r="O75" s="475">
        <f t="shared" si="10"/>
        <v>0</v>
      </c>
      <c r="P75" s="475">
        <f t="shared" si="10"/>
        <v>0</v>
      </c>
      <c r="Q75" s="475">
        <f t="shared" si="10"/>
        <v>0</v>
      </c>
      <c r="R75" s="475">
        <f>SUM(C75:Q75)</f>
        <v>1066.31</v>
      </c>
      <c r="T75" s="486"/>
      <c r="U75" s="486"/>
    </row>
    <row r="76" spans="1:23" x14ac:dyDescent="0.2">
      <c r="A76" s="385" t="s">
        <v>72</v>
      </c>
      <c r="B76" s="386" t="s">
        <v>59</v>
      </c>
      <c r="C76" s="386">
        <f>5924+11981+11118+11291</f>
        <v>40314</v>
      </c>
      <c r="D76" s="386">
        <v>6905</v>
      </c>
      <c r="E76" s="386">
        <v>4390</v>
      </c>
      <c r="F76" s="386">
        <v>49</v>
      </c>
      <c r="G76" s="386">
        <v>6619</v>
      </c>
      <c r="H76" s="386">
        <v>7364</v>
      </c>
      <c r="I76" s="386"/>
      <c r="J76" s="386"/>
      <c r="K76" s="391">
        <f>3303+4</f>
        <v>3307</v>
      </c>
      <c r="L76" s="386"/>
      <c r="M76" s="386"/>
      <c r="N76" s="386"/>
      <c r="O76" s="386"/>
      <c r="P76" s="386"/>
      <c r="Q76" s="386"/>
      <c r="R76" s="426">
        <f>SUM(C76:Q76)</f>
        <v>68948</v>
      </c>
      <c r="T76" s="397"/>
      <c r="U76" s="397"/>
      <c r="W76" s="392"/>
    </row>
    <row r="77" spans="1:23" x14ac:dyDescent="0.2">
      <c r="A77" s="387" t="s">
        <v>78</v>
      </c>
      <c r="B77" s="383"/>
      <c r="C77" s="425"/>
      <c r="D77" s="419"/>
      <c r="E77" s="384"/>
      <c r="F77" s="425"/>
      <c r="G77" s="425"/>
      <c r="H77" s="384"/>
      <c r="I77" s="384"/>
      <c r="J77" s="384"/>
      <c r="K77" s="419"/>
      <c r="L77" s="384"/>
      <c r="M77" s="384"/>
      <c r="N77" s="384"/>
      <c r="O77" s="384"/>
      <c r="P77" s="384"/>
      <c r="Q77" s="384"/>
      <c r="R77" s="384"/>
      <c r="T77" s="397"/>
      <c r="U77" s="397"/>
      <c r="W77" s="392"/>
    </row>
    <row r="78" spans="1:23" s="480" customFormat="1" x14ac:dyDescent="0.2">
      <c r="A78" s="475">
        <v>76</v>
      </c>
      <c r="B78" s="475" t="s">
        <v>60</v>
      </c>
      <c r="C78" s="399">
        <f>957.32+2277.59+1796.67+2146.42</f>
        <v>7178</v>
      </c>
      <c r="D78" s="476">
        <v>1115.8499999999999</v>
      </c>
      <c r="E78" s="476">
        <v>834.54</v>
      </c>
      <c r="F78" s="476">
        <v>9.31</v>
      </c>
      <c r="G78" s="476">
        <v>1069.6300000000001</v>
      </c>
      <c r="H78" s="476">
        <v>1190.02</v>
      </c>
      <c r="I78" s="476"/>
      <c r="J78" s="476"/>
      <c r="K78" s="476">
        <f>627.9+0.65</f>
        <v>628.54999999999995</v>
      </c>
      <c r="L78" s="476">
        <f t="shared" ref="L78:Q78" si="11">ROUND(L76*L77,0)</f>
        <v>0</v>
      </c>
      <c r="M78" s="476">
        <f t="shared" si="11"/>
        <v>0</v>
      </c>
      <c r="N78" s="476">
        <f t="shared" si="11"/>
        <v>0</v>
      </c>
      <c r="O78" s="476">
        <f t="shared" si="11"/>
        <v>0</v>
      </c>
      <c r="P78" s="476">
        <f t="shared" si="11"/>
        <v>0</v>
      </c>
      <c r="Q78" s="476">
        <f t="shared" si="11"/>
        <v>0</v>
      </c>
      <c r="R78" s="476">
        <f>SUM(C78:Q78)</f>
        <v>12025.899999999998</v>
      </c>
    </row>
    <row r="79" spans="1:23" x14ac:dyDescent="0.2">
      <c r="A79" s="385"/>
      <c r="B79" s="386" t="s">
        <v>59</v>
      </c>
      <c r="C79" s="383"/>
      <c r="D79" s="383"/>
      <c r="E79" s="383"/>
      <c r="F79" s="383"/>
      <c r="G79" s="383"/>
      <c r="H79" s="386"/>
      <c r="I79" s="383"/>
      <c r="J79" s="386"/>
      <c r="K79" s="383"/>
      <c r="L79" s="383"/>
      <c r="M79" s="383"/>
      <c r="N79" s="383"/>
      <c r="O79" s="383"/>
      <c r="P79" s="383"/>
      <c r="Q79" s="383"/>
      <c r="R79" s="386">
        <f>SUM(C79:Q79)</f>
        <v>0</v>
      </c>
      <c r="T79" s="392"/>
      <c r="U79" s="392"/>
      <c r="W79" s="392"/>
    </row>
    <row r="80" spans="1:23" x14ac:dyDescent="0.2">
      <c r="A80" s="420"/>
      <c r="B80" s="383"/>
      <c r="C80" s="488"/>
      <c r="D80" s="488"/>
      <c r="E80" s="383"/>
      <c r="F80" s="488"/>
      <c r="G80" s="488"/>
      <c r="H80" s="383"/>
      <c r="I80" s="383"/>
      <c r="J80" s="383"/>
      <c r="K80" s="474"/>
      <c r="L80" s="383"/>
      <c r="M80" s="383"/>
      <c r="N80" s="383"/>
      <c r="O80" s="383"/>
      <c r="P80" s="383"/>
      <c r="Q80" s="383"/>
      <c r="R80" s="384"/>
      <c r="T80" s="392"/>
      <c r="U80" s="392"/>
      <c r="W80" s="392"/>
    </row>
    <row r="81" spans="1:23" s="480" customFormat="1" x14ac:dyDescent="0.2">
      <c r="A81" s="475"/>
      <c r="B81" s="475" t="s">
        <v>60</v>
      </c>
      <c r="C81" s="476">
        <f>C79*C80</f>
        <v>0</v>
      </c>
      <c r="D81" s="476">
        <f>D79*D80</f>
        <v>0</v>
      </c>
      <c r="E81" s="475"/>
      <c r="F81" s="476">
        <f>F79*F80</f>
        <v>0</v>
      </c>
      <c r="G81" s="476">
        <f>G79*G80</f>
        <v>0</v>
      </c>
      <c r="H81" s="475"/>
      <c r="I81" s="475"/>
      <c r="J81" s="475"/>
      <c r="K81" s="476">
        <f>K79*K80</f>
        <v>0</v>
      </c>
      <c r="L81" s="475"/>
      <c r="M81" s="475"/>
      <c r="N81" s="475"/>
      <c r="O81" s="475"/>
      <c r="P81" s="475"/>
      <c r="Q81" s="475"/>
      <c r="R81" s="487">
        <f>C81+D81+F81+G81+K81</f>
        <v>0</v>
      </c>
    </row>
    <row r="82" spans="1:23" ht="21" customHeight="1" x14ac:dyDescent="0.2">
      <c r="A82" s="420"/>
      <c r="B82" s="383"/>
      <c r="C82" s="383"/>
      <c r="D82" s="383"/>
      <c r="E82" s="383"/>
      <c r="F82" s="383"/>
      <c r="G82" s="383"/>
      <c r="H82" s="383"/>
      <c r="I82" s="383"/>
      <c r="J82" s="383"/>
      <c r="K82" s="383"/>
      <c r="L82" s="383"/>
      <c r="M82" s="383"/>
      <c r="N82" s="383"/>
      <c r="O82" s="383"/>
      <c r="P82" s="383"/>
      <c r="Q82" s="383"/>
      <c r="R82" s="384"/>
      <c r="T82" s="392"/>
      <c r="U82" s="392"/>
      <c r="W82" s="392"/>
    </row>
    <row r="83" spans="1:23" ht="14.25" customHeight="1" x14ac:dyDescent="0.2">
      <c r="A83" s="782" t="s">
        <v>196</v>
      </c>
      <c r="B83" s="383"/>
      <c r="C83" s="383"/>
      <c r="D83" s="383"/>
      <c r="E83" s="383"/>
      <c r="F83" s="383"/>
      <c r="G83" s="383"/>
      <c r="H83" s="383"/>
      <c r="I83" s="383"/>
      <c r="J83" s="383"/>
      <c r="K83" s="383"/>
      <c r="L83" s="383"/>
      <c r="M83" s="383"/>
      <c r="N83" s="383"/>
      <c r="O83" s="383"/>
      <c r="P83" s="393"/>
      <c r="Q83" s="393">
        <v>1004</v>
      </c>
      <c r="R83" s="427">
        <f>P83+Q83</f>
        <v>1004</v>
      </c>
      <c r="T83" s="392"/>
      <c r="U83" s="392"/>
      <c r="W83" s="392"/>
    </row>
    <row r="84" spans="1:23" ht="15" customHeight="1" x14ac:dyDescent="0.2">
      <c r="A84" s="783"/>
      <c r="B84" s="383"/>
      <c r="C84" s="383"/>
      <c r="D84" s="383"/>
      <c r="E84" s="383"/>
      <c r="F84" s="383"/>
      <c r="G84" s="383"/>
      <c r="H84" s="383"/>
      <c r="I84" s="383"/>
      <c r="J84" s="383"/>
      <c r="K84" s="383"/>
      <c r="L84" s="383"/>
      <c r="M84" s="383"/>
      <c r="N84" s="383"/>
      <c r="O84" s="383"/>
      <c r="P84" s="481">
        <v>0.33048</v>
      </c>
      <c r="Q84" s="481">
        <v>0.24295</v>
      </c>
      <c r="R84" s="384"/>
      <c r="T84" s="392"/>
      <c r="U84" s="392"/>
      <c r="W84" s="392"/>
    </row>
    <row r="85" spans="1:23" ht="15" customHeight="1" x14ac:dyDescent="0.2">
      <c r="A85" s="784"/>
      <c r="B85" s="383"/>
      <c r="C85" s="383"/>
      <c r="D85" s="383"/>
      <c r="E85" s="383"/>
      <c r="F85" s="383"/>
      <c r="G85" s="383"/>
      <c r="H85" s="383"/>
      <c r="I85" s="383"/>
      <c r="J85" s="383"/>
      <c r="K85" s="383"/>
      <c r="L85" s="383"/>
      <c r="M85" s="383"/>
      <c r="N85" s="383"/>
      <c r="O85" s="383"/>
      <c r="P85" s="407">
        <v>1.1080239999999999</v>
      </c>
      <c r="Q85" s="407">
        <v>1.1080239999999999</v>
      </c>
      <c r="R85" s="384"/>
      <c r="T85" s="392"/>
      <c r="U85" s="392"/>
      <c r="W85" s="392"/>
    </row>
    <row r="86" spans="1:23" ht="15.75" customHeight="1" x14ac:dyDescent="0.2">
      <c r="A86" s="421" t="s">
        <v>199</v>
      </c>
      <c r="B86" s="383"/>
      <c r="C86" s="383"/>
      <c r="D86" s="383"/>
      <c r="E86" s="383"/>
      <c r="F86" s="383"/>
      <c r="G86" s="383"/>
      <c r="H86" s="383"/>
      <c r="I86" s="383"/>
      <c r="J86" s="383"/>
      <c r="K86" s="383"/>
      <c r="L86" s="383"/>
      <c r="M86" s="383"/>
      <c r="N86" s="383"/>
      <c r="O86" s="383"/>
      <c r="P86" s="419">
        <f>ROUND(P84*P85*P83,2)</f>
        <v>0</v>
      </c>
      <c r="Q86" s="419">
        <f>ROUND(Q84*Q85*Q83,2)</f>
        <v>270.27</v>
      </c>
      <c r="R86" s="419">
        <f>P86+Q86</f>
        <v>270.27</v>
      </c>
      <c r="T86" s="392"/>
      <c r="U86" s="392"/>
      <c r="W86" s="392"/>
    </row>
    <row r="87" spans="1:23" x14ac:dyDescent="0.2">
      <c r="A87" s="387"/>
      <c r="B87" s="386" t="s">
        <v>74</v>
      </c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383"/>
      <c r="O87" s="383"/>
      <c r="P87" s="383"/>
      <c r="Q87" s="383"/>
      <c r="R87" s="386">
        <f>R5+R8+R11+R14+R18+R22+R25+R29+R34+R38+R42+R47+R52+R56+R58+R60+R64+R68+R72+R76+R83+R62</f>
        <v>778771</v>
      </c>
      <c r="T87" s="397"/>
      <c r="U87" s="397"/>
      <c r="W87" s="392"/>
    </row>
    <row r="88" spans="1:23" s="480" customFormat="1" x14ac:dyDescent="0.2">
      <c r="A88" s="475"/>
      <c r="B88" s="475" t="s">
        <v>75</v>
      </c>
      <c r="C88" s="475"/>
      <c r="D88" s="475"/>
      <c r="E88" s="475"/>
      <c r="F88" s="475"/>
      <c r="G88" s="475"/>
      <c r="H88" s="475"/>
      <c r="I88" s="475"/>
      <c r="J88" s="475"/>
      <c r="K88" s="475"/>
      <c r="L88" s="475"/>
      <c r="M88" s="475"/>
      <c r="N88" s="475"/>
      <c r="O88" s="475"/>
      <c r="P88" s="475"/>
      <c r="Q88" s="475"/>
      <c r="R88" s="419">
        <f>R7+R10+R13+R17+R21+R24+R28+R32+R37+R41+R45+R50+R55+R57+R59+R61+R67+R71+R75+R78+R81+R86+R63</f>
        <v>201324.17999999996</v>
      </c>
      <c r="T88" s="486"/>
      <c r="U88" s="486"/>
    </row>
    <row r="89" spans="1:23" x14ac:dyDescent="0.2">
      <c r="F89" s="381" t="s">
        <v>85</v>
      </c>
      <c r="T89" s="414"/>
      <c r="U89" s="397"/>
    </row>
    <row r="90" spans="1:23" x14ac:dyDescent="0.2">
      <c r="C90" s="394"/>
      <c r="D90" s="414"/>
      <c r="E90" s="414"/>
      <c r="F90" s="493">
        <f>36997.88-I93-S57-S63</f>
        <v>22332.486666666664</v>
      </c>
      <c r="G90" s="394"/>
      <c r="Q90" s="422"/>
      <c r="R90" s="392"/>
      <c r="S90" s="392"/>
      <c r="T90" s="397"/>
      <c r="U90" s="397"/>
    </row>
    <row r="91" spans="1:23" x14ac:dyDescent="0.2">
      <c r="A91" s="397"/>
      <c r="B91" s="397"/>
      <c r="C91" s="394"/>
      <c r="D91" s="414"/>
      <c r="E91" s="414"/>
      <c r="F91" s="394"/>
      <c r="G91" s="394"/>
      <c r="H91" s="414"/>
      <c r="I91" s="394"/>
      <c r="J91" s="394"/>
      <c r="K91" s="397"/>
      <c r="L91" s="397"/>
      <c r="M91" s="397"/>
      <c r="N91" s="397"/>
      <c r="O91" s="397" t="s">
        <v>87</v>
      </c>
      <c r="P91" s="493">
        <f>R91-R88-F90</f>
        <v>3.333333384944126E-3</v>
      </c>
      <c r="Q91" s="394"/>
      <c r="R91" s="493">
        <v>223656.67</v>
      </c>
      <c r="S91" s="397"/>
      <c r="T91" s="394"/>
      <c r="U91" s="397"/>
    </row>
    <row r="92" spans="1:23" x14ac:dyDescent="0.2">
      <c r="A92" s="397"/>
      <c r="B92" s="397"/>
      <c r="C92" s="397"/>
      <c r="D92" s="397"/>
      <c r="E92" s="397"/>
      <c r="F92" s="397"/>
      <c r="G92" s="397"/>
      <c r="H92" s="397"/>
      <c r="I92" s="397"/>
      <c r="J92" s="397"/>
      <c r="K92" s="397"/>
      <c r="L92" s="397"/>
      <c r="M92" s="397"/>
      <c r="N92" s="397"/>
      <c r="O92" s="397" t="s">
        <v>95</v>
      </c>
      <c r="P92" s="397"/>
      <c r="Q92" s="397"/>
      <c r="R92" s="394"/>
      <c r="S92" s="397"/>
      <c r="T92" s="397"/>
      <c r="U92" s="397"/>
    </row>
    <row r="93" spans="1:23" x14ac:dyDescent="0.2">
      <c r="A93" s="397"/>
      <c r="B93" s="397"/>
      <c r="C93" s="397"/>
      <c r="D93" s="397"/>
      <c r="E93" s="397"/>
      <c r="F93" s="397"/>
      <c r="G93" s="397"/>
      <c r="H93" s="493">
        <f>R10+R13+R17+R21+R24+R78</f>
        <v>57984.679999999993</v>
      </c>
      <c r="I93" s="493">
        <f>H93/120*20</f>
        <v>9664.1133333333328</v>
      </c>
      <c r="J93" s="397"/>
      <c r="K93" s="397"/>
      <c r="L93" s="397"/>
      <c r="M93" s="394"/>
      <c r="N93" s="394"/>
      <c r="O93" s="397"/>
      <c r="P93" s="397"/>
      <c r="Q93" s="394"/>
      <c r="R93" s="397" t="s">
        <v>282</v>
      </c>
      <c r="S93" s="394"/>
      <c r="T93" s="397"/>
      <c r="U93" s="397"/>
    </row>
    <row r="94" spans="1:23" x14ac:dyDescent="0.2">
      <c r="A94" s="397"/>
      <c r="B94" s="397"/>
      <c r="C94" s="397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397"/>
      <c r="O94" s="394"/>
      <c r="P94" s="394"/>
      <c r="Q94" s="397"/>
      <c r="R94" s="397"/>
      <c r="S94" s="397"/>
      <c r="T94" s="397"/>
      <c r="U94" s="397"/>
    </row>
    <row r="95" spans="1:23" x14ac:dyDescent="0.2">
      <c r="A95" s="397"/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397" t="s">
        <v>87</v>
      </c>
      <c r="P95" s="394">
        <f>R95-R87</f>
        <v>0</v>
      </c>
      <c r="Q95" s="397"/>
      <c r="R95" s="423">
        <v>778771</v>
      </c>
      <c r="S95" s="397"/>
      <c r="T95" s="397"/>
      <c r="U95" s="397"/>
    </row>
    <row r="96" spans="1:23" x14ac:dyDescent="0.2">
      <c r="A96" s="397"/>
      <c r="B96" s="397"/>
      <c r="C96" s="397"/>
      <c r="D96" s="397"/>
      <c r="E96" s="397"/>
      <c r="F96" s="397"/>
      <c r="G96" s="397"/>
      <c r="H96" s="397"/>
      <c r="I96" s="397"/>
      <c r="J96" s="397"/>
      <c r="K96" s="397"/>
      <c r="L96" s="397"/>
      <c r="M96" s="397"/>
      <c r="N96" s="397"/>
      <c r="O96" s="397" t="s">
        <v>94</v>
      </c>
      <c r="P96" s="397"/>
      <c r="Q96" s="397"/>
      <c r="R96" s="394"/>
      <c r="S96" s="397"/>
      <c r="T96" s="397"/>
      <c r="U96" s="397"/>
    </row>
    <row r="97" spans="1:21" x14ac:dyDescent="0.2">
      <c r="A97" s="397"/>
      <c r="B97" s="397"/>
      <c r="C97" s="397"/>
      <c r="D97" s="397"/>
      <c r="E97" s="397"/>
      <c r="F97" s="397"/>
      <c r="G97" s="397"/>
      <c r="H97" s="397"/>
      <c r="I97" s="397"/>
      <c r="J97" s="397"/>
      <c r="K97" s="397"/>
      <c r="L97" s="397"/>
      <c r="M97" s="397"/>
      <c r="N97" s="397"/>
      <c r="O97" s="397"/>
      <c r="P97" s="397"/>
      <c r="Q97" s="397"/>
      <c r="R97" s="397"/>
      <c r="S97" s="397"/>
      <c r="T97" s="397"/>
      <c r="U97" s="397"/>
    </row>
    <row r="98" spans="1:21" x14ac:dyDescent="0.2">
      <c r="A98" s="397"/>
      <c r="B98" s="397"/>
      <c r="C98" s="397"/>
      <c r="D98" s="397"/>
      <c r="E98" s="397"/>
      <c r="F98" s="397"/>
      <c r="G98" s="397"/>
      <c r="H98" s="397"/>
      <c r="I98" s="397"/>
      <c r="J98" s="397"/>
      <c r="K98" s="397"/>
      <c r="L98" s="397"/>
      <c r="M98" s="397"/>
      <c r="N98" s="397"/>
      <c r="O98" s="397" t="s">
        <v>169</v>
      </c>
      <c r="P98" s="397"/>
      <c r="Q98" s="397"/>
      <c r="R98" s="397"/>
      <c r="S98" s="397"/>
      <c r="T98" s="397"/>
      <c r="U98" s="397"/>
    </row>
    <row r="99" spans="1:21" x14ac:dyDescent="0.2">
      <c r="A99" s="397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4">
        <v>591745</v>
      </c>
      <c r="M99" s="397"/>
      <c r="N99" s="397"/>
      <c r="O99" s="397"/>
      <c r="P99" s="397"/>
      <c r="Q99" s="397"/>
      <c r="R99" s="397"/>
      <c r="S99" s="397"/>
      <c r="T99" s="397"/>
      <c r="U99" s="397"/>
    </row>
    <row r="100" spans="1:21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401"/>
      <c r="P100" s="394"/>
      <c r="Q100" s="397"/>
      <c r="R100" s="397"/>
      <c r="S100" s="397"/>
      <c r="T100" s="397"/>
      <c r="U100" s="397"/>
    </row>
    <row r="101" spans="1:21" x14ac:dyDescent="0.2">
      <c r="A101" s="397"/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</row>
    <row r="102" spans="1:21" x14ac:dyDescent="0.2">
      <c r="A102" s="397"/>
      <c r="B102" s="397"/>
      <c r="C102" s="397"/>
      <c r="D102" s="397"/>
      <c r="E102" s="397"/>
      <c r="F102" s="397"/>
      <c r="G102" s="397"/>
      <c r="H102" s="397"/>
      <c r="I102" s="397"/>
      <c r="J102" s="397"/>
      <c r="K102" s="397"/>
      <c r="L102" s="397"/>
      <c r="M102" s="397"/>
      <c r="N102" s="397"/>
      <c r="O102" s="397"/>
      <c r="P102" s="397"/>
      <c r="Q102" s="397"/>
      <c r="R102" s="397"/>
      <c r="S102" s="397"/>
      <c r="T102" s="397"/>
      <c r="U102" s="397"/>
    </row>
    <row r="103" spans="1:21" x14ac:dyDescent="0.2">
      <c r="A103" s="397"/>
      <c r="B103" s="397"/>
      <c r="C103" s="397"/>
      <c r="D103" s="397"/>
      <c r="E103" s="397"/>
      <c r="F103" s="397"/>
      <c r="G103" s="397"/>
      <c r="H103" s="397"/>
      <c r="I103" s="397"/>
      <c r="J103" s="397"/>
      <c r="K103" s="397"/>
      <c r="L103" s="397"/>
      <c r="M103" s="397"/>
      <c r="N103" s="397"/>
      <c r="O103" s="397"/>
      <c r="P103" s="397"/>
      <c r="Q103" s="397"/>
      <c r="R103" s="397"/>
      <c r="S103" s="397"/>
      <c r="T103" s="397"/>
      <c r="U103" s="397"/>
    </row>
    <row r="104" spans="1:21" x14ac:dyDescent="0.2">
      <c r="A104" s="397"/>
      <c r="B104" s="397"/>
      <c r="C104" s="397"/>
      <c r="D104" s="397"/>
      <c r="E104" s="397"/>
      <c r="F104" s="397"/>
      <c r="G104" s="397"/>
      <c r="H104" s="397"/>
      <c r="I104" s="397"/>
      <c r="J104" s="397"/>
      <c r="K104" s="397"/>
      <c r="L104" s="397"/>
      <c r="M104" s="397"/>
      <c r="N104" s="397"/>
      <c r="O104" s="397"/>
      <c r="P104" s="397"/>
      <c r="Q104" s="397"/>
      <c r="R104" s="397"/>
      <c r="S104" s="397"/>
      <c r="T104" s="397"/>
      <c r="U104" s="397"/>
    </row>
    <row r="105" spans="1:21" x14ac:dyDescent="0.2">
      <c r="A105" s="397"/>
      <c r="B105" s="397"/>
      <c r="C105" s="397"/>
      <c r="D105" s="397"/>
      <c r="E105" s="397"/>
      <c r="F105" s="397"/>
      <c r="G105" s="397"/>
      <c r="H105" s="397"/>
      <c r="I105" s="397"/>
      <c r="J105" s="397"/>
      <c r="K105" s="397"/>
      <c r="L105" s="397"/>
      <c r="M105" s="397"/>
      <c r="N105" s="397"/>
      <c r="O105" s="397"/>
      <c r="P105" s="397"/>
      <c r="Q105" s="397"/>
      <c r="R105" s="397"/>
      <c r="S105" s="397"/>
      <c r="T105" s="397"/>
      <c r="U105" s="397"/>
    </row>
    <row r="106" spans="1:21" x14ac:dyDescent="0.2">
      <c r="A106" s="397"/>
      <c r="B106" s="397"/>
      <c r="C106" s="397"/>
      <c r="D106" s="397"/>
      <c r="E106" s="397"/>
      <c r="F106" s="397"/>
      <c r="G106" s="397"/>
      <c r="H106" s="397"/>
      <c r="I106" s="397"/>
      <c r="J106" s="397"/>
      <c r="K106" s="397"/>
      <c r="L106" s="397"/>
      <c r="M106" s="397"/>
      <c r="N106" s="397"/>
      <c r="O106" s="397"/>
      <c r="P106" s="397"/>
      <c r="Q106" s="397"/>
      <c r="R106" s="397"/>
      <c r="S106" s="397"/>
      <c r="T106" s="397"/>
      <c r="U106" s="397"/>
    </row>
    <row r="107" spans="1:21" x14ac:dyDescent="0.2">
      <c r="A107" s="397"/>
      <c r="B107" s="397"/>
      <c r="C107" s="397"/>
      <c r="D107" s="397"/>
      <c r="E107" s="397"/>
      <c r="F107" s="397"/>
      <c r="G107" s="397"/>
      <c r="H107" s="397"/>
      <c r="I107" s="397"/>
      <c r="J107" s="397"/>
      <c r="K107" s="397"/>
      <c r="L107" s="397"/>
      <c r="M107" s="397"/>
      <c r="N107" s="397"/>
      <c r="O107" s="397"/>
      <c r="P107" s="397"/>
      <c r="Q107" s="397"/>
      <c r="R107" s="397"/>
      <c r="S107" s="397"/>
      <c r="T107" s="397"/>
      <c r="U107" s="397"/>
    </row>
    <row r="108" spans="1:21" x14ac:dyDescent="0.2">
      <c r="A108" s="397"/>
      <c r="B108" s="397"/>
      <c r="C108" s="397"/>
      <c r="D108" s="397"/>
      <c r="E108" s="397"/>
      <c r="F108" s="397"/>
      <c r="G108" s="397"/>
      <c r="H108" s="397"/>
      <c r="I108" s="397"/>
      <c r="J108" s="397"/>
      <c r="K108" s="397"/>
      <c r="L108" s="397"/>
      <c r="M108" s="397"/>
      <c r="N108" s="397"/>
      <c r="O108" s="397"/>
      <c r="P108" s="397"/>
      <c r="Q108" s="397"/>
      <c r="R108" s="397"/>
      <c r="S108" s="397"/>
      <c r="T108" s="397"/>
      <c r="U108" s="397"/>
    </row>
  </sheetData>
  <mergeCells count="1">
    <mergeCell ref="A83:A85"/>
  </mergeCells>
  <pageMargins left="0.11811023622047245" right="0.11811023622047245" top="0.15748031496062992" bottom="0.35433070866141736" header="0.19685039370078741" footer="0.31496062992125984"/>
  <pageSetup paperSize="9" scale="64" fitToHeight="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41"/>
  <sheetViews>
    <sheetView topLeftCell="A16" zoomScaleNormal="100" workbookViewId="0">
      <selection activeCell="B296" sqref="B296:J340"/>
    </sheetView>
  </sheetViews>
  <sheetFormatPr defaultRowHeight="15" x14ac:dyDescent="0.25"/>
  <cols>
    <col min="3" max="3" width="26.42578125" customWidth="1"/>
    <col min="4" max="4" width="10.28515625" customWidth="1"/>
    <col min="5" max="5" width="14.7109375" customWidth="1"/>
    <col min="6" max="7" width="13.28515625" customWidth="1"/>
    <col min="8" max="8" width="9.5703125" customWidth="1"/>
    <col min="9" max="9" width="14.7109375" customWidth="1"/>
    <col min="10" max="10" width="12.7109375" customWidth="1"/>
    <col min="11" max="11" width="4.85546875" customWidth="1"/>
    <col min="12" max="12" width="17.140625" customWidth="1"/>
  </cols>
  <sheetData>
    <row r="3" spans="2:10" ht="18.75" x14ac:dyDescent="0.3">
      <c r="B3" s="116"/>
      <c r="C3" s="709"/>
      <c r="D3" s="709"/>
      <c r="E3" s="709"/>
      <c r="F3" s="709"/>
      <c r="G3" s="709"/>
    </row>
    <row r="4" spans="2:10" ht="18.75" x14ac:dyDescent="0.3">
      <c r="C4" s="709"/>
      <c r="D4" s="709"/>
      <c r="E4" s="709"/>
      <c r="F4" s="709"/>
      <c r="G4" s="709"/>
    </row>
    <row r="5" spans="2:10" ht="20.25" x14ac:dyDescent="0.3">
      <c r="B5" s="3" t="s">
        <v>53</v>
      </c>
      <c r="C5" s="756" t="s">
        <v>521</v>
      </c>
      <c r="D5" s="756"/>
      <c r="E5" s="756"/>
      <c r="F5" s="756"/>
      <c r="G5" s="756"/>
      <c r="H5" s="756"/>
      <c r="I5" s="756"/>
      <c r="J5" s="3"/>
    </row>
    <row r="6" spans="2:10" ht="4.5" customHeight="1" x14ac:dyDescent="0.25">
      <c r="B6" s="3"/>
      <c r="C6" s="754"/>
      <c r="D6" s="754"/>
      <c r="E6" s="3"/>
      <c r="F6" s="68"/>
      <c r="G6" s="3"/>
      <c r="H6" s="3"/>
      <c r="I6" s="3"/>
      <c r="J6" s="3"/>
    </row>
    <row r="7" spans="2:10" ht="5.25" customHeight="1" x14ac:dyDescent="0.25">
      <c r="B7" s="3"/>
      <c r="C7" s="4"/>
      <c r="D7" s="4"/>
      <c r="E7" s="3"/>
      <c r="F7" s="3"/>
      <c r="G7" s="3"/>
      <c r="H7" s="3"/>
      <c r="I7" s="3"/>
      <c r="J7" s="3"/>
    </row>
    <row r="8" spans="2:10" ht="16.5" thickBot="1" x14ac:dyDescent="0.3">
      <c r="B8" s="3"/>
      <c r="C8" s="47" t="s">
        <v>547</v>
      </c>
      <c r="D8" s="3"/>
      <c r="E8" s="3"/>
      <c r="F8" s="3"/>
      <c r="G8" s="3"/>
      <c r="H8" s="3"/>
      <c r="I8" s="3"/>
      <c r="J8" s="3"/>
    </row>
    <row r="9" spans="2:10" ht="32.25" thickBot="1" x14ac:dyDescent="0.3">
      <c r="B9" s="26" t="s">
        <v>0</v>
      </c>
      <c r="C9" s="27" t="s">
        <v>1</v>
      </c>
      <c r="D9" s="151" t="s">
        <v>2</v>
      </c>
      <c r="E9" s="150" t="s">
        <v>3</v>
      </c>
      <c r="F9" s="150" t="s">
        <v>4</v>
      </c>
      <c r="G9" s="28" t="s">
        <v>5</v>
      </c>
      <c r="H9" s="28" t="s">
        <v>6</v>
      </c>
      <c r="I9" s="29" t="s">
        <v>7</v>
      </c>
      <c r="J9" s="30" t="s">
        <v>8</v>
      </c>
    </row>
    <row r="10" spans="2:10" ht="20.25" customHeight="1" x14ac:dyDescent="0.25">
      <c r="B10" s="24"/>
      <c r="C10" s="34" t="s">
        <v>541</v>
      </c>
      <c r="D10" s="36">
        <v>908</v>
      </c>
      <c r="E10" s="435">
        <v>0.33048</v>
      </c>
      <c r="F10" s="24">
        <v>1.0095559999999999</v>
      </c>
      <c r="G10" s="441">
        <f t="shared" ref="G10:G15" si="0">ROUND(D10*E10*F10,2)</f>
        <v>302.94</v>
      </c>
      <c r="H10" s="33">
        <v>0.2</v>
      </c>
      <c r="I10" s="442">
        <f t="shared" ref="I10:I15" si="1">ROUND(G10*H10,2)</f>
        <v>60.59</v>
      </c>
      <c r="J10" s="443">
        <f t="shared" ref="J10:J15" si="2">G10+I10</f>
        <v>363.53</v>
      </c>
    </row>
    <row r="11" spans="2:10" ht="15.75" x14ac:dyDescent="0.25">
      <c r="B11" s="24"/>
      <c r="C11" s="34" t="s">
        <v>542</v>
      </c>
      <c r="D11" s="36">
        <v>233</v>
      </c>
      <c r="E11" s="435">
        <v>0.33048</v>
      </c>
      <c r="F11" s="24">
        <v>1.0095559999999999</v>
      </c>
      <c r="G11" s="441">
        <f t="shared" si="0"/>
        <v>77.739999999999995</v>
      </c>
      <c r="H11" s="33">
        <v>0.2</v>
      </c>
      <c r="I11" s="442">
        <f t="shared" si="1"/>
        <v>15.55</v>
      </c>
      <c r="J11" s="443">
        <f t="shared" si="2"/>
        <v>93.289999999999992</v>
      </c>
    </row>
    <row r="12" spans="2:10" ht="15.75" x14ac:dyDescent="0.25">
      <c r="B12" s="24"/>
      <c r="C12" s="34" t="s">
        <v>543</v>
      </c>
      <c r="D12" s="36">
        <v>282</v>
      </c>
      <c r="E12" s="435">
        <v>0.33048</v>
      </c>
      <c r="F12" s="24">
        <v>1.0095559999999999</v>
      </c>
      <c r="G12" s="441">
        <f t="shared" si="0"/>
        <v>94.09</v>
      </c>
      <c r="H12" s="33">
        <v>0.2</v>
      </c>
      <c r="I12" s="442">
        <f t="shared" si="1"/>
        <v>18.82</v>
      </c>
      <c r="J12" s="443">
        <f t="shared" si="2"/>
        <v>112.91</v>
      </c>
    </row>
    <row r="13" spans="2:10" ht="15.75" x14ac:dyDescent="0.25">
      <c r="B13" s="36"/>
      <c r="C13" s="34" t="s">
        <v>544</v>
      </c>
      <c r="D13" s="36">
        <v>0</v>
      </c>
      <c r="E13" s="435">
        <v>0.33048</v>
      </c>
      <c r="F13" s="24">
        <v>1.0095559999999999</v>
      </c>
      <c r="G13" s="441">
        <f t="shared" si="0"/>
        <v>0</v>
      </c>
      <c r="H13" s="270">
        <v>0.2</v>
      </c>
      <c r="I13" s="442">
        <f t="shared" si="1"/>
        <v>0</v>
      </c>
      <c r="J13" s="443">
        <f t="shared" si="2"/>
        <v>0</v>
      </c>
    </row>
    <row r="14" spans="2:10" ht="15.75" x14ac:dyDescent="0.25">
      <c r="B14" s="25"/>
      <c r="C14" s="37" t="s">
        <v>545</v>
      </c>
      <c r="D14" s="36">
        <v>156</v>
      </c>
      <c r="E14" s="435">
        <v>0.33048</v>
      </c>
      <c r="F14" s="24">
        <v>1.0095559999999999</v>
      </c>
      <c r="G14" s="441">
        <f t="shared" si="0"/>
        <v>52.05</v>
      </c>
      <c r="H14" s="33">
        <v>0.2</v>
      </c>
      <c r="I14" s="442">
        <f t="shared" si="1"/>
        <v>10.41</v>
      </c>
      <c r="J14" s="443">
        <f t="shared" si="2"/>
        <v>62.459999999999994</v>
      </c>
    </row>
    <row r="15" spans="2:10" ht="18.75" customHeight="1" thickBot="1" x14ac:dyDescent="0.3">
      <c r="B15" s="25"/>
      <c r="C15" s="37" t="s">
        <v>546</v>
      </c>
      <c r="D15" s="203">
        <v>1133</v>
      </c>
      <c r="E15" s="435">
        <v>0.33048</v>
      </c>
      <c r="F15" s="24">
        <v>1.0095559999999999</v>
      </c>
      <c r="G15" s="441">
        <f t="shared" si="0"/>
        <v>378.01</v>
      </c>
      <c r="H15" s="45">
        <v>0.2</v>
      </c>
      <c r="I15" s="442">
        <f t="shared" si="1"/>
        <v>75.599999999999994</v>
      </c>
      <c r="J15" s="443">
        <f t="shared" si="2"/>
        <v>453.61</v>
      </c>
    </row>
    <row r="16" spans="2:10" ht="16.5" thickBot="1" x14ac:dyDescent="0.3">
      <c r="B16" s="30"/>
      <c r="C16" s="30" t="s">
        <v>12</v>
      </c>
      <c r="D16" s="348">
        <f>SUM(D10:D15)</f>
        <v>2712</v>
      </c>
      <c r="E16" s="86"/>
      <c r="F16" s="198"/>
      <c r="G16" s="438">
        <f>SUM(G10:G15)</f>
        <v>904.82999999999993</v>
      </c>
      <c r="H16" s="94"/>
      <c r="I16" s="438">
        <f>SUM(I10:I15)</f>
        <v>180.97</v>
      </c>
      <c r="J16" s="438">
        <f>SUM(J10:J15)</f>
        <v>1085.8</v>
      </c>
    </row>
    <row r="17" spans="2:12" ht="2.25" customHeight="1" x14ac:dyDescent="0.25"/>
    <row r="18" spans="2:12" ht="20.25" customHeight="1" thickBot="1" x14ac:dyDescent="0.3">
      <c r="B18" s="3"/>
      <c r="C18" s="785" t="s">
        <v>548</v>
      </c>
      <c r="D18" s="786"/>
      <c r="E18" s="3"/>
      <c r="F18" s="3"/>
      <c r="G18" s="3"/>
      <c r="H18" s="3"/>
      <c r="I18" s="3"/>
      <c r="J18" s="3"/>
    </row>
    <row r="19" spans="2:12" ht="32.25" thickBot="1" x14ac:dyDescent="0.3">
      <c r="B19" s="26" t="s">
        <v>0</v>
      </c>
      <c r="C19" s="27" t="s">
        <v>1</v>
      </c>
      <c r="D19" s="151" t="s">
        <v>2</v>
      </c>
      <c r="E19" s="150" t="s">
        <v>3</v>
      </c>
      <c r="F19" s="150" t="s">
        <v>4</v>
      </c>
      <c r="G19" s="28" t="s">
        <v>5</v>
      </c>
      <c r="H19" s="28" t="s">
        <v>6</v>
      </c>
      <c r="I19" s="29" t="s">
        <v>7</v>
      </c>
      <c r="J19" s="30" t="s">
        <v>8</v>
      </c>
    </row>
    <row r="20" spans="2:12" ht="15.75" x14ac:dyDescent="0.25">
      <c r="B20" s="24"/>
      <c r="C20" s="34" t="s">
        <v>541</v>
      </c>
      <c r="D20" s="36">
        <v>13.2</v>
      </c>
      <c r="E20" s="435">
        <v>0.33048</v>
      </c>
      <c r="F20" s="24">
        <v>1.0095559999999999</v>
      </c>
      <c r="G20" s="441">
        <f t="shared" ref="G20:G25" si="3">ROUND(D20*E20*F20,2)</f>
        <v>4.4000000000000004</v>
      </c>
      <c r="H20" s="33">
        <v>0.2</v>
      </c>
      <c r="I20" s="442">
        <f>ROUND(G20*H20,2)</f>
        <v>0.88</v>
      </c>
      <c r="J20" s="443">
        <f t="shared" ref="J20:J25" si="4">G20+I20</f>
        <v>5.28</v>
      </c>
    </row>
    <row r="21" spans="2:12" ht="15.75" x14ac:dyDescent="0.25">
      <c r="B21" s="24"/>
      <c r="C21" s="34" t="s">
        <v>542</v>
      </c>
      <c r="D21" s="36">
        <v>18.2</v>
      </c>
      <c r="E21" s="435">
        <v>0.33048</v>
      </c>
      <c r="F21" s="24">
        <v>1.0095559999999999</v>
      </c>
      <c r="G21" s="441">
        <f t="shared" si="3"/>
        <v>6.07</v>
      </c>
      <c r="H21" s="33">
        <v>0.2</v>
      </c>
      <c r="I21" s="442">
        <f>ROUND(G21*H21,2)</f>
        <v>1.21</v>
      </c>
      <c r="J21" s="443">
        <f t="shared" si="4"/>
        <v>7.28</v>
      </c>
    </row>
    <row r="22" spans="2:12" ht="15.75" x14ac:dyDescent="0.25">
      <c r="B22" s="24"/>
      <c r="C22" s="34" t="s">
        <v>543</v>
      </c>
      <c r="D22" s="36">
        <v>15.96</v>
      </c>
      <c r="E22" s="435">
        <v>0.33048</v>
      </c>
      <c r="F22" s="24">
        <v>1.0095559999999999</v>
      </c>
      <c r="G22" s="441">
        <f t="shared" si="3"/>
        <v>5.32</v>
      </c>
      <c r="H22" s="33">
        <v>0.2</v>
      </c>
      <c r="I22" s="442">
        <f>ROUND(G22*H22,2)</f>
        <v>1.06</v>
      </c>
      <c r="J22" s="443">
        <f t="shared" si="4"/>
        <v>6.3800000000000008</v>
      </c>
    </row>
    <row r="23" spans="2:12" ht="15.75" x14ac:dyDescent="0.25">
      <c r="B23" s="36"/>
      <c r="C23" s="34" t="s">
        <v>544</v>
      </c>
      <c r="D23" s="36">
        <v>2.16</v>
      </c>
      <c r="E23" s="435">
        <v>0.33048</v>
      </c>
      <c r="F23" s="24">
        <v>1.0095559999999999</v>
      </c>
      <c r="G23" s="441">
        <f t="shared" si="3"/>
        <v>0.72</v>
      </c>
      <c r="H23" s="270">
        <v>0.2</v>
      </c>
      <c r="I23" s="442">
        <f>ROUND(G23*H23,2)</f>
        <v>0.14000000000000001</v>
      </c>
      <c r="J23" s="443">
        <f t="shared" si="4"/>
        <v>0.86</v>
      </c>
    </row>
    <row r="24" spans="2:12" ht="15.75" x14ac:dyDescent="0.25">
      <c r="B24" s="25"/>
      <c r="C24" s="37" t="s">
        <v>545</v>
      </c>
      <c r="D24" s="36">
        <v>1.2</v>
      </c>
      <c r="E24" s="435">
        <v>0.33048</v>
      </c>
      <c r="F24" s="24">
        <v>1.0095559999999999</v>
      </c>
      <c r="G24" s="441">
        <f t="shared" si="3"/>
        <v>0.4</v>
      </c>
      <c r="H24" s="33">
        <v>0.2</v>
      </c>
      <c r="I24" s="442">
        <f>ROUND(G24*H24,2)</f>
        <v>0.08</v>
      </c>
      <c r="J24" s="443">
        <f t="shared" si="4"/>
        <v>0.48000000000000004</v>
      </c>
    </row>
    <row r="25" spans="2:12" ht="21.75" customHeight="1" thickBot="1" x14ac:dyDescent="0.4">
      <c r="B25" s="25"/>
      <c r="C25" s="37" t="s">
        <v>546</v>
      </c>
      <c r="D25" s="203">
        <f>549.36-74.39</f>
        <v>474.97</v>
      </c>
      <c r="E25" s="435">
        <v>0.33048</v>
      </c>
      <c r="F25" s="24">
        <v>1.0095559999999999</v>
      </c>
      <c r="G25" s="441">
        <f t="shared" si="3"/>
        <v>158.47</v>
      </c>
      <c r="H25" s="45">
        <v>0.2</v>
      </c>
      <c r="I25" s="442">
        <f>ROUND(G25*H25,2)+0.01</f>
        <v>31.700000000000003</v>
      </c>
      <c r="J25" s="443">
        <f t="shared" si="4"/>
        <v>190.17000000000002</v>
      </c>
      <c r="L25" s="711" t="s">
        <v>396</v>
      </c>
    </row>
    <row r="26" spans="2:12" ht="16.5" thickBot="1" x14ac:dyDescent="0.3">
      <c r="B26" s="30"/>
      <c r="C26" s="30" t="s">
        <v>12</v>
      </c>
      <c r="D26" s="348">
        <f>SUM(D20:D25)</f>
        <v>525.69000000000005</v>
      </c>
      <c r="E26" s="86"/>
      <c r="F26" s="198"/>
      <c r="G26" s="438">
        <f>SUM(G20:G25)</f>
        <v>175.38</v>
      </c>
      <c r="H26" s="94"/>
      <c r="I26" s="438">
        <f>SUM(I20:I25)</f>
        <v>35.07</v>
      </c>
      <c r="J26" s="438">
        <f>SUM(J20:J25)</f>
        <v>210.45000000000002</v>
      </c>
      <c r="L26" s="713">
        <f>J16+J26</f>
        <v>1296.25</v>
      </c>
    </row>
    <row r="27" spans="2:12" ht="1.5" customHeight="1" x14ac:dyDescent="0.25"/>
    <row r="28" spans="2:12" ht="20.25" customHeight="1" thickBot="1" x14ac:dyDescent="0.3">
      <c r="B28" s="3"/>
      <c r="C28" s="785" t="s">
        <v>549</v>
      </c>
      <c r="D28" s="786"/>
      <c r="E28" s="3"/>
      <c r="F28" s="3"/>
      <c r="G28" s="3"/>
      <c r="H28" s="3"/>
      <c r="I28" s="3"/>
      <c r="J28" s="3"/>
    </row>
    <row r="29" spans="2:12" ht="32.25" thickBot="1" x14ac:dyDescent="0.3">
      <c r="B29" s="26" t="s">
        <v>0</v>
      </c>
      <c r="C29" s="27" t="s">
        <v>1</v>
      </c>
      <c r="D29" s="151" t="s">
        <v>2</v>
      </c>
      <c r="E29" s="150" t="s">
        <v>3</v>
      </c>
      <c r="F29" s="150" t="s">
        <v>4</v>
      </c>
      <c r="G29" s="28" t="s">
        <v>5</v>
      </c>
      <c r="H29" s="28" t="s">
        <v>6</v>
      </c>
      <c r="I29" s="29" t="s">
        <v>7</v>
      </c>
      <c r="J29" s="30" t="s">
        <v>8</v>
      </c>
    </row>
    <row r="30" spans="2:12" ht="15.75" x14ac:dyDescent="0.25">
      <c r="B30" s="24"/>
      <c r="C30" s="34" t="s">
        <v>541</v>
      </c>
      <c r="D30" s="36">
        <v>6.56</v>
      </c>
      <c r="E30" s="435">
        <v>0.33048</v>
      </c>
      <c r="F30" s="24">
        <v>1.0095559999999999</v>
      </c>
      <c r="G30" s="441">
        <f>ROUND(D30*E30*F30,2)</f>
        <v>2.19</v>
      </c>
      <c r="H30" s="33">
        <v>0.2</v>
      </c>
      <c r="I30" s="442">
        <f t="shared" ref="I30:I35" si="5">ROUND(G30*H30,2)</f>
        <v>0.44</v>
      </c>
      <c r="J30" s="443">
        <f t="shared" ref="J30:J35" si="6">G30+I30</f>
        <v>2.63</v>
      </c>
    </row>
    <row r="31" spans="2:12" ht="15.75" x14ac:dyDescent="0.25">
      <c r="B31" s="24"/>
      <c r="C31" s="34" t="s">
        <v>542</v>
      </c>
      <c r="D31" s="36">
        <v>8.99</v>
      </c>
      <c r="E31" s="435">
        <v>0.33048</v>
      </c>
      <c r="F31" s="24">
        <v>1.0095559999999999</v>
      </c>
      <c r="G31" s="441">
        <f>ROUND(D31*E31*F31,2)</f>
        <v>3</v>
      </c>
      <c r="H31" s="33">
        <v>0.2</v>
      </c>
      <c r="I31" s="442">
        <f t="shared" si="5"/>
        <v>0.6</v>
      </c>
      <c r="J31" s="443">
        <f t="shared" si="6"/>
        <v>3.6</v>
      </c>
    </row>
    <row r="32" spans="2:12" ht="15.75" x14ac:dyDescent="0.25">
      <c r="B32" s="24"/>
      <c r="C32" s="34" t="s">
        <v>543</v>
      </c>
      <c r="D32" s="36">
        <v>7.92</v>
      </c>
      <c r="E32" s="435">
        <v>0.33048</v>
      </c>
      <c r="F32" s="24">
        <v>1.0095559999999999</v>
      </c>
      <c r="G32" s="441">
        <f>ROUND(D32*E32*F32,2)</f>
        <v>2.64</v>
      </c>
      <c r="H32" s="33">
        <v>0.2</v>
      </c>
      <c r="I32" s="442">
        <f t="shared" si="5"/>
        <v>0.53</v>
      </c>
      <c r="J32" s="443">
        <f t="shared" si="6"/>
        <v>3.17</v>
      </c>
    </row>
    <row r="33" spans="2:12" ht="15.75" x14ac:dyDescent="0.25">
      <c r="B33" s="36"/>
      <c r="C33" s="34" t="s">
        <v>544</v>
      </c>
      <c r="D33" s="36">
        <v>1.07</v>
      </c>
      <c r="E33" s="435">
        <v>0.33048</v>
      </c>
      <c r="F33" s="24">
        <v>1.0095559999999999</v>
      </c>
      <c r="G33" s="441">
        <f>ROUND(D33*E33*F33,2)</f>
        <v>0.36</v>
      </c>
      <c r="H33" s="270">
        <v>0.2</v>
      </c>
      <c r="I33" s="442">
        <f t="shared" si="5"/>
        <v>7.0000000000000007E-2</v>
      </c>
      <c r="J33" s="443">
        <f t="shared" si="6"/>
        <v>0.43</v>
      </c>
    </row>
    <row r="34" spans="2:12" ht="18" customHeight="1" x14ac:dyDescent="0.35">
      <c r="B34" s="25"/>
      <c r="C34" s="37" t="s">
        <v>545</v>
      </c>
      <c r="D34" s="36">
        <v>0.6</v>
      </c>
      <c r="E34" s="435">
        <v>0.33048</v>
      </c>
      <c r="F34" s="24">
        <v>1.0095559999999999</v>
      </c>
      <c r="G34" s="441">
        <f>ROUND(D34*E34*F34,2)</f>
        <v>0.2</v>
      </c>
      <c r="H34" s="33">
        <v>0.2</v>
      </c>
      <c r="I34" s="442">
        <f t="shared" si="5"/>
        <v>0.04</v>
      </c>
      <c r="J34" s="443">
        <f t="shared" si="6"/>
        <v>0.24000000000000002</v>
      </c>
      <c r="L34" s="711" t="s">
        <v>551</v>
      </c>
    </row>
    <row r="35" spans="2:12" ht="19.5" customHeight="1" thickBot="1" x14ac:dyDescent="0.3">
      <c r="B35" s="25"/>
      <c r="C35" s="37" t="s">
        <v>546</v>
      </c>
      <c r="D35" s="203">
        <v>272.86</v>
      </c>
      <c r="E35" s="435">
        <v>0.33048</v>
      </c>
      <c r="F35" s="24">
        <v>1.0095559999999999</v>
      </c>
      <c r="G35" s="441">
        <f>ROUND(D35*E35*F35,2)+0.05</f>
        <v>91.09</v>
      </c>
      <c r="H35" s="45">
        <v>0.2</v>
      </c>
      <c r="I35" s="442">
        <f t="shared" si="5"/>
        <v>18.22</v>
      </c>
      <c r="J35" s="443">
        <f t="shared" si="6"/>
        <v>109.31</v>
      </c>
      <c r="L35" s="713">
        <f>L26+J36</f>
        <v>1415.63</v>
      </c>
    </row>
    <row r="36" spans="2:12" ht="21.75" thickBot="1" x14ac:dyDescent="0.4">
      <c r="B36" s="30"/>
      <c r="C36" s="30" t="s">
        <v>12</v>
      </c>
      <c r="D36" s="710">
        <f>SUM(D30:D35)</f>
        <v>298</v>
      </c>
      <c r="E36" s="86"/>
      <c r="F36" s="198"/>
      <c r="G36" s="438">
        <f>SUM(G30:G35)</f>
        <v>99.48</v>
      </c>
      <c r="H36" s="94"/>
      <c r="I36" s="438">
        <f>SUM(I30:I35)</f>
        <v>19.899999999999999</v>
      </c>
      <c r="J36" s="438">
        <f>SUM(J30:J35)</f>
        <v>119.38</v>
      </c>
      <c r="L36" s="711"/>
    </row>
    <row r="37" spans="2:12" ht="15.75" x14ac:dyDescent="0.25">
      <c r="L37" s="713"/>
    </row>
    <row r="42" spans="2:12" ht="20.25" x14ac:dyDescent="0.3">
      <c r="B42" s="3" t="s">
        <v>53</v>
      </c>
      <c r="C42" s="756" t="s">
        <v>550</v>
      </c>
      <c r="D42" s="756"/>
      <c r="E42" s="756"/>
      <c r="F42" s="756"/>
      <c r="G42" s="756"/>
      <c r="H42" s="756"/>
      <c r="I42" s="756"/>
      <c r="J42" s="3"/>
    </row>
    <row r="43" spans="2:12" ht="3" customHeight="1" x14ac:dyDescent="0.25">
      <c r="B43" s="3"/>
      <c r="C43" s="4"/>
      <c r="D43" s="4"/>
      <c r="E43" s="3"/>
      <c r="F43" s="3"/>
      <c r="G43" s="3"/>
      <c r="H43" s="3"/>
      <c r="I43" s="3"/>
      <c r="J43" s="3"/>
    </row>
    <row r="44" spans="2:12" ht="16.5" thickBot="1" x14ac:dyDescent="0.3">
      <c r="B44" s="3"/>
      <c r="C44" s="47" t="s">
        <v>547</v>
      </c>
      <c r="D44" s="3"/>
      <c r="E44" s="3"/>
      <c r="F44" s="3"/>
      <c r="G44" s="3"/>
      <c r="H44" s="3"/>
      <c r="I44" s="3"/>
      <c r="J44" s="3"/>
    </row>
    <row r="45" spans="2:12" ht="32.25" thickBot="1" x14ac:dyDescent="0.3">
      <c r="B45" s="26" t="s">
        <v>0</v>
      </c>
      <c r="C45" s="27" t="s">
        <v>1</v>
      </c>
      <c r="D45" s="151" t="s">
        <v>2</v>
      </c>
      <c r="E45" s="150" t="s">
        <v>3</v>
      </c>
      <c r="F45" s="150" t="s">
        <v>4</v>
      </c>
      <c r="G45" s="28" t="s">
        <v>5</v>
      </c>
      <c r="H45" s="28" t="s">
        <v>6</v>
      </c>
      <c r="I45" s="29" t="s">
        <v>7</v>
      </c>
      <c r="J45" s="30" t="s">
        <v>8</v>
      </c>
    </row>
    <row r="46" spans="2:12" ht="15.75" x14ac:dyDescent="0.25">
      <c r="B46" s="24"/>
      <c r="C46" s="34" t="s">
        <v>541</v>
      </c>
      <c r="D46" s="36">
        <v>454</v>
      </c>
      <c r="E46" s="435">
        <v>0.33048</v>
      </c>
      <c r="F46" s="24">
        <v>1.0427379999999999</v>
      </c>
      <c r="G46" s="441">
        <f t="shared" ref="G46:G51" si="7">ROUND(D46*E46*F46,2)</f>
        <v>156.44999999999999</v>
      </c>
      <c r="H46" s="33">
        <v>0.2</v>
      </c>
      <c r="I46" s="442">
        <f t="shared" ref="I46:I51" si="8">ROUND(G46*H46,2)</f>
        <v>31.29</v>
      </c>
      <c r="J46" s="443">
        <f t="shared" ref="J46:J51" si="9">G46+I46</f>
        <v>187.73999999999998</v>
      </c>
    </row>
    <row r="47" spans="2:12" ht="15.75" x14ac:dyDescent="0.25">
      <c r="B47" s="24"/>
      <c r="C47" s="34" t="s">
        <v>542</v>
      </c>
      <c r="D47" s="36">
        <v>116</v>
      </c>
      <c r="E47" s="435">
        <v>0.33048</v>
      </c>
      <c r="F47" s="24">
        <v>1.0427379999999999</v>
      </c>
      <c r="G47" s="441">
        <f t="shared" si="7"/>
        <v>39.97</v>
      </c>
      <c r="H47" s="33">
        <v>0.2</v>
      </c>
      <c r="I47" s="442">
        <f t="shared" si="8"/>
        <v>7.99</v>
      </c>
      <c r="J47" s="443">
        <f t="shared" si="9"/>
        <v>47.96</v>
      </c>
    </row>
    <row r="48" spans="2:12" ht="15.75" x14ac:dyDescent="0.25">
      <c r="B48" s="24"/>
      <c r="C48" s="34" t="s">
        <v>543</v>
      </c>
      <c r="D48" s="36">
        <v>142</v>
      </c>
      <c r="E48" s="435">
        <v>0.33048</v>
      </c>
      <c r="F48" s="24">
        <v>1.0427379999999999</v>
      </c>
      <c r="G48" s="441">
        <f t="shared" si="7"/>
        <v>48.93</v>
      </c>
      <c r="H48" s="33">
        <v>0.2</v>
      </c>
      <c r="I48" s="442">
        <f t="shared" si="8"/>
        <v>9.7899999999999991</v>
      </c>
      <c r="J48" s="443">
        <f t="shared" si="9"/>
        <v>58.72</v>
      </c>
    </row>
    <row r="49" spans="2:12" ht="15.75" x14ac:dyDescent="0.25">
      <c r="B49" s="36"/>
      <c r="C49" s="34" t="s">
        <v>544</v>
      </c>
      <c r="D49" s="36">
        <v>0</v>
      </c>
      <c r="E49" s="435">
        <v>0.33048</v>
      </c>
      <c r="F49" s="24">
        <v>1.0427379999999999</v>
      </c>
      <c r="G49" s="441">
        <f t="shared" si="7"/>
        <v>0</v>
      </c>
      <c r="H49" s="270">
        <v>0.2</v>
      </c>
      <c r="I49" s="442">
        <f t="shared" si="8"/>
        <v>0</v>
      </c>
      <c r="J49" s="443">
        <f t="shared" si="9"/>
        <v>0</v>
      </c>
    </row>
    <row r="50" spans="2:12" ht="15.75" x14ac:dyDescent="0.25">
      <c r="B50" s="25"/>
      <c r="C50" s="37" t="s">
        <v>545</v>
      </c>
      <c r="D50" s="36">
        <v>78</v>
      </c>
      <c r="E50" s="435">
        <v>0.33048</v>
      </c>
      <c r="F50" s="24">
        <v>1.0427379999999999</v>
      </c>
      <c r="G50" s="441">
        <f t="shared" si="7"/>
        <v>26.88</v>
      </c>
      <c r="H50" s="33">
        <v>0.2</v>
      </c>
      <c r="I50" s="442">
        <f t="shared" si="8"/>
        <v>5.38</v>
      </c>
      <c r="J50" s="443">
        <f t="shared" si="9"/>
        <v>32.26</v>
      </c>
    </row>
    <row r="51" spans="2:12" ht="20.25" customHeight="1" thickBot="1" x14ac:dyDescent="0.3">
      <c r="B51" s="25"/>
      <c r="C51" s="37" t="s">
        <v>546</v>
      </c>
      <c r="D51" s="203">
        <v>452</v>
      </c>
      <c r="E51" s="435">
        <v>0.33048</v>
      </c>
      <c r="F51" s="24">
        <v>1.0427379999999999</v>
      </c>
      <c r="G51" s="441">
        <f t="shared" si="7"/>
        <v>155.76</v>
      </c>
      <c r="H51" s="45">
        <v>0.2</v>
      </c>
      <c r="I51" s="442">
        <f t="shared" si="8"/>
        <v>31.15</v>
      </c>
      <c r="J51" s="443">
        <f t="shared" si="9"/>
        <v>186.91</v>
      </c>
    </row>
    <row r="52" spans="2:12" ht="16.5" thickBot="1" x14ac:dyDescent="0.3">
      <c r="B52" s="30"/>
      <c r="C52" s="30" t="s">
        <v>12</v>
      </c>
      <c r="D52" s="348">
        <f>SUM(D46:D51)</f>
        <v>1242</v>
      </c>
      <c r="E52" s="86"/>
      <c r="F52" s="198"/>
      <c r="G52" s="438">
        <f>SUM(G46:G51)</f>
        <v>427.99</v>
      </c>
      <c r="H52" s="94"/>
      <c r="I52" s="438">
        <f>SUM(I46:I51)</f>
        <v>85.6</v>
      </c>
      <c r="J52" s="438">
        <f>SUM(J46:J51)</f>
        <v>513.58999999999992</v>
      </c>
    </row>
    <row r="53" spans="2:12" ht="3" customHeight="1" x14ac:dyDescent="0.25">
      <c r="B53" s="116"/>
      <c r="C53" s="116"/>
      <c r="D53" s="116"/>
      <c r="E53" s="116"/>
      <c r="F53" s="116"/>
      <c r="G53" s="116"/>
      <c r="H53" s="116"/>
      <c r="I53" s="116"/>
      <c r="J53" s="116"/>
    </row>
    <row r="54" spans="2:12" ht="15.75" thickBot="1" x14ac:dyDescent="0.3">
      <c r="B54" s="3"/>
      <c r="C54" s="785" t="s">
        <v>548</v>
      </c>
      <c r="D54" s="786"/>
      <c r="E54" s="3"/>
      <c r="F54" s="3"/>
      <c r="G54" s="3"/>
      <c r="H54" s="3"/>
      <c r="I54" s="3"/>
      <c r="J54" s="3"/>
    </row>
    <row r="55" spans="2:12" ht="32.25" thickBot="1" x14ac:dyDescent="0.3">
      <c r="B55" s="26" t="s">
        <v>0</v>
      </c>
      <c r="C55" s="27" t="s">
        <v>1</v>
      </c>
      <c r="D55" s="151" t="s">
        <v>2</v>
      </c>
      <c r="E55" s="150" t="s">
        <v>3</v>
      </c>
      <c r="F55" s="150" t="s">
        <v>4</v>
      </c>
      <c r="G55" s="28" t="s">
        <v>5</v>
      </c>
      <c r="H55" s="28" t="s">
        <v>6</v>
      </c>
      <c r="I55" s="29" t="s">
        <v>7</v>
      </c>
      <c r="J55" s="30" t="s">
        <v>8</v>
      </c>
    </row>
    <row r="56" spans="2:12" ht="15.75" x14ac:dyDescent="0.25">
      <c r="B56" s="24"/>
      <c r="C56" s="34" t="s">
        <v>541</v>
      </c>
      <c r="D56" s="36">
        <v>13.2</v>
      </c>
      <c r="E56" s="435">
        <v>0.33048</v>
      </c>
      <c r="F56" s="24">
        <v>1.0427379999999999</v>
      </c>
      <c r="G56" s="441">
        <f t="shared" ref="G56:G61" si="10">ROUND(D56*E56*F56,2)</f>
        <v>4.55</v>
      </c>
      <c r="H56" s="33">
        <v>0.2</v>
      </c>
      <c r="I56" s="442">
        <f t="shared" ref="I56:I61" si="11">ROUND(G56*H56,2)</f>
        <v>0.91</v>
      </c>
      <c r="J56" s="443">
        <f>G56+I56</f>
        <v>5.46</v>
      </c>
    </row>
    <row r="57" spans="2:12" ht="15.75" x14ac:dyDescent="0.25">
      <c r="B57" s="24"/>
      <c r="C57" s="34" t="s">
        <v>542</v>
      </c>
      <c r="D57" s="36">
        <v>18.2</v>
      </c>
      <c r="E57" s="435">
        <v>0.33048</v>
      </c>
      <c r="F57" s="24">
        <v>1.0427379999999999</v>
      </c>
      <c r="G57" s="441">
        <f t="shared" si="10"/>
        <v>6.27</v>
      </c>
      <c r="H57" s="33">
        <v>0.2</v>
      </c>
      <c r="I57" s="442">
        <f t="shared" si="11"/>
        <v>1.25</v>
      </c>
      <c r="J57" s="443">
        <f>G57+I57</f>
        <v>7.52</v>
      </c>
    </row>
    <row r="58" spans="2:12" ht="15.75" x14ac:dyDescent="0.25">
      <c r="B58" s="24"/>
      <c r="C58" s="34" t="s">
        <v>543</v>
      </c>
      <c r="D58" s="36">
        <v>15.96</v>
      </c>
      <c r="E58" s="435">
        <v>0.33048</v>
      </c>
      <c r="F58" s="24">
        <v>1.0427379999999999</v>
      </c>
      <c r="G58" s="441">
        <f t="shared" si="10"/>
        <v>5.5</v>
      </c>
      <c r="H58" s="33">
        <v>0.2</v>
      </c>
      <c r="I58" s="442">
        <f t="shared" si="11"/>
        <v>1.1000000000000001</v>
      </c>
      <c r="J58" s="443">
        <f>G58+I58</f>
        <v>6.6</v>
      </c>
    </row>
    <row r="59" spans="2:12" ht="15.75" x14ac:dyDescent="0.25">
      <c r="B59" s="36"/>
      <c r="C59" s="34" t="s">
        <v>544</v>
      </c>
      <c r="D59" s="36">
        <v>2.16</v>
      </c>
      <c r="E59" s="435">
        <v>0.33048</v>
      </c>
      <c r="F59" s="24">
        <v>1.0427379999999999</v>
      </c>
      <c r="G59" s="441">
        <f t="shared" si="10"/>
        <v>0.74</v>
      </c>
      <c r="H59" s="270">
        <v>0.2</v>
      </c>
      <c r="I59" s="442">
        <f t="shared" si="11"/>
        <v>0.15</v>
      </c>
      <c r="J59" s="443">
        <f>G59+I59</f>
        <v>0.89</v>
      </c>
    </row>
    <row r="60" spans="2:12" ht="15.75" x14ac:dyDescent="0.25">
      <c r="B60" s="25"/>
      <c r="C60" s="37" t="s">
        <v>545</v>
      </c>
      <c r="D60" s="36">
        <v>1.2</v>
      </c>
      <c r="E60" s="435">
        <v>0.33048</v>
      </c>
      <c r="F60" s="24">
        <v>1.0427379999999999</v>
      </c>
      <c r="G60" s="441">
        <f t="shared" si="10"/>
        <v>0.41</v>
      </c>
      <c r="H60" s="33">
        <v>0.2</v>
      </c>
      <c r="I60" s="442">
        <f t="shared" si="11"/>
        <v>0.08</v>
      </c>
      <c r="J60" s="443">
        <f>G60+I60</f>
        <v>0.49</v>
      </c>
    </row>
    <row r="61" spans="2:12" ht="21" customHeight="1" thickBot="1" x14ac:dyDescent="0.4">
      <c r="B61" s="25"/>
      <c r="C61" s="37" t="s">
        <v>546</v>
      </c>
      <c r="D61" s="203">
        <v>549.36</v>
      </c>
      <c r="E61" s="435">
        <v>0.33048</v>
      </c>
      <c r="F61" s="24">
        <v>1.0427379999999999</v>
      </c>
      <c r="G61" s="441">
        <f t="shared" si="10"/>
        <v>189.31</v>
      </c>
      <c r="H61" s="45">
        <v>0.2</v>
      </c>
      <c r="I61" s="442">
        <f t="shared" si="11"/>
        <v>37.86</v>
      </c>
      <c r="J61" s="443">
        <f>G61+I61-0.01</f>
        <v>227.16000000000003</v>
      </c>
      <c r="L61" s="711" t="s">
        <v>396</v>
      </c>
    </row>
    <row r="62" spans="2:12" ht="19.5" customHeight="1" thickBot="1" x14ac:dyDescent="0.3">
      <c r="B62" s="30"/>
      <c r="C62" s="30" t="s">
        <v>12</v>
      </c>
      <c r="D62" s="348">
        <f>SUM(D56:D61)</f>
        <v>600.08000000000004</v>
      </c>
      <c r="E62" s="86"/>
      <c r="F62" s="198"/>
      <c r="G62" s="438">
        <f>SUM(G56:G61)</f>
        <v>206.78</v>
      </c>
      <c r="H62" s="94"/>
      <c r="I62" s="438">
        <f>SUM(I56:I61)</f>
        <v>41.35</v>
      </c>
      <c r="J62" s="438">
        <f>SUM(J56:J61)</f>
        <v>248.12000000000003</v>
      </c>
      <c r="L62" s="712">
        <f>J52+J62</f>
        <v>761.70999999999992</v>
      </c>
    </row>
    <row r="63" spans="2:12" ht="7.5" hidden="1" customHeight="1" x14ac:dyDescent="0.25">
      <c r="B63" s="116"/>
      <c r="C63" s="116"/>
      <c r="D63" s="116"/>
      <c r="E63" s="116"/>
      <c r="F63" s="116"/>
      <c r="G63" s="116"/>
      <c r="H63" s="116"/>
      <c r="I63" s="116"/>
      <c r="J63" s="116"/>
    </row>
    <row r="64" spans="2:12" ht="15.75" thickBot="1" x14ac:dyDescent="0.3">
      <c r="B64" s="3"/>
      <c r="C64" s="785" t="s">
        <v>549</v>
      </c>
      <c r="D64" s="786"/>
      <c r="E64" s="3"/>
      <c r="F64" s="3"/>
      <c r="G64" s="3"/>
      <c r="H64" s="3"/>
      <c r="I64" s="3"/>
      <c r="J64" s="3"/>
    </row>
    <row r="65" spans="2:12" ht="32.25" thickBot="1" x14ac:dyDescent="0.3">
      <c r="B65" s="26" t="s">
        <v>0</v>
      </c>
      <c r="C65" s="27" t="s">
        <v>1</v>
      </c>
      <c r="D65" s="151" t="s">
        <v>2</v>
      </c>
      <c r="E65" s="150" t="s">
        <v>3</v>
      </c>
      <c r="F65" s="150" t="s">
        <v>4</v>
      </c>
      <c r="G65" s="28" t="s">
        <v>5</v>
      </c>
      <c r="H65" s="28" t="s">
        <v>6</v>
      </c>
      <c r="I65" s="29" t="s">
        <v>7</v>
      </c>
      <c r="J65" s="30" t="s">
        <v>8</v>
      </c>
    </row>
    <row r="66" spans="2:12" ht="15.75" x14ac:dyDescent="0.25">
      <c r="B66" s="24"/>
      <c r="C66" s="34" t="s">
        <v>541</v>
      </c>
      <c r="D66" s="36">
        <v>5.5</v>
      </c>
      <c r="E66" s="435">
        <v>0.33048</v>
      </c>
      <c r="F66" s="24">
        <v>1.0427379999999999</v>
      </c>
      <c r="G66" s="441">
        <f>ROUND(D66*E66*F66,2)</f>
        <v>1.9</v>
      </c>
      <c r="H66" s="33">
        <v>0.2</v>
      </c>
      <c r="I66" s="442">
        <f t="shared" ref="I66:I71" si="12">ROUND(G66*H66,2)</f>
        <v>0.38</v>
      </c>
      <c r="J66" s="443">
        <f t="shared" ref="J66:J71" si="13">G66+I66</f>
        <v>2.2799999999999998</v>
      </c>
    </row>
    <row r="67" spans="2:12" ht="15.75" x14ac:dyDescent="0.25">
      <c r="B67" s="24"/>
      <c r="C67" s="34" t="s">
        <v>542</v>
      </c>
      <c r="D67" s="36">
        <v>7.55</v>
      </c>
      <c r="E67" s="435">
        <v>0.33048</v>
      </c>
      <c r="F67" s="24">
        <v>1.0427379999999999</v>
      </c>
      <c r="G67" s="441">
        <f>ROUND(D67*E67*F67,2)</f>
        <v>2.6</v>
      </c>
      <c r="H67" s="33">
        <v>0.2</v>
      </c>
      <c r="I67" s="442">
        <f t="shared" si="12"/>
        <v>0.52</v>
      </c>
      <c r="J67" s="443">
        <f t="shared" si="13"/>
        <v>3.12</v>
      </c>
    </row>
    <row r="68" spans="2:12" ht="15.75" x14ac:dyDescent="0.25">
      <c r="B68" s="24"/>
      <c r="C68" s="34" t="s">
        <v>543</v>
      </c>
      <c r="D68" s="36">
        <v>6.65</v>
      </c>
      <c r="E68" s="435">
        <v>0.33048</v>
      </c>
      <c r="F68" s="24">
        <v>1.0427379999999999</v>
      </c>
      <c r="G68" s="441">
        <f>ROUND(D68*E68*F68,2)</f>
        <v>2.29</v>
      </c>
      <c r="H68" s="33">
        <v>0.2</v>
      </c>
      <c r="I68" s="442">
        <f t="shared" si="12"/>
        <v>0.46</v>
      </c>
      <c r="J68" s="443">
        <f t="shared" si="13"/>
        <v>2.75</v>
      </c>
    </row>
    <row r="69" spans="2:12" ht="15.75" x14ac:dyDescent="0.25">
      <c r="B69" s="36"/>
      <c r="C69" s="34" t="s">
        <v>544</v>
      </c>
      <c r="D69" s="36">
        <v>0.9</v>
      </c>
      <c r="E69" s="435">
        <v>0.33048</v>
      </c>
      <c r="F69" s="24">
        <v>1.0427379999999999</v>
      </c>
      <c r="G69" s="441">
        <f>ROUND(D69*E69*F69,2)</f>
        <v>0.31</v>
      </c>
      <c r="H69" s="270">
        <v>0.2</v>
      </c>
      <c r="I69" s="442">
        <f t="shared" si="12"/>
        <v>0.06</v>
      </c>
      <c r="J69" s="443">
        <f t="shared" si="13"/>
        <v>0.37</v>
      </c>
    </row>
    <row r="70" spans="2:12" ht="15.75" x14ac:dyDescent="0.25">
      <c r="B70" s="25"/>
      <c r="C70" s="37" t="s">
        <v>545</v>
      </c>
      <c r="D70" s="36">
        <v>0.5</v>
      </c>
      <c r="E70" s="435">
        <v>0.33048</v>
      </c>
      <c r="F70" s="24">
        <v>1.0427379999999999</v>
      </c>
      <c r="G70" s="441">
        <f>ROUND(D70*E70*F70,2)</f>
        <v>0.17</v>
      </c>
      <c r="H70" s="33">
        <v>0.2</v>
      </c>
      <c r="I70" s="442">
        <f t="shared" si="12"/>
        <v>0.03</v>
      </c>
      <c r="J70" s="443">
        <f t="shared" si="13"/>
        <v>0.2</v>
      </c>
    </row>
    <row r="71" spans="2:12" ht="22.5" customHeight="1" thickBot="1" x14ac:dyDescent="0.4">
      <c r="B71" s="25"/>
      <c r="C71" s="37" t="s">
        <v>546</v>
      </c>
      <c r="D71" s="203">
        <f>229.8-0.81</f>
        <v>228.99</v>
      </c>
      <c r="E71" s="435">
        <v>0.33048</v>
      </c>
      <c r="F71" s="24">
        <v>1.0427379999999999</v>
      </c>
      <c r="G71" s="441">
        <f>ROUND(D71*E71*F71,2)+0.01</f>
        <v>78.92</v>
      </c>
      <c r="H71" s="45">
        <v>0.2</v>
      </c>
      <c r="I71" s="442">
        <f t="shared" si="12"/>
        <v>15.78</v>
      </c>
      <c r="J71" s="443">
        <f t="shared" si="13"/>
        <v>94.7</v>
      </c>
      <c r="L71" s="711" t="s">
        <v>551</v>
      </c>
    </row>
    <row r="72" spans="2:12" ht="16.5" thickBot="1" x14ac:dyDescent="0.3">
      <c r="B72" s="30"/>
      <c r="C72" s="30" t="s">
        <v>12</v>
      </c>
      <c r="D72" s="710">
        <f>SUM(D66:D71)</f>
        <v>250.09</v>
      </c>
      <c r="E72" s="86"/>
      <c r="F72" s="198"/>
      <c r="G72" s="438">
        <f>SUM(G66:G71)</f>
        <v>86.19</v>
      </c>
      <c r="H72" s="94"/>
      <c r="I72" s="438">
        <f>SUM(I66:I71)</f>
        <v>17.23</v>
      </c>
      <c r="J72" s="438">
        <f>SUM(J66:J71)</f>
        <v>103.42</v>
      </c>
      <c r="L72" s="713">
        <f>L62+J72</f>
        <v>865.12999999999988</v>
      </c>
    </row>
    <row r="75" spans="2:12" ht="20.25" x14ac:dyDescent="0.3">
      <c r="B75" s="3" t="s">
        <v>53</v>
      </c>
      <c r="C75" s="756" t="s">
        <v>540</v>
      </c>
      <c r="D75" s="756"/>
      <c r="E75" s="756"/>
      <c r="F75" s="756"/>
      <c r="G75" s="756"/>
      <c r="H75" s="756"/>
      <c r="I75" s="756"/>
      <c r="J75" s="3"/>
      <c r="K75" s="116"/>
      <c r="L75" s="116"/>
    </row>
    <row r="76" spans="2:12" ht="2.25" customHeight="1" x14ac:dyDescent="0.25">
      <c r="B76" s="3"/>
      <c r="C76" s="4"/>
      <c r="D76" s="4"/>
      <c r="E76" s="3"/>
      <c r="F76" s="3"/>
      <c r="G76" s="3"/>
      <c r="H76" s="3"/>
      <c r="I76" s="3"/>
      <c r="J76" s="3"/>
      <c r="K76" s="116"/>
      <c r="L76" s="116"/>
    </row>
    <row r="77" spans="2:12" ht="16.5" thickBot="1" x14ac:dyDescent="0.3">
      <c r="B77" s="3"/>
      <c r="C77" s="47" t="s">
        <v>547</v>
      </c>
      <c r="D77" s="3"/>
      <c r="E77" s="3"/>
      <c r="F77" s="3"/>
      <c r="G77" s="3"/>
      <c r="H77" s="3"/>
      <c r="I77" s="3"/>
      <c r="J77" s="3"/>
      <c r="K77" s="116"/>
      <c r="L77" s="116"/>
    </row>
    <row r="78" spans="2:12" ht="32.25" thickBot="1" x14ac:dyDescent="0.3">
      <c r="B78" s="26" t="s">
        <v>0</v>
      </c>
      <c r="C78" s="27" t="s">
        <v>1</v>
      </c>
      <c r="D78" s="151" t="s">
        <v>2</v>
      </c>
      <c r="E78" s="150" t="s">
        <v>3</v>
      </c>
      <c r="F78" s="150" t="s">
        <v>4</v>
      </c>
      <c r="G78" s="28" t="s">
        <v>5</v>
      </c>
      <c r="H78" s="28" t="s">
        <v>6</v>
      </c>
      <c r="I78" s="29" t="s">
        <v>7</v>
      </c>
      <c r="J78" s="30" t="s">
        <v>8</v>
      </c>
      <c r="K78" s="116"/>
      <c r="L78" s="116"/>
    </row>
    <row r="79" spans="2:12" ht="15.75" x14ac:dyDescent="0.25">
      <c r="B79" s="24"/>
      <c r="C79" s="34" t="s">
        <v>541</v>
      </c>
      <c r="D79" s="36">
        <v>310</v>
      </c>
      <c r="E79" s="435">
        <v>0.33048</v>
      </c>
      <c r="F79" s="24">
        <v>1.161594</v>
      </c>
      <c r="G79" s="441">
        <f t="shared" ref="G79:G84" si="14">ROUND(D79*E79*F79,2)</f>
        <v>119</v>
      </c>
      <c r="H79" s="33">
        <v>0.2</v>
      </c>
      <c r="I79" s="442">
        <f t="shared" ref="I79:I84" si="15">ROUND(G79*H79,2)</f>
        <v>23.8</v>
      </c>
      <c r="J79" s="443">
        <f t="shared" ref="J79:J84" si="16">G79+I79</f>
        <v>142.80000000000001</v>
      </c>
      <c r="K79" s="116"/>
      <c r="L79" s="116"/>
    </row>
    <row r="80" spans="2:12" ht="15.75" x14ac:dyDescent="0.25">
      <c r="B80" s="24"/>
      <c r="C80" s="34" t="s">
        <v>542</v>
      </c>
      <c r="D80" s="36">
        <v>94</v>
      </c>
      <c r="E80" s="435">
        <v>0.33048</v>
      </c>
      <c r="F80" s="24">
        <v>1.161594</v>
      </c>
      <c r="G80" s="441">
        <f t="shared" si="14"/>
        <v>36.090000000000003</v>
      </c>
      <c r="H80" s="33">
        <v>0.2</v>
      </c>
      <c r="I80" s="442">
        <f t="shared" si="15"/>
        <v>7.22</v>
      </c>
      <c r="J80" s="443">
        <f t="shared" si="16"/>
        <v>43.31</v>
      </c>
      <c r="K80" s="116"/>
      <c r="L80" s="116"/>
    </row>
    <row r="81" spans="2:12" ht="15.75" x14ac:dyDescent="0.25">
      <c r="B81" s="24"/>
      <c r="C81" s="34" t="s">
        <v>543</v>
      </c>
      <c r="D81" s="36">
        <v>138</v>
      </c>
      <c r="E81" s="435">
        <v>0.33048</v>
      </c>
      <c r="F81" s="24">
        <v>1.161594</v>
      </c>
      <c r="G81" s="441">
        <f t="shared" si="14"/>
        <v>52.98</v>
      </c>
      <c r="H81" s="33">
        <v>0.2</v>
      </c>
      <c r="I81" s="442">
        <f t="shared" si="15"/>
        <v>10.6</v>
      </c>
      <c r="J81" s="443">
        <f t="shared" si="16"/>
        <v>63.58</v>
      </c>
      <c r="K81" s="116"/>
      <c r="L81" s="116"/>
    </row>
    <row r="82" spans="2:12" ht="15.75" x14ac:dyDescent="0.25">
      <c r="B82" s="36"/>
      <c r="C82" s="34" t="s">
        <v>544</v>
      </c>
      <c r="D82" s="36">
        <v>0</v>
      </c>
      <c r="E82" s="435">
        <v>0.33048</v>
      </c>
      <c r="F82" s="24">
        <v>1.161594</v>
      </c>
      <c r="G82" s="441">
        <f t="shared" si="14"/>
        <v>0</v>
      </c>
      <c r="H82" s="270">
        <v>0.2</v>
      </c>
      <c r="I82" s="442">
        <f t="shared" si="15"/>
        <v>0</v>
      </c>
      <c r="J82" s="443">
        <f t="shared" si="16"/>
        <v>0</v>
      </c>
      <c r="K82" s="116"/>
      <c r="L82" s="116"/>
    </row>
    <row r="83" spans="2:12" ht="15.75" x14ac:dyDescent="0.25">
      <c r="B83" s="25"/>
      <c r="C83" s="37" t="s">
        <v>545</v>
      </c>
      <c r="D83" s="36">
        <v>68</v>
      </c>
      <c r="E83" s="435">
        <v>0.33048</v>
      </c>
      <c r="F83" s="24">
        <v>1.161594</v>
      </c>
      <c r="G83" s="441">
        <f t="shared" si="14"/>
        <v>26.1</v>
      </c>
      <c r="H83" s="33">
        <v>0.2</v>
      </c>
      <c r="I83" s="442">
        <f t="shared" si="15"/>
        <v>5.22</v>
      </c>
      <c r="J83" s="443">
        <f t="shared" si="16"/>
        <v>31.32</v>
      </c>
      <c r="K83" s="116"/>
      <c r="L83" s="116"/>
    </row>
    <row r="84" spans="2:12" ht="18.75" customHeight="1" thickBot="1" x14ac:dyDescent="0.3">
      <c r="B84" s="25"/>
      <c r="C84" s="37" t="s">
        <v>546</v>
      </c>
      <c r="D84" s="203">
        <v>172</v>
      </c>
      <c r="E84" s="435">
        <v>0.33048</v>
      </c>
      <c r="F84" s="24">
        <v>1.161594</v>
      </c>
      <c r="G84" s="441">
        <f t="shared" si="14"/>
        <v>66.03</v>
      </c>
      <c r="H84" s="45">
        <v>0.2</v>
      </c>
      <c r="I84" s="442">
        <f t="shared" si="15"/>
        <v>13.21</v>
      </c>
      <c r="J84" s="443">
        <f t="shared" si="16"/>
        <v>79.240000000000009</v>
      </c>
      <c r="K84" s="116"/>
      <c r="L84" s="116"/>
    </row>
    <row r="85" spans="2:12" ht="16.5" thickBot="1" x14ac:dyDescent="0.3">
      <c r="B85" s="30"/>
      <c r="C85" s="30" t="s">
        <v>12</v>
      </c>
      <c r="D85" s="348">
        <f>SUM(D79:D84)</f>
        <v>782</v>
      </c>
      <c r="E85" s="86"/>
      <c r="F85" s="198"/>
      <c r="G85" s="438">
        <f>SUM(G79:G84)</f>
        <v>300.2</v>
      </c>
      <c r="H85" s="94"/>
      <c r="I85" s="438">
        <f>SUM(I79:I84)</f>
        <v>60.05</v>
      </c>
      <c r="J85" s="438">
        <f>SUM(J79:J84)</f>
        <v>360.25</v>
      </c>
      <c r="K85" s="116"/>
      <c r="L85" s="116"/>
    </row>
    <row r="86" spans="2:12" ht="1.5" customHeight="1" x14ac:dyDescent="0.25"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</row>
    <row r="87" spans="2:12" ht="15.75" thickBot="1" x14ac:dyDescent="0.3">
      <c r="B87" s="3"/>
      <c r="C87" s="785" t="s">
        <v>548</v>
      </c>
      <c r="D87" s="786"/>
      <c r="E87" s="3"/>
      <c r="F87" s="3"/>
      <c r="G87" s="3"/>
      <c r="H87" s="3"/>
      <c r="I87" s="3"/>
      <c r="J87" s="3"/>
      <c r="K87" s="116"/>
      <c r="L87" s="116"/>
    </row>
    <row r="88" spans="2:12" ht="32.25" thickBot="1" x14ac:dyDescent="0.3">
      <c r="B88" s="26" t="s">
        <v>0</v>
      </c>
      <c r="C88" s="27" t="s">
        <v>1</v>
      </c>
      <c r="D88" s="151" t="s">
        <v>2</v>
      </c>
      <c r="E88" s="150" t="s">
        <v>3</v>
      </c>
      <c r="F88" s="150" t="s">
        <v>4</v>
      </c>
      <c r="G88" s="28" t="s">
        <v>5</v>
      </c>
      <c r="H88" s="28" t="s">
        <v>6</v>
      </c>
      <c r="I88" s="29" t="s">
        <v>7</v>
      </c>
      <c r="J88" s="30" t="s">
        <v>8</v>
      </c>
      <c r="K88" s="116"/>
      <c r="L88" s="116"/>
    </row>
    <row r="89" spans="2:12" ht="15.75" x14ac:dyDescent="0.25">
      <c r="B89" s="24"/>
      <c r="C89" s="34" t="s">
        <v>541</v>
      </c>
      <c r="D89" s="36">
        <v>13.2</v>
      </c>
      <c r="E89" s="435">
        <v>0.33048</v>
      </c>
      <c r="F89" s="24">
        <v>1.161594</v>
      </c>
      <c r="G89" s="441">
        <f>ROUND(D89*E89*F89,2)</f>
        <v>5.07</v>
      </c>
      <c r="H89" s="33">
        <v>0.2</v>
      </c>
      <c r="I89" s="442">
        <f t="shared" ref="I89:I94" si="17">ROUND(G89*H89,2)</f>
        <v>1.01</v>
      </c>
      <c r="J89" s="443">
        <f t="shared" ref="J89:J94" si="18">G89+I89</f>
        <v>6.08</v>
      </c>
      <c r="K89" s="116"/>
      <c r="L89" s="116"/>
    </row>
    <row r="90" spans="2:12" ht="15.75" x14ac:dyDescent="0.25">
      <c r="B90" s="24"/>
      <c r="C90" s="34" t="s">
        <v>542</v>
      </c>
      <c r="D90" s="36">
        <v>18.2</v>
      </c>
      <c r="E90" s="435">
        <v>0.33048</v>
      </c>
      <c r="F90" s="24">
        <v>1.161594</v>
      </c>
      <c r="G90" s="441">
        <f>ROUND(D90*E90*F90,2)</f>
        <v>6.99</v>
      </c>
      <c r="H90" s="33">
        <v>0.2</v>
      </c>
      <c r="I90" s="442">
        <f t="shared" si="17"/>
        <v>1.4</v>
      </c>
      <c r="J90" s="443">
        <f t="shared" si="18"/>
        <v>8.39</v>
      </c>
      <c r="K90" s="116"/>
      <c r="L90" s="116"/>
    </row>
    <row r="91" spans="2:12" ht="15.75" x14ac:dyDescent="0.25">
      <c r="B91" s="24"/>
      <c r="C91" s="34" t="s">
        <v>543</v>
      </c>
      <c r="D91" s="36">
        <v>15.96</v>
      </c>
      <c r="E91" s="435">
        <v>0.33048</v>
      </c>
      <c r="F91" s="24">
        <v>1.161594</v>
      </c>
      <c r="G91" s="441">
        <f>ROUND(D91*E91*F91,2)</f>
        <v>6.13</v>
      </c>
      <c r="H91" s="33">
        <v>0.2</v>
      </c>
      <c r="I91" s="442">
        <f t="shared" si="17"/>
        <v>1.23</v>
      </c>
      <c r="J91" s="443">
        <f t="shared" si="18"/>
        <v>7.3599999999999994</v>
      </c>
      <c r="K91" s="116"/>
      <c r="L91" s="116"/>
    </row>
    <row r="92" spans="2:12" ht="15.75" x14ac:dyDescent="0.25">
      <c r="B92" s="36"/>
      <c r="C92" s="34" t="s">
        <v>544</v>
      </c>
      <c r="D92" s="36">
        <v>2.16</v>
      </c>
      <c r="E92" s="435">
        <v>0.33048</v>
      </c>
      <c r="F92" s="24">
        <v>1.161594</v>
      </c>
      <c r="G92" s="441">
        <f>ROUND(D92*E92*F92,2)</f>
        <v>0.83</v>
      </c>
      <c r="H92" s="270">
        <v>0.2</v>
      </c>
      <c r="I92" s="442">
        <f t="shared" si="17"/>
        <v>0.17</v>
      </c>
      <c r="J92" s="443">
        <f t="shared" si="18"/>
        <v>1</v>
      </c>
      <c r="K92" s="116"/>
      <c r="L92" s="116"/>
    </row>
    <row r="93" spans="2:12" ht="15.75" x14ac:dyDescent="0.25">
      <c r="B93" s="25"/>
      <c r="C93" s="37" t="s">
        <v>545</v>
      </c>
      <c r="D93" s="36">
        <v>1.2</v>
      </c>
      <c r="E93" s="435">
        <v>0.33048</v>
      </c>
      <c r="F93" s="24">
        <v>1.161594</v>
      </c>
      <c r="G93" s="441">
        <f>ROUND(D93*E93*F93,2)</f>
        <v>0.46</v>
      </c>
      <c r="H93" s="33">
        <v>0.2</v>
      </c>
      <c r="I93" s="442">
        <f t="shared" si="17"/>
        <v>0.09</v>
      </c>
      <c r="J93" s="443">
        <f t="shared" si="18"/>
        <v>0.55000000000000004</v>
      </c>
      <c r="K93" s="116"/>
      <c r="L93" s="116"/>
    </row>
    <row r="94" spans="2:12" ht="20.25" customHeight="1" thickBot="1" x14ac:dyDescent="0.4">
      <c r="B94" s="25"/>
      <c r="C94" s="37" t="s">
        <v>546</v>
      </c>
      <c r="D94" s="203">
        <v>549.28</v>
      </c>
      <c r="E94" s="435">
        <v>0.33048</v>
      </c>
      <c r="F94" s="24">
        <v>1.161594</v>
      </c>
      <c r="G94" s="441">
        <f>ROUND(D94*E94*F94,2)-0.02</f>
        <v>210.84</v>
      </c>
      <c r="H94" s="45">
        <v>0.2</v>
      </c>
      <c r="I94" s="442">
        <f t="shared" si="17"/>
        <v>42.17</v>
      </c>
      <c r="J94" s="443">
        <f t="shared" si="18"/>
        <v>253.01</v>
      </c>
      <c r="K94" s="116"/>
      <c r="L94" s="711" t="s">
        <v>396</v>
      </c>
    </row>
    <row r="95" spans="2:12" ht="15" customHeight="1" thickBot="1" x14ac:dyDescent="0.3">
      <c r="B95" s="30"/>
      <c r="C95" s="30" t="s">
        <v>12</v>
      </c>
      <c r="D95" s="348">
        <f>SUM(D89:D94)</f>
        <v>600</v>
      </c>
      <c r="E95" s="86"/>
      <c r="F95" s="198"/>
      <c r="G95" s="438">
        <f>SUM(G89:G94)</f>
        <v>230.32</v>
      </c>
      <c r="H95" s="94"/>
      <c r="I95" s="438">
        <f>SUM(I89:I94)</f>
        <v>46.07</v>
      </c>
      <c r="J95" s="438">
        <f>SUM(J89:J94)</f>
        <v>276.39</v>
      </c>
      <c r="K95" s="116"/>
      <c r="L95" s="712">
        <f>J85+J95</f>
        <v>636.64</v>
      </c>
    </row>
    <row r="96" spans="2:12" hidden="1" x14ac:dyDescent="0.25"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</row>
    <row r="97" spans="2:12" ht="15.75" thickBot="1" x14ac:dyDescent="0.3">
      <c r="B97" s="3"/>
      <c r="C97" s="785" t="s">
        <v>549</v>
      </c>
      <c r="D97" s="786"/>
      <c r="E97" s="3"/>
      <c r="F97" s="3"/>
      <c r="G97" s="3"/>
      <c r="H97" s="3"/>
      <c r="I97" s="3"/>
      <c r="J97" s="3"/>
      <c r="K97" s="116"/>
      <c r="L97" s="116"/>
    </row>
    <row r="98" spans="2:12" ht="32.25" thickBot="1" x14ac:dyDescent="0.3">
      <c r="B98" s="26" t="s">
        <v>0</v>
      </c>
      <c r="C98" s="27" t="s">
        <v>1</v>
      </c>
      <c r="D98" s="151" t="s">
        <v>2</v>
      </c>
      <c r="E98" s="150" t="s">
        <v>3</v>
      </c>
      <c r="F98" s="150" t="s">
        <v>4</v>
      </c>
      <c r="G98" s="28" t="s">
        <v>5</v>
      </c>
      <c r="H98" s="28" t="s">
        <v>6</v>
      </c>
      <c r="I98" s="29" t="s">
        <v>7</v>
      </c>
      <c r="J98" s="30" t="s">
        <v>8</v>
      </c>
      <c r="K98" s="116"/>
      <c r="L98" s="116"/>
    </row>
    <row r="99" spans="2:12" ht="15.75" x14ac:dyDescent="0.25">
      <c r="B99" s="24"/>
      <c r="C99" s="34" t="s">
        <v>541</v>
      </c>
      <c r="D99" s="36">
        <v>4.29</v>
      </c>
      <c r="E99" s="435">
        <v>0.33048</v>
      </c>
      <c r="F99" s="24">
        <v>1.161594</v>
      </c>
      <c r="G99" s="441">
        <f t="shared" ref="G99:G104" si="19">ROUND(D99*E99*F99,2)</f>
        <v>1.65</v>
      </c>
      <c r="H99" s="33">
        <v>0.2</v>
      </c>
      <c r="I99" s="442">
        <f t="shared" ref="I99:I104" si="20">ROUND(G99*H99,2)</f>
        <v>0.33</v>
      </c>
      <c r="J99" s="443">
        <f t="shared" ref="J99:J104" si="21">G99+I99</f>
        <v>1.98</v>
      </c>
      <c r="K99" s="116"/>
      <c r="L99" s="116"/>
    </row>
    <row r="100" spans="2:12" ht="15.75" x14ac:dyDescent="0.25">
      <c r="B100" s="24"/>
      <c r="C100" s="34" t="s">
        <v>542</v>
      </c>
      <c r="D100" s="36">
        <v>6.41</v>
      </c>
      <c r="E100" s="435">
        <v>0.33048</v>
      </c>
      <c r="F100" s="24">
        <v>1.161594</v>
      </c>
      <c r="G100" s="441">
        <f t="shared" si="19"/>
        <v>2.46</v>
      </c>
      <c r="H100" s="33">
        <v>0.2</v>
      </c>
      <c r="I100" s="442">
        <f t="shared" si="20"/>
        <v>0.49</v>
      </c>
      <c r="J100" s="443">
        <f t="shared" si="21"/>
        <v>2.95</v>
      </c>
      <c r="K100" s="116"/>
      <c r="L100" s="116"/>
    </row>
    <row r="101" spans="2:12" ht="15.75" x14ac:dyDescent="0.25">
      <c r="B101" s="24"/>
      <c r="C101" s="34" t="s">
        <v>543</v>
      </c>
      <c r="D101" s="36">
        <v>5.64</v>
      </c>
      <c r="E101" s="435">
        <v>0.33048</v>
      </c>
      <c r="F101" s="24">
        <v>1.161594</v>
      </c>
      <c r="G101" s="441">
        <f t="shared" si="19"/>
        <v>2.17</v>
      </c>
      <c r="H101" s="33">
        <v>0.2</v>
      </c>
      <c r="I101" s="442">
        <f t="shared" si="20"/>
        <v>0.43</v>
      </c>
      <c r="J101" s="443">
        <f t="shared" si="21"/>
        <v>2.6</v>
      </c>
      <c r="K101" s="116"/>
      <c r="L101" s="116"/>
    </row>
    <row r="102" spans="2:12" ht="15.75" x14ac:dyDescent="0.25">
      <c r="B102" s="36"/>
      <c r="C102" s="34" t="s">
        <v>544</v>
      </c>
      <c r="D102" s="36">
        <v>0.76</v>
      </c>
      <c r="E102" s="435">
        <v>0.33048</v>
      </c>
      <c r="F102" s="24">
        <v>1.161594</v>
      </c>
      <c r="G102" s="441">
        <f t="shared" si="19"/>
        <v>0.28999999999999998</v>
      </c>
      <c r="H102" s="270">
        <v>0.2</v>
      </c>
      <c r="I102" s="442">
        <f t="shared" si="20"/>
        <v>0.06</v>
      </c>
      <c r="J102" s="443">
        <f t="shared" si="21"/>
        <v>0.35</v>
      </c>
      <c r="K102" s="116"/>
      <c r="L102" s="116"/>
    </row>
    <row r="103" spans="2:12" ht="15.75" x14ac:dyDescent="0.25">
      <c r="B103" s="25"/>
      <c r="C103" s="37" t="s">
        <v>545</v>
      </c>
      <c r="D103" s="36">
        <v>0.42</v>
      </c>
      <c r="E103" s="435">
        <v>0.33048</v>
      </c>
      <c r="F103" s="24">
        <v>1.161594</v>
      </c>
      <c r="G103" s="441">
        <f t="shared" si="19"/>
        <v>0.16</v>
      </c>
      <c r="H103" s="33">
        <v>0.2</v>
      </c>
      <c r="I103" s="442">
        <f t="shared" si="20"/>
        <v>0.03</v>
      </c>
      <c r="J103" s="443">
        <f t="shared" si="21"/>
        <v>0.19</v>
      </c>
      <c r="K103" s="116"/>
      <c r="L103" s="116"/>
    </row>
    <row r="104" spans="2:12" ht="21" customHeight="1" thickBot="1" x14ac:dyDescent="0.4">
      <c r="B104" s="25"/>
      <c r="C104" s="37" t="s">
        <v>546</v>
      </c>
      <c r="D104" s="203">
        <v>194.64</v>
      </c>
      <c r="E104" s="435">
        <v>0.33048</v>
      </c>
      <c r="F104" s="24">
        <v>1.161594</v>
      </c>
      <c r="G104" s="441">
        <f t="shared" si="19"/>
        <v>74.72</v>
      </c>
      <c r="H104" s="45">
        <v>0.2</v>
      </c>
      <c r="I104" s="442">
        <f t="shared" si="20"/>
        <v>14.94</v>
      </c>
      <c r="J104" s="443">
        <f t="shared" si="21"/>
        <v>89.66</v>
      </c>
      <c r="K104" s="116"/>
      <c r="L104" s="711" t="s">
        <v>551</v>
      </c>
    </row>
    <row r="105" spans="2:12" ht="16.5" thickBot="1" x14ac:dyDescent="0.3">
      <c r="B105" s="30"/>
      <c r="C105" s="30" t="s">
        <v>12</v>
      </c>
      <c r="D105" s="710">
        <f>SUM(D99:D104)</f>
        <v>212.16</v>
      </c>
      <c r="E105" s="86"/>
      <c r="F105" s="198"/>
      <c r="G105" s="438">
        <f>SUM(G99:G104)</f>
        <v>81.45</v>
      </c>
      <c r="H105" s="94"/>
      <c r="I105" s="438">
        <f>SUM(I99:I104)</f>
        <v>16.28</v>
      </c>
      <c r="J105" s="438">
        <f>SUM(J99:J104)</f>
        <v>97.72999999999999</v>
      </c>
      <c r="K105" s="116"/>
      <c r="L105" s="713">
        <f>L95+J105</f>
        <v>734.37</v>
      </c>
    </row>
    <row r="109" spans="2:12" ht="20.25" x14ac:dyDescent="0.3">
      <c r="B109" s="3" t="s">
        <v>53</v>
      </c>
      <c r="C109" s="756" t="s">
        <v>552</v>
      </c>
      <c r="D109" s="756"/>
      <c r="E109" s="756"/>
      <c r="F109" s="756"/>
      <c r="G109" s="756"/>
      <c r="H109" s="756"/>
      <c r="I109" s="756"/>
      <c r="J109" s="3"/>
    </row>
    <row r="110" spans="2:12" x14ac:dyDescent="0.25">
      <c r="B110" s="3"/>
      <c r="C110" s="4"/>
      <c r="D110" s="4"/>
      <c r="E110" s="3"/>
      <c r="F110" s="3"/>
      <c r="G110" s="3"/>
      <c r="H110" s="3"/>
      <c r="I110" s="3"/>
      <c r="J110" s="3"/>
    </row>
    <row r="111" spans="2:12" ht="32.25" thickBot="1" x14ac:dyDescent="0.3">
      <c r="B111" s="3"/>
      <c r="C111" s="47" t="s">
        <v>553</v>
      </c>
      <c r="D111" s="3"/>
      <c r="E111" s="3"/>
      <c r="F111" s="3"/>
      <c r="G111" s="3"/>
      <c r="H111" s="3"/>
      <c r="I111" s="3"/>
      <c r="J111" s="3"/>
    </row>
    <row r="112" spans="2:12" ht="32.25" thickBot="1" x14ac:dyDescent="0.3">
      <c r="B112" s="26" t="s">
        <v>0</v>
      </c>
      <c r="C112" s="27" t="s">
        <v>1</v>
      </c>
      <c r="D112" s="151" t="s">
        <v>2</v>
      </c>
      <c r="E112" s="150" t="s">
        <v>3</v>
      </c>
      <c r="F112" s="150" t="s">
        <v>4</v>
      </c>
      <c r="G112" s="28" t="s">
        <v>5</v>
      </c>
      <c r="H112" s="28" t="s">
        <v>6</v>
      </c>
      <c r="I112" s="29" t="s">
        <v>7</v>
      </c>
      <c r="J112" s="30" t="s">
        <v>8</v>
      </c>
    </row>
    <row r="113" spans="2:10" ht="15.75" x14ac:dyDescent="0.25">
      <c r="B113" s="24"/>
      <c r="C113" s="34" t="s">
        <v>541</v>
      </c>
      <c r="D113" s="36">
        <f>454+13.2</f>
        <v>467.2</v>
      </c>
      <c r="E113" s="435">
        <v>0.18970999999999999</v>
      </c>
      <c r="F113" s="24">
        <v>0</v>
      </c>
      <c r="G113" s="441">
        <f>D113*E113</f>
        <v>88.632511999999991</v>
      </c>
      <c r="H113" s="33">
        <v>0</v>
      </c>
      <c r="I113" s="442">
        <f t="shared" ref="I113:I118" si="22">ROUND(G113*H113,2)</f>
        <v>0</v>
      </c>
      <c r="J113" s="443">
        <f t="shared" ref="J113:J118" si="23">G113+I113</f>
        <v>88.632511999999991</v>
      </c>
    </row>
    <row r="114" spans="2:10" ht="15.75" x14ac:dyDescent="0.25">
      <c r="B114" s="24"/>
      <c r="C114" s="34" t="s">
        <v>542</v>
      </c>
      <c r="D114" s="36">
        <f>116+18.2</f>
        <v>134.19999999999999</v>
      </c>
      <c r="E114" s="435">
        <v>0.18970999999999999</v>
      </c>
      <c r="F114" s="24">
        <v>0</v>
      </c>
      <c r="G114" s="441">
        <f>D114*E114</f>
        <v>25.459081999999995</v>
      </c>
      <c r="H114" s="33">
        <v>0</v>
      </c>
      <c r="I114" s="442">
        <f t="shared" si="22"/>
        <v>0</v>
      </c>
      <c r="J114" s="443">
        <f t="shared" si="23"/>
        <v>25.459081999999995</v>
      </c>
    </row>
    <row r="115" spans="2:10" ht="15.75" x14ac:dyDescent="0.25">
      <c r="B115" s="24"/>
      <c r="C115" s="34" t="s">
        <v>543</v>
      </c>
      <c r="D115" s="36">
        <f>142+15.96</f>
        <v>157.96</v>
      </c>
      <c r="E115" s="435">
        <v>0.18970999999999999</v>
      </c>
      <c r="F115" s="24">
        <v>0</v>
      </c>
      <c r="G115" s="441">
        <f>D115*E115</f>
        <v>29.966591600000001</v>
      </c>
      <c r="H115" s="33">
        <v>0</v>
      </c>
      <c r="I115" s="442">
        <f t="shared" si="22"/>
        <v>0</v>
      </c>
      <c r="J115" s="443">
        <f t="shared" si="23"/>
        <v>29.966591600000001</v>
      </c>
    </row>
    <row r="116" spans="2:10" ht="15.75" x14ac:dyDescent="0.25">
      <c r="B116" s="36"/>
      <c r="C116" s="34" t="s">
        <v>544</v>
      </c>
      <c r="D116" s="36">
        <v>2.16</v>
      </c>
      <c r="E116" s="435">
        <v>0.18970999999999999</v>
      </c>
      <c r="F116" s="24">
        <v>0</v>
      </c>
      <c r="G116" s="441">
        <f>D116*E116</f>
        <v>0.40977360000000002</v>
      </c>
      <c r="H116" s="33">
        <v>0</v>
      </c>
      <c r="I116" s="442">
        <f t="shared" si="22"/>
        <v>0</v>
      </c>
      <c r="J116" s="443">
        <f t="shared" si="23"/>
        <v>0.40977360000000002</v>
      </c>
    </row>
    <row r="117" spans="2:10" ht="15.75" x14ac:dyDescent="0.25">
      <c r="B117" s="25"/>
      <c r="C117" s="37" t="s">
        <v>545</v>
      </c>
      <c r="D117" s="36">
        <f>78+1.2</f>
        <v>79.2</v>
      </c>
      <c r="E117" s="435">
        <v>0.18970999999999999</v>
      </c>
      <c r="F117" s="24">
        <v>0</v>
      </c>
      <c r="G117" s="441">
        <f>D117*E117</f>
        <v>15.025031999999999</v>
      </c>
      <c r="H117" s="33">
        <v>0</v>
      </c>
      <c r="I117" s="442">
        <f t="shared" si="22"/>
        <v>0</v>
      </c>
      <c r="J117" s="443">
        <f t="shared" si="23"/>
        <v>15.025031999999999</v>
      </c>
    </row>
    <row r="118" spans="2:10" ht="18.75" customHeight="1" thickBot="1" x14ac:dyDescent="0.3">
      <c r="B118" s="25"/>
      <c r="C118" s="37" t="s">
        <v>546</v>
      </c>
      <c r="D118" s="203">
        <f>452+549.28</f>
        <v>1001.28</v>
      </c>
      <c r="E118" s="435">
        <v>0.18970999999999999</v>
      </c>
      <c r="F118" s="24">
        <v>0</v>
      </c>
      <c r="G118" s="441">
        <f>D118*E118-0.01</f>
        <v>189.9428288</v>
      </c>
      <c r="H118" s="33">
        <v>0</v>
      </c>
      <c r="I118" s="442">
        <f t="shared" si="22"/>
        <v>0</v>
      </c>
      <c r="J118" s="443">
        <f t="shared" si="23"/>
        <v>189.9428288</v>
      </c>
    </row>
    <row r="119" spans="2:10" ht="16.5" thickBot="1" x14ac:dyDescent="0.3">
      <c r="B119" s="30"/>
      <c r="C119" s="30" t="s">
        <v>12</v>
      </c>
      <c r="D119" s="348">
        <f>SUM(D113:D118)</f>
        <v>1842</v>
      </c>
      <c r="E119" s="86"/>
      <c r="F119" s="198"/>
      <c r="G119" s="438">
        <f>SUM(G113:G118)</f>
        <v>349.43582000000004</v>
      </c>
      <c r="H119" s="94"/>
      <c r="I119" s="438">
        <f>SUM(I113:I118)</f>
        <v>0</v>
      </c>
      <c r="J119" s="438">
        <f>SUM(J113:J118)</f>
        <v>349.43582000000004</v>
      </c>
    </row>
    <row r="122" spans="2:10" ht="20.25" x14ac:dyDescent="0.3">
      <c r="B122" s="3" t="s">
        <v>53</v>
      </c>
      <c r="C122" s="756" t="s">
        <v>554</v>
      </c>
      <c r="D122" s="756"/>
      <c r="E122" s="756"/>
      <c r="F122" s="756"/>
      <c r="G122" s="756"/>
      <c r="H122" s="756"/>
      <c r="I122" s="756"/>
      <c r="J122" s="3"/>
    </row>
    <row r="123" spans="2:10" x14ac:dyDescent="0.25">
      <c r="B123" s="3"/>
      <c r="C123" s="4"/>
      <c r="D123" s="4"/>
      <c r="E123" s="3"/>
      <c r="F123" s="3"/>
      <c r="G123" s="3"/>
      <c r="H123" s="3"/>
      <c r="I123" s="3"/>
      <c r="J123" s="3"/>
    </row>
    <row r="124" spans="2:10" ht="32.25" thickBot="1" x14ac:dyDescent="0.3">
      <c r="B124" s="3"/>
      <c r="C124" s="47" t="s">
        <v>553</v>
      </c>
      <c r="D124" s="3"/>
      <c r="E124" s="3"/>
      <c r="F124" s="3"/>
      <c r="G124" s="3"/>
      <c r="H124" s="3"/>
      <c r="I124" s="3"/>
      <c r="J124" s="3"/>
    </row>
    <row r="125" spans="2:10" ht="32.25" thickBot="1" x14ac:dyDescent="0.3">
      <c r="B125" s="26" t="s">
        <v>0</v>
      </c>
      <c r="C125" s="27" t="s">
        <v>1</v>
      </c>
      <c r="D125" s="151" t="s">
        <v>2</v>
      </c>
      <c r="E125" s="150" t="s">
        <v>3</v>
      </c>
      <c r="F125" s="150" t="s">
        <v>4</v>
      </c>
      <c r="G125" s="28" t="s">
        <v>5</v>
      </c>
      <c r="H125" s="28" t="s">
        <v>6</v>
      </c>
      <c r="I125" s="29" t="s">
        <v>7</v>
      </c>
      <c r="J125" s="30" t="s">
        <v>8</v>
      </c>
    </row>
    <row r="126" spans="2:10" ht="15.75" x14ac:dyDescent="0.25">
      <c r="B126" s="24"/>
      <c r="C126" s="34" t="s">
        <v>541</v>
      </c>
      <c r="D126" s="36">
        <f>908+13.2</f>
        <v>921.2</v>
      </c>
      <c r="E126" s="435">
        <v>8.0070000000000002E-2</v>
      </c>
      <c r="F126" s="24">
        <v>0</v>
      </c>
      <c r="G126" s="441">
        <f>D126*E126</f>
        <v>73.760484000000005</v>
      </c>
      <c r="H126" s="33">
        <v>0</v>
      </c>
      <c r="I126" s="442">
        <f t="shared" ref="I126:I131" si="24">ROUND(G126*H126,2)</f>
        <v>0</v>
      </c>
      <c r="J126" s="443">
        <f t="shared" ref="J126:J131" si="25">G126+I126</f>
        <v>73.760484000000005</v>
      </c>
    </row>
    <row r="127" spans="2:10" ht="15.75" x14ac:dyDescent="0.25">
      <c r="B127" s="24"/>
      <c r="C127" s="34" t="s">
        <v>542</v>
      </c>
      <c r="D127" s="36">
        <f>233+18.2</f>
        <v>251.2</v>
      </c>
      <c r="E127" s="435">
        <v>8.0070000000000002E-2</v>
      </c>
      <c r="F127" s="24">
        <v>0</v>
      </c>
      <c r="G127" s="441">
        <f>D127*E127</f>
        <v>20.113583999999999</v>
      </c>
      <c r="H127" s="33">
        <v>0</v>
      </c>
      <c r="I127" s="442">
        <f t="shared" si="24"/>
        <v>0</v>
      </c>
      <c r="J127" s="443">
        <f t="shared" si="25"/>
        <v>20.113583999999999</v>
      </c>
    </row>
    <row r="128" spans="2:10" ht="15.75" x14ac:dyDescent="0.25">
      <c r="B128" s="24"/>
      <c r="C128" s="34" t="s">
        <v>543</v>
      </c>
      <c r="D128" s="36">
        <f>282+15.96</f>
        <v>297.95999999999998</v>
      </c>
      <c r="E128" s="435">
        <v>8.0070000000000002E-2</v>
      </c>
      <c r="F128" s="24">
        <v>0</v>
      </c>
      <c r="G128" s="441">
        <f>D128*E128</f>
        <v>23.857657199999998</v>
      </c>
      <c r="H128" s="33">
        <v>0</v>
      </c>
      <c r="I128" s="442">
        <f t="shared" si="24"/>
        <v>0</v>
      </c>
      <c r="J128" s="443">
        <f t="shared" si="25"/>
        <v>23.857657199999998</v>
      </c>
    </row>
    <row r="129" spans="2:10" ht="15.75" x14ac:dyDescent="0.25">
      <c r="B129" s="36"/>
      <c r="C129" s="34" t="s">
        <v>544</v>
      </c>
      <c r="D129" s="36">
        <v>2.16</v>
      </c>
      <c r="E129" s="435">
        <v>8.0070000000000002E-2</v>
      </c>
      <c r="F129" s="24">
        <v>0</v>
      </c>
      <c r="G129" s="441">
        <f>D129*E129</f>
        <v>0.17295120000000003</v>
      </c>
      <c r="H129" s="33">
        <v>0</v>
      </c>
      <c r="I129" s="442">
        <f t="shared" si="24"/>
        <v>0</v>
      </c>
      <c r="J129" s="443">
        <f t="shared" si="25"/>
        <v>0.17295120000000003</v>
      </c>
    </row>
    <row r="130" spans="2:10" ht="15.75" x14ac:dyDescent="0.25">
      <c r="B130" s="25"/>
      <c r="C130" s="37" t="s">
        <v>545</v>
      </c>
      <c r="D130" s="36">
        <f>156+1.2</f>
        <v>157.19999999999999</v>
      </c>
      <c r="E130" s="435">
        <v>8.0070000000000002E-2</v>
      </c>
      <c r="F130" s="24">
        <v>0</v>
      </c>
      <c r="G130" s="441">
        <f>D130*E130</f>
        <v>12.587004</v>
      </c>
      <c r="H130" s="33">
        <v>0</v>
      </c>
      <c r="I130" s="442">
        <f t="shared" si="24"/>
        <v>0</v>
      </c>
      <c r="J130" s="443">
        <f t="shared" si="25"/>
        <v>12.587004</v>
      </c>
    </row>
    <row r="131" spans="2:10" ht="20.25" customHeight="1" thickBot="1" x14ac:dyDescent="0.3">
      <c r="B131" s="25"/>
      <c r="C131" s="37" t="s">
        <v>546</v>
      </c>
      <c r="D131" s="203">
        <f>1133+474.97</f>
        <v>1607.97</v>
      </c>
      <c r="E131" s="435">
        <v>8.0070000000000002E-2</v>
      </c>
      <c r="F131" s="24">
        <v>0</v>
      </c>
      <c r="G131" s="441">
        <f>D131*E131+0.01</f>
        <v>128.7601579</v>
      </c>
      <c r="H131" s="33">
        <v>0</v>
      </c>
      <c r="I131" s="442">
        <f t="shared" si="24"/>
        <v>0</v>
      </c>
      <c r="J131" s="443">
        <f t="shared" si="25"/>
        <v>128.7601579</v>
      </c>
    </row>
    <row r="132" spans="2:10" ht="16.5" thickBot="1" x14ac:dyDescent="0.3">
      <c r="B132" s="30"/>
      <c r="C132" s="30" t="s">
        <v>12</v>
      </c>
      <c r="D132" s="348">
        <f>SUM(D126:D131)</f>
        <v>3237.6900000000005</v>
      </c>
      <c r="E132" s="86"/>
      <c r="F132" s="198"/>
      <c r="G132" s="438">
        <f>SUM(G126:G131)</f>
        <v>259.25183830000003</v>
      </c>
      <c r="H132" s="94"/>
      <c r="I132" s="438">
        <f>SUM(I126:I131)</f>
        <v>0</v>
      </c>
      <c r="J132" s="438">
        <f>SUM(J126:J131)</f>
        <v>259.25183830000003</v>
      </c>
    </row>
    <row r="135" spans="2:10" ht="20.25" x14ac:dyDescent="0.3">
      <c r="B135" s="3" t="s">
        <v>53</v>
      </c>
      <c r="C135" s="756" t="s">
        <v>559</v>
      </c>
      <c r="D135" s="756"/>
      <c r="E135" s="756"/>
      <c r="F135" s="756"/>
      <c r="G135" s="756"/>
      <c r="H135" s="756"/>
      <c r="I135" s="756"/>
      <c r="J135" s="3"/>
    </row>
    <row r="136" spans="2:10" x14ac:dyDescent="0.25">
      <c r="B136" s="3"/>
      <c r="C136" s="4"/>
      <c r="D136" s="4"/>
      <c r="E136" s="3"/>
      <c r="F136" s="3"/>
      <c r="G136" s="3"/>
      <c r="H136" s="3"/>
      <c r="I136" s="3"/>
      <c r="J136" s="3"/>
    </row>
    <row r="137" spans="2:10" ht="32.25" thickBot="1" x14ac:dyDescent="0.3">
      <c r="B137" s="3"/>
      <c r="C137" s="47" t="s">
        <v>553</v>
      </c>
      <c r="D137" s="3"/>
      <c r="E137" s="3"/>
      <c r="F137" s="3"/>
      <c r="G137" s="3"/>
      <c r="H137" s="3"/>
      <c r="I137" s="3"/>
      <c r="J137" s="3"/>
    </row>
    <row r="138" spans="2:10" ht="32.25" thickBot="1" x14ac:dyDescent="0.3">
      <c r="B138" s="26" t="s">
        <v>0</v>
      </c>
      <c r="C138" s="27" t="s">
        <v>1</v>
      </c>
      <c r="D138" s="151" t="s">
        <v>2</v>
      </c>
      <c r="E138" s="150" t="s">
        <v>3</v>
      </c>
      <c r="F138" s="150" t="s">
        <v>4</v>
      </c>
      <c r="G138" s="28" t="s">
        <v>5</v>
      </c>
      <c r="H138" s="28" t="s">
        <v>6</v>
      </c>
      <c r="I138" s="29" t="s">
        <v>7</v>
      </c>
      <c r="J138" s="30" t="s">
        <v>8</v>
      </c>
    </row>
    <row r="139" spans="2:10" ht="15.75" x14ac:dyDescent="0.25">
      <c r="B139" s="24"/>
      <c r="C139" s="34" t="s">
        <v>541</v>
      </c>
      <c r="D139" s="36">
        <f>310+13.2</f>
        <v>323.2</v>
      </c>
      <c r="E139" s="435">
        <v>0.30598999999999998</v>
      </c>
      <c r="F139" s="24">
        <v>0</v>
      </c>
      <c r="G139" s="441">
        <f>D139*E139</f>
        <v>98.895967999999996</v>
      </c>
      <c r="H139" s="33">
        <v>0</v>
      </c>
      <c r="I139" s="442">
        <f t="shared" ref="I139:I144" si="26">ROUND(G139*H139,2)</f>
        <v>0</v>
      </c>
      <c r="J139" s="443">
        <f t="shared" ref="J139:J144" si="27">G139+I139</f>
        <v>98.895967999999996</v>
      </c>
    </row>
    <row r="140" spans="2:10" ht="15.75" x14ac:dyDescent="0.25">
      <c r="B140" s="24"/>
      <c r="C140" s="34" t="s">
        <v>542</v>
      </c>
      <c r="D140" s="36">
        <f>94+18.2</f>
        <v>112.2</v>
      </c>
      <c r="E140" s="435">
        <v>0.30598999999999998</v>
      </c>
      <c r="F140" s="24">
        <v>0</v>
      </c>
      <c r="G140" s="441">
        <f>D140*E140</f>
        <v>34.332077999999996</v>
      </c>
      <c r="H140" s="33">
        <v>0</v>
      </c>
      <c r="I140" s="442">
        <f t="shared" si="26"/>
        <v>0</v>
      </c>
      <c r="J140" s="443">
        <f t="shared" si="27"/>
        <v>34.332077999999996</v>
      </c>
    </row>
    <row r="141" spans="2:10" ht="15.75" x14ac:dyDescent="0.25">
      <c r="B141" s="24"/>
      <c r="C141" s="34" t="s">
        <v>543</v>
      </c>
      <c r="D141" s="36">
        <f>138+15.96</f>
        <v>153.96</v>
      </c>
      <c r="E141" s="435">
        <v>0.30598999999999998</v>
      </c>
      <c r="F141" s="24">
        <v>0</v>
      </c>
      <c r="G141" s="441">
        <f>D141*E141</f>
        <v>47.110220400000003</v>
      </c>
      <c r="H141" s="33">
        <v>0</v>
      </c>
      <c r="I141" s="442">
        <f t="shared" si="26"/>
        <v>0</v>
      </c>
      <c r="J141" s="443">
        <f t="shared" si="27"/>
        <v>47.110220400000003</v>
      </c>
    </row>
    <row r="142" spans="2:10" ht="15.75" x14ac:dyDescent="0.25">
      <c r="B142" s="36"/>
      <c r="C142" s="34" t="s">
        <v>544</v>
      </c>
      <c r="D142" s="36">
        <v>2.16</v>
      </c>
      <c r="E142" s="435">
        <v>0.30598999999999998</v>
      </c>
      <c r="F142" s="24">
        <v>0</v>
      </c>
      <c r="G142" s="441">
        <f>D142*E142</f>
        <v>0.66093840000000004</v>
      </c>
      <c r="H142" s="33">
        <v>0</v>
      </c>
      <c r="I142" s="442">
        <f t="shared" si="26"/>
        <v>0</v>
      </c>
      <c r="J142" s="443">
        <f t="shared" si="27"/>
        <v>0.66093840000000004</v>
      </c>
    </row>
    <row r="143" spans="2:10" ht="15.75" x14ac:dyDescent="0.25">
      <c r="B143" s="25"/>
      <c r="C143" s="37" t="s">
        <v>545</v>
      </c>
      <c r="D143" s="36">
        <f>68+1.2</f>
        <v>69.2</v>
      </c>
      <c r="E143" s="435">
        <v>0.30598999999999998</v>
      </c>
      <c r="F143" s="24">
        <v>0</v>
      </c>
      <c r="G143" s="441">
        <f>D143*E143</f>
        <v>21.174507999999999</v>
      </c>
      <c r="H143" s="33">
        <v>0</v>
      </c>
      <c r="I143" s="442">
        <f t="shared" si="26"/>
        <v>0</v>
      </c>
      <c r="J143" s="443">
        <f t="shared" si="27"/>
        <v>21.174507999999999</v>
      </c>
    </row>
    <row r="144" spans="2:10" ht="19.5" customHeight="1" thickBot="1" x14ac:dyDescent="0.3">
      <c r="B144" s="25"/>
      <c r="C144" s="37" t="s">
        <v>546</v>
      </c>
      <c r="D144" s="203">
        <f>172+549.28</f>
        <v>721.28</v>
      </c>
      <c r="E144" s="435">
        <v>0.30598999999999998</v>
      </c>
      <c r="F144" s="24">
        <v>0</v>
      </c>
      <c r="G144" s="441">
        <f>D144*E144+0.01</f>
        <v>220.71446719999997</v>
      </c>
      <c r="H144" s="33">
        <v>0</v>
      </c>
      <c r="I144" s="442">
        <f t="shared" si="26"/>
        <v>0</v>
      </c>
      <c r="J144" s="443">
        <f t="shared" si="27"/>
        <v>220.71446719999997</v>
      </c>
    </row>
    <row r="145" spans="2:12" ht="16.5" thickBot="1" x14ac:dyDescent="0.3">
      <c r="B145" s="30"/>
      <c r="C145" s="30" t="s">
        <v>12</v>
      </c>
      <c r="D145" s="348">
        <f>SUM(D139:D144)</f>
        <v>1382</v>
      </c>
      <c r="E145" s="86"/>
      <c r="F145" s="198"/>
      <c r="G145" s="438">
        <f>SUM(G139:G144)</f>
        <v>422.88817999999998</v>
      </c>
      <c r="H145" s="94"/>
      <c r="I145" s="438">
        <f>SUM(I139:I144)</f>
        <v>0</v>
      </c>
      <c r="J145" s="438">
        <f>SUM(J139:J144)</f>
        <v>422.88817999999998</v>
      </c>
    </row>
    <row r="151" spans="2:12" ht="20.25" x14ac:dyDescent="0.3">
      <c r="B151" s="3" t="s">
        <v>53</v>
      </c>
      <c r="C151" s="756" t="s">
        <v>566</v>
      </c>
      <c r="D151" s="756"/>
      <c r="E151" s="756"/>
      <c r="F151" s="756"/>
      <c r="G151" s="756"/>
      <c r="H151" s="756"/>
      <c r="I151" s="756"/>
      <c r="J151" s="3"/>
      <c r="K151" s="116"/>
      <c r="L151" s="116"/>
    </row>
    <row r="152" spans="2:12" x14ac:dyDescent="0.25">
      <c r="B152" s="3"/>
      <c r="C152" s="4"/>
      <c r="D152" s="4"/>
      <c r="E152" s="3"/>
      <c r="F152" s="3"/>
      <c r="G152" s="3"/>
      <c r="H152" s="3"/>
      <c r="I152" s="3"/>
      <c r="J152" s="3"/>
      <c r="K152" s="116"/>
      <c r="L152" s="116"/>
    </row>
    <row r="153" spans="2:12" ht="16.5" thickBot="1" x14ac:dyDescent="0.3">
      <c r="B153" s="3"/>
      <c r="C153" s="47" t="s">
        <v>547</v>
      </c>
      <c r="D153" s="3"/>
      <c r="E153" s="3"/>
      <c r="F153" s="3"/>
      <c r="G153" s="3"/>
      <c r="H153" s="3"/>
      <c r="I153" s="3"/>
      <c r="J153" s="3"/>
      <c r="K153" s="116"/>
      <c r="L153" s="116"/>
    </row>
    <row r="154" spans="2:12" ht="32.25" thickBot="1" x14ac:dyDescent="0.3">
      <c r="B154" s="26" t="s">
        <v>0</v>
      </c>
      <c r="C154" s="27" t="s">
        <v>1</v>
      </c>
      <c r="D154" s="151" t="s">
        <v>2</v>
      </c>
      <c r="E154" s="150" t="s">
        <v>3</v>
      </c>
      <c r="F154" s="150" t="s">
        <v>4</v>
      </c>
      <c r="G154" s="28" t="s">
        <v>5</v>
      </c>
      <c r="H154" s="28" t="s">
        <v>6</v>
      </c>
      <c r="I154" s="29" t="s">
        <v>7</v>
      </c>
      <c r="J154" s="30" t="s">
        <v>8</v>
      </c>
      <c r="K154" s="116"/>
      <c r="L154" s="116"/>
    </row>
    <row r="155" spans="2:12" ht="15.75" x14ac:dyDescent="0.25">
      <c r="B155" s="24"/>
      <c r="C155" s="34" t="s">
        <v>541</v>
      </c>
      <c r="D155" s="36">
        <v>96</v>
      </c>
      <c r="E155" s="435">
        <v>0.33048</v>
      </c>
      <c r="F155" s="24">
        <v>1.1072059999999999</v>
      </c>
      <c r="G155" s="441">
        <f t="shared" ref="G155:G160" si="28">ROUND(D155*E155*F155,2)</f>
        <v>35.130000000000003</v>
      </c>
      <c r="H155" s="33">
        <v>0.2</v>
      </c>
      <c r="I155" s="442">
        <f t="shared" ref="I155:I160" si="29">ROUND(G155*H155,2)</f>
        <v>7.03</v>
      </c>
      <c r="J155" s="443">
        <f t="shared" ref="J155:J160" si="30">G155+I155</f>
        <v>42.160000000000004</v>
      </c>
      <c r="K155" s="116"/>
      <c r="L155" s="116"/>
    </row>
    <row r="156" spans="2:12" ht="15.75" x14ac:dyDescent="0.25">
      <c r="B156" s="24"/>
      <c r="C156" s="34" t="s">
        <v>542</v>
      </c>
      <c r="D156" s="36">
        <v>102</v>
      </c>
      <c r="E156" s="435">
        <v>0.33048</v>
      </c>
      <c r="F156" s="24">
        <v>1.1072059999999999</v>
      </c>
      <c r="G156" s="441">
        <f t="shared" si="28"/>
        <v>37.32</v>
      </c>
      <c r="H156" s="33">
        <v>0.2</v>
      </c>
      <c r="I156" s="442">
        <f t="shared" si="29"/>
        <v>7.46</v>
      </c>
      <c r="J156" s="443">
        <f t="shared" si="30"/>
        <v>44.78</v>
      </c>
      <c r="K156" s="116"/>
      <c r="L156" s="116"/>
    </row>
    <row r="157" spans="2:12" ht="15.75" x14ac:dyDescent="0.25">
      <c r="B157" s="24"/>
      <c r="C157" s="34" t="s">
        <v>543</v>
      </c>
      <c r="D157" s="36">
        <v>108</v>
      </c>
      <c r="E157" s="435">
        <v>0.33048</v>
      </c>
      <c r="F157" s="24">
        <v>1.1072059999999999</v>
      </c>
      <c r="G157" s="441">
        <f t="shared" si="28"/>
        <v>39.520000000000003</v>
      </c>
      <c r="H157" s="33">
        <v>0.2</v>
      </c>
      <c r="I157" s="442">
        <f t="shared" si="29"/>
        <v>7.9</v>
      </c>
      <c r="J157" s="443">
        <f t="shared" si="30"/>
        <v>47.42</v>
      </c>
      <c r="K157" s="116"/>
      <c r="L157" s="116"/>
    </row>
    <row r="158" spans="2:12" ht="15.75" x14ac:dyDescent="0.25">
      <c r="B158" s="36"/>
      <c r="C158" s="34" t="s">
        <v>544</v>
      </c>
      <c r="D158" s="36">
        <v>0</v>
      </c>
      <c r="E158" s="435">
        <v>0.33048</v>
      </c>
      <c r="F158" s="24">
        <v>1.1072059999999999</v>
      </c>
      <c r="G158" s="441">
        <f t="shared" si="28"/>
        <v>0</v>
      </c>
      <c r="H158" s="270">
        <v>0.2</v>
      </c>
      <c r="I158" s="442">
        <f t="shared" si="29"/>
        <v>0</v>
      </c>
      <c r="J158" s="443">
        <f t="shared" si="30"/>
        <v>0</v>
      </c>
      <c r="K158" s="116"/>
      <c r="L158" s="116"/>
    </row>
    <row r="159" spans="2:12" ht="15.75" x14ac:dyDescent="0.25">
      <c r="B159" s="25"/>
      <c r="C159" s="37" t="s">
        <v>545</v>
      </c>
      <c r="D159" s="36">
        <v>68</v>
      </c>
      <c r="E159" s="435">
        <v>0.33048</v>
      </c>
      <c r="F159" s="24">
        <v>1.1072059999999999</v>
      </c>
      <c r="G159" s="441">
        <f t="shared" si="28"/>
        <v>24.88</v>
      </c>
      <c r="H159" s="33">
        <v>0.2</v>
      </c>
      <c r="I159" s="442">
        <f t="shared" si="29"/>
        <v>4.9800000000000004</v>
      </c>
      <c r="J159" s="443">
        <f t="shared" si="30"/>
        <v>29.86</v>
      </c>
      <c r="K159" s="116"/>
      <c r="L159" s="116"/>
    </row>
    <row r="160" spans="2:12" ht="19.5" customHeight="1" thickBot="1" x14ac:dyDescent="0.3">
      <c r="B160" s="25"/>
      <c r="C160" s="37" t="s">
        <v>546</v>
      </c>
      <c r="D160" s="203">
        <v>212</v>
      </c>
      <c r="E160" s="435">
        <v>0.33048</v>
      </c>
      <c r="F160" s="24">
        <v>1.1072059999999999</v>
      </c>
      <c r="G160" s="441">
        <f t="shared" si="28"/>
        <v>77.569999999999993</v>
      </c>
      <c r="H160" s="45">
        <v>0.2</v>
      </c>
      <c r="I160" s="442">
        <f t="shared" si="29"/>
        <v>15.51</v>
      </c>
      <c r="J160" s="443">
        <f t="shared" si="30"/>
        <v>93.08</v>
      </c>
      <c r="K160" s="116"/>
      <c r="L160" s="116"/>
    </row>
    <row r="161" spans="2:12" ht="16.5" thickBot="1" x14ac:dyDescent="0.3">
      <c r="B161" s="30"/>
      <c r="C161" s="30" t="s">
        <v>12</v>
      </c>
      <c r="D161" s="348">
        <f>SUM(D155:D160)</f>
        <v>586</v>
      </c>
      <c r="E161" s="86"/>
      <c r="F161" s="198"/>
      <c r="G161" s="438">
        <f>SUM(G155:G160)</f>
        <v>214.42</v>
      </c>
      <c r="H161" s="94"/>
      <c r="I161" s="438">
        <f>SUM(I155:I160)</f>
        <v>42.88</v>
      </c>
      <c r="J161" s="438">
        <f>SUM(J155:J160)</f>
        <v>257.3</v>
      </c>
      <c r="K161" s="116"/>
      <c r="L161" s="116"/>
    </row>
    <row r="162" spans="2:12" x14ac:dyDescent="0.25"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</row>
    <row r="163" spans="2:12" ht="15.75" thickBot="1" x14ac:dyDescent="0.3">
      <c r="B163" s="3"/>
      <c r="C163" s="785" t="s">
        <v>548</v>
      </c>
      <c r="D163" s="786"/>
      <c r="E163" s="3"/>
      <c r="F163" s="3"/>
      <c r="G163" s="3"/>
      <c r="H163" s="3"/>
      <c r="I163" s="3"/>
      <c r="J163" s="3"/>
      <c r="K163" s="116"/>
      <c r="L163" s="116"/>
    </row>
    <row r="164" spans="2:12" ht="32.25" thickBot="1" x14ac:dyDescent="0.3">
      <c r="B164" s="26" t="s">
        <v>0</v>
      </c>
      <c r="C164" s="27" t="s">
        <v>1</v>
      </c>
      <c r="D164" s="151" t="s">
        <v>2</v>
      </c>
      <c r="E164" s="150" t="s">
        <v>3</v>
      </c>
      <c r="F164" s="150" t="s">
        <v>4</v>
      </c>
      <c r="G164" s="28" t="s">
        <v>5</v>
      </c>
      <c r="H164" s="28" t="s">
        <v>6</v>
      </c>
      <c r="I164" s="29" t="s">
        <v>7</v>
      </c>
      <c r="J164" s="30" t="s">
        <v>8</v>
      </c>
      <c r="K164" s="116"/>
      <c r="L164" s="116"/>
    </row>
    <row r="165" spans="2:12" ht="15.75" x14ac:dyDescent="0.25">
      <c r="B165" s="24"/>
      <c r="C165" s="34" t="s">
        <v>541</v>
      </c>
      <c r="D165" s="36">
        <v>13.2</v>
      </c>
      <c r="E165" s="435">
        <v>0.33048</v>
      </c>
      <c r="F165" s="24">
        <v>1.1072059999999999</v>
      </c>
      <c r="G165" s="441">
        <f>ROUND(D165*E165*F165,2)</f>
        <v>4.83</v>
      </c>
      <c r="H165" s="33">
        <v>0.2</v>
      </c>
      <c r="I165" s="442">
        <f t="shared" ref="I165:I170" si="31">ROUND(G165*H165,2)</f>
        <v>0.97</v>
      </c>
      <c r="J165" s="443">
        <f t="shared" ref="J165:J170" si="32">G165+I165</f>
        <v>5.8</v>
      </c>
      <c r="K165" s="116"/>
      <c r="L165" s="116"/>
    </row>
    <row r="166" spans="2:12" ht="15.75" x14ac:dyDescent="0.25">
      <c r="B166" s="24"/>
      <c r="C166" s="34" t="s">
        <v>542</v>
      </c>
      <c r="D166" s="36">
        <v>18.2</v>
      </c>
      <c r="E166" s="435">
        <v>0.33048</v>
      </c>
      <c r="F166" s="24">
        <v>1.1072059999999999</v>
      </c>
      <c r="G166" s="441">
        <f>ROUND(D166*E166*F166,2)</f>
        <v>6.66</v>
      </c>
      <c r="H166" s="33">
        <v>0.2</v>
      </c>
      <c r="I166" s="442">
        <f t="shared" si="31"/>
        <v>1.33</v>
      </c>
      <c r="J166" s="443">
        <f t="shared" si="32"/>
        <v>7.99</v>
      </c>
      <c r="K166" s="116"/>
      <c r="L166" s="116"/>
    </row>
    <row r="167" spans="2:12" ht="15.75" x14ac:dyDescent="0.25">
      <c r="B167" s="24"/>
      <c r="C167" s="34" t="s">
        <v>543</v>
      </c>
      <c r="D167" s="36">
        <v>15.96</v>
      </c>
      <c r="E167" s="435">
        <v>0.33048</v>
      </c>
      <c r="F167" s="24">
        <v>1.1072059999999999</v>
      </c>
      <c r="G167" s="441">
        <f>ROUND(D167*E167*F167,2)</f>
        <v>5.84</v>
      </c>
      <c r="H167" s="33">
        <v>0.2</v>
      </c>
      <c r="I167" s="442">
        <f t="shared" si="31"/>
        <v>1.17</v>
      </c>
      <c r="J167" s="443">
        <f t="shared" si="32"/>
        <v>7.01</v>
      </c>
      <c r="K167" s="116"/>
      <c r="L167" s="116"/>
    </row>
    <row r="168" spans="2:12" ht="15.75" x14ac:dyDescent="0.25">
      <c r="B168" s="36"/>
      <c r="C168" s="34" t="s">
        <v>544</v>
      </c>
      <c r="D168" s="36">
        <v>2.16</v>
      </c>
      <c r="E168" s="435">
        <v>0.33048</v>
      </c>
      <c r="F168" s="24">
        <v>1.1072059999999999</v>
      </c>
      <c r="G168" s="441">
        <f>ROUND(D168*E168*F168,2)</f>
        <v>0.79</v>
      </c>
      <c r="H168" s="270">
        <v>0.2</v>
      </c>
      <c r="I168" s="442">
        <f t="shared" si="31"/>
        <v>0.16</v>
      </c>
      <c r="J168" s="443">
        <f t="shared" si="32"/>
        <v>0.95000000000000007</v>
      </c>
      <c r="K168" s="116"/>
      <c r="L168" s="116"/>
    </row>
    <row r="169" spans="2:12" ht="15.75" x14ac:dyDescent="0.25">
      <c r="B169" s="25"/>
      <c r="C169" s="37" t="s">
        <v>545</v>
      </c>
      <c r="D169" s="36">
        <v>1.2</v>
      </c>
      <c r="E169" s="435">
        <v>0.33048</v>
      </c>
      <c r="F169" s="24">
        <v>1.1072059999999999</v>
      </c>
      <c r="G169" s="441">
        <f>ROUND(D169*E169*F169,2)</f>
        <v>0.44</v>
      </c>
      <c r="H169" s="33">
        <v>0.2</v>
      </c>
      <c r="I169" s="442">
        <f t="shared" si="31"/>
        <v>0.09</v>
      </c>
      <c r="J169" s="443">
        <f t="shared" si="32"/>
        <v>0.53</v>
      </c>
      <c r="K169" s="116"/>
      <c r="L169" s="116"/>
    </row>
    <row r="170" spans="2:12" ht="24.75" customHeight="1" thickBot="1" x14ac:dyDescent="0.4">
      <c r="B170" s="25"/>
      <c r="C170" s="37" t="s">
        <v>546</v>
      </c>
      <c r="D170" s="203">
        <v>549.28</v>
      </c>
      <c r="E170" s="435">
        <v>0.33048</v>
      </c>
      <c r="F170" s="24">
        <v>1.1072059999999999</v>
      </c>
      <c r="G170" s="441">
        <f>ROUND(D170*E170*F170,2)-0.01</f>
        <v>200.98000000000002</v>
      </c>
      <c r="H170" s="45">
        <v>0.2</v>
      </c>
      <c r="I170" s="442">
        <f t="shared" si="31"/>
        <v>40.200000000000003</v>
      </c>
      <c r="J170" s="443">
        <f t="shared" si="32"/>
        <v>241.18</v>
      </c>
      <c r="K170" s="116"/>
      <c r="L170" s="711" t="s">
        <v>396</v>
      </c>
    </row>
    <row r="171" spans="2:12" ht="16.5" thickBot="1" x14ac:dyDescent="0.3">
      <c r="B171" s="30"/>
      <c r="C171" s="30" t="s">
        <v>12</v>
      </c>
      <c r="D171" s="348">
        <f>SUM(D165:D170)</f>
        <v>600</v>
      </c>
      <c r="E171" s="86"/>
      <c r="F171" s="198"/>
      <c r="G171" s="438">
        <f>SUM(G165:G170)</f>
        <v>219.54000000000002</v>
      </c>
      <c r="H171" s="94"/>
      <c r="I171" s="438">
        <f>SUM(I165:I170)</f>
        <v>43.92</v>
      </c>
      <c r="J171" s="438">
        <f>SUM(J165:J170)</f>
        <v>263.45999999999998</v>
      </c>
      <c r="K171" s="116"/>
      <c r="L171" s="712">
        <f>J161+J171</f>
        <v>520.76</v>
      </c>
    </row>
    <row r="172" spans="2:12" x14ac:dyDescent="0.25"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</row>
    <row r="173" spans="2:12" ht="15.75" thickBot="1" x14ac:dyDescent="0.3">
      <c r="B173" s="3"/>
      <c r="C173" s="785" t="s">
        <v>549</v>
      </c>
      <c r="D173" s="786"/>
      <c r="E173" s="3"/>
      <c r="F173" s="3"/>
      <c r="G173" s="3"/>
      <c r="H173" s="3"/>
      <c r="I173" s="3"/>
      <c r="J173" s="3"/>
      <c r="K173" s="116"/>
      <c r="L173" s="116"/>
    </row>
    <row r="174" spans="2:12" ht="32.25" thickBot="1" x14ac:dyDescent="0.3">
      <c r="B174" s="26" t="s">
        <v>0</v>
      </c>
      <c r="C174" s="27" t="s">
        <v>1</v>
      </c>
      <c r="D174" s="151" t="s">
        <v>2</v>
      </c>
      <c r="E174" s="150" t="s">
        <v>3</v>
      </c>
      <c r="F174" s="150" t="s">
        <v>4</v>
      </c>
      <c r="G174" s="28" t="s">
        <v>5</v>
      </c>
      <c r="H174" s="28" t="s">
        <v>6</v>
      </c>
      <c r="I174" s="29" t="s">
        <v>7</v>
      </c>
      <c r="J174" s="30" t="s">
        <v>8</v>
      </c>
      <c r="K174" s="116"/>
      <c r="L174" s="116"/>
    </row>
    <row r="175" spans="2:12" ht="15.75" x14ac:dyDescent="0.25">
      <c r="B175" s="24"/>
      <c r="C175" s="34" t="s">
        <v>541</v>
      </c>
      <c r="D175" s="36">
        <v>4.03</v>
      </c>
      <c r="E175" s="435">
        <v>0.33048</v>
      </c>
      <c r="F175" s="24">
        <v>1.1072059999999999</v>
      </c>
      <c r="G175" s="441">
        <f t="shared" ref="G175:G180" si="33">ROUND(D175*E175*F175,2)</f>
        <v>1.47</v>
      </c>
      <c r="H175" s="33">
        <v>0.2</v>
      </c>
      <c r="I175" s="442">
        <f t="shared" ref="I175:I180" si="34">ROUND(G175*H175,2)</f>
        <v>0.28999999999999998</v>
      </c>
      <c r="J175" s="443">
        <f t="shared" ref="J175:J180" si="35">G175+I175</f>
        <v>1.76</v>
      </c>
      <c r="K175" s="116"/>
      <c r="L175" s="116"/>
    </row>
    <row r="176" spans="2:12" ht="15.75" x14ac:dyDescent="0.25">
      <c r="B176" s="24"/>
      <c r="C176" s="34" t="s">
        <v>542</v>
      </c>
      <c r="D176" s="36">
        <v>6.03</v>
      </c>
      <c r="E176" s="435">
        <v>0.33048</v>
      </c>
      <c r="F176" s="24">
        <v>1.1072059999999999</v>
      </c>
      <c r="G176" s="441">
        <f t="shared" si="33"/>
        <v>2.21</v>
      </c>
      <c r="H176" s="33">
        <v>0.2</v>
      </c>
      <c r="I176" s="442">
        <f t="shared" si="34"/>
        <v>0.44</v>
      </c>
      <c r="J176" s="443">
        <f t="shared" si="35"/>
        <v>2.65</v>
      </c>
      <c r="K176" s="116"/>
      <c r="L176" s="116"/>
    </row>
    <row r="177" spans="2:12" ht="15.75" x14ac:dyDescent="0.25">
      <c r="B177" s="24"/>
      <c r="C177" s="34" t="s">
        <v>543</v>
      </c>
      <c r="D177" s="36">
        <v>6.65</v>
      </c>
      <c r="E177" s="435">
        <v>0.33048</v>
      </c>
      <c r="F177" s="24">
        <v>1.1072059999999999</v>
      </c>
      <c r="G177" s="441">
        <f t="shared" si="33"/>
        <v>2.4300000000000002</v>
      </c>
      <c r="H177" s="33">
        <v>0.2</v>
      </c>
      <c r="I177" s="442">
        <f t="shared" si="34"/>
        <v>0.49</v>
      </c>
      <c r="J177" s="443">
        <f t="shared" si="35"/>
        <v>2.92</v>
      </c>
      <c r="K177" s="116"/>
      <c r="L177" s="116"/>
    </row>
    <row r="178" spans="2:12" ht="15.75" x14ac:dyDescent="0.25">
      <c r="B178" s="36"/>
      <c r="C178" s="34" t="s">
        <v>544</v>
      </c>
      <c r="D178" s="36">
        <v>0.73</v>
      </c>
      <c r="E178" s="435">
        <v>0.33048</v>
      </c>
      <c r="F178" s="24">
        <v>1.1072059999999999</v>
      </c>
      <c r="G178" s="441">
        <f t="shared" si="33"/>
        <v>0.27</v>
      </c>
      <c r="H178" s="270">
        <v>0.2</v>
      </c>
      <c r="I178" s="442">
        <f t="shared" si="34"/>
        <v>0.05</v>
      </c>
      <c r="J178" s="443">
        <f t="shared" si="35"/>
        <v>0.32</v>
      </c>
      <c r="K178" s="116"/>
      <c r="L178" s="116"/>
    </row>
    <row r="179" spans="2:12" ht="15.75" x14ac:dyDescent="0.25">
      <c r="B179" s="25"/>
      <c r="C179" s="37" t="s">
        <v>545</v>
      </c>
      <c r="D179" s="36">
        <v>0.4</v>
      </c>
      <c r="E179" s="435">
        <v>0.33048</v>
      </c>
      <c r="F179" s="24">
        <v>1.1072059999999999</v>
      </c>
      <c r="G179" s="441">
        <f t="shared" si="33"/>
        <v>0.15</v>
      </c>
      <c r="H179" s="33">
        <v>0.2</v>
      </c>
      <c r="I179" s="442">
        <f t="shared" si="34"/>
        <v>0.03</v>
      </c>
      <c r="J179" s="443">
        <f t="shared" si="35"/>
        <v>0.18</v>
      </c>
      <c r="K179" s="116"/>
      <c r="L179" s="116"/>
    </row>
    <row r="180" spans="2:12" ht="21" customHeight="1" thickBot="1" x14ac:dyDescent="0.4">
      <c r="B180" s="25"/>
      <c r="C180" s="37" t="s">
        <v>546</v>
      </c>
      <c r="D180" s="203">
        <v>181.81</v>
      </c>
      <c r="E180" s="435">
        <v>0.33048</v>
      </c>
      <c r="F180" s="24">
        <v>1.1072059999999999</v>
      </c>
      <c r="G180" s="441">
        <f t="shared" si="33"/>
        <v>66.53</v>
      </c>
      <c r="H180" s="45">
        <v>0.2</v>
      </c>
      <c r="I180" s="442">
        <f t="shared" si="34"/>
        <v>13.31</v>
      </c>
      <c r="J180" s="443">
        <f t="shared" si="35"/>
        <v>79.84</v>
      </c>
      <c r="K180" s="116"/>
      <c r="L180" s="711" t="s">
        <v>551</v>
      </c>
    </row>
    <row r="181" spans="2:12" ht="16.5" thickBot="1" x14ac:dyDescent="0.3">
      <c r="B181" s="30"/>
      <c r="C181" s="30" t="s">
        <v>12</v>
      </c>
      <c r="D181" s="710">
        <f>SUM(D175:D180)</f>
        <v>199.65</v>
      </c>
      <c r="E181" s="86"/>
      <c r="F181" s="198"/>
      <c r="G181" s="438">
        <f>SUM(G175:G180)</f>
        <v>73.06</v>
      </c>
      <c r="H181" s="94"/>
      <c r="I181" s="438">
        <f>SUM(I175:I180)</f>
        <v>14.610000000000001</v>
      </c>
      <c r="J181" s="438">
        <f>SUM(J175:J180)</f>
        <v>87.67</v>
      </c>
      <c r="K181" s="116"/>
      <c r="L181" s="713">
        <f>L171+J181</f>
        <v>608.42999999999995</v>
      </c>
    </row>
    <row r="182" spans="2:12" x14ac:dyDescent="0.25"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</row>
    <row r="185" spans="2:12" ht="20.25" x14ac:dyDescent="0.3">
      <c r="B185" s="3" t="s">
        <v>53</v>
      </c>
      <c r="C185" s="756" t="s">
        <v>560</v>
      </c>
      <c r="D185" s="756"/>
      <c r="E185" s="756"/>
      <c r="F185" s="756"/>
      <c r="G185" s="756"/>
      <c r="H185" s="756"/>
      <c r="I185" s="756"/>
      <c r="J185" s="3"/>
    </row>
    <row r="186" spans="2:12" x14ac:dyDescent="0.25">
      <c r="B186" s="3"/>
      <c r="C186" s="4"/>
      <c r="D186" s="4"/>
      <c r="E186" s="3"/>
      <c r="F186" s="3"/>
      <c r="G186" s="3"/>
      <c r="H186" s="3"/>
      <c r="I186" s="3"/>
      <c r="J186" s="3"/>
    </row>
    <row r="187" spans="2:12" ht="32.25" thickBot="1" x14ac:dyDescent="0.3">
      <c r="B187" s="3"/>
      <c r="C187" s="47" t="s">
        <v>553</v>
      </c>
      <c r="D187" s="3"/>
      <c r="E187" s="3"/>
      <c r="F187" s="3"/>
      <c r="G187" s="3"/>
      <c r="H187" s="3"/>
      <c r="I187" s="3"/>
      <c r="J187" s="3"/>
    </row>
    <row r="188" spans="2:12" ht="32.25" thickBot="1" x14ac:dyDescent="0.3">
      <c r="B188" s="26" t="s">
        <v>0</v>
      </c>
      <c r="C188" s="27" t="s">
        <v>1</v>
      </c>
      <c r="D188" s="151" t="s">
        <v>2</v>
      </c>
      <c r="E188" s="150" t="s">
        <v>3</v>
      </c>
      <c r="F188" s="150" t="s">
        <v>4</v>
      </c>
      <c r="G188" s="28" t="s">
        <v>5</v>
      </c>
      <c r="H188" s="28" t="s">
        <v>6</v>
      </c>
      <c r="I188" s="29" t="s">
        <v>7</v>
      </c>
      <c r="J188" s="30" t="s">
        <v>8</v>
      </c>
    </row>
    <row r="189" spans="2:12" ht="15.75" x14ac:dyDescent="0.25">
      <c r="B189" s="24"/>
      <c r="C189" s="34" t="s">
        <v>541</v>
      </c>
      <c r="D189" s="36">
        <f>96+13.2</f>
        <v>109.2</v>
      </c>
      <c r="E189" s="435">
        <v>0.35060000000000002</v>
      </c>
      <c r="F189" s="24">
        <v>0</v>
      </c>
      <c r="G189" s="441">
        <f>D189*E189</f>
        <v>38.285520000000005</v>
      </c>
      <c r="H189" s="33">
        <v>0</v>
      </c>
      <c r="I189" s="442">
        <f t="shared" ref="I189:I194" si="36">ROUND(G189*H189,2)</f>
        <v>0</v>
      </c>
      <c r="J189" s="443">
        <f t="shared" ref="J189:J194" si="37">G189+I189</f>
        <v>38.285520000000005</v>
      </c>
    </row>
    <row r="190" spans="2:12" ht="15.75" x14ac:dyDescent="0.25">
      <c r="B190" s="24"/>
      <c r="C190" s="34" t="s">
        <v>542</v>
      </c>
      <c r="D190" s="36">
        <f>102+18.2</f>
        <v>120.2</v>
      </c>
      <c r="E190" s="435">
        <v>0.35060000000000002</v>
      </c>
      <c r="F190" s="24">
        <v>0</v>
      </c>
      <c r="G190" s="441">
        <f>D190*E190</f>
        <v>42.142120000000006</v>
      </c>
      <c r="H190" s="33">
        <v>0</v>
      </c>
      <c r="I190" s="442">
        <f t="shared" si="36"/>
        <v>0</v>
      </c>
      <c r="J190" s="443">
        <f t="shared" si="37"/>
        <v>42.142120000000006</v>
      </c>
    </row>
    <row r="191" spans="2:12" ht="15.75" x14ac:dyDescent="0.25">
      <c r="B191" s="24"/>
      <c r="C191" s="34" t="s">
        <v>543</v>
      </c>
      <c r="D191" s="36">
        <f>108+15.96</f>
        <v>123.96000000000001</v>
      </c>
      <c r="E191" s="435">
        <v>0.35060000000000002</v>
      </c>
      <c r="F191" s="24">
        <v>0</v>
      </c>
      <c r="G191" s="441">
        <f>D191*E191</f>
        <v>43.460376000000004</v>
      </c>
      <c r="H191" s="33">
        <v>0</v>
      </c>
      <c r="I191" s="442">
        <f t="shared" si="36"/>
        <v>0</v>
      </c>
      <c r="J191" s="443">
        <f t="shared" si="37"/>
        <v>43.460376000000004</v>
      </c>
    </row>
    <row r="192" spans="2:12" ht="15.75" x14ac:dyDescent="0.25">
      <c r="B192" s="36"/>
      <c r="C192" s="34" t="s">
        <v>544</v>
      </c>
      <c r="D192" s="36">
        <v>2.16</v>
      </c>
      <c r="E192" s="435">
        <v>0.35060000000000002</v>
      </c>
      <c r="F192" s="24">
        <v>0</v>
      </c>
      <c r="G192" s="441">
        <f>D192*E192</f>
        <v>0.75729600000000008</v>
      </c>
      <c r="H192" s="33">
        <v>0</v>
      </c>
      <c r="I192" s="442">
        <f t="shared" si="36"/>
        <v>0</v>
      </c>
      <c r="J192" s="443">
        <f t="shared" si="37"/>
        <v>0.75729600000000008</v>
      </c>
    </row>
    <row r="193" spans="2:10" ht="15.75" x14ac:dyDescent="0.25">
      <c r="B193" s="25"/>
      <c r="C193" s="37" t="s">
        <v>545</v>
      </c>
      <c r="D193" s="36">
        <f>68+1.2</f>
        <v>69.2</v>
      </c>
      <c r="E193" s="435">
        <v>0.35060000000000002</v>
      </c>
      <c r="F193" s="24">
        <v>0</v>
      </c>
      <c r="G193" s="441">
        <f>D193*E193</f>
        <v>24.261520000000001</v>
      </c>
      <c r="H193" s="33">
        <v>0</v>
      </c>
      <c r="I193" s="442">
        <f t="shared" si="36"/>
        <v>0</v>
      </c>
      <c r="J193" s="443">
        <f t="shared" si="37"/>
        <v>24.261520000000001</v>
      </c>
    </row>
    <row r="194" spans="2:10" ht="31.5" thickBot="1" x14ac:dyDescent="0.3">
      <c r="B194" s="25"/>
      <c r="C194" s="37" t="s">
        <v>546</v>
      </c>
      <c r="D194" s="203">
        <f>212+549.28</f>
        <v>761.28</v>
      </c>
      <c r="E194" s="435">
        <v>0.35060000000000002</v>
      </c>
      <c r="F194" s="24">
        <v>0</v>
      </c>
      <c r="G194" s="441">
        <f>D194*E194+0.01</f>
        <v>266.91476799999998</v>
      </c>
      <c r="H194" s="33">
        <v>0</v>
      </c>
      <c r="I194" s="442">
        <f t="shared" si="36"/>
        <v>0</v>
      </c>
      <c r="J194" s="443">
        <f t="shared" si="37"/>
        <v>266.91476799999998</v>
      </c>
    </row>
    <row r="195" spans="2:10" ht="16.5" thickBot="1" x14ac:dyDescent="0.3">
      <c r="B195" s="30"/>
      <c r="C195" s="30" t="s">
        <v>12</v>
      </c>
      <c r="D195" s="348">
        <f>SUM(D189:D194)</f>
        <v>1186</v>
      </c>
      <c r="E195" s="86"/>
      <c r="F195" s="198"/>
      <c r="G195" s="438">
        <f>SUM(G189:G194)</f>
        <v>415.82159999999999</v>
      </c>
      <c r="H195" s="94"/>
      <c r="I195" s="438">
        <f>SUM(I189:I194)</f>
        <v>0</v>
      </c>
      <c r="J195" s="438">
        <f>SUM(J189:J194)</f>
        <v>415.82159999999999</v>
      </c>
    </row>
    <row r="199" spans="2:10" ht="20.25" x14ac:dyDescent="0.3">
      <c r="B199" s="3" t="s">
        <v>53</v>
      </c>
      <c r="C199" s="756" t="s">
        <v>570</v>
      </c>
      <c r="D199" s="756"/>
      <c r="E199" s="756"/>
      <c r="F199" s="756"/>
      <c r="G199" s="756"/>
      <c r="H199" s="756"/>
      <c r="I199" s="756"/>
      <c r="J199" s="3"/>
    </row>
    <row r="200" spans="2:10" x14ac:dyDescent="0.25">
      <c r="B200" s="3"/>
      <c r="C200" s="4"/>
      <c r="D200" s="4"/>
      <c r="E200" s="3"/>
      <c r="F200" s="3"/>
      <c r="G200" s="3"/>
      <c r="H200" s="3"/>
      <c r="I200" s="3"/>
      <c r="J200" s="3"/>
    </row>
    <row r="201" spans="2:10" ht="16.5" thickBot="1" x14ac:dyDescent="0.3">
      <c r="B201" s="3"/>
      <c r="C201" s="47" t="s">
        <v>547</v>
      </c>
      <c r="D201" s="3"/>
      <c r="E201" s="3"/>
      <c r="F201" s="3"/>
      <c r="G201" s="3"/>
      <c r="H201" s="3"/>
      <c r="I201" s="3"/>
      <c r="J201" s="3"/>
    </row>
    <row r="202" spans="2:10" ht="32.25" thickBot="1" x14ac:dyDescent="0.3">
      <c r="B202" s="26" t="s">
        <v>0</v>
      </c>
      <c r="C202" s="27" t="s">
        <v>1</v>
      </c>
      <c r="D202" s="151" t="s">
        <v>2</v>
      </c>
      <c r="E202" s="150" t="s">
        <v>3</v>
      </c>
      <c r="F202" s="150" t="s">
        <v>4</v>
      </c>
      <c r="G202" s="28" t="s">
        <v>5</v>
      </c>
      <c r="H202" s="28" t="s">
        <v>6</v>
      </c>
      <c r="I202" s="29" t="s">
        <v>7</v>
      </c>
      <c r="J202" s="30" t="s">
        <v>8</v>
      </c>
    </row>
    <row r="203" spans="2:10" ht="15.75" x14ac:dyDescent="0.25">
      <c r="B203" s="24"/>
      <c r="C203" s="34" t="s">
        <v>541</v>
      </c>
      <c r="D203" s="36">
        <v>86</v>
      </c>
      <c r="E203" s="435">
        <v>0.33048</v>
      </c>
      <c r="F203" s="24">
        <v>1.098665</v>
      </c>
      <c r="G203" s="441">
        <f t="shared" ref="G203:G208" si="38">ROUND(D203*E203*F203,2)</f>
        <v>31.23</v>
      </c>
      <c r="H203" s="33">
        <v>0.2</v>
      </c>
      <c r="I203" s="442">
        <f t="shared" ref="I203:I208" si="39">ROUND(G203*H203,2)</f>
        <v>6.25</v>
      </c>
      <c r="J203" s="443">
        <f t="shared" ref="J203:J208" si="40">G203+I203</f>
        <v>37.480000000000004</v>
      </c>
    </row>
    <row r="204" spans="2:10" ht="15.75" x14ac:dyDescent="0.25">
      <c r="B204" s="24"/>
      <c r="C204" s="34" t="s">
        <v>542</v>
      </c>
      <c r="D204" s="36">
        <v>98</v>
      </c>
      <c r="E204" s="435">
        <v>0.33048</v>
      </c>
      <c r="F204" s="24">
        <v>1.098665</v>
      </c>
      <c r="G204" s="441">
        <f t="shared" si="38"/>
        <v>35.58</v>
      </c>
      <c r="H204" s="33">
        <v>0.2</v>
      </c>
      <c r="I204" s="442">
        <f t="shared" si="39"/>
        <v>7.12</v>
      </c>
      <c r="J204" s="443">
        <f t="shared" si="40"/>
        <v>42.699999999999996</v>
      </c>
    </row>
    <row r="205" spans="2:10" ht="15.75" x14ac:dyDescent="0.25">
      <c r="B205" s="24"/>
      <c r="C205" s="34"/>
      <c r="D205" s="36"/>
      <c r="E205" s="435">
        <v>0.33048</v>
      </c>
      <c r="F205" s="24">
        <v>1.098665</v>
      </c>
      <c r="G205" s="441">
        <f t="shared" si="38"/>
        <v>0</v>
      </c>
      <c r="H205" s="33">
        <v>0.2</v>
      </c>
      <c r="I205" s="442">
        <f t="shared" si="39"/>
        <v>0</v>
      </c>
      <c r="J205" s="443">
        <f t="shared" si="40"/>
        <v>0</v>
      </c>
    </row>
    <row r="206" spans="2:10" ht="15.75" x14ac:dyDescent="0.25">
      <c r="B206" s="36"/>
      <c r="C206" s="34" t="s">
        <v>544</v>
      </c>
      <c r="D206" s="36"/>
      <c r="E206" s="435">
        <v>0.33048</v>
      </c>
      <c r="F206" s="24">
        <v>1.098665</v>
      </c>
      <c r="G206" s="441">
        <f t="shared" si="38"/>
        <v>0</v>
      </c>
      <c r="H206" s="270">
        <v>0.2</v>
      </c>
      <c r="I206" s="442">
        <f t="shared" si="39"/>
        <v>0</v>
      </c>
      <c r="J206" s="443">
        <f t="shared" si="40"/>
        <v>0</v>
      </c>
    </row>
    <row r="207" spans="2:10" ht="15.75" x14ac:dyDescent="0.25">
      <c r="B207" s="25"/>
      <c r="C207" s="37" t="s">
        <v>545</v>
      </c>
      <c r="D207" s="36">
        <v>62</v>
      </c>
      <c r="E207" s="435">
        <v>0.33048</v>
      </c>
      <c r="F207" s="24">
        <v>1.098665</v>
      </c>
      <c r="G207" s="441">
        <f t="shared" si="38"/>
        <v>22.51</v>
      </c>
      <c r="H207" s="33">
        <v>0.2</v>
      </c>
      <c r="I207" s="442">
        <f t="shared" si="39"/>
        <v>4.5</v>
      </c>
      <c r="J207" s="443">
        <f t="shared" si="40"/>
        <v>27.01</v>
      </c>
    </row>
    <row r="208" spans="2:10" ht="18" customHeight="1" thickBot="1" x14ac:dyDescent="0.3">
      <c r="B208" s="25"/>
      <c r="C208" s="37" t="s">
        <v>546</v>
      </c>
      <c r="D208" s="203">
        <v>129</v>
      </c>
      <c r="E208" s="435">
        <v>0.33048</v>
      </c>
      <c r="F208" s="24">
        <v>1.098665</v>
      </c>
      <c r="G208" s="441">
        <f t="shared" si="38"/>
        <v>46.84</v>
      </c>
      <c r="H208" s="45">
        <v>0.2</v>
      </c>
      <c r="I208" s="442">
        <f t="shared" si="39"/>
        <v>9.3699999999999992</v>
      </c>
      <c r="J208" s="443">
        <f t="shared" si="40"/>
        <v>56.21</v>
      </c>
    </row>
    <row r="209" spans="2:12" ht="16.5" thickBot="1" x14ac:dyDescent="0.3">
      <c r="B209" s="30"/>
      <c r="C209" s="30" t="s">
        <v>12</v>
      </c>
      <c r="D209" s="348">
        <f>SUM(D203:D208)</f>
        <v>375</v>
      </c>
      <c r="E209" s="86"/>
      <c r="F209" s="198"/>
      <c r="G209" s="438">
        <f>SUM(G203:G208)</f>
        <v>136.16000000000003</v>
      </c>
      <c r="H209" s="94"/>
      <c r="I209" s="438">
        <f>SUM(I203:I208)</f>
        <v>27.240000000000002</v>
      </c>
      <c r="J209" s="438">
        <f>SUM(J203:J208)</f>
        <v>163.4</v>
      </c>
    </row>
    <row r="210" spans="2:12" x14ac:dyDescent="0.25">
      <c r="B210" s="116"/>
      <c r="C210" s="116"/>
      <c r="D210" s="116"/>
      <c r="E210" s="116"/>
      <c r="F210" s="116"/>
      <c r="G210" s="116"/>
      <c r="H210" s="116"/>
      <c r="I210" s="116"/>
      <c r="J210" s="116"/>
    </row>
    <row r="211" spans="2:12" ht="15.75" thickBot="1" x14ac:dyDescent="0.3">
      <c r="B211" s="3"/>
      <c r="C211" s="785" t="s">
        <v>548</v>
      </c>
      <c r="D211" s="786"/>
      <c r="E211" s="3"/>
      <c r="F211" s="3"/>
      <c r="G211" s="3"/>
      <c r="H211" s="3"/>
      <c r="I211" s="3"/>
      <c r="J211" s="3"/>
    </row>
    <row r="212" spans="2:12" ht="32.25" thickBot="1" x14ac:dyDescent="0.3">
      <c r="B212" s="26" t="s">
        <v>0</v>
      </c>
      <c r="C212" s="27" t="s">
        <v>1</v>
      </c>
      <c r="D212" s="151" t="s">
        <v>2</v>
      </c>
      <c r="E212" s="150" t="s">
        <v>3</v>
      </c>
      <c r="F212" s="150" t="s">
        <v>4</v>
      </c>
      <c r="G212" s="28" t="s">
        <v>5</v>
      </c>
      <c r="H212" s="28" t="s">
        <v>6</v>
      </c>
      <c r="I212" s="29" t="s">
        <v>7</v>
      </c>
      <c r="J212" s="30" t="s">
        <v>8</v>
      </c>
    </row>
    <row r="213" spans="2:12" ht="15.75" x14ac:dyDescent="0.25">
      <c r="B213" s="24"/>
      <c r="C213" s="34" t="s">
        <v>541</v>
      </c>
      <c r="D213" s="36">
        <v>13.2</v>
      </c>
      <c r="E213" s="435">
        <v>0.33048</v>
      </c>
      <c r="F213" s="24">
        <v>1.098665</v>
      </c>
      <c r="G213" s="441">
        <f>ROUND(D213*E213*F213,2)</f>
        <v>4.79</v>
      </c>
      <c r="H213" s="33">
        <v>0.2</v>
      </c>
      <c r="I213" s="442">
        <f t="shared" ref="I213:I218" si="41">ROUND(G213*H213,2)</f>
        <v>0.96</v>
      </c>
      <c r="J213" s="443">
        <f t="shared" ref="J213:J218" si="42">G213+I213</f>
        <v>5.75</v>
      </c>
    </row>
    <row r="214" spans="2:12" ht="15.75" x14ac:dyDescent="0.25">
      <c r="B214" s="24"/>
      <c r="C214" s="34" t="s">
        <v>542</v>
      </c>
      <c r="D214" s="36">
        <v>18.2</v>
      </c>
      <c r="E214" s="435">
        <v>0.33048</v>
      </c>
      <c r="F214" s="24">
        <v>1.098665</v>
      </c>
      <c r="G214" s="441">
        <f>ROUND(D214*E214*F214,2)</f>
        <v>6.61</v>
      </c>
      <c r="H214" s="33">
        <v>0.2</v>
      </c>
      <c r="I214" s="442">
        <f t="shared" si="41"/>
        <v>1.32</v>
      </c>
      <c r="J214" s="443">
        <f t="shared" si="42"/>
        <v>7.9300000000000006</v>
      </c>
    </row>
    <row r="215" spans="2:12" ht="15.75" x14ac:dyDescent="0.25">
      <c r="B215" s="24"/>
      <c r="C215" s="34"/>
      <c r="D215" s="36"/>
      <c r="E215" s="435">
        <v>0.33048</v>
      </c>
      <c r="F215" s="24">
        <v>1.098665</v>
      </c>
      <c r="G215" s="441">
        <f>ROUND(D215*E215*F215,2)</f>
        <v>0</v>
      </c>
      <c r="H215" s="33">
        <v>0.2</v>
      </c>
      <c r="I215" s="442">
        <f t="shared" si="41"/>
        <v>0</v>
      </c>
      <c r="J215" s="443">
        <f t="shared" si="42"/>
        <v>0</v>
      </c>
    </row>
    <row r="216" spans="2:12" ht="15.75" x14ac:dyDescent="0.25">
      <c r="B216" s="36"/>
      <c r="C216" s="34" t="s">
        <v>544</v>
      </c>
      <c r="D216" s="36">
        <v>2.16</v>
      </c>
      <c r="E216" s="435">
        <v>0.33048</v>
      </c>
      <c r="F216" s="24">
        <v>1.098665</v>
      </c>
      <c r="G216" s="441">
        <f>ROUND(D216*E216*F216,2)</f>
        <v>0.78</v>
      </c>
      <c r="H216" s="270">
        <v>0.2</v>
      </c>
      <c r="I216" s="442">
        <f t="shared" si="41"/>
        <v>0.16</v>
      </c>
      <c r="J216" s="443">
        <f t="shared" si="42"/>
        <v>0.94000000000000006</v>
      </c>
    </row>
    <row r="217" spans="2:12" ht="15.75" x14ac:dyDescent="0.25">
      <c r="B217" s="25"/>
      <c r="C217" s="37" t="s">
        <v>545</v>
      </c>
      <c r="D217" s="36">
        <v>1.2</v>
      </c>
      <c r="E217" s="435">
        <v>0.33048</v>
      </c>
      <c r="F217" s="24">
        <v>1.098665</v>
      </c>
      <c r="G217" s="441">
        <f>ROUND(D217*E217*F217,2)</f>
        <v>0.44</v>
      </c>
      <c r="H217" s="33">
        <v>0.2</v>
      </c>
      <c r="I217" s="442">
        <f t="shared" si="41"/>
        <v>0.09</v>
      </c>
      <c r="J217" s="443">
        <f t="shared" si="42"/>
        <v>0.53</v>
      </c>
    </row>
    <row r="218" spans="2:12" ht="18.75" customHeight="1" thickBot="1" x14ac:dyDescent="0.4">
      <c r="B218" s="25"/>
      <c r="C218" s="37" t="s">
        <v>546</v>
      </c>
      <c r="D218" s="203">
        <v>565.24</v>
      </c>
      <c r="E218" s="435">
        <v>0.33048</v>
      </c>
      <c r="F218" s="24">
        <v>1.098665</v>
      </c>
      <c r="G218" s="441">
        <f>ROUND(D218*E218*F218,2)-0.01</f>
        <v>205.22</v>
      </c>
      <c r="H218" s="45">
        <v>0.2</v>
      </c>
      <c r="I218" s="442">
        <f t="shared" si="41"/>
        <v>41.04</v>
      </c>
      <c r="J218" s="443">
        <f t="shared" si="42"/>
        <v>246.26</v>
      </c>
      <c r="L218" s="711" t="s">
        <v>396</v>
      </c>
    </row>
    <row r="219" spans="2:12" ht="16.5" thickBot="1" x14ac:dyDescent="0.3">
      <c r="B219" s="30"/>
      <c r="C219" s="30" t="s">
        <v>12</v>
      </c>
      <c r="D219" s="348">
        <f>SUM(D213:D218)</f>
        <v>600</v>
      </c>
      <c r="E219" s="86"/>
      <c r="F219" s="198"/>
      <c r="G219" s="438">
        <f>SUM(G213:G218)</f>
        <v>217.84</v>
      </c>
      <c r="H219" s="94"/>
      <c r="I219" s="438">
        <f>SUM(I213:I218)</f>
        <v>43.57</v>
      </c>
      <c r="J219" s="438">
        <f>SUM(J213:J218)</f>
        <v>261.40999999999997</v>
      </c>
      <c r="L219" s="712">
        <f>J209+J219</f>
        <v>424.80999999999995</v>
      </c>
    </row>
    <row r="220" spans="2:12" x14ac:dyDescent="0.25">
      <c r="B220" s="116"/>
      <c r="C220" s="116"/>
      <c r="D220" s="116"/>
      <c r="E220" s="116"/>
      <c r="F220" s="116"/>
      <c r="G220" s="116"/>
      <c r="H220" s="116"/>
      <c r="I220" s="116"/>
      <c r="J220" s="116"/>
      <c r="L220" s="116"/>
    </row>
    <row r="221" spans="2:12" ht="15.75" thickBot="1" x14ac:dyDescent="0.3">
      <c r="B221" s="3"/>
      <c r="C221" s="785" t="s">
        <v>549</v>
      </c>
      <c r="D221" s="786"/>
      <c r="E221" s="3"/>
      <c r="F221" s="3"/>
      <c r="G221" s="3"/>
      <c r="H221" s="3"/>
      <c r="I221" s="3"/>
      <c r="J221" s="3"/>
      <c r="L221" s="116"/>
    </row>
    <row r="222" spans="2:12" ht="32.25" thickBot="1" x14ac:dyDescent="0.3">
      <c r="B222" s="26" t="s">
        <v>0</v>
      </c>
      <c r="C222" s="27" t="s">
        <v>1</v>
      </c>
      <c r="D222" s="151" t="s">
        <v>2</v>
      </c>
      <c r="E222" s="150" t="s">
        <v>3</v>
      </c>
      <c r="F222" s="150" t="s">
        <v>4</v>
      </c>
      <c r="G222" s="28" t="s">
        <v>5</v>
      </c>
      <c r="H222" s="28" t="s">
        <v>6</v>
      </c>
      <c r="I222" s="29" t="s">
        <v>7</v>
      </c>
      <c r="J222" s="30" t="s">
        <v>8</v>
      </c>
      <c r="L222" s="116"/>
    </row>
    <row r="223" spans="2:12" ht="15.75" x14ac:dyDescent="0.25">
      <c r="B223" s="24"/>
      <c r="C223" s="34" t="s">
        <v>541</v>
      </c>
      <c r="D223" s="36">
        <v>4.1500000000000004</v>
      </c>
      <c r="E223" s="435">
        <v>0.33048</v>
      </c>
      <c r="F223" s="24">
        <v>1.098665</v>
      </c>
      <c r="G223" s="441">
        <f t="shared" ref="G223:G228" si="43">ROUND(D223*E223*F223,2)</f>
        <v>1.51</v>
      </c>
      <c r="H223" s="33">
        <v>0.2</v>
      </c>
      <c r="I223" s="442">
        <f t="shared" ref="I223:I228" si="44">ROUND(G223*H223,2)</f>
        <v>0.3</v>
      </c>
      <c r="J223" s="443">
        <f t="shared" ref="J223:J228" si="45">G223+I223</f>
        <v>1.81</v>
      </c>
      <c r="L223" s="116"/>
    </row>
    <row r="224" spans="2:12" ht="15.75" x14ac:dyDescent="0.25">
      <c r="B224" s="24"/>
      <c r="C224" s="34" t="s">
        <v>542</v>
      </c>
      <c r="D224" s="36">
        <v>5.7</v>
      </c>
      <c r="E224" s="435">
        <v>0.33048</v>
      </c>
      <c r="F224" s="24">
        <v>1.098665</v>
      </c>
      <c r="G224" s="441">
        <f t="shared" si="43"/>
        <v>2.0699999999999998</v>
      </c>
      <c r="H224" s="33">
        <v>0.2</v>
      </c>
      <c r="I224" s="442">
        <f t="shared" si="44"/>
        <v>0.41</v>
      </c>
      <c r="J224" s="443">
        <f t="shared" si="45"/>
        <v>2.48</v>
      </c>
      <c r="L224" s="116"/>
    </row>
    <row r="225" spans="2:12" ht="15.75" x14ac:dyDescent="0.25">
      <c r="B225" s="24"/>
      <c r="C225" s="34"/>
      <c r="D225" s="36"/>
      <c r="E225" s="435">
        <v>0.33048</v>
      </c>
      <c r="F225" s="24">
        <v>1.098665</v>
      </c>
      <c r="G225" s="441">
        <f t="shared" si="43"/>
        <v>0</v>
      </c>
      <c r="H225" s="33">
        <v>0.2</v>
      </c>
      <c r="I225" s="442">
        <f t="shared" si="44"/>
        <v>0</v>
      </c>
      <c r="J225" s="443">
        <f t="shared" si="45"/>
        <v>0</v>
      </c>
      <c r="L225" s="116"/>
    </row>
    <row r="226" spans="2:12" ht="15.75" x14ac:dyDescent="0.25">
      <c r="B226" s="36"/>
      <c r="C226" s="34" t="s">
        <v>544</v>
      </c>
      <c r="D226" s="36">
        <v>0.68</v>
      </c>
      <c r="E226" s="435">
        <v>0.33048</v>
      </c>
      <c r="F226" s="24">
        <v>1.098665</v>
      </c>
      <c r="G226" s="441">
        <f t="shared" si="43"/>
        <v>0.25</v>
      </c>
      <c r="H226" s="270">
        <v>0.2</v>
      </c>
      <c r="I226" s="442">
        <f t="shared" si="44"/>
        <v>0.05</v>
      </c>
      <c r="J226" s="443">
        <f t="shared" si="45"/>
        <v>0.3</v>
      </c>
      <c r="L226" s="116"/>
    </row>
    <row r="227" spans="2:12" ht="15.75" x14ac:dyDescent="0.25">
      <c r="B227" s="25"/>
      <c r="C227" s="37" t="s">
        <v>545</v>
      </c>
      <c r="D227" s="36">
        <v>0.38</v>
      </c>
      <c r="E227" s="435">
        <v>0.33048</v>
      </c>
      <c r="F227" s="24">
        <v>1.098665</v>
      </c>
      <c r="G227" s="441">
        <f t="shared" si="43"/>
        <v>0.14000000000000001</v>
      </c>
      <c r="H227" s="33">
        <v>0.2</v>
      </c>
      <c r="I227" s="442">
        <f t="shared" si="44"/>
        <v>0.03</v>
      </c>
      <c r="J227" s="443">
        <f t="shared" si="45"/>
        <v>0.17</v>
      </c>
      <c r="L227" s="116"/>
    </row>
    <row r="228" spans="2:12" ht="19.5" customHeight="1" thickBot="1" x14ac:dyDescent="0.4">
      <c r="B228" s="25"/>
      <c r="C228" s="37" t="s">
        <v>546</v>
      </c>
      <c r="D228" s="203">
        <v>177.93</v>
      </c>
      <c r="E228" s="435">
        <v>0.33048</v>
      </c>
      <c r="F228" s="24">
        <v>1.098665</v>
      </c>
      <c r="G228" s="441">
        <f t="shared" si="43"/>
        <v>64.599999999999994</v>
      </c>
      <c r="H228" s="45">
        <v>0.2</v>
      </c>
      <c r="I228" s="442">
        <f t="shared" si="44"/>
        <v>12.92</v>
      </c>
      <c r="J228" s="443">
        <f t="shared" si="45"/>
        <v>77.52</v>
      </c>
      <c r="L228" s="711" t="s">
        <v>551</v>
      </c>
    </row>
    <row r="229" spans="2:12" ht="16.5" thickBot="1" x14ac:dyDescent="0.3">
      <c r="B229" s="30"/>
      <c r="C229" s="30" t="s">
        <v>12</v>
      </c>
      <c r="D229" s="710">
        <f>SUM(D223:D228)</f>
        <v>188.84</v>
      </c>
      <c r="E229" s="86"/>
      <c r="F229" s="198"/>
      <c r="G229" s="438">
        <f>SUM(G223:G228)</f>
        <v>68.569999999999993</v>
      </c>
      <c r="H229" s="94"/>
      <c r="I229" s="438">
        <f>SUM(I223:I228)</f>
        <v>13.71</v>
      </c>
      <c r="J229" s="438">
        <f>SUM(J223:J228)</f>
        <v>82.28</v>
      </c>
      <c r="L229" s="713">
        <f>L219+J229</f>
        <v>507.08999999999992</v>
      </c>
    </row>
    <row r="230" spans="2:12" x14ac:dyDescent="0.25">
      <c r="B230" s="116"/>
      <c r="C230" s="116"/>
      <c r="D230" s="116"/>
      <c r="E230" s="116"/>
      <c r="F230" s="116"/>
      <c r="G230" s="116"/>
      <c r="H230" s="116"/>
      <c r="I230" s="116"/>
      <c r="J230" s="116"/>
    </row>
    <row r="231" spans="2:12" x14ac:dyDescent="0.25">
      <c r="B231" s="116"/>
      <c r="C231" s="116"/>
      <c r="D231" s="116"/>
      <c r="E231" s="116"/>
      <c r="F231" s="116"/>
      <c r="G231" s="116"/>
      <c r="H231" s="116"/>
      <c r="I231" s="116"/>
      <c r="J231" s="116"/>
    </row>
    <row r="232" spans="2:12" x14ac:dyDescent="0.25">
      <c r="B232" s="116"/>
      <c r="C232" s="116"/>
      <c r="D232" s="116"/>
      <c r="E232" s="116"/>
      <c r="F232" s="116"/>
      <c r="G232" s="116"/>
      <c r="H232" s="116"/>
      <c r="I232" s="116"/>
      <c r="J232" s="116"/>
    </row>
    <row r="233" spans="2:12" ht="20.25" x14ac:dyDescent="0.3">
      <c r="B233" s="3" t="s">
        <v>53</v>
      </c>
      <c r="C233" s="756" t="s">
        <v>571</v>
      </c>
      <c r="D233" s="756"/>
      <c r="E233" s="756"/>
      <c r="F233" s="756"/>
      <c r="G233" s="756"/>
      <c r="H233" s="756"/>
      <c r="I233" s="756"/>
      <c r="J233" s="3"/>
    </row>
    <row r="234" spans="2:12" x14ac:dyDescent="0.25">
      <c r="B234" s="3"/>
      <c r="C234" s="4"/>
      <c r="D234" s="4"/>
      <c r="E234" s="3"/>
      <c r="F234" s="3"/>
      <c r="G234" s="3"/>
      <c r="H234" s="3"/>
      <c r="I234" s="3"/>
      <c r="J234" s="3"/>
    </row>
    <row r="235" spans="2:12" ht="32.25" thickBot="1" x14ac:dyDescent="0.3">
      <c r="B235" s="3"/>
      <c r="C235" s="47" t="s">
        <v>553</v>
      </c>
      <c r="D235" s="3"/>
      <c r="E235" s="3"/>
      <c r="F235" s="3"/>
      <c r="G235" s="3"/>
      <c r="H235" s="3"/>
      <c r="I235" s="3"/>
      <c r="J235" s="3"/>
    </row>
    <row r="236" spans="2:12" ht="32.25" thickBot="1" x14ac:dyDescent="0.3">
      <c r="B236" s="26" t="s">
        <v>0</v>
      </c>
      <c r="C236" s="27" t="s">
        <v>1</v>
      </c>
      <c r="D236" s="151" t="s">
        <v>2</v>
      </c>
      <c r="E236" s="150" t="s">
        <v>3</v>
      </c>
      <c r="F236" s="150" t="s">
        <v>4</v>
      </c>
      <c r="G236" s="28" t="s">
        <v>5</v>
      </c>
      <c r="H236" s="28" t="s">
        <v>6</v>
      </c>
      <c r="I236" s="29" t="s">
        <v>7</v>
      </c>
      <c r="J236" s="30" t="s">
        <v>8</v>
      </c>
    </row>
    <row r="237" spans="2:12" ht="15.75" x14ac:dyDescent="0.25">
      <c r="B237" s="24"/>
      <c r="C237" s="34" t="s">
        <v>541</v>
      </c>
      <c r="D237" s="36">
        <f>86+13.2</f>
        <v>99.2</v>
      </c>
      <c r="E237" s="435">
        <v>0.39040999999999998</v>
      </c>
      <c r="F237" s="24">
        <v>0</v>
      </c>
      <c r="G237" s="441">
        <f t="shared" ref="G237:G242" si="46">D237*E237</f>
        <v>38.728671999999996</v>
      </c>
      <c r="H237" s="33">
        <v>0</v>
      </c>
      <c r="I237" s="442">
        <f t="shared" ref="I237:I242" si="47">ROUND(G237*H237,2)</f>
        <v>0</v>
      </c>
      <c r="J237" s="443">
        <f t="shared" ref="J237:J242" si="48">G237+I237</f>
        <v>38.728671999999996</v>
      </c>
    </row>
    <row r="238" spans="2:12" ht="15.75" x14ac:dyDescent="0.25">
      <c r="B238" s="24"/>
      <c r="C238" s="34" t="s">
        <v>542</v>
      </c>
      <c r="D238" s="36">
        <f>98+18.2</f>
        <v>116.2</v>
      </c>
      <c r="E238" s="435">
        <v>0.39040999999999998</v>
      </c>
      <c r="F238" s="24">
        <v>0</v>
      </c>
      <c r="G238" s="441">
        <f t="shared" si="46"/>
        <v>45.365642000000001</v>
      </c>
      <c r="H238" s="33">
        <v>0</v>
      </c>
      <c r="I238" s="442">
        <f t="shared" si="47"/>
        <v>0</v>
      </c>
      <c r="J238" s="443">
        <f t="shared" si="48"/>
        <v>45.365642000000001</v>
      </c>
    </row>
    <row r="239" spans="2:12" ht="15.75" x14ac:dyDescent="0.25">
      <c r="B239" s="24"/>
      <c r="C239" s="34"/>
      <c r="D239" s="36"/>
      <c r="E239" s="435">
        <v>0.39040999999999998</v>
      </c>
      <c r="F239" s="24">
        <v>0</v>
      </c>
      <c r="G239" s="441">
        <f t="shared" si="46"/>
        <v>0</v>
      </c>
      <c r="H239" s="33">
        <v>0</v>
      </c>
      <c r="I239" s="442">
        <f t="shared" si="47"/>
        <v>0</v>
      </c>
      <c r="J239" s="443">
        <f t="shared" si="48"/>
        <v>0</v>
      </c>
    </row>
    <row r="240" spans="2:12" ht="15.75" x14ac:dyDescent="0.25">
      <c r="B240" s="36"/>
      <c r="C240" s="34" t="s">
        <v>544</v>
      </c>
      <c r="D240" s="36">
        <v>2.16</v>
      </c>
      <c r="E240" s="435">
        <v>0.39040999999999998</v>
      </c>
      <c r="F240" s="24">
        <v>0</v>
      </c>
      <c r="G240" s="441">
        <f t="shared" si="46"/>
        <v>0.84328559999999997</v>
      </c>
      <c r="H240" s="33">
        <v>0</v>
      </c>
      <c r="I240" s="442">
        <f t="shared" si="47"/>
        <v>0</v>
      </c>
      <c r="J240" s="443">
        <f t="shared" si="48"/>
        <v>0.84328559999999997</v>
      </c>
    </row>
    <row r="241" spans="2:12" ht="15.75" x14ac:dyDescent="0.25">
      <c r="B241" s="25"/>
      <c r="C241" s="37" t="s">
        <v>545</v>
      </c>
      <c r="D241" s="36">
        <f>62+1.2</f>
        <v>63.2</v>
      </c>
      <c r="E241" s="435">
        <v>0.39040999999999998</v>
      </c>
      <c r="F241" s="24">
        <v>0</v>
      </c>
      <c r="G241" s="441">
        <f t="shared" si="46"/>
        <v>24.673912000000001</v>
      </c>
      <c r="H241" s="33">
        <v>0</v>
      </c>
      <c r="I241" s="442">
        <f t="shared" si="47"/>
        <v>0</v>
      </c>
      <c r="J241" s="443">
        <f t="shared" si="48"/>
        <v>24.673912000000001</v>
      </c>
    </row>
    <row r="242" spans="2:12" ht="18" customHeight="1" thickBot="1" x14ac:dyDescent="0.3">
      <c r="B242" s="25"/>
      <c r="C242" s="37" t="s">
        <v>546</v>
      </c>
      <c r="D242" s="203">
        <f>129+565.24</f>
        <v>694.24</v>
      </c>
      <c r="E242" s="435">
        <v>0.39040999999999998</v>
      </c>
      <c r="F242" s="24">
        <v>0</v>
      </c>
      <c r="G242" s="441">
        <f t="shared" si="46"/>
        <v>271.03823840000001</v>
      </c>
      <c r="H242" s="33">
        <v>0</v>
      </c>
      <c r="I242" s="442">
        <f t="shared" si="47"/>
        <v>0</v>
      </c>
      <c r="J242" s="443">
        <f t="shared" si="48"/>
        <v>271.03823840000001</v>
      </c>
    </row>
    <row r="243" spans="2:12" ht="16.5" thickBot="1" x14ac:dyDescent="0.3">
      <c r="B243" s="30"/>
      <c r="C243" s="30" t="s">
        <v>12</v>
      </c>
      <c r="D243" s="348">
        <f>SUM(D237:D242)</f>
        <v>975</v>
      </c>
      <c r="E243" s="86"/>
      <c r="F243" s="198"/>
      <c r="G243" s="438">
        <f>SUM(G237:G242)</f>
        <v>380.64975000000004</v>
      </c>
      <c r="H243" s="94"/>
      <c r="I243" s="438">
        <f>SUM(I237:I242)</f>
        <v>0</v>
      </c>
      <c r="J243" s="438">
        <f>SUM(J237:J242)</f>
        <v>380.64975000000004</v>
      </c>
    </row>
    <row r="247" spans="2:12" ht="32.25" customHeight="1" x14ac:dyDescent="0.3">
      <c r="B247" s="3" t="s">
        <v>53</v>
      </c>
      <c r="C247" s="756" t="s">
        <v>586</v>
      </c>
      <c r="D247" s="756"/>
      <c r="E247" s="756"/>
      <c r="F247" s="756"/>
      <c r="G247" s="756"/>
      <c r="H247" s="756"/>
      <c r="I247" s="756"/>
      <c r="J247" s="3"/>
      <c r="K247" s="116"/>
      <c r="L247" s="116"/>
    </row>
    <row r="248" spans="2:12" x14ac:dyDescent="0.25">
      <c r="B248" s="3"/>
      <c r="C248" s="4"/>
      <c r="D248" s="4"/>
      <c r="E248" s="3"/>
      <c r="F248" s="3"/>
      <c r="G248" s="3"/>
      <c r="H248" s="3"/>
      <c r="I248" s="3"/>
      <c r="J248" s="3"/>
      <c r="K248" s="116"/>
      <c r="L248" s="116"/>
    </row>
    <row r="249" spans="2:12" ht="16.5" thickBot="1" x14ac:dyDescent="0.3">
      <c r="B249" s="3"/>
      <c r="C249" s="47" t="s">
        <v>547</v>
      </c>
      <c r="D249" s="3"/>
      <c r="E249" s="3"/>
      <c r="F249" s="3"/>
      <c r="G249" s="3"/>
      <c r="H249" s="3"/>
      <c r="I249" s="3"/>
      <c r="J249" s="3"/>
      <c r="K249" s="116"/>
      <c r="L249" s="116"/>
    </row>
    <row r="250" spans="2:12" ht="32.25" thickBot="1" x14ac:dyDescent="0.3">
      <c r="B250" s="26" t="s">
        <v>0</v>
      </c>
      <c r="C250" s="27" t="s">
        <v>1</v>
      </c>
      <c r="D250" s="151" t="s">
        <v>2</v>
      </c>
      <c r="E250" s="150" t="s">
        <v>3</v>
      </c>
      <c r="F250" s="150" t="s">
        <v>4</v>
      </c>
      <c r="G250" s="28" t="s">
        <v>5</v>
      </c>
      <c r="H250" s="28" t="s">
        <v>6</v>
      </c>
      <c r="I250" s="29" t="s">
        <v>7</v>
      </c>
      <c r="J250" s="30" t="s">
        <v>8</v>
      </c>
      <c r="K250" s="116"/>
      <c r="L250" s="116"/>
    </row>
    <row r="251" spans="2:12" ht="15.75" x14ac:dyDescent="0.25">
      <c r="B251" s="24"/>
      <c r="C251" s="34" t="s">
        <v>541</v>
      </c>
      <c r="D251" s="36">
        <v>72</v>
      </c>
      <c r="E251" s="435">
        <v>0.33048</v>
      </c>
      <c r="F251" s="24">
        <v>1.0956539999999999</v>
      </c>
      <c r="G251" s="441">
        <f t="shared" ref="G251:G256" si="49">ROUND(D251*E251*F251,2)</f>
        <v>26.07</v>
      </c>
      <c r="H251" s="33">
        <v>0.2</v>
      </c>
      <c r="I251" s="442">
        <f t="shared" ref="I251:I256" si="50">ROUND(G251*H251,2)</f>
        <v>5.21</v>
      </c>
      <c r="J251" s="443">
        <f t="shared" ref="J251:J256" si="51">G251+I251</f>
        <v>31.28</v>
      </c>
      <c r="K251" s="116"/>
      <c r="L251" s="116"/>
    </row>
    <row r="252" spans="2:12" ht="15.75" x14ac:dyDescent="0.25">
      <c r="B252" s="24"/>
      <c r="C252" s="34" t="s">
        <v>542</v>
      </c>
      <c r="D252" s="36">
        <v>85</v>
      </c>
      <c r="E252" s="435">
        <v>0.33048</v>
      </c>
      <c r="F252" s="24">
        <v>1.0956539999999999</v>
      </c>
      <c r="G252" s="441">
        <f t="shared" si="49"/>
        <v>30.78</v>
      </c>
      <c r="H252" s="33">
        <v>0.2</v>
      </c>
      <c r="I252" s="442">
        <f t="shared" si="50"/>
        <v>6.16</v>
      </c>
      <c r="J252" s="443">
        <f t="shared" si="51"/>
        <v>36.94</v>
      </c>
      <c r="K252" s="116"/>
      <c r="L252" s="116"/>
    </row>
    <row r="253" spans="2:12" ht="15.75" x14ac:dyDescent="0.25">
      <c r="B253" s="24"/>
      <c r="C253" s="34"/>
      <c r="D253" s="36"/>
      <c r="E253" s="435">
        <v>0.33048</v>
      </c>
      <c r="F253" s="24">
        <v>1.0956539999999999</v>
      </c>
      <c r="G253" s="441">
        <f t="shared" si="49"/>
        <v>0</v>
      </c>
      <c r="H253" s="33">
        <v>0.2</v>
      </c>
      <c r="I253" s="442">
        <f t="shared" si="50"/>
        <v>0</v>
      </c>
      <c r="J253" s="443">
        <f t="shared" si="51"/>
        <v>0</v>
      </c>
      <c r="K253" s="116"/>
      <c r="L253" s="116"/>
    </row>
    <row r="254" spans="2:12" ht="15.75" x14ac:dyDescent="0.25">
      <c r="B254" s="36"/>
      <c r="C254" s="34" t="s">
        <v>544</v>
      </c>
      <c r="D254" s="36"/>
      <c r="E254" s="435">
        <v>0.33048</v>
      </c>
      <c r="F254" s="24">
        <v>1.0956539999999999</v>
      </c>
      <c r="G254" s="441">
        <f t="shared" si="49"/>
        <v>0</v>
      </c>
      <c r="H254" s="270">
        <v>0.2</v>
      </c>
      <c r="I254" s="442">
        <f t="shared" si="50"/>
        <v>0</v>
      </c>
      <c r="J254" s="443">
        <f t="shared" si="51"/>
        <v>0</v>
      </c>
      <c r="K254" s="116"/>
      <c r="L254" s="116"/>
    </row>
    <row r="255" spans="2:12" ht="15.75" x14ac:dyDescent="0.25">
      <c r="B255" s="25"/>
      <c r="C255" s="37" t="s">
        <v>545</v>
      </c>
      <c r="D255" s="36">
        <v>68</v>
      </c>
      <c r="E255" s="435">
        <v>0.33048</v>
      </c>
      <c r="F255" s="24">
        <v>1.0956539999999999</v>
      </c>
      <c r="G255" s="441">
        <f t="shared" si="49"/>
        <v>24.62</v>
      </c>
      <c r="H255" s="33">
        <v>0.2</v>
      </c>
      <c r="I255" s="442">
        <f t="shared" si="50"/>
        <v>4.92</v>
      </c>
      <c r="J255" s="443">
        <f t="shared" si="51"/>
        <v>29.54</v>
      </c>
      <c r="K255" s="116"/>
      <c r="L255" s="116"/>
    </row>
    <row r="256" spans="2:12" ht="31.5" thickBot="1" x14ac:dyDescent="0.3">
      <c r="B256" s="25"/>
      <c r="C256" s="37" t="s">
        <v>546</v>
      </c>
      <c r="D256" s="203">
        <v>166</v>
      </c>
      <c r="E256" s="435">
        <v>0.33048</v>
      </c>
      <c r="F256" s="24">
        <v>1.0956539999999999</v>
      </c>
      <c r="G256" s="441">
        <f t="shared" si="49"/>
        <v>60.11</v>
      </c>
      <c r="H256" s="45">
        <v>0.2</v>
      </c>
      <c r="I256" s="442">
        <f t="shared" si="50"/>
        <v>12.02</v>
      </c>
      <c r="J256" s="443">
        <f t="shared" si="51"/>
        <v>72.13</v>
      </c>
      <c r="K256" s="116"/>
      <c r="L256" s="116"/>
    </row>
    <row r="257" spans="2:12" ht="16.5" thickBot="1" x14ac:dyDescent="0.3">
      <c r="B257" s="30"/>
      <c r="C257" s="30" t="s">
        <v>12</v>
      </c>
      <c r="D257" s="348">
        <f>SUM(D251:D256)</f>
        <v>391</v>
      </c>
      <c r="E257" s="86"/>
      <c r="F257" s="198"/>
      <c r="G257" s="438">
        <f>SUM(G251:G256)</f>
        <v>141.57999999999998</v>
      </c>
      <c r="H257" s="94"/>
      <c r="I257" s="438">
        <f>SUM(I251:I256)</f>
        <v>28.31</v>
      </c>
      <c r="J257" s="438">
        <f>SUM(J251:J256)</f>
        <v>169.89</v>
      </c>
      <c r="K257" s="116"/>
      <c r="L257" s="116"/>
    </row>
    <row r="258" spans="2:12" x14ac:dyDescent="0.25"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</row>
    <row r="259" spans="2:12" ht="15.75" thickBot="1" x14ac:dyDescent="0.3">
      <c r="B259" s="3"/>
      <c r="C259" s="785" t="s">
        <v>548</v>
      </c>
      <c r="D259" s="786"/>
      <c r="E259" s="3"/>
      <c r="F259" s="3"/>
      <c r="G259" s="3"/>
      <c r="H259" s="3"/>
      <c r="I259" s="3"/>
      <c r="J259" s="3"/>
      <c r="K259" s="116"/>
      <c r="L259" s="116"/>
    </row>
    <row r="260" spans="2:12" ht="32.25" thickBot="1" x14ac:dyDescent="0.3">
      <c r="B260" s="26" t="s">
        <v>0</v>
      </c>
      <c r="C260" s="27" t="s">
        <v>1</v>
      </c>
      <c r="D260" s="151" t="s">
        <v>2</v>
      </c>
      <c r="E260" s="150" t="s">
        <v>3</v>
      </c>
      <c r="F260" s="150" t="s">
        <v>4</v>
      </c>
      <c r="G260" s="28" t="s">
        <v>5</v>
      </c>
      <c r="H260" s="28" t="s">
        <v>6</v>
      </c>
      <c r="I260" s="29" t="s">
        <v>7</v>
      </c>
      <c r="J260" s="30" t="s">
        <v>8</v>
      </c>
      <c r="K260" s="116"/>
      <c r="L260" s="116"/>
    </row>
    <row r="261" spans="2:12" ht="15.75" x14ac:dyDescent="0.25">
      <c r="B261" s="24"/>
      <c r="C261" s="34" t="s">
        <v>541</v>
      </c>
      <c r="D261" s="36">
        <v>6.6</v>
      </c>
      <c r="E261" s="435">
        <v>0.33048</v>
      </c>
      <c r="F261" s="24">
        <v>1.0956539999999999</v>
      </c>
      <c r="G261" s="441">
        <f t="shared" ref="G261:G266" si="52">ROUND(D261*E261*F261,2)</f>
        <v>2.39</v>
      </c>
      <c r="H261" s="33">
        <v>0.2</v>
      </c>
      <c r="I261" s="442">
        <f t="shared" ref="I261:I266" si="53">ROUND(G261*H261,2)</f>
        <v>0.48</v>
      </c>
      <c r="J261" s="443">
        <f t="shared" ref="J261:J266" si="54">G261+I261</f>
        <v>2.87</v>
      </c>
      <c r="K261" s="116"/>
      <c r="L261" s="116"/>
    </row>
    <row r="262" spans="2:12" ht="15.75" x14ac:dyDescent="0.25">
      <c r="B262" s="24"/>
      <c r="C262" s="34" t="s">
        <v>542</v>
      </c>
      <c r="D262" s="36">
        <v>9.1</v>
      </c>
      <c r="E262" s="435">
        <v>0.33048</v>
      </c>
      <c r="F262" s="24">
        <v>1.0956539999999999</v>
      </c>
      <c r="G262" s="441">
        <f t="shared" si="52"/>
        <v>3.3</v>
      </c>
      <c r="H262" s="33">
        <v>0.2</v>
      </c>
      <c r="I262" s="442">
        <f t="shared" si="53"/>
        <v>0.66</v>
      </c>
      <c r="J262" s="443">
        <f t="shared" si="54"/>
        <v>3.96</v>
      </c>
      <c r="K262" s="116"/>
      <c r="L262" s="116"/>
    </row>
    <row r="263" spans="2:12" ht="15.75" x14ac:dyDescent="0.25">
      <c r="B263" s="24"/>
      <c r="C263" s="34"/>
      <c r="D263" s="36"/>
      <c r="E263" s="435">
        <v>0.33048</v>
      </c>
      <c r="F263" s="24">
        <v>1.0956539999999999</v>
      </c>
      <c r="G263" s="441">
        <f t="shared" si="52"/>
        <v>0</v>
      </c>
      <c r="H263" s="33">
        <v>0.2</v>
      </c>
      <c r="I263" s="442">
        <f t="shared" si="53"/>
        <v>0</v>
      </c>
      <c r="J263" s="443">
        <f t="shared" si="54"/>
        <v>0</v>
      </c>
      <c r="K263" s="116"/>
      <c r="L263" s="116"/>
    </row>
    <row r="264" spans="2:12" ht="15.75" x14ac:dyDescent="0.25">
      <c r="B264" s="36"/>
      <c r="C264" s="34" t="s">
        <v>544</v>
      </c>
      <c r="D264" s="36">
        <v>1.08</v>
      </c>
      <c r="E264" s="435">
        <v>0.33048</v>
      </c>
      <c r="F264" s="24">
        <v>1.0956539999999999</v>
      </c>
      <c r="G264" s="441">
        <f t="shared" si="52"/>
        <v>0.39</v>
      </c>
      <c r="H264" s="270">
        <v>0.2</v>
      </c>
      <c r="I264" s="442">
        <f t="shared" si="53"/>
        <v>0.08</v>
      </c>
      <c r="J264" s="443">
        <f t="shared" si="54"/>
        <v>0.47000000000000003</v>
      </c>
      <c r="K264" s="116"/>
      <c r="L264" s="116"/>
    </row>
    <row r="265" spans="2:12" ht="15.75" x14ac:dyDescent="0.25">
      <c r="B265" s="25"/>
      <c r="C265" s="37" t="s">
        <v>545</v>
      </c>
      <c r="D265" s="36">
        <v>0.6</v>
      </c>
      <c r="E265" s="435">
        <v>0.33048</v>
      </c>
      <c r="F265" s="24">
        <v>1.0956539999999999</v>
      </c>
      <c r="G265" s="441">
        <f t="shared" si="52"/>
        <v>0.22</v>
      </c>
      <c r="H265" s="33">
        <v>0.2</v>
      </c>
      <c r="I265" s="442">
        <f t="shared" si="53"/>
        <v>0.04</v>
      </c>
      <c r="J265" s="443">
        <f t="shared" si="54"/>
        <v>0.26</v>
      </c>
      <c r="K265" s="116"/>
      <c r="L265" s="116"/>
    </row>
    <row r="266" spans="2:12" ht="33" thickBot="1" x14ac:dyDescent="0.4">
      <c r="B266" s="25"/>
      <c r="C266" s="37" t="s">
        <v>546</v>
      </c>
      <c r="D266" s="203">
        <v>282.62</v>
      </c>
      <c r="E266" s="435">
        <v>0.33048</v>
      </c>
      <c r="F266" s="24">
        <v>1.0956539999999999</v>
      </c>
      <c r="G266" s="441">
        <f t="shared" si="52"/>
        <v>102.33</v>
      </c>
      <c r="H266" s="45">
        <v>0.2</v>
      </c>
      <c r="I266" s="442">
        <f t="shared" si="53"/>
        <v>20.47</v>
      </c>
      <c r="J266" s="443">
        <f t="shared" si="54"/>
        <v>122.8</v>
      </c>
      <c r="K266" s="116"/>
      <c r="L266" s="711" t="s">
        <v>396</v>
      </c>
    </row>
    <row r="267" spans="2:12" ht="16.5" thickBot="1" x14ac:dyDescent="0.3">
      <c r="B267" s="30"/>
      <c r="C267" s="30" t="s">
        <v>12</v>
      </c>
      <c r="D267" s="348">
        <f>SUM(D261:D266)</f>
        <v>300</v>
      </c>
      <c r="E267" s="86"/>
      <c r="F267" s="198"/>
      <c r="G267" s="438">
        <f>SUM(G261:G266)</f>
        <v>108.63</v>
      </c>
      <c r="H267" s="94"/>
      <c r="I267" s="438">
        <f>SUM(I261:I266)</f>
        <v>21.73</v>
      </c>
      <c r="J267" s="438">
        <f>SUM(J261:J266)</f>
        <v>130.35999999999999</v>
      </c>
      <c r="K267" s="116"/>
      <c r="L267" s="712">
        <f>J257+J267</f>
        <v>300.25</v>
      </c>
    </row>
    <row r="268" spans="2:12" x14ac:dyDescent="0.25"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</row>
    <row r="269" spans="2:12" ht="15.75" thickBot="1" x14ac:dyDescent="0.3">
      <c r="B269" s="3"/>
      <c r="C269" s="785" t="s">
        <v>549</v>
      </c>
      <c r="D269" s="786"/>
      <c r="E269" s="3"/>
      <c r="F269" s="3"/>
      <c r="G269" s="3"/>
      <c r="H269" s="3"/>
      <c r="I269" s="3"/>
      <c r="J269" s="3"/>
      <c r="K269" s="116"/>
      <c r="L269" s="116"/>
    </row>
    <row r="270" spans="2:12" ht="32.25" thickBot="1" x14ac:dyDescent="0.3">
      <c r="B270" s="26" t="s">
        <v>0</v>
      </c>
      <c r="C270" s="27" t="s">
        <v>1</v>
      </c>
      <c r="D270" s="151" t="s">
        <v>2</v>
      </c>
      <c r="E270" s="150" t="s">
        <v>3</v>
      </c>
      <c r="F270" s="150" t="s">
        <v>4</v>
      </c>
      <c r="G270" s="28" t="s">
        <v>5</v>
      </c>
      <c r="H270" s="28" t="s">
        <v>6</v>
      </c>
      <c r="I270" s="29" t="s">
        <v>7</v>
      </c>
      <c r="J270" s="30" t="s">
        <v>8</v>
      </c>
      <c r="K270" s="116"/>
      <c r="L270" s="116"/>
    </row>
    <row r="271" spans="2:12" ht="15.75" x14ac:dyDescent="0.25">
      <c r="B271" s="24"/>
      <c r="C271" s="34" t="s">
        <v>541</v>
      </c>
      <c r="D271" s="36">
        <v>2.98</v>
      </c>
      <c r="E271" s="435">
        <v>0.33048</v>
      </c>
      <c r="F271" s="24">
        <v>1.0956539999999999</v>
      </c>
      <c r="G271" s="441">
        <f>ROUND(D271*E271*F271,2)</f>
        <v>1.08</v>
      </c>
      <c r="H271" s="33">
        <v>0.2</v>
      </c>
      <c r="I271" s="442">
        <f t="shared" ref="I271:I276" si="55">ROUND(G271*H271,2)</f>
        <v>0.22</v>
      </c>
      <c r="J271" s="443">
        <f t="shared" ref="J271:J276" si="56">G271+I271</f>
        <v>1.3</v>
      </c>
      <c r="K271" s="116"/>
      <c r="L271" s="116"/>
    </row>
    <row r="272" spans="2:12" ht="15.75" x14ac:dyDescent="0.25">
      <c r="B272" s="24"/>
      <c r="C272" s="34" t="s">
        <v>542</v>
      </c>
      <c r="D272" s="36">
        <v>4.0999999999999996</v>
      </c>
      <c r="E272" s="435">
        <v>0.33048</v>
      </c>
      <c r="F272" s="24">
        <v>1.0956539999999999</v>
      </c>
      <c r="G272" s="441">
        <f>ROUND(D272*E272*F272,2)</f>
        <v>1.48</v>
      </c>
      <c r="H272" s="33">
        <v>0.2</v>
      </c>
      <c r="I272" s="442">
        <f t="shared" si="55"/>
        <v>0.3</v>
      </c>
      <c r="J272" s="443">
        <f t="shared" si="56"/>
        <v>1.78</v>
      </c>
      <c r="K272" s="116"/>
      <c r="L272" s="116"/>
    </row>
    <row r="273" spans="2:12" ht="15.75" x14ac:dyDescent="0.25">
      <c r="B273" s="24"/>
      <c r="C273" s="34"/>
      <c r="D273" s="36"/>
      <c r="E273" s="435">
        <v>0.33048</v>
      </c>
      <c r="F273" s="24">
        <v>1.0956539999999999</v>
      </c>
      <c r="G273" s="441">
        <f>ROUND(D273*E273*F273,2)</f>
        <v>0</v>
      </c>
      <c r="H273" s="33">
        <v>0.2</v>
      </c>
      <c r="I273" s="442">
        <f t="shared" si="55"/>
        <v>0</v>
      </c>
      <c r="J273" s="443">
        <f t="shared" si="56"/>
        <v>0</v>
      </c>
      <c r="K273" s="116"/>
      <c r="L273" s="116"/>
    </row>
    <row r="274" spans="2:12" ht="15.75" x14ac:dyDescent="0.25">
      <c r="B274" s="36"/>
      <c r="C274" s="34" t="s">
        <v>544</v>
      </c>
      <c r="D274" s="36">
        <v>0.49</v>
      </c>
      <c r="E274" s="435">
        <v>0.33048</v>
      </c>
      <c r="F274" s="24">
        <v>1.0956539999999999</v>
      </c>
      <c r="G274" s="441">
        <f>ROUND(D274*E274*F274,2)</f>
        <v>0.18</v>
      </c>
      <c r="H274" s="270">
        <v>0.2</v>
      </c>
      <c r="I274" s="442">
        <f t="shared" si="55"/>
        <v>0.04</v>
      </c>
      <c r="J274" s="443">
        <f t="shared" si="56"/>
        <v>0.22</v>
      </c>
      <c r="K274" s="116"/>
      <c r="L274" s="116"/>
    </row>
    <row r="275" spans="2:12" ht="15.75" x14ac:dyDescent="0.25">
      <c r="B275" s="25"/>
      <c r="C275" s="37" t="s">
        <v>545</v>
      </c>
      <c r="D275" s="36">
        <v>0.27</v>
      </c>
      <c r="E275" s="435">
        <v>0.33048</v>
      </c>
      <c r="F275" s="24">
        <v>1.0956539999999999</v>
      </c>
      <c r="G275" s="441">
        <f>ROUND(D275*E275*F275,2)</f>
        <v>0.1</v>
      </c>
      <c r="H275" s="33">
        <v>0.2</v>
      </c>
      <c r="I275" s="442">
        <f t="shared" si="55"/>
        <v>0.02</v>
      </c>
      <c r="J275" s="443">
        <f t="shared" si="56"/>
        <v>0.12000000000000001</v>
      </c>
      <c r="K275" s="116"/>
      <c r="L275" s="116"/>
    </row>
    <row r="276" spans="2:12" ht="33" thickBot="1" x14ac:dyDescent="0.4">
      <c r="B276" s="25"/>
      <c r="C276" s="37" t="s">
        <v>546</v>
      </c>
      <c r="D276" s="203">
        <v>127.79</v>
      </c>
      <c r="E276" s="435">
        <v>0.33048</v>
      </c>
      <c r="F276" s="24">
        <v>1.0956539999999999</v>
      </c>
      <c r="G276" s="441">
        <f>ROUND(D276*E276*F276,2)-0.01</f>
        <v>46.260000000000005</v>
      </c>
      <c r="H276" s="45">
        <v>0.2</v>
      </c>
      <c r="I276" s="442">
        <f t="shared" si="55"/>
        <v>9.25</v>
      </c>
      <c r="J276" s="443">
        <f t="shared" si="56"/>
        <v>55.510000000000005</v>
      </c>
      <c r="K276" s="116"/>
      <c r="L276" s="711" t="s">
        <v>551</v>
      </c>
    </row>
    <row r="277" spans="2:12" ht="16.5" thickBot="1" x14ac:dyDescent="0.3">
      <c r="B277" s="30"/>
      <c r="C277" s="30" t="s">
        <v>12</v>
      </c>
      <c r="D277" s="710">
        <f>SUM(D271:D276)</f>
        <v>135.63</v>
      </c>
      <c r="E277" s="86"/>
      <c r="F277" s="198"/>
      <c r="G277" s="438">
        <f>SUM(G271:G276)</f>
        <v>49.100000000000009</v>
      </c>
      <c r="H277" s="94"/>
      <c r="I277" s="438">
        <f>SUM(I271:I276)</f>
        <v>9.83</v>
      </c>
      <c r="J277" s="438">
        <f>SUM(J271:J276)</f>
        <v>58.930000000000007</v>
      </c>
      <c r="K277" s="116"/>
      <c r="L277" s="713">
        <f>L267+J277</f>
        <v>359.18</v>
      </c>
    </row>
    <row r="278" spans="2:12" x14ac:dyDescent="0.25"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</row>
    <row r="279" spans="2:12" x14ac:dyDescent="0.25"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</row>
    <row r="280" spans="2:12" x14ac:dyDescent="0.25"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</row>
    <row r="281" spans="2:12" ht="20.25" x14ac:dyDescent="0.3">
      <c r="B281" s="3" t="s">
        <v>53</v>
      </c>
      <c r="C281" s="756" t="s">
        <v>572</v>
      </c>
      <c r="D281" s="756"/>
      <c r="E281" s="756"/>
      <c r="F281" s="756"/>
      <c r="G281" s="756"/>
      <c r="H281" s="756"/>
      <c r="I281" s="756"/>
      <c r="J281" s="3"/>
      <c r="K281" s="116"/>
      <c r="L281" s="116"/>
    </row>
    <row r="282" spans="2:12" x14ac:dyDescent="0.25">
      <c r="B282" s="3"/>
      <c r="C282" s="4"/>
      <c r="D282" s="4"/>
      <c r="E282" s="3"/>
      <c r="F282" s="3"/>
      <c r="G282" s="3"/>
      <c r="H282" s="3"/>
      <c r="I282" s="3"/>
      <c r="J282" s="3"/>
      <c r="K282" s="116"/>
      <c r="L282" s="116"/>
    </row>
    <row r="283" spans="2:12" ht="32.25" thickBot="1" x14ac:dyDescent="0.3">
      <c r="B283" s="3"/>
      <c r="C283" s="47" t="s">
        <v>553</v>
      </c>
      <c r="D283" s="3"/>
      <c r="E283" s="3"/>
      <c r="F283" s="3"/>
      <c r="G283" s="3"/>
      <c r="H283" s="3"/>
      <c r="I283" s="3"/>
      <c r="J283" s="3"/>
      <c r="K283" s="116"/>
      <c r="L283" s="116"/>
    </row>
    <row r="284" spans="2:12" ht="32.25" thickBot="1" x14ac:dyDescent="0.3">
      <c r="B284" s="26" t="s">
        <v>0</v>
      </c>
      <c r="C284" s="27" t="s">
        <v>1</v>
      </c>
      <c r="D284" s="151" t="s">
        <v>2</v>
      </c>
      <c r="E284" s="150" t="s">
        <v>3</v>
      </c>
      <c r="F284" s="150" t="s">
        <v>4</v>
      </c>
      <c r="G284" s="28" t="s">
        <v>5</v>
      </c>
      <c r="H284" s="28" t="s">
        <v>6</v>
      </c>
      <c r="I284" s="29" t="s">
        <v>7</v>
      </c>
      <c r="J284" s="30" t="s">
        <v>8</v>
      </c>
      <c r="K284" s="116"/>
      <c r="L284" s="116"/>
    </row>
    <row r="285" spans="2:12" ht="15.75" x14ac:dyDescent="0.25">
      <c r="B285" s="24"/>
      <c r="C285" s="34" t="s">
        <v>541</v>
      </c>
      <c r="D285" s="36">
        <f>72+6.6</f>
        <v>78.599999999999994</v>
      </c>
      <c r="E285" s="435">
        <v>0.54818999999999996</v>
      </c>
      <c r="F285" s="24">
        <v>0</v>
      </c>
      <c r="G285" s="441">
        <f>D285*E285</f>
        <v>43.08773399999999</v>
      </c>
      <c r="H285" s="33">
        <v>0</v>
      </c>
      <c r="I285" s="442">
        <f t="shared" ref="I285:I290" si="57">ROUND(G285*H285,2)</f>
        <v>0</v>
      </c>
      <c r="J285" s="443">
        <f t="shared" ref="J285:J290" si="58">G285+I285</f>
        <v>43.08773399999999</v>
      </c>
      <c r="K285" s="116"/>
      <c r="L285" s="116"/>
    </row>
    <row r="286" spans="2:12" ht="15.75" x14ac:dyDescent="0.25">
      <c r="B286" s="24"/>
      <c r="C286" s="34" t="s">
        <v>542</v>
      </c>
      <c r="D286" s="36">
        <f>85+9.1</f>
        <v>94.1</v>
      </c>
      <c r="E286" s="435">
        <v>0.54818999999999996</v>
      </c>
      <c r="F286" s="24">
        <v>0</v>
      </c>
      <c r="G286" s="441">
        <f>D286*E286</f>
        <v>51.584678999999994</v>
      </c>
      <c r="H286" s="33">
        <v>0</v>
      </c>
      <c r="I286" s="442">
        <f t="shared" si="57"/>
        <v>0</v>
      </c>
      <c r="J286" s="443">
        <f t="shared" si="58"/>
        <v>51.584678999999994</v>
      </c>
      <c r="K286" s="116"/>
      <c r="L286" s="116"/>
    </row>
    <row r="287" spans="2:12" ht="15.75" x14ac:dyDescent="0.25">
      <c r="B287" s="24"/>
      <c r="C287" s="34"/>
      <c r="D287" s="36"/>
      <c r="E287" s="435">
        <v>0.54818999999999996</v>
      </c>
      <c r="F287" s="24">
        <v>0</v>
      </c>
      <c r="G287" s="441">
        <f>D287*E287</f>
        <v>0</v>
      </c>
      <c r="H287" s="33">
        <v>0</v>
      </c>
      <c r="I287" s="442">
        <f t="shared" si="57"/>
        <v>0</v>
      </c>
      <c r="J287" s="443">
        <f t="shared" si="58"/>
        <v>0</v>
      </c>
      <c r="K287" s="116"/>
      <c r="L287" s="116"/>
    </row>
    <row r="288" spans="2:12" ht="15.75" x14ac:dyDescent="0.25">
      <c r="B288" s="36"/>
      <c r="C288" s="34" t="s">
        <v>544</v>
      </c>
      <c r="D288" s="36">
        <v>1.08</v>
      </c>
      <c r="E288" s="435">
        <v>0.54818999999999996</v>
      </c>
      <c r="F288" s="24">
        <v>0</v>
      </c>
      <c r="G288" s="441">
        <f>D288*E288</f>
        <v>0.59204519999999994</v>
      </c>
      <c r="H288" s="33">
        <v>0</v>
      </c>
      <c r="I288" s="442">
        <f t="shared" si="57"/>
        <v>0</v>
      </c>
      <c r="J288" s="443">
        <f t="shared" si="58"/>
        <v>0.59204519999999994</v>
      </c>
      <c r="K288" s="116"/>
      <c r="L288" s="116"/>
    </row>
    <row r="289" spans="2:12" ht="15.75" x14ac:dyDescent="0.25">
      <c r="B289" s="25"/>
      <c r="C289" s="37" t="s">
        <v>545</v>
      </c>
      <c r="D289" s="36">
        <f>68.06</f>
        <v>68.06</v>
      </c>
      <c r="E289" s="435">
        <v>0.54818999999999996</v>
      </c>
      <c r="F289" s="24">
        <v>0</v>
      </c>
      <c r="G289" s="441">
        <f>D289*E289</f>
        <v>37.309811400000001</v>
      </c>
      <c r="H289" s="33">
        <v>0</v>
      </c>
      <c r="I289" s="442">
        <f t="shared" si="57"/>
        <v>0</v>
      </c>
      <c r="J289" s="443">
        <f t="shared" si="58"/>
        <v>37.309811400000001</v>
      </c>
      <c r="K289" s="116"/>
      <c r="L289" s="116"/>
    </row>
    <row r="290" spans="2:12" ht="31.5" thickBot="1" x14ac:dyDescent="0.3">
      <c r="B290" s="25"/>
      <c r="C290" s="37" t="s">
        <v>546</v>
      </c>
      <c r="D290" s="203">
        <f>166+282.62</f>
        <v>448.62</v>
      </c>
      <c r="E290" s="435">
        <v>0.54818999999999996</v>
      </c>
      <c r="F290" s="24">
        <v>0</v>
      </c>
      <c r="G290" s="441">
        <f>D290*E290+0.3</f>
        <v>246.2289978</v>
      </c>
      <c r="H290" s="33">
        <v>0</v>
      </c>
      <c r="I290" s="442">
        <f t="shared" si="57"/>
        <v>0</v>
      </c>
      <c r="J290" s="443">
        <f t="shared" si="58"/>
        <v>246.2289978</v>
      </c>
      <c r="K290" s="116"/>
      <c r="L290" s="116"/>
    </row>
    <row r="291" spans="2:12" ht="16.5" thickBot="1" x14ac:dyDescent="0.3">
      <c r="B291" s="30"/>
      <c r="C291" s="30" t="s">
        <v>12</v>
      </c>
      <c r="D291" s="348">
        <f>SUM(D285:D290)</f>
        <v>690.46</v>
      </c>
      <c r="E291" s="86"/>
      <c r="F291" s="198"/>
      <c r="G291" s="438">
        <f>SUM(G285:G290)</f>
        <v>378.80326739999998</v>
      </c>
      <c r="H291" s="94"/>
      <c r="I291" s="438">
        <f>SUM(I285:I290)</f>
        <v>0</v>
      </c>
      <c r="J291" s="438">
        <f>SUM(J285:J290)</f>
        <v>378.80326739999998</v>
      </c>
      <c r="K291" s="116"/>
      <c r="L291" s="116"/>
    </row>
    <row r="296" spans="2:12" ht="20.25" x14ac:dyDescent="0.3">
      <c r="B296" s="3" t="s">
        <v>53</v>
      </c>
      <c r="C296" s="756" t="s">
        <v>596</v>
      </c>
      <c r="D296" s="756"/>
      <c r="E296" s="756"/>
      <c r="F296" s="756"/>
      <c r="G296" s="756"/>
      <c r="H296" s="756"/>
      <c r="I296" s="756"/>
      <c r="J296" s="3"/>
      <c r="K296" s="116"/>
      <c r="L296" s="116"/>
    </row>
    <row r="297" spans="2:12" x14ac:dyDescent="0.25">
      <c r="B297" s="3"/>
      <c r="C297" s="4"/>
      <c r="D297" s="4"/>
      <c r="E297" s="3"/>
      <c r="F297" s="3"/>
      <c r="G297" s="3"/>
      <c r="H297" s="3"/>
      <c r="I297" s="3"/>
      <c r="J297" s="3"/>
      <c r="K297" s="116"/>
      <c r="L297" s="116"/>
    </row>
    <row r="298" spans="2:12" ht="16.5" thickBot="1" x14ac:dyDescent="0.3">
      <c r="B298" s="3"/>
      <c r="C298" s="47" t="s">
        <v>547</v>
      </c>
      <c r="D298" s="3"/>
      <c r="E298" s="3"/>
      <c r="F298" s="3"/>
      <c r="G298" s="3"/>
      <c r="H298" s="3"/>
      <c r="I298" s="3"/>
      <c r="J298" s="3"/>
      <c r="K298" s="116"/>
      <c r="L298" s="116"/>
    </row>
    <row r="299" spans="2:12" ht="32.25" thickBot="1" x14ac:dyDescent="0.3">
      <c r="B299" s="26" t="s">
        <v>0</v>
      </c>
      <c r="C299" s="27" t="s">
        <v>1</v>
      </c>
      <c r="D299" s="151" t="s">
        <v>2</v>
      </c>
      <c r="E299" s="150" t="s">
        <v>3</v>
      </c>
      <c r="F299" s="150" t="s">
        <v>4</v>
      </c>
      <c r="G299" s="28" t="s">
        <v>5</v>
      </c>
      <c r="H299" s="28" t="s">
        <v>6</v>
      </c>
      <c r="I299" s="29" t="s">
        <v>7</v>
      </c>
      <c r="J299" s="30" t="s">
        <v>8</v>
      </c>
      <c r="K299" s="116"/>
      <c r="L299" s="116"/>
    </row>
    <row r="300" spans="2:12" ht="15.75" x14ac:dyDescent="0.25">
      <c r="B300" s="24"/>
      <c r="C300" s="34" t="s">
        <v>541</v>
      </c>
      <c r="D300" s="36">
        <v>64</v>
      </c>
      <c r="E300" s="435">
        <v>0.33048</v>
      </c>
      <c r="F300" s="24">
        <v>1.1080239999999999</v>
      </c>
      <c r="G300" s="441">
        <f t="shared" ref="G300:G305" si="59">ROUND(D300*E300*F300,2)</f>
        <v>23.44</v>
      </c>
      <c r="H300" s="33">
        <v>0.2</v>
      </c>
      <c r="I300" s="442">
        <f t="shared" ref="I300:I305" si="60">ROUND(G300*H300,2)</f>
        <v>4.6900000000000004</v>
      </c>
      <c r="J300" s="443">
        <f t="shared" ref="J300:J305" si="61">G300+I300</f>
        <v>28.130000000000003</v>
      </c>
      <c r="K300" s="116"/>
      <c r="L300" s="116"/>
    </row>
    <row r="301" spans="2:12" ht="15.75" x14ac:dyDescent="0.25">
      <c r="B301" s="24"/>
      <c r="C301" s="34" t="s">
        <v>542</v>
      </c>
      <c r="D301" s="36">
        <v>72</v>
      </c>
      <c r="E301" s="435">
        <v>0.33048</v>
      </c>
      <c r="F301" s="24">
        <v>1.1080239999999999</v>
      </c>
      <c r="G301" s="441">
        <f t="shared" si="59"/>
        <v>26.36</v>
      </c>
      <c r="H301" s="33">
        <v>0.2</v>
      </c>
      <c r="I301" s="442">
        <f t="shared" si="60"/>
        <v>5.27</v>
      </c>
      <c r="J301" s="443">
        <f t="shared" si="61"/>
        <v>31.63</v>
      </c>
      <c r="K301" s="116"/>
      <c r="L301" s="116"/>
    </row>
    <row r="302" spans="2:12" ht="15.75" x14ac:dyDescent="0.25">
      <c r="B302" s="24"/>
      <c r="C302" s="34"/>
      <c r="D302" s="36"/>
      <c r="E302" s="435">
        <v>0.33048</v>
      </c>
      <c r="F302" s="24">
        <v>1.1080239999999999</v>
      </c>
      <c r="G302" s="441">
        <f t="shared" si="59"/>
        <v>0</v>
      </c>
      <c r="H302" s="33">
        <v>0.2</v>
      </c>
      <c r="I302" s="442">
        <f t="shared" si="60"/>
        <v>0</v>
      </c>
      <c r="J302" s="443">
        <f t="shared" si="61"/>
        <v>0</v>
      </c>
      <c r="K302" s="116"/>
      <c r="L302" s="116"/>
    </row>
    <row r="303" spans="2:12" ht="15.75" x14ac:dyDescent="0.25">
      <c r="B303" s="36"/>
      <c r="C303" s="34" t="s">
        <v>544</v>
      </c>
      <c r="D303" s="36"/>
      <c r="E303" s="435">
        <v>0.33048</v>
      </c>
      <c r="F303" s="24">
        <v>1.1080239999999999</v>
      </c>
      <c r="G303" s="441">
        <f t="shared" si="59"/>
        <v>0</v>
      </c>
      <c r="H303" s="270">
        <v>0.2</v>
      </c>
      <c r="I303" s="442">
        <f t="shared" si="60"/>
        <v>0</v>
      </c>
      <c r="J303" s="443">
        <f t="shared" si="61"/>
        <v>0</v>
      </c>
      <c r="K303" s="116"/>
      <c r="L303" s="116"/>
    </row>
    <row r="304" spans="2:12" ht="15.75" x14ac:dyDescent="0.25">
      <c r="B304" s="25"/>
      <c r="C304" s="37" t="s">
        <v>545</v>
      </c>
      <c r="D304" s="36">
        <v>54</v>
      </c>
      <c r="E304" s="435">
        <v>0.33048</v>
      </c>
      <c r="F304" s="24">
        <v>1.1080239999999999</v>
      </c>
      <c r="G304" s="441">
        <f t="shared" si="59"/>
        <v>19.77</v>
      </c>
      <c r="H304" s="33">
        <v>0.2</v>
      </c>
      <c r="I304" s="442">
        <f t="shared" si="60"/>
        <v>3.95</v>
      </c>
      <c r="J304" s="443">
        <f t="shared" si="61"/>
        <v>23.72</v>
      </c>
      <c r="K304" s="116"/>
      <c r="L304" s="116"/>
    </row>
    <row r="305" spans="2:12" ht="31.5" thickBot="1" x14ac:dyDescent="0.3">
      <c r="B305" s="25"/>
      <c r="C305" s="37" t="s">
        <v>546</v>
      </c>
      <c r="D305" s="203">
        <v>80.94</v>
      </c>
      <c r="E305" s="435">
        <v>0.33048</v>
      </c>
      <c r="F305" s="24">
        <v>1.1080239999999999</v>
      </c>
      <c r="G305" s="441">
        <f t="shared" si="59"/>
        <v>29.64</v>
      </c>
      <c r="H305" s="45">
        <v>0.2</v>
      </c>
      <c r="I305" s="442">
        <f t="shared" si="60"/>
        <v>5.93</v>
      </c>
      <c r="J305" s="443">
        <f t="shared" si="61"/>
        <v>35.57</v>
      </c>
      <c r="K305" s="116"/>
      <c r="L305" s="116"/>
    </row>
    <row r="306" spans="2:12" ht="16.5" thickBot="1" x14ac:dyDescent="0.3">
      <c r="B306" s="30"/>
      <c r="C306" s="30" t="s">
        <v>12</v>
      </c>
      <c r="D306" s="348">
        <f>SUM(D300:D305)</f>
        <v>270.94</v>
      </c>
      <c r="E306" s="86"/>
      <c r="F306" s="198"/>
      <c r="G306" s="438">
        <f>SUM(G300:G305)</f>
        <v>99.21</v>
      </c>
      <c r="H306" s="94"/>
      <c r="I306" s="438">
        <f>SUM(I300:I305)</f>
        <v>19.84</v>
      </c>
      <c r="J306" s="438">
        <f>SUM(J300:J305)</f>
        <v>119.05000000000001</v>
      </c>
      <c r="K306" s="116"/>
      <c r="L306" s="116"/>
    </row>
    <row r="307" spans="2:12" x14ac:dyDescent="0.25"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</row>
    <row r="308" spans="2:12" ht="15.75" thickBot="1" x14ac:dyDescent="0.3">
      <c r="B308" s="3"/>
      <c r="C308" s="785" t="s">
        <v>548</v>
      </c>
      <c r="D308" s="786"/>
      <c r="E308" s="3"/>
      <c r="F308" s="3"/>
      <c r="G308" s="3"/>
      <c r="H308" s="3"/>
      <c r="I308" s="3"/>
      <c r="J308" s="3"/>
      <c r="K308" s="116"/>
      <c r="L308" s="116"/>
    </row>
    <row r="309" spans="2:12" ht="32.25" thickBot="1" x14ac:dyDescent="0.3">
      <c r="B309" s="26" t="s">
        <v>0</v>
      </c>
      <c r="C309" s="27" t="s">
        <v>1</v>
      </c>
      <c r="D309" s="151" t="s">
        <v>2</v>
      </c>
      <c r="E309" s="150" t="s">
        <v>3</v>
      </c>
      <c r="F309" s="150" t="s">
        <v>4</v>
      </c>
      <c r="G309" s="28" t="s">
        <v>5</v>
      </c>
      <c r="H309" s="28" t="s">
        <v>6</v>
      </c>
      <c r="I309" s="29" t="s">
        <v>7</v>
      </c>
      <c r="J309" s="30" t="s">
        <v>8</v>
      </c>
      <c r="K309" s="116"/>
      <c r="L309" s="116"/>
    </row>
    <row r="310" spans="2:12" ht="15.75" x14ac:dyDescent="0.25">
      <c r="B310" s="24"/>
      <c r="C310" s="34" t="s">
        <v>541</v>
      </c>
      <c r="D310" s="36">
        <v>2.9</v>
      </c>
      <c r="E310" s="435">
        <v>0.33048</v>
      </c>
      <c r="F310" s="24">
        <v>1.1080239999999999</v>
      </c>
      <c r="G310" s="441">
        <f>ROUND(D310*E310*F310,2)</f>
        <v>1.06</v>
      </c>
      <c r="H310" s="33">
        <v>0.2</v>
      </c>
      <c r="I310" s="442">
        <f t="shared" ref="I310:I315" si="62">ROUND(G310*H310,2)</f>
        <v>0.21</v>
      </c>
      <c r="J310" s="443">
        <f t="shared" ref="J310:J315" si="63">G310+I310</f>
        <v>1.27</v>
      </c>
      <c r="K310" s="116"/>
      <c r="L310" s="116"/>
    </row>
    <row r="311" spans="2:12" ht="15.75" x14ac:dyDescent="0.25">
      <c r="B311" s="24"/>
      <c r="C311" s="34" t="s">
        <v>542</v>
      </c>
      <c r="D311" s="36">
        <v>4.2</v>
      </c>
      <c r="E311" s="435">
        <v>0.33048</v>
      </c>
      <c r="F311" s="24">
        <v>1.1080239999999999</v>
      </c>
      <c r="G311" s="441">
        <f>ROUND(D311*E311*F311,2)</f>
        <v>1.54</v>
      </c>
      <c r="H311" s="33">
        <v>0.2</v>
      </c>
      <c r="I311" s="442">
        <f t="shared" si="62"/>
        <v>0.31</v>
      </c>
      <c r="J311" s="443">
        <f t="shared" si="63"/>
        <v>1.85</v>
      </c>
      <c r="K311" s="116"/>
      <c r="L311" s="116"/>
    </row>
    <row r="312" spans="2:12" ht="15.75" x14ac:dyDescent="0.25">
      <c r="B312" s="24"/>
      <c r="C312" s="34"/>
      <c r="D312" s="36"/>
      <c r="E312" s="435">
        <v>0.33048</v>
      </c>
      <c r="F312" s="24">
        <v>1.1080239999999999</v>
      </c>
      <c r="G312" s="441">
        <f>ROUND(D312*E312*F312,2)</f>
        <v>0</v>
      </c>
      <c r="H312" s="33">
        <v>0.2</v>
      </c>
      <c r="I312" s="442">
        <f t="shared" si="62"/>
        <v>0</v>
      </c>
      <c r="J312" s="443">
        <f t="shared" si="63"/>
        <v>0</v>
      </c>
      <c r="K312" s="116"/>
      <c r="L312" s="116"/>
    </row>
    <row r="313" spans="2:12" ht="15.75" x14ac:dyDescent="0.25">
      <c r="B313" s="36"/>
      <c r="C313" s="34" t="s">
        <v>544</v>
      </c>
      <c r="D313" s="36">
        <v>0.5</v>
      </c>
      <c r="E313" s="435">
        <v>0.33048</v>
      </c>
      <c r="F313" s="24">
        <v>1.1080239999999999</v>
      </c>
      <c r="G313" s="441">
        <f>ROUND(D313*E313*F313,2)</f>
        <v>0.18</v>
      </c>
      <c r="H313" s="270">
        <v>0.2</v>
      </c>
      <c r="I313" s="442">
        <f t="shared" si="62"/>
        <v>0.04</v>
      </c>
      <c r="J313" s="443">
        <f t="shared" si="63"/>
        <v>0.22</v>
      </c>
      <c r="K313" s="116"/>
      <c r="L313" s="116"/>
    </row>
    <row r="314" spans="2:12" ht="15.75" x14ac:dyDescent="0.25">
      <c r="B314" s="25"/>
      <c r="C314" s="37" t="s">
        <v>545</v>
      </c>
      <c r="D314" s="36">
        <v>0.2</v>
      </c>
      <c r="E314" s="435">
        <v>0.33048</v>
      </c>
      <c r="F314" s="24">
        <v>1.1080239999999999</v>
      </c>
      <c r="G314" s="441">
        <f>ROUND(D314*E314*F314,2)</f>
        <v>7.0000000000000007E-2</v>
      </c>
      <c r="H314" s="33">
        <v>0.2</v>
      </c>
      <c r="I314" s="442">
        <f t="shared" si="62"/>
        <v>0.01</v>
      </c>
      <c r="J314" s="443">
        <f t="shared" si="63"/>
        <v>0.08</v>
      </c>
      <c r="K314" s="116"/>
      <c r="L314" s="116"/>
    </row>
    <row r="315" spans="2:12" ht="33" thickBot="1" x14ac:dyDescent="0.4">
      <c r="B315" s="25"/>
      <c r="C315" s="37" t="s">
        <v>546</v>
      </c>
      <c r="D315" s="203">
        <v>91.26</v>
      </c>
      <c r="E315" s="435">
        <v>0.33048</v>
      </c>
      <c r="F315" s="24">
        <v>1.1080239999999999</v>
      </c>
      <c r="G315" s="441">
        <f>ROUND(D315*E315*F315,2)+0.01</f>
        <v>33.43</v>
      </c>
      <c r="H315" s="45">
        <v>0.2</v>
      </c>
      <c r="I315" s="442">
        <f t="shared" si="62"/>
        <v>6.69</v>
      </c>
      <c r="J315" s="443">
        <f t="shared" si="63"/>
        <v>40.119999999999997</v>
      </c>
      <c r="K315" s="116"/>
      <c r="L315" s="711" t="s">
        <v>396</v>
      </c>
    </row>
    <row r="316" spans="2:12" ht="16.5" thickBot="1" x14ac:dyDescent="0.3">
      <c r="B316" s="30"/>
      <c r="C316" s="30" t="s">
        <v>12</v>
      </c>
      <c r="D316" s="348">
        <f>SUM(D310:D315)</f>
        <v>99.06</v>
      </c>
      <c r="E316" s="86"/>
      <c r="F316" s="198"/>
      <c r="G316" s="438">
        <f>SUM(G310:G315)</f>
        <v>36.28</v>
      </c>
      <c r="H316" s="94"/>
      <c r="I316" s="438">
        <f>SUM(I310:I315)</f>
        <v>7.2600000000000007</v>
      </c>
      <c r="J316" s="438">
        <f>SUM(J310:J315)</f>
        <v>43.54</v>
      </c>
      <c r="K316" s="116"/>
      <c r="L316" s="712">
        <f>J306+J316</f>
        <v>162.59</v>
      </c>
    </row>
    <row r="317" spans="2:12" x14ac:dyDescent="0.25"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</row>
    <row r="318" spans="2:12" ht="15.75" thickBot="1" x14ac:dyDescent="0.3">
      <c r="B318" s="3"/>
      <c r="C318" s="785" t="s">
        <v>549</v>
      </c>
      <c r="D318" s="786"/>
      <c r="E318" s="3"/>
      <c r="F318" s="3"/>
      <c r="G318" s="3"/>
      <c r="H318" s="3"/>
      <c r="I318" s="3"/>
      <c r="J318" s="3"/>
      <c r="K318" s="116"/>
      <c r="L318" s="116"/>
    </row>
    <row r="319" spans="2:12" ht="32.25" thickBot="1" x14ac:dyDescent="0.3">
      <c r="B319" s="26" t="s">
        <v>0</v>
      </c>
      <c r="C319" s="27" t="s">
        <v>1</v>
      </c>
      <c r="D319" s="151" t="s">
        <v>2</v>
      </c>
      <c r="E319" s="150" t="s">
        <v>3</v>
      </c>
      <c r="F319" s="150" t="s">
        <v>4</v>
      </c>
      <c r="G319" s="28" t="s">
        <v>5</v>
      </c>
      <c r="H319" s="28" t="s">
        <v>6</v>
      </c>
      <c r="I319" s="29" t="s">
        <v>7</v>
      </c>
      <c r="J319" s="30" t="s">
        <v>8</v>
      </c>
      <c r="K319" s="116"/>
      <c r="L319" s="116"/>
    </row>
    <row r="320" spans="2:12" ht="15.75" x14ac:dyDescent="0.25">
      <c r="B320" s="24"/>
      <c r="C320" s="34" t="s">
        <v>541</v>
      </c>
      <c r="D320" s="36">
        <v>2.48</v>
      </c>
      <c r="E320" s="435">
        <v>0.33048</v>
      </c>
      <c r="F320" s="24">
        <v>1.1080239999999999</v>
      </c>
      <c r="G320" s="441">
        <f>ROUND(D320*E320*F320,2)</f>
        <v>0.91</v>
      </c>
      <c r="H320" s="33">
        <v>0.2</v>
      </c>
      <c r="I320" s="442">
        <f t="shared" ref="I320:I325" si="64">ROUND(G320*H320,2)</f>
        <v>0.18</v>
      </c>
      <c r="J320" s="443">
        <f t="shared" ref="J320:J325" si="65">G320+I320</f>
        <v>1.0900000000000001</v>
      </c>
      <c r="K320" s="116"/>
      <c r="L320" s="116"/>
    </row>
    <row r="321" spans="2:12" ht="15.75" x14ac:dyDescent="0.25">
      <c r="B321" s="24"/>
      <c r="C321" s="34" t="s">
        <v>542</v>
      </c>
      <c r="D321" s="36">
        <v>3.4</v>
      </c>
      <c r="E321" s="435">
        <v>0.33048</v>
      </c>
      <c r="F321" s="24">
        <v>1.1080239999999999</v>
      </c>
      <c r="G321" s="441">
        <f>ROUND(D321*E321*F321,2)</f>
        <v>1.25</v>
      </c>
      <c r="H321" s="33">
        <v>0.2</v>
      </c>
      <c r="I321" s="442">
        <f t="shared" si="64"/>
        <v>0.25</v>
      </c>
      <c r="J321" s="443">
        <f t="shared" si="65"/>
        <v>1.5</v>
      </c>
      <c r="K321" s="116"/>
      <c r="L321" s="116"/>
    </row>
    <row r="322" spans="2:12" ht="15.75" x14ac:dyDescent="0.25">
      <c r="B322" s="24"/>
      <c r="C322" s="34"/>
      <c r="D322" s="36"/>
      <c r="E322" s="435">
        <v>0.33048</v>
      </c>
      <c r="F322" s="24">
        <v>1.1080239999999999</v>
      </c>
      <c r="G322" s="441">
        <f>ROUND(D322*E322*F322,2)</f>
        <v>0</v>
      </c>
      <c r="H322" s="33">
        <v>0.2</v>
      </c>
      <c r="I322" s="442">
        <f t="shared" si="64"/>
        <v>0</v>
      </c>
      <c r="J322" s="443">
        <f t="shared" si="65"/>
        <v>0</v>
      </c>
      <c r="K322" s="116"/>
      <c r="L322" s="116"/>
    </row>
    <row r="323" spans="2:12" ht="15.75" x14ac:dyDescent="0.25">
      <c r="B323" s="36"/>
      <c r="C323" s="34" t="s">
        <v>544</v>
      </c>
      <c r="D323" s="36">
        <v>0.41</v>
      </c>
      <c r="E323" s="435">
        <v>0.33048</v>
      </c>
      <c r="F323" s="24">
        <v>1.1080239999999999</v>
      </c>
      <c r="G323" s="441">
        <f>ROUND(D323*E323*F323,2)</f>
        <v>0.15</v>
      </c>
      <c r="H323" s="270">
        <v>0.2</v>
      </c>
      <c r="I323" s="442">
        <f t="shared" si="64"/>
        <v>0.03</v>
      </c>
      <c r="J323" s="443">
        <f t="shared" si="65"/>
        <v>0.18</v>
      </c>
      <c r="K323" s="116"/>
      <c r="L323" s="116"/>
    </row>
    <row r="324" spans="2:12" ht="15.75" x14ac:dyDescent="0.25">
      <c r="B324" s="25"/>
      <c r="C324" s="37" t="s">
        <v>545</v>
      </c>
      <c r="D324" s="36"/>
      <c r="E324" s="435">
        <v>0.33048</v>
      </c>
      <c r="F324" s="24">
        <v>1.1080239999999999</v>
      </c>
      <c r="G324" s="441">
        <f>ROUND(D324*E324*F324,2)</f>
        <v>0</v>
      </c>
      <c r="H324" s="33">
        <v>0.2</v>
      </c>
      <c r="I324" s="442">
        <f t="shared" si="64"/>
        <v>0</v>
      </c>
      <c r="J324" s="443">
        <f t="shared" si="65"/>
        <v>0</v>
      </c>
      <c r="K324" s="116"/>
      <c r="L324" s="116"/>
    </row>
    <row r="325" spans="2:12" ht="33" thickBot="1" x14ac:dyDescent="0.4">
      <c r="B325" s="25"/>
      <c r="C325" s="37" t="s">
        <v>546</v>
      </c>
      <c r="D325" s="203">
        <v>106.42</v>
      </c>
      <c r="E325" s="435">
        <v>0.33048</v>
      </c>
      <c r="F325" s="24">
        <v>1.1080239999999999</v>
      </c>
      <c r="G325" s="441">
        <f>ROUND(D325*E325*F325,2)-0.01</f>
        <v>38.96</v>
      </c>
      <c r="H325" s="45">
        <v>0.2</v>
      </c>
      <c r="I325" s="442">
        <f t="shared" si="64"/>
        <v>7.79</v>
      </c>
      <c r="J325" s="443">
        <f t="shared" si="65"/>
        <v>46.75</v>
      </c>
      <c r="K325" s="116"/>
      <c r="L325" s="711" t="s">
        <v>551</v>
      </c>
    </row>
    <row r="326" spans="2:12" ht="16.5" thickBot="1" x14ac:dyDescent="0.3">
      <c r="B326" s="30"/>
      <c r="C326" s="30" t="s">
        <v>12</v>
      </c>
      <c r="D326" s="710">
        <f>SUM(D320:D325)</f>
        <v>112.71000000000001</v>
      </c>
      <c r="E326" s="86"/>
      <c r="F326" s="198"/>
      <c r="G326" s="438">
        <f>SUM(G320:G325)</f>
        <v>41.27</v>
      </c>
      <c r="H326" s="94"/>
      <c r="I326" s="438">
        <f>SUM(I320:I325)</f>
        <v>8.25</v>
      </c>
      <c r="J326" s="438">
        <f>SUM(J320:J325)</f>
        <v>49.52</v>
      </c>
      <c r="K326" s="116"/>
      <c r="L326" s="713">
        <f>L316+J326</f>
        <v>212.11</v>
      </c>
    </row>
    <row r="327" spans="2:12" x14ac:dyDescent="0.25"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</row>
    <row r="328" spans="2:12" x14ac:dyDescent="0.25"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</row>
    <row r="329" spans="2:12" x14ac:dyDescent="0.25"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</row>
    <row r="330" spans="2:12" ht="20.25" x14ac:dyDescent="0.3">
      <c r="B330" s="3" t="s">
        <v>53</v>
      </c>
      <c r="C330" s="756" t="s">
        <v>587</v>
      </c>
      <c r="D330" s="756"/>
      <c r="E330" s="756"/>
      <c r="F330" s="756"/>
      <c r="G330" s="756"/>
      <c r="H330" s="756"/>
      <c r="I330" s="756"/>
      <c r="J330" s="3"/>
      <c r="K330" s="116"/>
      <c r="L330" s="116"/>
    </row>
    <row r="331" spans="2:12" x14ac:dyDescent="0.25">
      <c r="B331" s="3"/>
      <c r="C331" s="4"/>
      <c r="D331" s="4"/>
      <c r="E331" s="3"/>
      <c r="F331" s="3"/>
      <c r="G331" s="3"/>
      <c r="H331" s="3"/>
      <c r="I331" s="3"/>
      <c r="J331" s="3"/>
      <c r="K331" s="116"/>
      <c r="L331" s="116"/>
    </row>
    <row r="332" spans="2:12" ht="32.25" thickBot="1" x14ac:dyDescent="0.3">
      <c r="B332" s="3"/>
      <c r="C332" s="47" t="s">
        <v>553</v>
      </c>
      <c r="D332" s="3"/>
      <c r="E332" s="3"/>
      <c r="F332" s="3"/>
      <c r="G332" s="3"/>
      <c r="H332" s="3"/>
      <c r="I332" s="3"/>
      <c r="J332" s="3"/>
      <c r="K332" s="116"/>
      <c r="L332" s="116"/>
    </row>
    <row r="333" spans="2:12" ht="32.25" thickBot="1" x14ac:dyDescent="0.3">
      <c r="B333" s="26" t="s">
        <v>0</v>
      </c>
      <c r="C333" s="27" t="s">
        <v>1</v>
      </c>
      <c r="D333" s="151" t="s">
        <v>2</v>
      </c>
      <c r="E333" s="150" t="s">
        <v>3</v>
      </c>
      <c r="F333" s="150" t="s">
        <v>4</v>
      </c>
      <c r="G333" s="28" t="s">
        <v>5</v>
      </c>
      <c r="H333" s="28" t="s">
        <v>6</v>
      </c>
      <c r="I333" s="29" t="s">
        <v>7</v>
      </c>
      <c r="J333" s="30" t="s">
        <v>8</v>
      </c>
      <c r="K333" s="116"/>
      <c r="L333" s="116"/>
    </row>
    <row r="334" spans="2:12" ht="15.75" x14ac:dyDescent="0.25">
      <c r="B334" s="24"/>
      <c r="C334" s="34" t="s">
        <v>541</v>
      </c>
      <c r="D334" s="36">
        <f>64+2.9+2.48</f>
        <v>69.38000000000001</v>
      </c>
      <c r="E334" s="435">
        <v>0.65154999999999996</v>
      </c>
      <c r="F334" s="24">
        <v>0</v>
      </c>
      <c r="G334" s="441">
        <f t="shared" ref="G334:G339" si="66">D334*E334</f>
        <v>45.204539000000004</v>
      </c>
      <c r="H334" s="33">
        <v>0</v>
      </c>
      <c r="I334" s="442">
        <f t="shared" ref="I334:I339" si="67">ROUND(G334*H334,2)</f>
        <v>0</v>
      </c>
      <c r="J334" s="443">
        <f t="shared" ref="J334:J339" si="68">G334+I334</f>
        <v>45.204539000000004</v>
      </c>
      <c r="K334" s="116"/>
      <c r="L334" s="116"/>
    </row>
    <row r="335" spans="2:12" ht="15.75" x14ac:dyDescent="0.25">
      <c r="B335" s="24"/>
      <c r="C335" s="34" t="s">
        <v>542</v>
      </c>
      <c r="D335" s="36">
        <f>72+4.2+3.4</f>
        <v>79.600000000000009</v>
      </c>
      <c r="E335" s="435">
        <v>0.65154999999999996</v>
      </c>
      <c r="F335" s="24">
        <v>0</v>
      </c>
      <c r="G335" s="441">
        <f t="shared" si="66"/>
        <v>51.863379999999999</v>
      </c>
      <c r="H335" s="33">
        <v>0</v>
      </c>
      <c r="I335" s="442">
        <f t="shared" si="67"/>
        <v>0</v>
      </c>
      <c r="J335" s="443">
        <f t="shared" si="68"/>
        <v>51.863379999999999</v>
      </c>
      <c r="K335" s="116"/>
      <c r="L335" s="116"/>
    </row>
    <row r="336" spans="2:12" ht="15.75" x14ac:dyDescent="0.25">
      <c r="B336" s="24"/>
      <c r="C336" s="34"/>
      <c r="D336" s="36"/>
      <c r="E336" s="435">
        <v>0.65154999999999996</v>
      </c>
      <c r="F336" s="24">
        <v>0</v>
      </c>
      <c r="G336" s="441">
        <f t="shared" si="66"/>
        <v>0</v>
      </c>
      <c r="H336" s="33">
        <v>0</v>
      </c>
      <c r="I336" s="442">
        <f t="shared" si="67"/>
        <v>0</v>
      </c>
      <c r="J336" s="443">
        <f t="shared" si="68"/>
        <v>0</v>
      </c>
      <c r="K336" s="116"/>
      <c r="L336" s="116"/>
    </row>
    <row r="337" spans="2:12" ht="15.75" x14ac:dyDescent="0.25">
      <c r="B337" s="36"/>
      <c r="C337" s="34" t="s">
        <v>544</v>
      </c>
      <c r="D337" s="36">
        <f>0.5+0.41</f>
        <v>0.90999999999999992</v>
      </c>
      <c r="E337" s="435">
        <v>0.65154999999999996</v>
      </c>
      <c r="F337" s="24">
        <v>0</v>
      </c>
      <c r="G337" s="441">
        <f t="shared" si="66"/>
        <v>0.5929104999999999</v>
      </c>
      <c r="H337" s="33">
        <v>0</v>
      </c>
      <c r="I337" s="442">
        <f t="shared" si="67"/>
        <v>0</v>
      </c>
      <c r="J337" s="443">
        <f t="shared" si="68"/>
        <v>0.5929104999999999</v>
      </c>
      <c r="K337" s="116"/>
      <c r="L337" s="116"/>
    </row>
    <row r="338" spans="2:12" ht="15.75" x14ac:dyDescent="0.25">
      <c r="B338" s="25"/>
      <c r="C338" s="37" t="s">
        <v>545</v>
      </c>
      <c r="D338" s="36">
        <f>54+0.2</f>
        <v>54.2</v>
      </c>
      <c r="E338" s="435">
        <v>0.65154999999999996</v>
      </c>
      <c r="F338" s="24">
        <v>0</v>
      </c>
      <c r="G338" s="441">
        <f t="shared" si="66"/>
        <v>35.314010000000003</v>
      </c>
      <c r="H338" s="33">
        <v>0</v>
      </c>
      <c r="I338" s="442">
        <f t="shared" si="67"/>
        <v>0</v>
      </c>
      <c r="J338" s="443">
        <f t="shared" si="68"/>
        <v>35.314010000000003</v>
      </c>
      <c r="K338" s="116"/>
      <c r="L338" s="116"/>
    </row>
    <row r="339" spans="2:12" ht="31.5" thickBot="1" x14ac:dyDescent="0.3">
      <c r="B339" s="25"/>
      <c r="C339" s="37" t="s">
        <v>546</v>
      </c>
      <c r="D339" s="203">
        <f>80.94+91.26+106.42</f>
        <v>278.62</v>
      </c>
      <c r="E339" s="435">
        <v>0.65154999999999996</v>
      </c>
      <c r="F339" s="24">
        <v>0</v>
      </c>
      <c r="G339" s="441">
        <f t="shared" si="66"/>
        <v>181.53486100000001</v>
      </c>
      <c r="H339" s="33">
        <v>0</v>
      </c>
      <c r="I339" s="442">
        <f t="shared" si="67"/>
        <v>0</v>
      </c>
      <c r="J339" s="443">
        <f t="shared" si="68"/>
        <v>181.53486100000001</v>
      </c>
      <c r="K339" s="116"/>
      <c r="L339" s="116"/>
    </row>
    <row r="340" spans="2:12" ht="16.5" thickBot="1" x14ac:dyDescent="0.3">
      <c r="B340" s="30"/>
      <c r="C340" s="30" t="s">
        <v>12</v>
      </c>
      <c r="D340" s="348">
        <f>SUM(D334:D339)</f>
        <v>482.71000000000004</v>
      </c>
      <c r="E340" s="86"/>
      <c r="F340" s="198"/>
      <c r="G340" s="438">
        <f>SUM(G334:G339)</f>
        <v>314.50970050000001</v>
      </c>
      <c r="H340" s="94"/>
      <c r="I340" s="438">
        <f>SUM(I334:I339)</f>
        <v>0</v>
      </c>
      <c r="J340" s="438">
        <f>SUM(J334:J339)</f>
        <v>314.50970050000001</v>
      </c>
      <c r="K340" s="116"/>
      <c r="L340" s="116"/>
    </row>
    <row r="341" spans="2:12" x14ac:dyDescent="0.25"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</row>
  </sheetData>
  <mergeCells count="29">
    <mergeCell ref="C199:I199"/>
    <mergeCell ref="C211:D211"/>
    <mergeCell ref="C221:D221"/>
    <mergeCell ref="C233:I233"/>
    <mergeCell ref="C151:I151"/>
    <mergeCell ref="C163:D163"/>
    <mergeCell ref="C173:D173"/>
    <mergeCell ref="C185:I185"/>
    <mergeCell ref="C5:I5"/>
    <mergeCell ref="C6:D6"/>
    <mergeCell ref="C18:D18"/>
    <mergeCell ref="C28:D28"/>
    <mergeCell ref="C42:I42"/>
    <mergeCell ref="C109:I109"/>
    <mergeCell ref="C135:I135"/>
    <mergeCell ref="C122:I122"/>
    <mergeCell ref="C54:D54"/>
    <mergeCell ref="C64:D64"/>
    <mergeCell ref="C75:I75"/>
    <mergeCell ref="C87:D87"/>
    <mergeCell ref="C97:D97"/>
    <mergeCell ref="C296:I296"/>
    <mergeCell ref="C308:D308"/>
    <mergeCell ref="C318:D318"/>
    <mergeCell ref="C330:I330"/>
    <mergeCell ref="C247:I247"/>
    <mergeCell ref="C259:D259"/>
    <mergeCell ref="C269:D269"/>
    <mergeCell ref="C281:I281"/>
  </mergeCells>
  <pageMargins left="0.25" right="0.25" top="0.75" bottom="0.75" header="0.3" footer="0.3"/>
  <pageSetup paperSize="9" scale="9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88" workbookViewId="0">
      <selection activeCell="C91" sqref="C91"/>
    </sheetView>
  </sheetViews>
  <sheetFormatPr defaultRowHeight="15" x14ac:dyDescent="0.25"/>
  <cols>
    <col min="1" max="1" width="14.85546875" customWidth="1"/>
    <col min="2" max="2" width="11.28515625" customWidth="1"/>
    <col min="3" max="3" width="13" customWidth="1"/>
    <col min="4" max="4" width="10.7109375" customWidth="1"/>
  </cols>
  <sheetData>
    <row r="1" spans="1:8" ht="15.75" x14ac:dyDescent="0.25">
      <c r="A1" s="118" t="s">
        <v>350</v>
      </c>
      <c r="B1" s="118"/>
      <c r="C1" s="118"/>
      <c r="D1" s="118"/>
      <c r="E1" s="118"/>
      <c r="F1" s="118"/>
      <c r="G1" s="118"/>
      <c r="H1" s="543"/>
    </row>
    <row r="2" spans="1:8" ht="15.75" x14ac:dyDescent="0.25">
      <c r="A2" s="544" t="s">
        <v>231</v>
      </c>
      <c r="B2" s="545" t="s">
        <v>348</v>
      </c>
      <c r="C2" s="118"/>
      <c r="D2" s="118"/>
      <c r="E2" s="118"/>
      <c r="F2" s="118"/>
      <c r="G2" s="118"/>
      <c r="H2" s="543"/>
    </row>
    <row r="3" spans="1:8" ht="15.75" x14ac:dyDescent="0.25">
      <c r="A3" s="118" t="s">
        <v>351</v>
      </c>
      <c r="B3" s="118"/>
      <c r="C3" s="118"/>
      <c r="D3" s="546"/>
      <c r="E3" s="546"/>
      <c r="F3" s="118"/>
      <c r="G3" s="118"/>
      <c r="H3" s="543"/>
    </row>
    <row r="4" spans="1:8" ht="15.75" x14ac:dyDescent="0.25">
      <c r="A4" s="106"/>
      <c r="B4" s="106"/>
      <c r="C4" s="106">
        <v>20</v>
      </c>
      <c r="D4" s="560"/>
      <c r="E4" s="560"/>
      <c r="F4" s="560"/>
      <c r="G4" s="560"/>
      <c r="H4" s="543"/>
    </row>
    <row r="5" spans="1:8" ht="15.75" x14ac:dyDescent="0.25">
      <c r="A5" s="121" t="s">
        <v>349</v>
      </c>
      <c r="B5" s="547" t="s">
        <v>59</v>
      </c>
      <c r="C5" s="547"/>
      <c r="D5" s="561"/>
      <c r="E5" s="561"/>
      <c r="F5" s="562"/>
      <c r="G5" s="562"/>
      <c r="H5" s="543"/>
    </row>
    <row r="6" spans="1:8" ht="15.75" x14ac:dyDescent="0.25">
      <c r="A6" s="550"/>
      <c r="B6" s="550"/>
      <c r="C6" s="550">
        <v>0.1192</v>
      </c>
      <c r="D6" s="563"/>
      <c r="E6" s="563"/>
      <c r="F6" s="563"/>
      <c r="G6" s="563"/>
      <c r="H6" s="543"/>
    </row>
    <row r="7" spans="1:8" ht="15.75" x14ac:dyDescent="0.25">
      <c r="A7" s="551"/>
      <c r="B7" s="551" t="s">
        <v>60</v>
      </c>
      <c r="C7" s="552">
        <f>ROUND(C5*C6,2)</f>
        <v>0</v>
      </c>
      <c r="D7" s="564"/>
      <c r="E7" s="564"/>
      <c r="F7" s="564"/>
      <c r="G7" s="564"/>
      <c r="H7" s="543"/>
    </row>
    <row r="8" spans="1:8" ht="15.75" x14ac:dyDescent="0.25">
      <c r="A8" s="121" t="s">
        <v>58</v>
      </c>
      <c r="B8" s="547" t="s">
        <v>59</v>
      </c>
      <c r="C8" s="548"/>
      <c r="D8" s="562"/>
      <c r="E8" s="562"/>
      <c r="F8" s="562"/>
      <c r="G8" s="562"/>
      <c r="H8" s="543"/>
    </row>
    <row r="9" spans="1:8" ht="15.75" x14ac:dyDescent="0.25">
      <c r="A9" s="106"/>
      <c r="B9" s="553"/>
      <c r="C9" s="554">
        <v>0.1192</v>
      </c>
      <c r="D9" s="565"/>
      <c r="E9" s="565"/>
      <c r="F9" s="565"/>
      <c r="G9" s="565"/>
      <c r="H9" s="543"/>
    </row>
    <row r="10" spans="1:8" ht="15.75" x14ac:dyDescent="0.25">
      <c r="A10" s="552"/>
      <c r="B10" s="552" t="s">
        <v>60</v>
      </c>
      <c r="C10" s="552">
        <f>ROUND(C8*C9,2)</f>
        <v>0</v>
      </c>
      <c r="D10" s="564"/>
      <c r="E10" s="564"/>
      <c r="F10" s="564"/>
      <c r="G10" s="564"/>
      <c r="H10" s="543"/>
    </row>
    <row r="11" spans="1:8" ht="15.75" x14ac:dyDescent="0.25">
      <c r="A11" s="121" t="s">
        <v>347</v>
      </c>
      <c r="B11" s="547" t="s">
        <v>59</v>
      </c>
      <c r="C11" s="547">
        <v>395</v>
      </c>
      <c r="D11" s="561"/>
      <c r="E11" s="561"/>
      <c r="F11" s="561"/>
      <c r="G11" s="562"/>
      <c r="H11" s="543"/>
    </row>
    <row r="12" spans="1:8" ht="15.75" x14ac:dyDescent="0.25">
      <c r="A12" s="555"/>
      <c r="B12" s="556"/>
      <c r="C12" s="554">
        <v>0.1192</v>
      </c>
      <c r="D12" s="565"/>
      <c r="E12" s="565"/>
      <c r="F12" s="565"/>
      <c r="G12" s="565"/>
      <c r="H12" s="543"/>
    </row>
    <row r="13" spans="1:8" ht="15.75" x14ac:dyDescent="0.25">
      <c r="A13" s="552"/>
      <c r="B13" s="552" t="s">
        <v>60</v>
      </c>
      <c r="C13" s="552">
        <f>ROUND(C11*C12,2)</f>
        <v>47.08</v>
      </c>
      <c r="D13" s="564"/>
      <c r="E13" s="564"/>
      <c r="F13" s="564"/>
      <c r="G13" s="564"/>
      <c r="H13" s="543"/>
    </row>
    <row r="14" spans="1:8" ht="15.75" x14ac:dyDescent="0.25">
      <c r="A14" s="121" t="s">
        <v>56</v>
      </c>
      <c r="B14" s="547" t="s">
        <v>59</v>
      </c>
      <c r="C14" s="549">
        <f>C5+C8+C11</f>
        <v>395</v>
      </c>
      <c r="D14" s="562"/>
      <c r="E14" s="561"/>
      <c r="F14" s="562"/>
      <c r="G14" s="562"/>
      <c r="H14" s="543"/>
    </row>
    <row r="15" spans="1:8" ht="15.75" x14ac:dyDescent="0.25">
      <c r="A15" s="557"/>
      <c r="B15" s="558" t="s">
        <v>60</v>
      </c>
      <c r="C15" s="559">
        <f>C7+C10+C13</f>
        <v>47.08</v>
      </c>
      <c r="D15" s="543"/>
      <c r="E15" s="543"/>
      <c r="F15" s="543"/>
      <c r="G15" s="543"/>
      <c r="H15" s="543"/>
    </row>
    <row r="17" spans="1:9" ht="15.75" x14ac:dyDescent="0.25">
      <c r="A17" s="118" t="s">
        <v>352</v>
      </c>
      <c r="B17" s="118"/>
      <c r="C17" s="118"/>
      <c r="D17" s="118"/>
      <c r="E17" s="118"/>
      <c r="F17" s="118"/>
      <c r="G17" s="118"/>
      <c r="H17" s="543"/>
      <c r="I17" s="116"/>
    </row>
    <row r="18" spans="1:9" ht="15.75" x14ac:dyDescent="0.25">
      <c r="A18" s="544" t="s">
        <v>231</v>
      </c>
      <c r="B18" s="545" t="s">
        <v>348</v>
      </c>
      <c r="C18" s="118"/>
      <c r="D18" s="118"/>
      <c r="E18" s="118"/>
      <c r="F18" s="118"/>
      <c r="G18" s="118"/>
      <c r="H18" s="543"/>
      <c r="I18" s="116"/>
    </row>
    <row r="19" spans="1:9" ht="15.75" x14ac:dyDescent="0.25">
      <c r="A19" s="118" t="s">
        <v>351</v>
      </c>
      <c r="B19" s="118"/>
      <c r="C19" s="118"/>
      <c r="D19" s="546"/>
      <c r="E19" s="546"/>
      <c r="F19" s="118"/>
      <c r="G19" s="118"/>
      <c r="H19" s="543"/>
      <c r="I19" s="116"/>
    </row>
    <row r="20" spans="1:9" ht="15.75" x14ac:dyDescent="0.25">
      <c r="A20" s="106"/>
      <c r="B20" s="106"/>
      <c r="C20" s="106">
        <v>20</v>
      </c>
      <c r="D20" s="560"/>
      <c r="E20" s="560"/>
      <c r="F20" s="560"/>
      <c r="G20" s="560"/>
      <c r="H20" s="543"/>
      <c r="I20" s="116"/>
    </row>
    <row r="21" spans="1:9" ht="15.75" x14ac:dyDescent="0.25">
      <c r="A21" s="121" t="s">
        <v>349</v>
      </c>
      <c r="B21" s="547" t="s">
        <v>59</v>
      </c>
      <c r="C21" s="547">
        <f>19+19</f>
        <v>38</v>
      </c>
      <c r="D21" s="561"/>
      <c r="E21" s="561"/>
      <c r="F21" s="562"/>
      <c r="G21" s="562"/>
      <c r="H21" s="543"/>
      <c r="I21" s="116"/>
    </row>
    <row r="22" spans="1:9" ht="15.75" x14ac:dyDescent="0.25">
      <c r="A22" s="550"/>
      <c r="B22" s="550"/>
      <c r="C22" s="550">
        <v>0.1192</v>
      </c>
      <c r="D22" s="563"/>
      <c r="E22" s="563"/>
      <c r="F22" s="563"/>
      <c r="G22" s="563"/>
      <c r="H22" s="543"/>
      <c r="I22" s="116"/>
    </row>
    <row r="23" spans="1:9" ht="15.75" x14ac:dyDescent="0.25">
      <c r="A23" s="551"/>
      <c r="B23" s="551" t="s">
        <v>60</v>
      </c>
      <c r="C23" s="552">
        <f>ROUND(C21*C22,2)</f>
        <v>4.53</v>
      </c>
      <c r="D23" s="564"/>
      <c r="E23" s="564"/>
      <c r="F23" s="564"/>
      <c r="G23" s="564"/>
      <c r="H23" s="543"/>
      <c r="I23" s="116"/>
    </row>
    <row r="24" spans="1:9" ht="15.75" x14ac:dyDescent="0.25">
      <c r="A24" s="121" t="s">
        <v>58</v>
      </c>
      <c r="B24" s="547" t="s">
        <v>59</v>
      </c>
      <c r="C24" s="548">
        <f>666-19</f>
        <v>647</v>
      </c>
      <c r="D24" s="562"/>
      <c r="E24" s="562"/>
      <c r="F24" s="562"/>
      <c r="G24" s="562"/>
      <c r="H24" s="543"/>
      <c r="I24" s="116"/>
    </row>
    <row r="25" spans="1:9" ht="15.75" x14ac:dyDescent="0.25">
      <c r="A25" s="106"/>
      <c r="B25" s="553"/>
      <c r="C25" s="554">
        <v>0.1192</v>
      </c>
      <c r="D25" s="565"/>
      <c r="E25" s="565"/>
      <c r="F25" s="565"/>
      <c r="G25" s="565"/>
      <c r="H25" s="543"/>
      <c r="I25" s="116"/>
    </row>
    <row r="26" spans="1:9" ht="15.75" x14ac:dyDescent="0.25">
      <c r="A26" s="552"/>
      <c r="B26" s="552" t="s">
        <v>60</v>
      </c>
      <c r="C26" s="552">
        <f>ROUND(C24*C25,2)</f>
        <v>77.12</v>
      </c>
      <c r="D26" s="564"/>
      <c r="E26" s="564"/>
      <c r="F26" s="564"/>
      <c r="G26" s="564"/>
      <c r="H26" s="543"/>
      <c r="I26" s="116"/>
    </row>
    <row r="27" spans="1:9" ht="15.75" x14ac:dyDescent="0.25">
      <c r="A27" s="121" t="s">
        <v>347</v>
      </c>
      <c r="B27" s="547" t="s">
        <v>59</v>
      </c>
      <c r="C27" s="547">
        <v>829</v>
      </c>
      <c r="D27" s="561"/>
      <c r="E27" s="561"/>
      <c r="F27" s="561"/>
      <c r="G27" s="562"/>
      <c r="H27" s="543"/>
      <c r="I27" s="116"/>
    </row>
    <row r="28" spans="1:9" ht="15.75" x14ac:dyDescent="0.25">
      <c r="A28" s="555"/>
      <c r="B28" s="556"/>
      <c r="C28" s="554">
        <v>0.1192</v>
      </c>
      <c r="D28" s="565"/>
      <c r="E28" s="565"/>
      <c r="F28" s="565"/>
      <c r="G28" s="565"/>
      <c r="H28" s="543"/>
      <c r="I28" s="116"/>
    </row>
    <row r="29" spans="1:9" ht="15.75" x14ac:dyDescent="0.25">
      <c r="A29" s="552"/>
      <c r="B29" s="552" t="s">
        <v>60</v>
      </c>
      <c r="C29" s="552">
        <f>ROUND(C27*C28,2)</f>
        <v>98.82</v>
      </c>
      <c r="D29" s="564"/>
      <c r="E29" s="564"/>
      <c r="F29" s="564"/>
      <c r="G29" s="564"/>
      <c r="H29" s="543"/>
      <c r="I29" s="116"/>
    </row>
    <row r="30" spans="1:9" ht="15.75" x14ac:dyDescent="0.25">
      <c r="A30" s="121" t="s">
        <v>56</v>
      </c>
      <c r="B30" s="547" t="s">
        <v>59</v>
      </c>
      <c r="C30" s="549">
        <f>C21+C24+C27</f>
        <v>1514</v>
      </c>
      <c r="D30" s="562"/>
      <c r="E30" s="561"/>
      <c r="F30" s="562"/>
      <c r="G30" s="562"/>
      <c r="H30" s="543"/>
      <c r="I30" s="116"/>
    </row>
    <row r="31" spans="1:9" ht="15.75" x14ac:dyDescent="0.25">
      <c r="A31" s="557"/>
      <c r="B31" s="558" t="s">
        <v>60</v>
      </c>
      <c r="C31" s="559">
        <f>C23+C26+C29</f>
        <v>180.47</v>
      </c>
      <c r="D31" s="543"/>
      <c r="E31" s="543"/>
      <c r="F31" s="543"/>
      <c r="G31" s="543"/>
      <c r="H31" s="543"/>
      <c r="I31" s="116"/>
    </row>
    <row r="32" spans="1:9" x14ac:dyDescent="0.25">
      <c r="A32" s="116"/>
      <c r="B32" s="116"/>
      <c r="C32" s="116"/>
      <c r="D32" s="116"/>
      <c r="E32" s="116"/>
      <c r="F32" s="116"/>
      <c r="G32" s="116"/>
      <c r="H32" s="116"/>
      <c r="I32" s="116"/>
    </row>
    <row r="33" spans="1:9" ht="15.75" x14ac:dyDescent="0.25">
      <c r="A33" s="118" t="s">
        <v>353</v>
      </c>
      <c r="B33" s="118"/>
      <c r="C33" s="118"/>
      <c r="D33" s="118"/>
      <c r="E33" s="118"/>
      <c r="F33" s="118"/>
      <c r="G33" s="118"/>
      <c r="H33" s="543"/>
      <c r="I33" s="116"/>
    </row>
    <row r="34" spans="1:9" ht="15.75" x14ac:dyDescent="0.25">
      <c r="A34" s="544" t="s">
        <v>231</v>
      </c>
      <c r="B34" s="545" t="s">
        <v>348</v>
      </c>
      <c r="C34" s="118"/>
      <c r="D34" s="118"/>
      <c r="E34" s="118"/>
      <c r="F34" s="118"/>
      <c r="G34" s="118"/>
      <c r="H34" s="543"/>
      <c r="I34" s="116"/>
    </row>
    <row r="35" spans="1:9" ht="15.75" x14ac:dyDescent="0.25">
      <c r="A35" s="118" t="s">
        <v>351</v>
      </c>
      <c r="B35" s="118"/>
      <c r="C35" s="118"/>
      <c r="D35" s="546"/>
      <c r="E35" s="546"/>
      <c r="F35" s="118"/>
      <c r="G35" s="118"/>
      <c r="H35" s="543"/>
      <c r="I35" s="116"/>
    </row>
    <row r="36" spans="1:9" ht="15.75" x14ac:dyDescent="0.25">
      <c r="A36" s="106"/>
      <c r="B36" s="106"/>
      <c r="C36" s="106">
        <v>20</v>
      </c>
      <c r="D36" s="560"/>
      <c r="E36" s="560"/>
      <c r="F36" s="560"/>
      <c r="G36" s="560"/>
      <c r="H36" s="543"/>
      <c r="I36" s="116"/>
    </row>
    <row r="37" spans="1:9" ht="15.75" x14ac:dyDescent="0.25">
      <c r="A37" s="121" t="s">
        <v>349</v>
      </c>
      <c r="B37" s="547" t="s">
        <v>59</v>
      </c>
      <c r="C37" s="547">
        <v>19</v>
      </c>
      <c r="D37" s="561"/>
      <c r="E37" s="561"/>
      <c r="F37" s="562"/>
      <c r="G37" s="562"/>
      <c r="H37" s="543"/>
      <c r="I37" s="116"/>
    </row>
    <row r="38" spans="1:9" ht="15.75" x14ac:dyDescent="0.25">
      <c r="A38" s="550"/>
      <c r="B38" s="550"/>
      <c r="C38" s="550">
        <v>0.1192</v>
      </c>
      <c r="D38" s="563"/>
      <c r="E38" s="563"/>
      <c r="F38" s="563"/>
      <c r="G38" s="563"/>
      <c r="H38" s="543"/>
      <c r="I38" s="116"/>
    </row>
    <row r="39" spans="1:9" ht="15.75" x14ac:dyDescent="0.25">
      <c r="A39" s="551"/>
      <c r="B39" s="551" t="s">
        <v>60</v>
      </c>
      <c r="C39" s="552">
        <f>ROUND(C37*C38,2)</f>
        <v>2.2599999999999998</v>
      </c>
      <c r="D39" s="564"/>
      <c r="E39" s="564"/>
      <c r="F39" s="564"/>
      <c r="G39" s="564"/>
      <c r="H39" s="543"/>
      <c r="I39" s="116"/>
    </row>
    <row r="40" spans="1:9" ht="15.75" x14ac:dyDescent="0.25">
      <c r="A40" s="121" t="s">
        <v>58</v>
      </c>
      <c r="B40" s="547" t="s">
        <v>59</v>
      </c>
      <c r="C40" s="548">
        <v>126</v>
      </c>
      <c r="D40" s="562"/>
      <c r="E40" s="562"/>
      <c r="F40" s="562"/>
      <c r="G40" s="562"/>
      <c r="H40" s="543"/>
      <c r="I40" s="116"/>
    </row>
    <row r="41" spans="1:9" ht="15.75" x14ac:dyDescent="0.25">
      <c r="A41" s="106"/>
      <c r="B41" s="553"/>
      <c r="C41" s="554">
        <v>0.1192</v>
      </c>
      <c r="D41" s="565"/>
      <c r="E41" s="565"/>
      <c r="F41" s="565"/>
      <c r="G41" s="565"/>
      <c r="H41" s="543"/>
      <c r="I41" s="116"/>
    </row>
    <row r="42" spans="1:9" ht="15.75" x14ac:dyDescent="0.25">
      <c r="A42" s="552"/>
      <c r="B42" s="552" t="s">
        <v>60</v>
      </c>
      <c r="C42" s="552">
        <f>ROUND(C40*C41,2)</f>
        <v>15.02</v>
      </c>
      <c r="D42" s="564"/>
      <c r="E42" s="564"/>
      <c r="F42" s="564"/>
      <c r="G42" s="564"/>
      <c r="H42" s="543"/>
      <c r="I42" s="116"/>
    </row>
    <row r="43" spans="1:9" ht="15.75" x14ac:dyDescent="0.25">
      <c r="A43" s="121" t="s">
        <v>347</v>
      </c>
      <c r="B43" s="547" t="s">
        <v>59</v>
      </c>
      <c r="C43" s="547">
        <v>264</v>
      </c>
      <c r="D43" s="561"/>
      <c r="E43" s="561"/>
      <c r="F43" s="561"/>
      <c r="G43" s="562"/>
      <c r="H43" s="543"/>
      <c r="I43" s="116"/>
    </row>
    <row r="44" spans="1:9" ht="15.75" x14ac:dyDescent="0.25">
      <c r="A44" s="555"/>
      <c r="B44" s="556"/>
      <c r="C44" s="554">
        <v>0.1192</v>
      </c>
      <c r="D44" s="565"/>
      <c r="E44" s="565"/>
      <c r="F44" s="565"/>
      <c r="G44" s="565"/>
      <c r="H44" s="543"/>
      <c r="I44" s="116"/>
    </row>
    <row r="45" spans="1:9" ht="15.75" x14ac:dyDescent="0.25">
      <c r="A45" s="552"/>
      <c r="B45" s="552" t="s">
        <v>60</v>
      </c>
      <c r="C45" s="552">
        <f>ROUND(C43*C44,2)</f>
        <v>31.47</v>
      </c>
      <c r="D45" s="564"/>
      <c r="E45" s="564"/>
      <c r="F45" s="564"/>
      <c r="G45" s="564"/>
      <c r="H45" s="543"/>
      <c r="I45" s="116"/>
    </row>
    <row r="46" spans="1:9" ht="15.75" x14ac:dyDescent="0.25">
      <c r="A46" s="121" t="s">
        <v>56</v>
      </c>
      <c r="B46" s="547" t="s">
        <v>59</v>
      </c>
      <c r="C46" s="549">
        <f>C37+C40+C43</f>
        <v>409</v>
      </c>
      <c r="D46" s="562"/>
      <c r="E46" s="561"/>
      <c r="F46" s="562"/>
      <c r="G46" s="562"/>
      <c r="H46" s="543"/>
      <c r="I46" s="116"/>
    </row>
    <row r="47" spans="1:9" ht="15.75" x14ac:dyDescent="0.25">
      <c r="A47" s="557"/>
      <c r="B47" s="558" t="s">
        <v>60</v>
      </c>
      <c r="C47" s="559">
        <f>C39+C42+C45</f>
        <v>48.75</v>
      </c>
      <c r="D47" s="543"/>
      <c r="E47" s="543"/>
      <c r="F47" s="543"/>
      <c r="G47" s="543"/>
      <c r="H47" s="543"/>
      <c r="I47" s="116"/>
    </row>
    <row r="48" spans="1:9" x14ac:dyDescent="0.25">
      <c r="A48" s="116"/>
      <c r="B48" s="116"/>
      <c r="C48" s="116"/>
      <c r="D48" s="116"/>
      <c r="E48" s="116"/>
      <c r="F48" s="116"/>
      <c r="G48" s="116"/>
      <c r="H48" s="116"/>
      <c r="I48" s="116"/>
    </row>
    <row r="49" spans="1:9" ht="15.75" x14ac:dyDescent="0.25">
      <c r="A49" s="118" t="s">
        <v>354</v>
      </c>
      <c r="B49" s="118"/>
      <c r="C49" s="118"/>
      <c r="D49" s="118"/>
      <c r="E49" s="118"/>
      <c r="F49" s="118"/>
      <c r="G49" s="118"/>
      <c r="H49" s="543"/>
      <c r="I49" s="116"/>
    </row>
    <row r="50" spans="1:9" ht="15.75" x14ac:dyDescent="0.25">
      <c r="A50" s="544" t="s">
        <v>231</v>
      </c>
      <c r="B50" s="545" t="s">
        <v>348</v>
      </c>
      <c r="C50" s="118"/>
      <c r="D50" s="118"/>
      <c r="E50" s="118"/>
      <c r="F50" s="118"/>
      <c r="G50" s="118"/>
      <c r="H50" s="543"/>
      <c r="I50" s="116"/>
    </row>
    <row r="51" spans="1:9" ht="15.75" x14ac:dyDescent="0.25">
      <c r="A51" s="118" t="s">
        <v>351</v>
      </c>
      <c r="B51" s="118"/>
      <c r="C51" s="118"/>
      <c r="D51" s="546"/>
      <c r="E51" s="546"/>
      <c r="F51" s="118"/>
      <c r="G51" s="118"/>
      <c r="H51" s="543"/>
      <c r="I51" s="116"/>
    </row>
    <row r="52" spans="1:9" ht="15.75" x14ac:dyDescent="0.25">
      <c r="A52" s="106"/>
      <c r="B52" s="106"/>
      <c r="C52" s="106">
        <v>20</v>
      </c>
      <c r="D52" s="560"/>
      <c r="E52" s="560"/>
      <c r="F52" s="560"/>
      <c r="G52" s="560"/>
      <c r="H52" s="543"/>
      <c r="I52" s="116"/>
    </row>
    <row r="53" spans="1:9" ht="15.75" x14ac:dyDescent="0.25">
      <c r="A53" s="121" t="s">
        <v>349</v>
      </c>
      <c r="B53" s="547" t="s">
        <v>59</v>
      </c>
      <c r="C53" s="547">
        <v>19</v>
      </c>
      <c r="D53" s="561"/>
      <c r="E53" s="561"/>
      <c r="F53" s="562"/>
      <c r="G53" s="562"/>
      <c r="H53" s="543"/>
      <c r="I53" s="116"/>
    </row>
    <row r="54" spans="1:9" ht="15.75" x14ac:dyDescent="0.25">
      <c r="A54" s="550"/>
      <c r="B54" s="550"/>
      <c r="C54" s="550">
        <v>0.1192</v>
      </c>
      <c r="D54" s="563"/>
      <c r="E54" s="563"/>
      <c r="F54" s="563"/>
      <c r="G54" s="563"/>
      <c r="H54" s="543"/>
      <c r="I54" s="116"/>
    </row>
    <row r="55" spans="1:9" ht="15.75" x14ac:dyDescent="0.25">
      <c r="A55" s="551"/>
      <c r="B55" s="551" t="s">
        <v>60</v>
      </c>
      <c r="C55" s="552">
        <f>C53*C54</f>
        <v>2.2648000000000001</v>
      </c>
      <c r="D55" s="564"/>
      <c r="E55" s="564"/>
      <c r="F55" s="564"/>
      <c r="G55" s="564"/>
      <c r="H55" s="543"/>
      <c r="I55" s="116"/>
    </row>
    <row r="56" spans="1:9" ht="15.75" x14ac:dyDescent="0.25">
      <c r="A56" s="121" t="s">
        <v>58</v>
      </c>
      <c r="B56" s="547" t="s">
        <v>59</v>
      </c>
      <c r="C56" s="548">
        <v>278</v>
      </c>
      <c r="D56" s="562"/>
      <c r="E56" s="562"/>
      <c r="F56" s="562"/>
      <c r="G56" s="562"/>
      <c r="H56" s="543"/>
      <c r="I56" s="116"/>
    </row>
    <row r="57" spans="1:9" ht="15.75" x14ac:dyDescent="0.25">
      <c r="A57" s="106"/>
      <c r="B57" s="553"/>
      <c r="C57" s="554">
        <v>0.1192</v>
      </c>
      <c r="D57" s="565"/>
      <c r="E57" s="565"/>
      <c r="F57" s="565"/>
      <c r="G57" s="565"/>
      <c r="H57" s="543"/>
      <c r="I57" s="116"/>
    </row>
    <row r="58" spans="1:9" ht="15.75" x14ac:dyDescent="0.25">
      <c r="A58" s="552"/>
      <c r="B58" s="552" t="s">
        <v>60</v>
      </c>
      <c r="C58" s="552">
        <f>ROUND(C56*C57,2)</f>
        <v>33.14</v>
      </c>
      <c r="D58" s="564"/>
      <c r="E58" s="564"/>
      <c r="F58" s="564"/>
      <c r="G58" s="564"/>
      <c r="H58" s="543"/>
      <c r="I58" s="116"/>
    </row>
    <row r="59" spans="1:9" ht="15.75" x14ac:dyDescent="0.25">
      <c r="A59" s="121" t="s">
        <v>347</v>
      </c>
      <c r="B59" s="547" t="s">
        <v>59</v>
      </c>
      <c r="C59" s="547">
        <v>363</v>
      </c>
      <c r="D59" s="561"/>
      <c r="E59" s="561"/>
      <c r="F59" s="561"/>
      <c r="G59" s="562"/>
      <c r="H59" s="543"/>
      <c r="I59" s="116"/>
    </row>
    <row r="60" spans="1:9" ht="15.75" x14ac:dyDescent="0.25">
      <c r="A60" s="555"/>
      <c r="B60" s="556"/>
      <c r="C60" s="554">
        <v>0.1192</v>
      </c>
      <c r="D60" s="565"/>
      <c r="E60" s="565"/>
      <c r="F60" s="565"/>
      <c r="G60" s="565"/>
      <c r="H60" s="543"/>
      <c r="I60" s="116"/>
    </row>
    <row r="61" spans="1:9" ht="15.75" x14ac:dyDescent="0.25">
      <c r="A61" s="552"/>
      <c r="B61" s="552" t="s">
        <v>60</v>
      </c>
      <c r="C61" s="552">
        <f>ROUND(C59*C60,2)</f>
        <v>43.27</v>
      </c>
      <c r="D61" s="564"/>
      <c r="E61" s="564"/>
      <c r="F61" s="564"/>
      <c r="G61" s="564"/>
      <c r="H61" s="543"/>
      <c r="I61" s="116"/>
    </row>
    <row r="62" spans="1:9" ht="15.75" x14ac:dyDescent="0.25">
      <c r="A62" s="121" t="s">
        <v>56</v>
      </c>
      <c r="B62" s="547" t="s">
        <v>59</v>
      </c>
      <c r="C62" s="549">
        <f>C53+C56+C59</f>
        <v>660</v>
      </c>
      <c r="D62" s="562"/>
      <c r="E62" s="561"/>
      <c r="F62" s="562"/>
      <c r="G62" s="562"/>
      <c r="H62" s="543"/>
      <c r="I62" s="116"/>
    </row>
    <row r="63" spans="1:9" ht="15.75" x14ac:dyDescent="0.25">
      <c r="A63" s="557"/>
      <c r="B63" s="558" t="s">
        <v>60</v>
      </c>
      <c r="C63" s="559">
        <f>C55+C58+C61</f>
        <v>78.674800000000005</v>
      </c>
      <c r="D63" s="543"/>
      <c r="E63" s="543"/>
      <c r="F63" s="543"/>
      <c r="G63" s="543"/>
      <c r="H63" s="543"/>
      <c r="I63" s="116"/>
    </row>
    <row r="64" spans="1:9" x14ac:dyDescent="0.25">
      <c r="A64" s="116"/>
      <c r="B64" s="116"/>
      <c r="C64" s="116"/>
      <c r="D64" s="116"/>
      <c r="E64" s="116"/>
      <c r="F64" s="116"/>
      <c r="G64" s="116"/>
      <c r="H64" s="116"/>
      <c r="I64" s="116"/>
    </row>
    <row r="65" spans="1:9" ht="15.75" x14ac:dyDescent="0.25">
      <c r="A65" s="118" t="s">
        <v>355</v>
      </c>
      <c r="B65" s="118"/>
      <c r="C65" s="118"/>
      <c r="D65" s="118"/>
      <c r="E65" s="118"/>
      <c r="F65" s="118"/>
      <c r="G65" s="118"/>
      <c r="H65" s="543"/>
      <c r="I65" s="116"/>
    </row>
    <row r="66" spans="1:9" ht="15.75" x14ac:dyDescent="0.25">
      <c r="A66" s="544" t="s">
        <v>231</v>
      </c>
      <c r="B66" s="545" t="s">
        <v>348</v>
      </c>
      <c r="C66" s="118"/>
      <c r="D66" s="118"/>
      <c r="E66" s="118"/>
      <c r="F66" s="118"/>
      <c r="G66" s="118"/>
      <c r="H66" s="543"/>
      <c r="I66" s="116"/>
    </row>
    <row r="67" spans="1:9" ht="15.75" x14ac:dyDescent="0.25">
      <c r="A67" s="118" t="s">
        <v>351</v>
      </c>
      <c r="B67" s="118"/>
      <c r="C67" s="118"/>
      <c r="D67" s="546"/>
      <c r="E67" s="546"/>
      <c r="F67" s="118"/>
      <c r="G67" s="118"/>
      <c r="H67" s="543"/>
      <c r="I67" s="116"/>
    </row>
    <row r="68" spans="1:9" ht="15.75" x14ac:dyDescent="0.25">
      <c r="A68" s="106"/>
      <c r="B68" s="106"/>
      <c r="C68" s="106">
        <v>20</v>
      </c>
      <c r="D68" s="560"/>
      <c r="E68" s="560"/>
      <c r="F68" s="560"/>
      <c r="G68" s="560"/>
      <c r="H68" s="543"/>
      <c r="I68" s="116"/>
    </row>
    <row r="69" spans="1:9" ht="15.75" x14ac:dyDescent="0.25">
      <c r="A69" s="121" t="s">
        <v>349</v>
      </c>
      <c r="B69" s="547" t="s">
        <v>59</v>
      </c>
      <c r="C69" s="547">
        <v>19</v>
      </c>
      <c r="D69" s="561"/>
      <c r="E69" s="561"/>
      <c r="F69" s="562"/>
      <c r="G69" s="562"/>
      <c r="H69" s="543"/>
      <c r="I69" s="116"/>
    </row>
    <row r="70" spans="1:9" ht="15.75" x14ac:dyDescent="0.25">
      <c r="A70" s="550"/>
      <c r="B70" s="550"/>
      <c r="C70" s="550">
        <v>0.1192</v>
      </c>
      <c r="D70" s="563"/>
      <c r="E70" s="563"/>
      <c r="F70" s="563"/>
      <c r="G70" s="563"/>
      <c r="H70" s="543"/>
      <c r="I70" s="116"/>
    </row>
    <row r="71" spans="1:9" ht="15.75" x14ac:dyDescent="0.25">
      <c r="A71" s="551"/>
      <c r="B71" s="551" t="s">
        <v>60</v>
      </c>
      <c r="C71" s="552">
        <f>C69*C70</f>
        <v>2.2648000000000001</v>
      </c>
      <c r="D71" s="564"/>
      <c r="E71" s="564"/>
      <c r="F71" s="564"/>
      <c r="G71" s="564"/>
      <c r="H71" s="543"/>
      <c r="I71" s="116"/>
    </row>
    <row r="72" spans="1:9" ht="15.75" x14ac:dyDescent="0.25">
      <c r="A72" s="121" t="s">
        <v>58</v>
      </c>
      <c r="B72" s="547" t="s">
        <v>59</v>
      </c>
      <c r="C72" s="548">
        <v>331</v>
      </c>
      <c r="D72" s="562"/>
      <c r="E72" s="562"/>
      <c r="F72" s="562"/>
      <c r="G72" s="562"/>
      <c r="H72" s="543"/>
      <c r="I72" s="116"/>
    </row>
    <row r="73" spans="1:9" ht="15.75" x14ac:dyDescent="0.25">
      <c r="A73" s="106"/>
      <c r="B73" s="553"/>
      <c r="C73" s="554">
        <v>0.1192</v>
      </c>
      <c r="D73" s="565"/>
      <c r="E73" s="565"/>
      <c r="F73" s="565"/>
      <c r="G73" s="565"/>
      <c r="H73" s="543"/>
      <c r="I73" s="116"/>
    </row>
    <row r="74" spans="1:9" ht="15.75" x14ac:dyDescent="0.25">
      <c r="A74" s="552"/>
      <c r="B74" s="552" t="s">
        <v>60</v>
      </c>
      <c r="C74" s="552">
        <f>ROUND(C72*C73,2)</f>
        <v>39.46</v>
      </c>
      <c r="D74" s="564"/>
      <c r="E74" s="564"/>
      <c r="F74" s="564"/>
      <c r="G74" s="564"/>
      <c r="H74" s="543"/>
      <c r="I74" s="116"/>
    </row>
    <row r="75" spans="1:9" ht="15.75" x14ac:dyDescent="0.25">
      <c r="A75" s="121" t="s">
        <v>347</v>
      </c>
      <c r="B75" s="547" t="s">
        <v>59</v>
      </c>
      <c r="C75" s="547">
        <v>417</v>
      </c>
      <c r="D75" s="561"/>
      <c r="E75" s="561"/>
      <c r="F75" s="561"/>
      <c r="G75" s="562"/>
      <c r="H75" s="543"/>
      <c r="I75" s="116"/>
    </row>
    <row r="76" spans="1:9" ht="15.75" x14ac:dyDescent="0.25">
      <c r="A76" s="555"/>
      <c r="B76" s="556"/>
      <c r="C76" s="554">
        <v>0.1192</v>
      </c>
      <c r="D76" s="565"/>
      <c r="E76" s="565"/>
      <c r="F76" s="565"/>
      <c r="G76" s="565"/>
      <c r="H76" s="543"/>
      <c r="I76" s="116"/>
    </row>
    <row r="77" spans="1:9" ht="15.75" x14ac:dyDescent="0.25">
      <c r="A77" s="552"/>
      <c r="B77" s="552" t="s">
        <v>60</v>
      </c>
      <c r="C77" s="552">
        <f>ROUND(C75*C76,2)</f>
        <v>49.71</v>
      </c>
      <c r="D77" s="564"/>
      <c r="E77" s="564"/>
      <c r="F77" s="564"/>
      <c r="G77" s="564"/>
      <c r="H77" s="543"/>
      <c r="I77" s="116"/>
    </row>
    <row r="78" spans="1:9" ht="15.75" x14ac:dyDescent="0.25">
      <c r="A78" s="121" t="s">
        <v>56</v>
      </c>
      <c r="B78" s="547" t="s">
        <v>59</v>
      </c>
      <c r="C78" s="549">
        <f>C69+C72+C75</f>
        <v>767</v>
      </c>
      <c r="D78" s="562"/>
      <c r="E78" s="561"/>
      <c r="F78" s="562"/>
      <c r="G78" s="562"/>
      <c r="H78" s="543"/>
      <c r="I78" s="116"/>
    </row>
    <row r="79" spans="1:9" ht="15.75" x14ac:dyDescent="0.25">
      <c r="A79" s="557"/>
      <c r="B79" s="558" t="s">
        <v>60</v>
      </c>
      <c r="C79" s="559">
        <f>C71+C74+C77</f>
        <v>91.434799999999996</v>
      </c>
      <c r="D79" s="543"/>
      <c r="E79" s="543"/>
      <c r="F79" s="543"/>
      <c r="G79" s="543"/>
      <c r="H79" s="543"/>
      <c r="I79" s="116"/>
    </row>
    <row r="81" spans="1:9" ht="15.75" x14ac:dyDescent="0.25">
      <c r="A81" s="118" t="s">
        <v>356</v>
      </c>
      <c r="B81" s="118"/>
      <c r="C81" s="118"/>
      <c r="D81" s="118"/>
      <c r="E81" s="118"/>
      <c r="F81" s="118"/>
      <c r="G81" s="118"/>
      <c r="H81" s="543"/>
      <c r="I81" s="116"/>
    </row>
    <row r="82" spans="1:9" ht="15.75" x14ac:dyDescent="0.25">
      <c r="A82" s="544" t="s">
        <v>231</v>
      </c>
      <c r="B82" s="545" t="s">
        <v>348</v>
      </c>
      <c r="C82" s="118"/>
      <c r="D82" s="118"/>
      <c r="E82" s="118"/>
      <c r="F82" s="118"/>
      <c r="G82" s="118"/>
      <c r="H82" s="543"/>
      <c r="I82" s="116"/>
    </row>
    <row r="83" spans="1:9" ht="15.75" x14ac:dyDescent="0.25">
      <c r="A83" s="118" t="s">
        <v>351</v>
      </c>
      <c r="B83" s="118"/>
      <c r="C83" s="118"/>
      <c r="D83" s="546"/>
      <c r="E83" s="546"/>
      <c r="F83" s="118"/>
      <c r="G83" s="118"/>
      <c r="H83" s="543"/>
      <c r="I83" s="116"/>
    </row>
    <row r="84" spans="1:9" ht="15.75" x14ac:dyDescent="0.25">
      <c r="A84" s="106"/>
      <c r="B84" s="106"/>
      <c r="C84" s="106">
        <v>20</v>
      </c>
      <c r="D84" s="560"/>
      <c r="E84" s="560"/>
      <c r="F84" s="560"/>
      <c r="G84" s="560"/>
      <c r="H84" s="543"/>
      <c r="I84" s="116"/>
    </row>
    <row r="85" spans="1:9" ht="15.75" x14ac:dyDescent="0.25">
      <c r="A85" s="121" t="s">
        <v>349</v>
      </c>
      <c r="B85" s="547" t="s">
        <v>59</v>
      </c>
      <c r="C85" s="547">
        <v>19</v>
      </c>
      <c r="D85" s="561"/>
      <c r="E85" s="561"/>
      <c r="F85" s="562"/>
      <c r="G85" s="562"/>
      <c r="H85" s="543"/>
      <c r="I85" s="116"/>
    </row>
    <row r="86" spans="1:9" ht="15.75" x14ac:dyDescent="0.25">
      <c r="A86" s="550"/>
      <c r="B86" s="550"/>
      <c r="C86" s="550">
        <v>0.12870000000000001</v>
      </c>
      <c r="D86" s="563"/>
      <c r="E86" s="563"/>
      <c r="F86" s="563"/>
      <c r="G86" s="563"/>
      <c r="H86" s="543"/>
      <c r="I86" s="116"/>
    </row>
    <row r="87" spans="1:9" ht="15.75" x14ac:dyDescent="0.25">
      <c r="A87" s="551"/>
      <c r="B87" s="551" t="s">
        <v>60</v>
      </c>
      <c r="C87" s="552">
        <f>ROUND(C85*C86,2)</f>
        <v>2.4500000000000002</v>
      </c>
      <c r="D87" s="564"/>
      <c r="E87" s="564"/>
      <c r="F87" s="564"/>
      <c r="G87" s="564"/>
      <c r="H87" s="543"/>
      <c r="I87" s="116"/>
    </row>
    <row r="88" spans="1:9" ht="15.75" x14ac:dyDescent="0.25">
      <c r="A88" s="121" t="s">
        <v>58</v>
      </c>
      <c r="B88" s="547" t="s">
        <v>59</v>
      </c>
      <c r="C88" s="548">
        <v>279</v>
      </c>
      <c r="D88" s="562"/>
      <c r="E88" s="562"/>
      <c r="F88" s="562"/>
      <c r="G88" s="562"/>
      <c r="H88" s="543"/>
      <c r="I88" s="116"/>
    </row>
    <row r="89" spans="1:9" ht="15.75" x14ac:dyDescent="0.25">
      <c r="A89" s="106"/>
      <c r="B89" s="553"/>
      <c r="C89" s="554">
        <v>0.12870000000000001</v>
      </c>
      <c r="D89" s="565"/>
      <c r="E89" s="565"/>
      <c r="F89" s="565"/>
      <c r="G89" s="565"/>
      <c r="H89" s="543"/>
      <c r="I89" s="116"/>
    </row>
    <row r="90" spans="1:9" ht="15.75" x14ac:dyDescent="0.25">
      <c r="A90" s="552"/>
      <c r="B90" s="552" t="s">
        <v>60</v>
      </c>
      <c r="C90" s="552">
        <f>ROUND(C88*C89,2)</f>
        <v>35.909999999999997</v>
      </c>
      <c r="D90" s="564"/>
      <c r="E90" s="564"/>
      <c r="F90" s="564"/>
      <c r="G90" s="564"/>
      <c r="H90" s="543"/>
      <c r="I90" s="116"/>
    </row>
    <row r="91" spans="1:9" ht="15.75" x14ac:dyDescent="0.25">
      <c r="A91" s="121" t="s">
        <v>347</v>
      </c>
      <c r="B91" s="547" t="s">
        <v>59</v>
      </c>
      <c r="C91" s="547">
        <v>247</v>
      </c>
      <c r="D91" s="561"/>
      <c r="E91" s="561"/>
      <c r="F91" s="561"/>
      <c r="G91" s="562"/>
      <c r="H91" s="543"/>
      <c r="I91" s="116"/>
    </row>
    <row r="92" spans="1:9" ht="15.75" x14ac:dyDescent="0.25">
      <c r="A92" s="555"/>
      <c r="B92" s="556"/>
      <c r="C92" s="554">
        <v>0.12870000000000001</v>
      </c>
      <c r="D92" s="565"/>
      <c r="E92" s="565"/>
      <c r="F92" s="565"/>
      <c r="G92" s="565"/>
      <c r="H92" s="543"/>
      <c r="I92" s="116"/>
    </row>
    <row r="93" spans="1:9" ht="15.75" x14ac:dyDescent="0.25">
      <c r="A93" s="552"/>
      <c r="B93" s="552" t="s">
        <v>60</v>
      </c>
      <c r="C93" s="552">
        <f>ROUND(C91*C92,2)</f>
        <v>31.79</v>
      </c>
      <c r="D93" s="564"/>
      <c r="E93" s="564"/>
      <c r="F93" s="564"/>
      <c r="G93" s="564"/>
      <c r="H93" s="543"/>
      <c r="I93" s="116"/>
    </row>
    <row r="94" spans="1:9" ht="15.75" x14ac:dyDescent="0.25">
      <c r="A94" s="121" t="s">
        <v>56</v>
      </c>
      <c r="B94" s="547" t="s">
        <v>59</v>
      </c>
      <c r="C94" s="549">
        <f>C85+C88+C91</f>
        <v>545</v>
      </c>
      <c r="D94" s="562"/>
      <c r="E94" s="561"/>
      <c r="F94" s="562"/>
      <c r="G94" s="562"/>
      <c r="H94" s="543"/>
      <c r="I94" s="116"/>
    </row>
    <row r="95" spans="1:9" ht="15.75" x14ac:dyDescent="0.25">
      <c r="A95" s="557"/>
      <c r="B95" s="558" t="s">
        <v>60</v>
      </c>
      <c r="C95" s="559">
        <f>C87+C90+C93</f>
        <v>70.150000000000006</v>
      </c>
      <c r="D95" s="543"/>
      <c r="E95" s="566">
        <f>C15+C31+C47+C63+C79+C95-0.01</f>
        <v>516.54960000000005</v>
      </c>
      <c r="F95" s="543"/>
      <c r="G95" s="543"/>
      <c r="H95" s="543"/>
      <c r="I95" s="116"/>
    </row>
    <row r="96" spans="1:9" x14ac:dyDescent="0.25">
      <c r="A96" s="116"/>
      <c r="B96" s="116"/>
      <c r="C96" s="116"/>
      <c r="D96" s="116"/>
      <c r="E96" s="116"/>
      <c r="F96" s="116"/>
      <c r="G96" s="116"/>
      <c r="H96" s="116"/>
      <c r="I96" s="116"/>
    </row>
  </sheetData>
  <pageMargins left="0.70866141732283472" right="0.70866141732283472" top="0.74803149606299213" bottom="0.74803149606299213" header="0.31496062992125984" footer="0.31496062992125984"/>
  <pageSetup paperSize="9" scale="85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10</vt:i4>
      </vt:variant>
    </vt:vector>
  </HeadingPairs>
  <TitlesOfParts>
    <vt:vector size="21" baseType="lpstr">
      <vt:lpstr>list1</vt:lpstr>
      <vt:lpstr>СУБ.АБ. НАСЕЛЕНИЕ</vt:lpstr>
      <vt:lpstr>общежития</vt:lpstr>
      <vt:lpstr>ЦТП</vt:lpstr>
      <vt:lpstr>СВОД</vt:lpstr>
      <vt:lpstr>ПУСТОГРАФКА</vt:lpstr>
      <vt:lpstr>Лист1</vt:lpstr>
      <vt:lpstr>сокольская</vt:lpstr>
      <vt:lpstr>ТС Индурское 4-2</vt:lpstr>
      <vt:lpstr>Лист3</vt:lpstr>
      <vt:lpstr>Лист4</vt:lpstr>
      <vt:lpstr>list1!Область_печати</vt:lpstr>
      <vt:lpstr>Лист1!Область_печати</vt:lpstr>
      <vt:lpstr>Лист4!Область_печати</vt:lpstr>
      <vt:lpstr>общежития!Область_печати</vt:lpstr>
      <vt:lpstr>ПУСТОГРАФКА!Область_печати</vt:lpstr>
      <vt:lpstr>СВОД!Область_печати</vt:lpstr>
      <vt:lpstr>сокольская!Область_печати</vt:lpstr>
      <vt:lpstr>'СУБ.АБ. НАСЕЛЕНИЕ'!Область_печати</vt:lpstr>
      <vt:lpstr>'ТС Индурское 4-2'!Область_печати</vt:lpstr>
      <vt:lpstr>ЦТП!Область_печати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qwer</cp:lastModifiedBy>
  <cp:lastPrinted>2020-09-14T08:27:11Z</cp:lastPrinted>
  <dcterms:created xsi:type="dcterms:W3CDTF">2009-11-03T13:06:34Z</dcterms:created>
  <dcterms:modified xsi:type="dcterms:W3CDTF">2020-09-16T16:36:47Z</dcterms:modified>
</cp:coreProperties>
</file>