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y\Desktop\"/>
    </mc:Choice>
  </mc:AlternateContent>
  <xr:revisionPtr revIDLastSave="0" documentId="8_{8DC85642-7A3F-43D7-A15B-2C8952F51B13}" xr6:coauthVersionLast="40" xr6:coauthVersionMax="40" xr10:uidLastSave="{00000000-0000-0000-0000-000000000000}"/>
  <bookViews>
    <workbookView xWindow="-96" yWindow="-96" windowWidth="23232" windowHeight="12552"/>
  </bookViews>
  <sheets>
    <sheet name="沪深Ａ股20190305" sheetId="1" r:id="rId1"/>
  </sheet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</calcChain>
</file>

<file path=xl/sharedStrings.xml><?xml version="1.0" encoding="utf-8"?>
<sst xmlns="http://schemas.openxmlformats.org/spreadsheetml/2006/main" count="7990" uniqueCount="6673">
  <si>
    <t>代码</t>
  </si>
  <si>
    <t>名称</t>
  </si>
  <si>
    <t>涨幅%%</t>
  </si>
  <si>
    <t>市盈(TTM)</t>
  </si>
  <si>
    <t>现价</t>
  </si>
  <si>
    <t>涨跌</t>
  </si>
  <si>
    <t>买价</t>
  </si>
  <si>
    <t>卖价</t>
  </si>
  <si>
    <t>流通市值</t>
  </si>
  <si>
    <t>换手%%</t>
  </si>
  <si>
    <t>今开</t>
  </si>
  <si>
    <t>最高</t>
  </si>
  <si>
    <t>最低</t>
  </si>
  <si>
    <t>平安银行</t>
  </si>
  <si>
    <t xml:space="preserve">       2242.43亿</t>
  </si>
  <si>
    <t>万 科Ａ</t>
  </si>
  <si>
    <t xml:space="preserve">       2908.72亿</t>
  </si>
  <si>
    <t>国农科技</t>
  </si>
  <si>
    <t xml:space="preserve">         15.87亿</t>
  </si>
  <si>
    <t>世纪星源</t>
  </si>
  <si>
    <t xml:space="preserve">         38.19亿</t>
  </si>
  <si>
    <t>深振业Ａ</t>
  </si>
  <si>
    <t xml:space="preserve">         85.48亿</t>
  </si>
  <si>
    <t>全新好</t>
  </si>
  <si>
    <t xml:space="preserve">--  </t>
  </si>
  <si>
    <t xml:space="preserve">         23.20亿</t>
  </si>
  <si>
    <t>神州高铁</t>
  </si>
  <si>
    <t xml:space="preserve">        120.48亿</t>
  </si>
  <si>
    <t>中国宝安</t>
  </si>
  <si>
    <t xml:space="preserve">        124.86亿</t>
  </si>
  <si>
    <t>美丽生态</t>
  </si>
  <si>
    <t xml:space="preserve">         20.00亿</t>
  </si>
  <si>
    <t>深物业A</t>
  </si>
  <si>
    <t xml:space="preserve">         19.38亿</t>
  </si>
  <si>
    <t>南 玻Ａ</t>
  </si>
  <si>
    <t xml:space="preserve">         92.13亿</t>
  </si>
  <si>
    <t>沙河股份</t>
  </si>
  <si>
    <t xml:space="preserve">         22.91亿</t>
  </si>
  <si>
    <t>深康佳Ａ</t>
  </si>
  <si>
    <t xml:space="preserve">         80.79亿</t>
  </si>
  <si>
    <t>深中华A</t>
  </si>
  <si>
    <t xml:space="preserve">         15.54亿</t>
  </si>
  <si>
    <t>神州长城</t>
  </si>
  <si>
    <t xml:space="preserve">         28.97亿</t>
  </si>
  <si>
    <t>深粮控股</t>
  </si>
  <si>
    <t xml:space="preserve">         34.19亿</t>
  </si>
  <si>
    <t>深华发Ａ</t>
  </si>
  <si>
    <t xml:space="preserve">         22.74亿</t>
  </si>
  <si>
    <t>深科技</t>
  </si>
  <si>
    <t xml:space="preserve">        116.22亿</t>
  </si>
  <si>
    <t>深天地Ａ</t>
  </si>
  <si>
    <t xml:space="preserve">         23.63亿</t>
  </si>
  <si>
    <t>特 力Ａ</t>
  </si>
  <si>
    <t xml:space="preserve">         85.68亿</t>
  </si>
  <si>
    <t>飞亚达Ａ</t>
  </si>
  <si>
    <t xml:space="preserve">         31.03亿</t>
  </si>
  <si>
    <t>深圳能源</t>
  </si>
  <si>
    <t xml:space="preserve">        255.31亿</t>
  </si>
  <si>
    <t>国药一致</t>
  </si>
  <si>
    <t xml:space="preserve">        148.33亿</t>
  </si>
  <si>
    <t>深深房Ａ</t>
  </si>
  <si>
    <t xml:space="preserve">         99.60亿</t>
  </si>
  <si>
    <t>富奥股份</t>
  </si>
  <si>
    <t xml:space="preserve">         83.85亿</t>
  </si>
  <si>
    <t>中粮地产</t>
  </si>
  <si>
    <t xml:space="preserve">        113.36亿</t>
  </si>
  <si>
    <t>深桑达Ａ</t>
  </si>
  <si>
    <t xml:space="preserve">         38.62亿</t>
  </si>
  <si>
    <t>神州数码</t>
  </si>
  <si>
    <t xml:space="preserve">         52.08亿</t>
  </si>
  <si>
    <t>中国天楹</t>
  </si>
  <si>
    <t xml:space="preserve">         71.74亿</t>
  </si>
  <si>
    <t>华联控股</t>
  </si>
  <si>
    <t xml:space="preserve">         74.54亿</t>
  </si>
  <si>
    <t>深南电A</t>
  </si>
  <si>
    <t xml:space="preserve">         34.43亿</t>
  </si>
  <si>
    <t>深大通</t>
  </si>
  <si>
    <t xml:space="preserve">         25.70亿</t>
  </si>
  <si>
    <t>中集集团</t>
  </si>
  <si>
    <t xml:space="preserve">        173.70亿</t>
  </si>
  <si>
    <t>东旭蓝天</t>
  </si>
  <si>
    <t xml:space="preserve">         88.75亿</t>
  </si>
  <si>
    <t>中洲控股</t>
  </si>
  <si>
    <t xml:space="preserve">         86.79亿</t>
  </si>
  <si>
    <t>中航善达</t>
  </si>
  <si>
    <t xml:space="preserve">         57.15亿</t>
  </si>
  <si>
    <t>深纺织Ａ</t>
  </si>
  <si>
    <t xml:space="preserve">         33.04亿</t>
  </si>
  <si>
    <t>泛海控股</t>
  </si>
  <si>
    <t xml:space="preserve">        346.74亿</t>
  </si>
  <si>
    <t>*ST康达</t>
  </si>
  <si>
    <t xml:space="preserve">         78.66亿</t>
  </si>
  <si>
    <t>德赛电池</t>
  </si>
  <si>
    <t xml:space="preserve">         70.93亿</t>
  </si>
  <si>
    <t>深天马Ａ</t>
  </si>
  <si>
    <t xml:space="preserve">        316.11亿</t>
  </si>
  <si>
    <t>方大集团</t>
  </si>
  <si>
    <t xml:space="preserve">         44.43亿</t>
  </si>
  <si>
    <t>皇庭国际</t>
  </si>
  <si>
    <t xml:space="preserve">         51.15亿</t>
  </si>
  <si>
    <t>深 赛 格</t>
  </si>
  <si>
    <t xml:space="preserve">         43.15亿</t>
  </si>
  <si>
    <t>华锦股份</t>
  </si>
  <si>
    <t xml:space="preserve">        110.68亿</t>
  </si>
  <si>
    <t>中金岭南</t>
  </si>
  <si>
    <t xml:space="preserve">        181.62亿</t>
  </si>
  <si>
    <t>农 产 品</t>
  </si>
  <si>
    <t xml:space="preserve">        101.87亿</t>
  </si>
  <si>
    <t>深圳华强</t>
  </si>
  <si>
    <t xml:space="preserve">        149.00亿</t>
  </si>
  <si>
    <t>中兴通讯</t>
  </si>
  <si>
    <t xml:space="preserve">       1086.90亿</t>
  </si>
  <si>
    <t>北方国际</t>
  </si>
  <si>
    <t xml:space="preserve">         58.49亿</t>
  </si>
  <si>
    <t>中国长城</t>
  </si>
  <si>
    <t xml:space="preserve">        193.78亿</t>
  </si>
  <si>
    <t>华控赛格</t>
  </si>
  <si>
    <t xml:space="preserve">         69.56亿</t>
  </si>
  <si>
    <t>华侨城Ａ</t>
  </si>
  <si>
    <t xml:space="preserve">        507.32亿</t>
  </si>
  <si>
    <t>特发信息</t>
  </si>
  <si>
    <t xml:space="preserve">        101.09亿</t>
  </si>
  <si>
    <t>海王生物</t>
  </si>
  <si>
    <t xml:space="preserve">         88.01亿</t>
  </si>
  <si>
    <t>盐 田 港</t>
  </si>
  <si>
    <t xml:space="preserve">        127.60亿</t>
  </si>
  <si>
    <t>深圳机场</t>
  </si>
  <si>
    <t xml:space="preserve">        197.90亿</t>
  </si>
  <si>
    <t>天健集团</t>
  </si>
  <si>
    <t xml:space="preserve">         87.10亿</t>
  </si>
  <si>
    <t>广聚能源</t>
  </si>
  <si>
    <t xml:space="preserve">         55.38亿</t>
  </si>
  <si>
    <t>中信海直</t>
  </si>
  <si>
    <t xml:space="preserve">         50.36亿</t>
  </si>
  <si>
    <t>TCL 集团</t>
  </si>
  <si>
    <t xml:space="preserve">        485.94亿</t>
  </si>
  <si>
    <t>宜华健康</t>
  </si>
  <si>
    <t xml:space="preserve">         75.42亿</t>
  </si>
  <si>
    <t>中成股份</t>
  </si>
  <si>
    <t xml:space="preserve">         37.24亿</t>
  </si>
  <si>
    <t>丰原药业</t>
  </si>
  <si>
    <t xml:space="preserve">         20.68亿</t>
  </si>
  <si>
    <t>川能动力</t>
  </si>
  <si>
    <t xml:space="preserve">         39.08亿</t>
  </si>
  <si>
    <t>华数传媒</t>
  </si>
  <si>
    <t xml:space="preserve">        146.59亿</t>
  </si>
  <si>
    <t>中联重科</t>
  </si>
  <si>
    <t xml:space="preserve">        275.58亿</t>
  </si>
  <si>
    <t>常山北明</t>
  </si>
  <si>
    <t xml:space="preserve">         98.43亿</t>
  </si>
  <si>
    <t>国际实业</t>
  </si>
  <si>
    <t xml:space="preserve">         24.18亿</t>
  </si>
  <si>
    <t>申万宏源</t>
  </si>
  <si>
    <t xml:space="preserve">       1270.94亿</t>
  </si>
  <si>
    <t>东方盛虹</t>
  </si>
  <si>
    <t xml:space="preserve">         67.37亿</t>
  </si>
  <si>
    <t>美的集团</t>
  </si>
  <si>
    <t xml:space="preserve">       3152.30亿</t>
  </si>
  <si>
    <t>潍柴动力</t>
  </si>
  <si>
    <t xml:space="preserve">        462.58亿</t>
  </si>
  <si>
    <t>许继电气</t>
  </si>
  <si>
    <t xml:space="preserve">        115.64亿</t>
  </si>
  <si>
    <t>冀东水泥</t>
  </si>
  <si>
    <t xml:space="preserve">        221.35亿</t>
  </si>
  <si>
    <t>金 融 街</t>
  </si>
  <si>
    <t xml:space="preserve">        248.29亿</t>
  </si>
  <si>
    <t>振兴生化</t>
  </si>
  <si>
    <t xml:space="preserve">         75.37亿</t>
  </si>
  <si>
    <t>长虹华意</t>
  </si>
  <si>
    <t xml:space="preserve">         32.78亿</t>
  </si>
  <si>
    <t>胜利股份</t>
  </si>
  <si>
    <t xml:space="preserve">         32.88亿</t>
  </si>
  <si>
    <t>藏格控股</t>
  </si>
  <si>
    <t xml:space="preserve">         53.28亿</t>
  </si>
  <si>
    <t>*ST地矿</t>
  </si>
  <si>
    <t xml:space="preserve">         19.96亿</t>
  </si>
  <si>
    <t>沈阳机床</t>
  </si>
  <si>
    <t xml:space="preserve">         64.19亿</t>
  </si>
  <si>
    <t>英特集团</t>
  </si>
  <si>
    <t xml:space="preserve">         27.70亿</t>
  </si>
  <si>
    <t>东旭光电</t>
  </si>
  <si>
    <t xml:space="preserve">        304.98亿</t>
  </si>
  <si>
    <t>渤海租赁</t>
  </si>
  <si>
    <t xml:space="preserve">        166.40亿</t>
  </si>
  <si>
    <t>民生控股</t>
  </si>
  <si>
    <t xml:space="preserve">         29.40亿</t>
  </si>
  <si>
    <t>合肥百货</t>
  </si>
  <si>
    <t xml:space="preserve">         41.29亿</t>
  </si>
  <si>
    <t>小天鹅Ａ</t>
  </si>
  <si>
    <t xml:space="preserve">        250.22亿</t>
  </si>
  <si>
    <t>通程控股</t>
  </si>
  <si>
    <t xml:space="preserve">         27.49亿</t>
  </si>
  <si>
    <t>吉林化纤</t>
  </si>
  <si>
    <t xml:space="preserve">         41.58亿</t>
  </si>
  <si>
    <t>南京公用</t>
  </si>
  <si>
    <t xml:space="preserve">         29.95亿</t>
  </si>
  <si>
    <t>*ST宜化</t>
  </si>
  <si>
    <t xml:space="preserve">         34.30亿</t>
  </si>
  <si>
    <t>东阿阿胶</t>
  </si>
  <si>
    <t xml:space="preserve">        309.28亿</t>
  </si>
  <si>
    <t>徐工机械</t>
  </si>
  <si>
    <t xml:space="preserve">        294.43亿</t>
  </si>
  <si>
    <t>兴业矿业</t>
  </si>
  <si>
    <t xml:space="preserve">         91.67亿</t>
  </si>
  <si>
    <t>华天酒店</t>
  </si>
  <si>
    <t xml:space="preserve">         31.28亿</t>
  </si>
  <si>
    <t>粤高速Ａ</t>
  </si>
  <si>
    <t xml:space="preserve">         41.63亿</t>
  </si>
  <si>
    <t>张家界</t>
  </si>
  <si>
    <t xml:space="preserve">         19.77亿</t>
  </si>
  <si>
    <t>晨鸣纸业</t>
  </si>
  <si>
    <t xml:space="preserve">        114.08亿</t>
  </si>
  <si>
    <t>山东路桥</t>
  </si>
  <si>
    <t xml:space="preserve">         27.10亿</t>
  </si>
  <si>
    <t>鄂武商Ａ</t>
  </si>
  <si>
    <t xml:space="preserve">         76.89亿</t>
  </si>
  <si>
    <t>绿景控股</t>
  </si>
  <si>
    <t xml:space="preserve">         14.91亿</t>
  </si>
  <si>
    <t>国新健康</t>
  </si>
  <si>
    <t xml:space="preserve">        191.27亿</t>
  </si>
  <si>
    <t>南华生物</t>
  </si>
  <si>
    <t xml:space="preserve">         41.72亿</t>
  </si>
  <si>
    <t>京粮控股</t>
  </si>
  <si>
    <t xml:space="preserve">         26.28亿</t>
  </si>
  <si>
    <t>中润资源</t>
  </si>
  <si>
    <t xml:space="preserve">         32.32亿</t>
  </si>
  <si>
    <t>珠海港</t>
  </si>
  <si>
    <t xml:space="preserve">         61.93亿</t>
  </si>
  <si>
    <t>华塑控股</t>
  </si>
  <si>
    <t xml:space="preserve">         27.08亿</t>
  </si>
  <si>
    <t>金路集团</t>
  </si>
  <si>
    <t xml:space="preserve">         27.86亿</t>
  </si>
  <si>
    <t>丽珠集团</t>
  </si>
  <si>
    <t xml:space="preserve">        156.72亿</t>
  </si>
  <si>
    <t>渝 开 发</t>
  </si>
  <si>
    <t xml:space="preserve">         36.45亿</t>
  </si>
  <si>
    <t>国际医学</t>
  </si>
  <si>
    <t xml:space="preserve">        113.45亿</t>
  </si>
  <si>
    <t>荣安地产</t>
  </si>
  <si>
    <t xml:space="preserve">         93.80亿</t>
  </si>
  <si>
    <t>四环生物</t>
  </si>
  <si>
    <t xml:space="preserve">         50.55亿</t>
  </si>
  <si>
    <t>中兵红箭</t>
  </si>
  <si>
    <t xml:space="preserve">         59.99亿</t>
  </si>
  <si>
    <t>长航凤凰</t>
  </si>
  <si>
    <t xml:space="preserve">         34.92亿</t>
  </si>
  <si>
    <t>长虹美菱</t>
  </si>
  <si>
    <t xml:space="preserve">         31.70亿</t>
  </si>
  <si>
    <t>广州浪奇</t>
  </si>
  <si>
    <t xml:space="preserve">         30.41亿</t>
  </si>
  <si>
    <t>岭南控股</t>
  </si>
  <si>
    <t xml:space="preserve">         21.16亿</t>
  </si>
  <si>
    <t>红 太 阳</t>
  </si>
  <si>
    <t xml:space="preserve">         88.63亿</t>
  </si>
  <si>
    <t>紫光学大</t>
  </si>
  <si>
    <t xml:space="preserve">         22.77亿</t>
  </si>
  <si>
    <t>柳 工</t>
  </si>
  <si>
    <t xml:space="preserve">        114.67亿</t>
  </si>
  <si>
    <t>广弘控股</t>
  </si>
  <si>
    <t xml:space="preserve">         36.30亿</t>
  </si>
  <si>
    <t>大冷股份</t>
  </si>
  <si>
    <t xml:space="preserve">         24.93亿</t>
  </si>
  <si>
    <t>穗恒运Ａ</t>
  </si>
  <si>
    <t xml:space="preserve">         54.67亿</t>
  </si>
  <si>
    <t>华金资本</t>
  </si>
  <si>
    <t xml:space="preserve">         42.56亿</t>
  </si>
  <si>
    <t>顺钠股份</t>
  </si>
  <si>
    <t xml:space="preserve">         24.52亿</t>
  </si>
  <si>
    <t>万泽股份</t>
  </si>
  <si>
    <t xml:space="preserve">         50.07亿</t>
  </si>
  <si>
    <t>华映科技</t>
  </si>
  <si>
    <t xml:space="preserve">         83.74亿</t>
  </si>
  <si>
    <t>广宇发展</t>
  </si>
  <si>
    <t xml:space="preserve">         45.73亿</t>
  </si>
  <si>
    <t>云南白药</t>
  </si>
  <si>
    <t xml:space="preserve">        926.84亿</t>
  </si>
  <si>
    <t>粤电力Ａ</t>
  </si>
  <si>
    <t xml:space="preserve">        115.69亿</t>
  </si>
  <si>
    <t>中天金融</t>
  </si>
  <si>
    <t xml:space="preserve">        321.37亿</t>
  </si>
  <si>
    <t>佛山照明</t>
  </si>
  <si>
    <t xml:space="preserve">         65.41亿</t>
  </si>
  <si>
    <t>皖能电力</t>
  </si>
  <si>
    <t xml:space="preserve">        101.52亿</t>
  </si>
  <si>
    <t>中原环保</t>
  </si>
  <si>
    <t xml:space="preserve">         32.92亿</t>
  </si>
  <si>
    <t>金浦钛业</t>
  </si>
  <si>
    <t xml:space="preserve">         37.13亿</t>
  </si>
  <si>
    <t>金圆股份</t>
  </si>
  <si>
    <t xml:space="preserve">         67.82亿</t>
  </si>
  <si>
    <t>航天发展</t>
  </si>
  <si>
    <t xml:space="preserve">        119.91亿</t>
  </si>
  <si>
    <t>湖南投资</t>
  </si>
  <si>
    <t xml:space="preserve">         25.86亿</t>
  </si>
  <si>
    <t>江铃汽车</t>
  </si>
  <si>
    <t xml:space="preserve">        106.12亿</t>
  </si>
  <si>
    <t>创元科技</t>
  </si>
  <si>
    <t xml:space="preserve">         27.93亿</t>
  </si>
  <si>
    <t>靖远煤电</t>
  </si>
  <si>
    <t xml:space="preserve">         48.59亿</t>
  </si>
  <si>
    <t>安道麦A</t>
  </si>
  <si>
    <t xml:space="preserve">         54.03亿</t>
  </si>
  <si>
    <t>泰山石油</t>
  </si>
  <si>
    <t xml:space="preserve">         22.05亿</t>
  </si>
  <si>
    <t>神州信息</t>
  </si>
  <si>
    <t xml:space="preserve">        120.14亿</t>
  </si>
  <si>
    <t>西部创业</t>
  </si>
  <si>
    <t xml:space="preserve">         24.81亿</t>
  </si>
  <si>
    <t>莱茵体育</t>
  </si>
  <si>
    <t xml:space="preserve">         46.38亿</t>
  </si>
  <si>
    <t>万向钱潮</t>
  </si>
  <si>
    <t xml:space="preserve">        177.85亿</t>
  </si>
  <si>
    <t>我爱我家</t>
  </si>
  <si>
    <t xml:space="preserve">        102.14亿</t>
  </si>
  <si>
    <t>烽火电子</t>
  </si>
  <si>
    <t xml:space="preserve">         42.35亿</t>
  </si>
  <si>
    <t>陕国投Ａ</t>
  </si>
  <si>
    <t xml:space="preserve">        229.52亿</t>
  </si>
  <si>
    <t>供销大集</t>
  </si>
  <si>
    <t xml:space="preserve">         67.62亿</t>
  </si>
  <si>
    <t>渝三峡Ａ</t>
  </si>
  <si>
    <t xml:space="preserve">         24.02亿</t>
  </si>
  <si>
    <t>海南海药</t>
  </si>
  <si>
    <t xml:space="preserve">         82.92亿</t>
  </si>
  <si>
    <t>海德股份</t>
  </si>
  <si>
    <t xml:space="preserve">         20.75亿</t>
  </si>
  <si>
    <t>泸州老窖</t>
  </si>
  <si>
    <t xml:space="preserve">        791.09亿</t>
  </si>
  <si>
    <t>苏常柴Ａ</t>
  </si>
  <si>
    <t xml:space="preserve">         19.09亿</t>
  </si>
  <si>
    <t>新大洲Ａ</t>
  </si>
  <si>
    <t xml:space="preserve">         27.82亿</t>
  </si>
  <si>
    <t>海马汽车</t>
  </si>
  <si>
    <t xml:space="preserve">         42.70亿</t>
  </si>
  <si>
    <t>粤宏远Ａ</t>
  </si>
  <si>
    <t xml:space="preserve">         22.40亿</t>
  </si>
  <si>
    <t>广东甘化</t>
  </si>
  <si>
    <t xml:space="preserve">         45.48亿</t>
  </si>
  <si>
    <t>威孚高科</t>
  </si>
  <si>
    <t xml:space="preserve">        182.19亿</t>
  </si>
  <si>
    <t>北部湾港</t>
  </si>
  <si>
    <t xml:space="preserve">         21.82亿</t>
  </si>
  <si>
    <t>哈工智能</t>
  </si>
  <si>
    <t xml:space="preserve">         52.63亿</t>
  </si>
  <si>
    <t>*ST东电</t>
  </si>
  <si>
    <t xml:space="preserve">         14.87亿</t>
  </si>
  <si>
    <t>汇源通信</t>
  </si>
  <si>
    <t xml:space="preserve">         23.83亿</t>
  </si>
  <si>
    <t>金洲慈航</t>
  </si>
  <si>
    <t xml:space="preserve">         38.94亿</t>
  </si>
  <si>
    <t>黔轮胎Ａ</t>
  </si>
  <si>
    <t xml:space="preserve">         30.86亿</t>
  </si>
  <si>
    <t>启迪古汉</t>
  </si>
  <si>
    <t xml:space="preserve">         17.03亿</t>
  </si>
  <si>
    <t>太阳能</t>
  </si>
  <si>
    <t xml:space="preserve">         80.47亿</t>
  </si>
  <si>
    <t>平潭发展</t>
  </si>
  <si>
    <t xml:space="preserve">         78.28亿</t>
  </si>
  <si>
    <t>大通燃气</t>
  </si>
  <si>
    <t xml:space="preserve">         19.61亿</t>
  </si>
  <si>
    <t>宝塔实业</t>
  </si>
  <si>
    <t xml:space="preserve">         29.04亿</t>
  </si>
  <si>
    <t>古井贡酒</t>
  </si>
  <si>
    <t xml:space="preserve">        303.27亿</t>
  </si>
  <si>
    <t>东北制药</t>
  </si>
  <si>
    <t xml:space="preserve">         58.70亿</t>
  </si>
  <si>
    <t>兴蓉环境</t>
  </si>
  <si>
    <t xml:space="preserve">        144.53亿</t>
  </si>
  <si>
    <t>青岛双星</t>
  </si>
  <si>
    <t xml:space="preserve">         33.32亿</t>
  </si>
  <si>
    <t>建投能源</t>
  </si>
  <si>
    <t xml:space="preserve">         75.32亿</t>
  </si>
  <si>
    <t>韶能股份</t>
  </si>
  <si>
    <t xml:space="preserve">         49.56亿</t>
  </si>
  <si>
    <t>盛达矿业</t>
  </si>
  <si>
    <t xml:space="preserve">         44.08亿</t>
  </si>
  <si>
    <t>渤海股份</t>
  </si>
  <si>
    <t xml:space="preserve">         29.18亿</t>
  </si>
  <si>
    <t>顺利办</t>
  </si>
  <si>
    <t xml:space="preserve">         41.42亿</t>
  </si>
  <si>
    <t>华媒控股</t>
  </si>
  <si>
    <t xml:space="preserve">         46.10亿</t>
  </si>
  <si>
    <t>阳光股份</t>
  </si>
  <si>
    <t xml:space="preserve">         44.24亿</t>
  </si>
  <si>
    <t>中迪投资</t>
  </si>
  <si>
    <t xml:space="preserve">         17.75亿</t>
  </si>
  <si>
    <t>西安旅游</t>
  </si>
  <si>
    <t xml:space="preserve">         20.56亿</t>
  </si>
  <si>
    <t>天首发展</t>
  </si>
  <si>
    <t xml:space="preserve">         15.17亿</t>
  </si>
  <si>
    <t>焦作万方</t>
  </si>
  <si>
    <t xml:space="preserve">         58.64亿</t>
  </si>
  <si>
    <t>大东海A</t>
  </si>
  <si>
    <t xml:space="preserve">         19.58亿</t>
  </si>
  <si>
    <t>京汉股份</t>
  </si>
  <si>
    <t xml:space="preserve">         38.43亿</t>
  </si>
  <si>
    <t>海航投资</t>
  </si>
  <si>
    <t>中油资本</t>
  </si>
  <si>
    <t xml:space="preserve">         38.65亿</t>
  </si>
  <si>
    <t>海螺型材</t>
  </si>
  <si>
    <t xml:space="preserve">         21.89亿</t>
  </si>
  <si>
    <t>新华联</t>
  </si>
  <si>
    <t xml:space="preserve">         87.63亿</t>
  </si>
  <si>
    <t>恒立实业</t>
  </si>
  <si>
    <t xml:space="preserve">         34.10亿</t>
  </si>
  <si>
    <t>吉林敖东</t>
  </si>
  <si>
    <t xml:space="preserve">        206.63亿</t>
  </si>
  <si>
    <t>长安汽车</t>
  </si>
  <si>
    <t xml:space="preserve">        330.58亿</t>
  </si>
  <si>
    <t>远大控股</t>
  </si>
  <si>
    <t xml:space="preserve">         34.15亿</t>
  </si>
  <si>
    <t>天茂集团</t>
  </si>
  <si>
    <t xml:space="preserve">        363.63亿</t>
  </si>
  <si>
    <t>高新发展</t>
  </si>
  <si>
    <t xml:space="preserve">         20.51亿</t>
  </si>
  <si>
    <t>攀钢钒钛</t>
  </si>
  <si>
    <t xml:space="preserve">        175.43亿</t>
  </si>
  <si>
    <t>铜陵有色</t>
  </si>
  <si>
    <t xml:space="preserve">        235.19亿</t>
  </si>
  <si>
    <t>顺发恒业</t>
  </si>
  <si>
    <t xml:space="preserve">         85.62亿</t>
  </si>
  <si>
    <t>三木集团</t>
  </si>
  <si>
    <t xml:space="preserve">         21.32亿</t>
  </si>
  <si>
    <t>合金投资</t>
  </si>
  <si>
    <t xml:space="preserve">         23.68亿</t>
  </si>
  <si>
    <t>英 力 特</t>
  </si>
  <si>
    <t xml:space="preserve">         28.49亿</t>
  </si>
  <si>
    <t>风华高科</t>
  </si>
  <si>
    <t xml:space="preserve">        138.85亿</t>
  </si>
  <si>
    <t>茂化实华</t>
  </si>
  <si>
    <t xml:space="preserve">         17.12亿</t>
  </si>
  <si>
    <t>万方发展</t>
  </si>
  <si>
    <t xml:space="preserve">         19.62亿</t>
  </si>
  <si>
    <t>西王食品</t>
  </si>
  <si>
    <t xml:space="preserve">         67.31亿</t>
  </si>
  <si>
    <t>仁和药业</t>
  </si>
  <si>
    <t xml:space="preserve">         77.99亿</t>
  </si>
  <si>
    <t>格力电器</t>
  </si>
  <si>
    <t xml:space="preserve">       2810.59亿</t>
  </si>
  <si>
    <t>泰达股份</t>
  </si>
  <si>
    <t xml:space="preserve">         62.65亿</t>
  </si>
  <si>
    <t>*ST金岭</t>
  </si>
  <si>
    <t xml:space="preserve">         27.92亿</t>
  </si>
  <si>
    <t>金科股份</t>
  </si>
  <si>
    <t xml:space="preserve">        333.75亿</t>
  </si>
  <si>
    <t>中钨高新</t>
  </si>
  <si>
    <t xml:space="preserve">         29.72亿</t>
  </si>
  <si>
    <t>珠海中富</t>
  </si>
  <si>
    <t xml:space="preserve">         49.76亿</t>
  </si>
  <si>
    <t>长春高新</t>
  </si>
  <si>
    <t xml:space="preserve">        384.18亿</t>
  </si>
  <si>
    <t>天夏智慧</t>
  </si>
  <si>
    <t xml:space="preserve">         25.49亿</t>
  </si>
  <si>
    <t>永安林业</t>
  </si>
  <si>
    <t xml:space="preserve">         14.51亿</t>
  </si>
  <si>
    <t>湖北广电</t>
  </si>
  <si>
    <t xml:space="preserve">         60.82亿</t>
  </si>
  <si>
    <t>经纬纺机</t>
  </si>
  <si>
    <t xml:space="preserve">         43.35亿</t>
  </si>
  <si>
    <t>美好置业</t>
  </si>
  <si>
    <t xml:space="preserve">         72.13亿</t>
  </si>
  <si>
    <t>荣丰控股</t>
  </si>
  <si>
    <t xml:space="preserve">         18.39亿</t>
  </si>
  <si>
    <t>金鸿控股</t>
  </si>
  <si>
    <t xml:space="preserve">         39.33亿</t>
  </si>
  <si>
    <t>盈方微</t>
  </si>
  <si>
    <t xml:space="preserve">         26.32亿</t>
  </si>
  <si>
    <t>阳 光 城</t>
  </si>
  <si>
    <t xml:space="preserve">        309.41亿</t>
  </si>
  <si>
    <t>上峰水泥</t>
  </si>
  <si>
    <t xml:space="preserve">         83.39亿</t>
  </si>
  <si>
    <t>当代东方</t>
  </si>
  <si>
    <t xml:space="preserve">         41.49亿</t>
  </si>
  <si>
    <t>智度股份</t>
  </si>
  <si>
    <t xml:space="preserve">         35.59亿</t>
  </si>
  <si>
    <t>恒天海龙</t>
  </si>
  <si>
    <t xml:space="preserve">         32.05亿</t>
  </si>
  <si>
    <t>襄阳轴承</t>
  </si>
  <si>
    <t xml:space="preserve">         31.54亿</t>
  </si>
  <si>
    <t>大连友谊</t>
  </si>
  <si>
    <t xml:space="preserve">         17.00亿</t>
  </si>
  <si>
    <t>山推股份</t>
  </si>
  <si>
    <t xml:space="preserve">         42.91亿</t>
  </si>
  <si>
    <t>视觉中国</t>
  </si>
  <si>
    <t xml:space="preserve">         87.92亿</t>
  </si>
  <si>
    <t>东方电子</t>
  </si>
  <si>
    <t xml:space="preserve">         44.40亿</t>
  </si>
  <si>
    <t>远兴能源</t>
  </si>
  <si>
    <t xml:space="preserve">         81.49亿</t>
  </si>
  <si>
    <t>中山公用</t>
  </si>
  <si>
    <t xml:space="preserve">        108.91亿</t>
  </si>
  <si>
    <t>东北证券</t>
  </si>
  <si>
    <t xml:space="preserve">        210.87亿</t>
  </si>
  <si>
    <t>华讯方舟</t>
  </si>
  <si>
    <t xml:space="preserve">         63.09亿</t>
  </si>
  <si>
    <t>国城矿业</t>
  </si>
  <si>
    <t xml:space="preserve">        149.10亿</t>
  </si>
  <si>
    <t>宝新能源</t>
  </si>
  <si>
    <t xml:space="preserve">        154.77亿</t>
  </si>
  <si>
    <t>亚太实业</t>
  </si>
  <si>
    <t xml:space="preserve">         14.09亿</t>
  </si>
  <si>
    <t>惠天热电</t>
  </si>
  <si>
    <t xml:space="preserve">         17.32亿</t>
  </si>
  <si>
    <t>滨海能源</t>
  </si>
  <si>
    <t xml:space="preserve">         26.38亿</t>
  </si>
  <si>
    <t>炼石航空</t>
  </si>
  <si>
    <t xml:space="preserve">         62.03亿</t>
  </si>
  <si>
    <t>沈阳化工</t>
  </si>
  <si>
    <t xml:space="preserve">         33.71亿</t>
  </si>
  <si>
    <t>模塑科技</t>
  </si>
  <si>
    <t xml:space="preserve">         26.61亿</t>
  </si>
  <si>
    <t>厦门信达</t>
  </si>
  <si>
    <t xml:space="preserve">         29.32亿</t>
  </si>
  <si>
    <t>正虹科技</t>
  </si>
  <si>
    <t xml:space="preserve">         17.30亿</t>
  </si>
  <si>
    <t>恒逸石化</t>
  </si>
  <si>
    <t xml:space="preserve">        317.85亿</t>
  </si>
  <si>
    <t>浙江震元</t>
  </si>
  <si>
    <t xml:space="preserve">         20.19亿</t>
  </si>
  <si>
    <t>*ST双环</t>
  </si>
  <si>
    <t xml:space="preserve">         16.71亿</t>
  </si>
  <si>
    <t>大冶特钢</t>
  </si>
  <si>
    <t xml:space="preserve">         50.96亿</t>
  </si>
  <si>
    <t>河钢股份</t>
  </si>
  <si>
    <t xml:space="preserve">        368.41亿</t>
  </si>
  <si>
    <t>贝瑞基因</t>
  </si>
  <si>
    <t xml:space="preserve">         28.11亿</t>
  </si>
  <si>
    <t>京蓝科技</t>
  </si>
  <si>
    <t xml:space="preserve">         29.54亿</t>
  </si>
  <si>
    <t>锦龙股份</t>
  </si>
  <si>
    <t xml:space="preserve">        119.00亿</t>
  </si>
  <si>
    <t>丰乐种业</t>
  </si>
  <si>
    <t xml:space="preserve">         17.81亿</t>
  </si>
  <si>
    <t>中兴商业</t>
  </si>
  <si>
    <t xml:space="preserve">         19.81亿</t>
  </si>
  <si>
    <t>黑芝麻</t>
  </si>
  <si>
    <t xml:space="preserve">         21.76亿</t>
  </si>
  <si>
    <t>韶钢松山</t>
  </si>
  <si>
    <t xml:space="preserve">        145.17亿</t>
  </si>
  <si>
    <t>苏宁环球</t>
  </si>
  <si>
    <t xml:space="preserve">         86.77亿</t>
  </si>
  <si>
    <t>中原传媒</t>
  </si>
  <si>
    <t xml:space="preserve">         59.71亿</t>
  </si>
  <si>
    <t>*ST新能</t>
  </si>
  <si>
    <t xml:space="preserve">         40.50亿</t>
  </si>
  <si>
    <t>西安饮食</t>
  </si>
  <si>
    <t>湖南发展</t>
  </si>
  <si>
    <t xml:space="preserve">         36.11亿</t>
  </si>
  <si>
    <t>美锦能源</t>
  </si>
  <si>
    <t xml:space="preserve">         59.90亿</t>
  </si>
  <si>
    <t>京东方Ａ</t>
  </si>
  <si>
    <t xml:space="preserve">       1496.60亿</t>
  </si>
  <si>
    <t>鲁 泰Ａ</t>
  </si>
  <si>
    <t xml:space="preserve">         57.05亿</t>
  </si>
  <si>
    <t>华东科技</t>
  </si>
  <si>
    <t xml:space="preserve">         85.58亿</t>
  </si>
  <si>
    <t>国元证券</t>
  </si>
  <si>
    <t xml:space="preserve">        291.37亿</t>
  </si>
  <si>
    <t>燕京啤酒</t>
  </si>
  <si>
    <t xml:space="preserve">        164.87亿</t>
  </si>
  <si>
    <t>四川美丰</t>
  </si>
  <si>
    <t xml:space="preserve">         36.85亿</t>
  </si>
  <si>
    <t>泰禾集团</t>
  </si>
  <si>
    <t xml:space="preserve">        202.00亿</t>
  </si>
  <si>
    <t>振华科技</t>
  </si>
  <si>
    <t xml:space="preserve">         66.22亿</t>
  </si>
  <si>
    <t>罗 牛 山</t>
  </si>
  <si>
    <t xml:space="preserve">        143.05亿</t>
  </si>
  <si>
    <t>中交地产</t>
  </si>
  <si>
    <t xml:space="preserve">         41.77亿</t>
  </si>
  <si>
    <t>*ST南风</t>
  </si>
  <si>
    <t xml:space="preserve">         23.05亿</t>
  </si>
  <si>
    <t>航发控制</t>
  </si>
  <si>
    <t xml:space="preserve">        173.91亿</t>
  </si>
  <si>
    <t>普洛药业</t>
  </si>
  <si>
    <t xml:space="preserve">        107.80亿</t>
  </si>
  <si>
    <t>国海证券</t>
  </si>
  <si>
    <t xml:space="preserve">        249.14亿</t>
  </si>
  <si>
    <t>锌业股份</t>
  </si>
  <si>
    <t xml:space="preserve">         54.70亿</t>
  </si>
  <si>
    <t>西藏发展</t>
  </si>
  <si>
    <t xml:space="preserve">         20.41亿</t>
  </si>
  <si>
    <t>漳州发展</t>
  </si>
  <si>
    <t xml:space="preserve">         31.65亿</t>
  </si>
  <si>
    <t>山西路桥</t>
  </si>
  <si>
    <t xml:space="preserve">         22.85亿</t>
  </si>
  <si>
    <t>新华制药</t>
  </si>
  <si>
    <t xml:space="preserve">         28.44亿</t>
  </si>
  <si>
    <t>浩物股份</t>
  </si>
  <si>
    <t>中色股份</t>
  </si>
  <si>
    <t xml:space="preserve">         99.05亿</t>
  </si>
  <si>
    <t>中百集团</t>
  </si>
  <si>
    <t xml:space="preserve">         44.85亿</t>
  </si>
  <si>
    <t>斯太尔</t>
  </si>
  <si>
    <t xml:space="preserve">         24.80亿</t>
  </si>
  <si>
    <t>本钢板材</t>
  </si>
  <si>
    <t xml:space="preserve">        106.43亿</t>
  </si>
  <si>
    <t>西藏矿业</t>
  </si>
  <si>
    <t xml:space="preserve">         39.98亿</t>
  </si>
  <si>
    <t>通化金马</t>
  </si>
  <si>
    <t xml:space="preserve">         46.40亿</t>
  </si>
  <si>
    <t>漳泽电力</t>
  </si>
  <si>
    <t xml:space="preserve">         82.13亿</t>
  </si>
  <si>
    <t>中航飞机</t>
  </si>
  <si>
    <t xml:space="preserve">        463.47亿</t>
  </si>
  <si>
    <t>广发证券</t>
  </si>
  <si>
    <t xml:space="preserve">       1010.42亿</t>
  </si>
  <si>
    <t>中核科技</t>
  </si>
  <si>
    <t xml:space="preserve">         55.90亿</t>
  </si>
  <si>
    <t>新兴铸管</t>
  </si>
  <si>
    <t xml:space="preserve">        196.05亿</t>
  </si>
  <si>
    <t>三毛派神</t>
  </si>
  <si>
    <t xml:space="preserve">         18.33亿</t>
  </si>
  <si>
    <t>平庄能源</t>
  </si>
  <si>
    <t xml:space="preserve">         38.44亿</t>
  </si>
  <si>
    <t>美达股份</t>
  </si>
  <si>
    <t xml:space="preserve">         22.23亿</t>
  </si>
  <si>
    <t>长江证券</t>
  </si>
  <si>
    <t xml:space="preserve">        405.86亿</t>
  </si>
  <si>
    <t>武汉中商</t>
  </si>
  <si>
    <t xml:space="preserve">         32.29亿</t>
  </si>
  <si>
    <t>北新建材</t>
  </si>
  <si>
    <t xml:space="preserve">        279.54亿</t>
  </si>
  <si>
    <t>北大医药</t>
  </si>
  <si>
    <t xml:space="preserve">         37.01亿</t>
  </si>
  <si>
    <t>万年青</t>
  </si>
  <si>
    <t xml:space="preserve">         79.98亿</t>
  </si>
  <si>
    <t>泰合健康</t>
  </si>
  <si>
    <t xml:space="preserve">         29.22亿</t>
  </si>
  <si>
    <t>甘肃电投</t>
  </si>
  <si>
    <t xml:space="preserve">         57.68亿</t>
  </si>
  <si>
    <t>盐湖股份</t>
  </si>
  <si>
    <t xml:space="preserve">        204.59亿</t>
  </si>
  <si>
    <t>华闻传媒</t>
  </si>
  <si>
    <t xml:space="preserve">         79.30亿</t>
  </si>
  <si>
    <t>英洛华</t>
  </si>
  <si>
    <t xml:space="preserve">         39.27亿</t>
  </si>
  <si>
    <t>凯撒旅游</t>
  </si>
  <si>
    <t xml:space="preserve">         63.40亿</t>
  </si>
  <si>
    <t>中国武夷</t>
  </si>
  <si>
    <t xml:space="preserve">         77.97亿</t>
  </si>
  <si>
    <t>中水渔业</t>
  </si>
  <si>
    <t xml:space="preserve">         22.17亿</t>
  </si>
  <si>
    <t>酒鬼酒</t>
  </si>
  <si>
    <t xml:space="preserve">         65.51亿</t>
  </si>
  <si>
    <t>一汽轿车</t>
  </si>
  <si>
    <t xml:space="preserve">        119.86亿</t>
  </si>
  <si>
    <t>四川九洲</t>
  </si>
  <si>
    <t xml:space="preserve">         69.45亿</t>
  </si>
  <si>
    <t>北京文化</t>
  </si>
  <si>
    <t xml:space="preserve">         52.24亿</t>
  </si>
  <si>
    <t>金宇车城</t>
  </si>
  <si>
    <t xml:space="preserve">         17.96亿</t>
  </si>
  <si>
    <t>银河生物</t>
  </si>
  <si>
    <t xml:space="preserve">         33.11亿</t>
  </si>
  <si>
    <t>云铝股份</t>
  </si>
  <si>
    <t xml:space="preserve">        124.15亿</t>
  </si>
  <si>
    <t>铁岭新城</t>
  </si>
  <si>
    <t xml:space="preserve">         24.08亿</t>
  </si>
  <si>
    <t>创维数字</t>
  </si>
  <si>
    <t xml:space="preserve">         89.57亿</t>
  </si>
  <si>
    <t>冰轮环境</t>
  </si>
  <si>
    <t xml:space="preserve">         42.58亿</t>
  </si>
  <si>
    <t>陕西金叶</t>
  </si>
  <si>
    <t xml:space="preserve">         34.67亿</t>
  </si>
  <si>
    <t>德展健康</t>
  </si>
  <si>
    <t xml:space="preserve">        100.06亿</t>
  </si>
  <si>
    <t>美利云</t>
  </si>
  <si>
    <t xml:space="preserve">         29.81亿</t>
  </si>
  <si>
    <t>*ST慧业</t>
  </si>
  <si>
    <t xml:space="preserve">         28.20亿</t>
  </si>
  <si>
    <t>航锦科技</t>
  </si>
  <si>
    <t xml:space="preserve">         75.08亿</t>
  </si>
  <si>
    <t>岳阳兴长</t>
  </si>
  <si>
    <t xml:space="preserve">         30.23亿</t>
  </si>
  <si>
    <t>神雾节能</t>
  </si>
  <si>
    <t>京山轻机</t>
  </si>
  <si>
    <t xml:space="preserve">         44.83亿</t>
  </si>
  <si>
    <t>山东海化</t>
  </si>
  <si>
    <t xml:space="preserve">         51.38亿</t>
  </si>
  <si>
    <t>超声电子</t>
  </si>
  <si>
    <t xml:space="preserve">         55.36亿</t>
  </si>
  <si>
    <t>太钢不锈</t>
  </si>
  <si>
    <t xml:space="preserve">        297.90亿</t>
  </si>
  <si>
    <t>启迪桑德</t>
  </si>
  <si>
    <t xml:space="preserve">        145.72亿</t>
  </si>
  <si>
    <t>东莞控股</t>
  </si>
  <si>
    <t xml:space="preserve">        104.06亿</t>
  </si>
  <si>
    <t>天音控股</t>
  </si>
  <si>
    <t xml:space="preserve">         59.61亿</t>
  </si>
  <si>
    <t>鲁西化工</t>
  </si>
  <si>
    <t xml:space="preserve">        189.59亿</t>
  </si>
  <si>
    <t>五矿稀土</t>
  </si>
  <si>
    <t xml:space="preserve">        100.84亿</t>
  </si>
  <si>
    <t>粤桂股份</t>
  </si>
  <si>
    <t>长城动漫</t>
  </si>
  <si>
    <t xml:space="preserve">         15.57亿</t>
  </si>
  <si>
    <t>富通鑫茂</t>
  </si>
  <si>
    <t xml:space="preserve">         57.76亿</t>
  </si>
  <si>
    <t>秦川机床</t>
  </si>
  <si>
    <t>财信发展</t>
  </si>
  <si>
    <t>中信国安</t>
  </si>
  <si>
    <t xml:space="preserve">        205.36亿</t>
  </si>
  <si>
    <t>承德露露</t>
  </si>
  <si>
    <t xml:space="preserve">         86.09亿</t>
  </si>
  <si>
    <t>华茂股份</t>
  </si>
  <si>
    <t xml:space="preserve">         38.40亿</t>
  </si>
  <si>
    <t>高鸿股份</t>
  </si>
  <si>
    <t xml:space="preserve">         56.21亿</t>
  </si>
  <si>
    <t>石化机械</t>
  </si>
  <si>
    <t xml:space="preserve">         52.40亿</t>
  </si>
  <si>
    <t>冀东装备</t>
  </si>
  <si>
    <t xml:space="preserve">         37.18亿</t>
  </si>
  <si>
    <t>五 粮 液</t>
  </si>
  <si>
    <t xml:space="preserve">       2951.97亿</t>
  </si>
  <si>
    <t>国风塑业</t>
  </si>
  <si>
    <t xml:space="preserve">         60.99亿</t>
  </si>
  <si>
    <t>顺鑫农业</t>
  </si>
  <si>
    <t xml:space="preserve">        259.05亿</t>
  </si>
  <si>
    <t>海印股份</t>
  </si>
  <si>
    <t xml:space="preserve">         59.66亿</t>
  </si>
  <si>
    <t>银星能源</t>
  </si>
  <si>
    <t xml:space="preserve">         37.05亿</t>
  </si>
  <si>
    <t>三湘印象</t>
  </si>
  <si>
    <t xml:space="preserve">         42.63亿</t>
  </si>
  <si>
    <t>安凯客车</t>
  </si>
  <si>
    <t xml:space="preserve">         28.10亿</t>
  </si>
  <si>
    <t>张 裕Ａ</t>
  </si>
  <si>
    <t xml:space="preserve">        137.90亿</t>
  </si>
  <si>
    <t>吉电股份</t>
  </si>
  <si>
    <t xml:space="preserve">         57.26亿</t>
  </si>
  <si>
    <t>新 希 望</t>
  </si>
  <si>
    <t xml:space="preserve">        537.38亿</t>
  </si>
  <si>
    <t>天山股份</t>
  </si>
  <si>
    <t xml:space="preserve">         93.03亿</t>
  </si>
  <si>
    <t>云南铜业</t>
  </si>
  <si>
    <t xml:space="preserve">        150.14亿</t>
  </si>
  <si>
    <t>潍柴重机</t>
  </si>
  <si>
    <t xml:space="preserve">         12.15亿</t>
  </si>
  <si>
    <t>中广核技</t>
  </si>
  <si>
    <t xml:space="preserve">         26.89亿</t>
  </si>
  <si>
    <t>华联股份</t>
  </si>
  <si>
    <t xml:space="preserve">         76.70亿</t>
  </si>
  <si>
    <t>湖北能源</t>
  </si>
  <si>
    <t xml:space="preserve">        272.54亿</t>
  </si>
  <si>
    <t>城发环境</t>
  </si>
  <si>
    <t xml:space="preserve">         39.19亿</t>
  </si>
  <si>
    <t>海南高速</t>
  </si>
  <si>
    <t xml:space="preserve">         44.26亿</t>
  </si>
  <si>
    <t>中鼎股份</t>
  </si>
  <si>
    <t xml:space="preserve">        148.54亿</t>
  </si>
  <si>
    <t>峨眉山Ａ</t>
  </si>
  <si>
    <t xml:space="preserve">         35.67亿</t>
  </si>
  <si>
    <t>中嘉博创</t>
  </si>
  <si>
    <t xml:space="preserve">         80.81亿</t>
  </si>
  <si>
    <t>法 尔 胜</t>
  </si>
  <si>
    <t xml:space="preserve">         25.47亿</t>
  </si>
  <si>
    <t>欢瑞世纪</t>
  </si>
  <si>
    <t xml:space="preserve">         28.79亿</t>
  </si>
  <si>
    <t>*ST东凌</t>
  </si>
  <si>
    <t xml:space="preserve">         19.20亿</t>
  </si>
  <si>
    <t>双汇发展</t>
  </si>
  <si>
    <t xml:space="preserve">        822.78亿</t>
  </si>
  <si>
    <t>津滨发展</t>
  </si>
  <si>
    <t xml:space="preserve">         49.00亿</t>
  </si>
  <si>
    <t>鞍钢股份</t>
  </si>
  <si>
    <t xml:space="preserve">        360.95亿</t>
  </si>
  <si>
    <t>赣能股份</t>
  </si>
  <si>
    <t xml:space="preserve">         54.05亿</t>
  </si>
  <si>
    <t>现代投资</t>
  </si>
  <si>
    <t xml:space="preserve">         74.62亿</t>
  </si>
  <si>
    <t>航天科技</t>
  </si>
  <si>
    <t xml:space="preserve">         74.05亿</t>
  </si>
  <si>
    <t>新洋丰</t>
  </si>
  <si>
    <t xml:space="preserve">        116.47亿</t>
  </si>
  <si>
    <t>云内动力</t>
  </si>
  <si>
    <t xml:space="preserve">         53.19亿</t>
  </si>
  <si>
    <t>厦门港务</t>
  </si>
  <si>
    <t>浙商中拓</t>
  </si>
  <si>
    <t>景峰医药</t>
  </si>
  <si>
    <t xml:space="preserve">         38.32亿</t>
  </si>
  <si>
    <t>数源科技</t>
  </si>
  <si>
    <t xml:space="preserve">         26.09亿</t>
  </si>
  <si>
    <t>大亚圣象</t>
  </si>
  <si>
    <t xml:space="preserve">         73.72亿</t>
  </si>
  <si>
    <t>南宁糖业</t>
  </si>
  <si>
    <t xml:space="preserve">         25.28亿</t>
  </si>
  <si>
    <t>*ST天化</t>
  </si>
  <si>
    <t xml:space="preserve">         88.44亿</t>
  </si>
  <si>
    <t>钱江摩托</t>
  </si>
  <si>
    <t xml:space="preserve">         47.48亿</t>
  </si>
  <si>
    <t>山大华特</t>
  </si>
  <si>
    <t xml:space="preserve">         45.01亿</t>
  </si>
  <si>
    <t>电广传媒</t>
  </si>
  <si>
    <t xml:space="preserve">        124.67亿</t>
  </si>
  <si>
    <t>嘉凯城</t>
  </si>
  <si>
    <t xml:space="preserve">        134.41亿</t>
  </si>
  <si>
    <t>金陵药业</t>
  </si>
  <si>
    <t xml:space="preserve">         36.57亿</t>
  </si>
  <si>
    <t>南方汇通</t>
  </si>
  <si>
    <t xml:space="preserve">         29.45亿</t>
  </si>
  <si>
    <t>海信家电</t>
  </si>
  <si>
    <t xml:space="preserve">         93.27亿</t>
  </si>
  <si>
    <t>佳电股份</t>
  </si>
  <si>
    <t xml:space="preserve">         39.16亿</t>
  </si>
  <si>
    <t>河北宣工</t>
  </si>
  <si>
    <t xml:space="preserve">         30.31亿</t>
  </si>
  <si>
    <t>众合科技</t>
  </si>
  <si>
    <t xml:space="preserve">         34.59亿</t>
  </si>
  <si>
    <t>福星股份</t>
  </si>
  <si>
    <t xml:space="preserve">         69.89亿</t>
  </si>
  <si>
    <t>一汽夏利</t>
  </si>
  <si>
    <t xml:space="preserve">         61.10亿</t>
  </si>
  <si>
    <t>中钢国际</t>
  </si>
  <si>
    <t xml:space="preserve">         39.24亿</t>
  </si>
  <si>
    <t>兰州黄河</t>
  </si>
  <si>
    <t xml:space="preserve">         13.91亿</t>
  </si>
  <si>
    <t>中粮生化</t>
  </si>
  <si>
    <t xml:space="preserve">         74.50亿</t>
  </si>
  <si>
    <t>中 关 村</t>
  </si>
  <si>
    <t xml:space="preserve">         61.36亿</t>
  </si>
  <si>
    <t>华菱钢铁</t>
  </si>
  <si>
    <t xml:space="preserve">        238.21亿</t>
  </si>
  <si>
    <t>神火股份</t>
  </si>
  <si>
    <t xml:space="preserve">         99.58亿</t>
  </si>
  <si>
    <t>四川双马</t>
  </si>
  <si>
    <t xml:space="preserve">        135.59亿</t>
  </si>
  <si>
    <t>华西股份</t>
  </si>
  <si>
    <t xml:space="preserve">         80.21亿</t>
  </si>
  <si>
    <t>冀中能源</t>
  </si>
  <si>
    <t xml:space="preserve">        125.57亿</t>
  </si>
  <si>
    <t>紫光股份</t>
  </si>
  <si>
    <t xml:space="preserve">        123.89亿</t>
  </si>
  <si>
    <t>*ST凯迪</t>
  </si>
  <si>
    <t xml:space="preserve">         34.93亿</t>
  </si>
  <si>
    <t>南天信息</t>
  </si>
  <si>
    <t xml:space="preserve">         34.26亿</t>
  </si>
  <si>
    <t>新乡化纤</t>
  </si>
  <si>
    <t xml:space="preserve">         41.98亿</t>
  </si>
  <si>
    <t>重药控股</t>
  </si>
  <si>
    <t xml:space="preserve">         41.38亿</t>
  </si>
  <si>
    <t>中国重汽</t>
  </si>
  <si>
    <t xml:space="preserve">        102.78亿</t>
  </si>
  <si>
    <t>广济药业</t>
  </si>
  <si>
    <t xml:space="preserve">         27.99亿</t>
  </si>
  <si>
    <t>ST河化</t>
  </si>
  <si>
    <t xml:space="preserve">         11.85亿</t>
  </si>
  <si>
    <t>欣龙控股</t>
  </si>
  <si>
    <t xml:space="preserve">         25.30亿</t>
  </si>
  <si>
    <t>中通客车</t>
  </si>
  <si>
    <t xml:space="preserve">         49.15亿</t>
  </si>
  <si>
    <t>东方能源</t>
  </si>
  <si>
    <t xml:space="preserve">         47.16亿</t>
  </si>
  <si>
    <t>首钢股份</t>
  </si>
  <si>
    <t xml:space="preserve">        129.64亿</t>
  </si>
  <si>
    <t>锡业股份</t>
  </si>
  <si>
    <t xml:space="preserve">        179.14亿</t>
  </si>
  <si>
    <t>中南建设</t>
  </si>
  <si>
    <t xml:space="preserve">        309.68亿</t>
  </si>
  <si>
    <t>东方钽业</t>
  </si>
  <si>
    <t xml:space="preserve">         34.52亿</t>
  </si>
  <si>
    <t>华东医药</t>
  </si>
  <si>
    <t xml:space="preserve">        458.74亿</t>
  </si>
  <si>
    <t>天保基建</t>
  </si>
  <si>
    <t xml:space="preserve">         47.83亿</t>
  </si>
  <si>
    <t>长源电力</t>
  </si>
  <si>
    <t xml:space="preserve">         46.66亿</t>
  </si>
  <si>
    <t>盈峰环境</t>
  </si>
  <si>
    <t xml:space="preserve">         78.36亿</t>
  </si>
  <si>
    <t>蓝焰控股</t>
  </si>
  <si>
    <t xml:space="preserve">         68.84亿</t>
  </si>
  <si>
    <t>安泰科技</t>
  </si>
  <si>
    <t xml:space="preserve">         56.83亿</t>
  </si>
  <si>
    <t>中科三环</t>
  </si>
  <si>
    <t xml:space="preserve">        101.94亿</t>
  </si>
  <si>
    <t>高升控股</t>
  </si>
  <si>
    <t xml:space="preserve">         26.94亿</t>
  </si>
  <si>
    <t>ST中基</t>
  </si>
  <si>
    <t xml:space="preserve">         25.99亿</t>
  </si>
  <si>
    <t>佛塑科技</t>
  </si>
  <si>
    <t xml:space="preserve">         47.60亿</t>
  </si>
  <si>
    <t>银泰资源</t>
  </si>
  <si>
    <t xml:space="preserve">        132.59亿</t>
  </si>
  <si>
    <t>华铁股份</t>
  </si>
  <si>
    <t xml:space="preserve">         80.36亿</t>
  </si>
  <si>
    <t>浪潮信息</t>
  </si>
  <si>
    <t xml:space="preserve">        323.47亿</t>
  </si>
  <si>
    <t>桂林旅游</t>
  </si>
  <si>
    <t xml:space="preserve">         22.54亿</t>
  </si>
  <si>
    <t>众泰汽车</t>
  </si>
  <si>
    <t xml:space="preserve">         65.91亿</t>
  </si>
  <si>
    <t>银亿股份</t>
  </si>
  <si>
    <t xml:space="preserve">         98.85亿</t>
  </si>
  <si>
    <t>*ST 中绒</t>
  </si>
  <si>
    <t xml:space="preserve">         24.19亿</t>
  </si>
  <si>
    <t>西山煤电</t>
  </si>
  <si>
    <t xml:space="preserve">        202.94亿</t>
  </si>
  <si>
    <t>大庆华科</t>
  </si>
  <si>
    <t xml:space="preserve">         18.23亿</t>
  </si>
  <si>
    <t>越秀金控</t>
  </si>
  <si>
    <t xml:space="preserve">         58.52亿</t>
  </si>
  <si>
    <t>华工科技</t>
  </si>
  <si>
    <t xml:space="preserve">        153.80亿</t>
  </si>
  <si>
    <t>九 芝 堂</t>
  </si>
  <si>
    <t xml:space="preserve">        102.05亿</t>
  </si>
  <si>
    <t>诚志股份</t>
  </si>
  <si>
    <t xml:space="preserve">         51.56亿</t>
  </si>
  <si>
    <t>闽东电力</t>
  </si>
  <si>
    <t xml:space="preserve">         21.67亿</t>
  </si>
  <si>
    <t>*ST皇台</t>
  </si>
  <si>
    <t xml:space="preserve">          7.89亿</t>
  </si>
  <si>
    <t>中国中期</t>
  </si>
  <si>
    <t>新 大 陆</t>
  </si>
  <si>
    <t xml:space="preserve">        180.40亿</t>
  </si>
  <si>
    <t>隆平高科</t>
  </si>
  <si>
    <t xml:space="preserve">        152.79亿</t>
  </si>
  <si>
    <t>华润三九</t>
  </si>
  <si>
    <t xml:space="preserve">        262.80亿</t>
  </si>
  <si>
    <t>宗申动力</t>
  </si>
  <si>
    <t xml:space="preserve">         52.94亿</t>
  </si>
  <si>
    <t>招商港口</t>
  </si>
  <si>
    <t xml:space="preserve">         81.21亿</t>
  </si>
  <si>
    <t>豫能控股</t>
  </si>
  <si>
    <t xml:space="preserve">         35.97亿</t>
  </si>
  <si>
    <t>招商公路</t>
  </si>
  <si>
    <t xml:space="preserve">         50.77亿</t>
  </si>
  <si>
    <t>招商蛇口</t>
  </si>
  <si>
    <t xml:space="preserve">        513.14亿</t>
  </si>
  <si>
    <t>新 和 成</t>
  </si>
  <si>
    <t xml:space="preserve">        380.38亿</t>
  </si>
  <si>
    <t>鸿达兴业</t>
  </si>
  <si>
    <t xml:space="preserve">        125.93亿</t>
  </si>
  <si>
    <t>伟星股份</t>
  </si>
  <si>
    <t>华邦健康</t>
  </si>
  <si>
    <t xml:space="preserve">         93.46亿</t>
  </si>
  <si>
    <t>德豪润达</t>
  </si>
  <si>
    <t xml:space="preserve">         47.95亿</t>
  </si>
  <si>
    <t>精功科技</t>
  </si>
  <si>
    <t xml:space="preserve">         27.63亿</t>
  </si>
  <si>
    <t>华兰生物</t>
  </si>
  <si>
    <t xml:space="preserve">        314.72亿</t>
  </si>
  <si>
    <t>大族激光</t>
  </si>
  <si>
    <t xml:space="preserve">        419.77亿</t>
  </si>
  <si>
    <t>天奇股份</t>
  </si>
  <si>
    <t xml:space="preserve">         33.28亿</t>
  </si>
  <si>
    <t>传化智联</t>
  </si>
  <si>
    <t xml:space="preserve">        262.25亿</t>
  </si>
  <si>
    <t>盾安环境</t>
  </si>
  <si>
    <t xml:space="preserve">         48.45亿</t>
  </si>
  <si>
    <t>凯恩股份</t>
  </si>
  <si>
    <t xml:space="preserve">         24.10亿</t>
  </si>
  <si>
    <t>中航机电</t>
  </si>
  <si>
    <t xml:space="preserve">        246.06亿</t>
  </si>
  <si>
    <t>永新股份</t>
  </si>
  <si>
    <t xml:space="preserve">         35.88亿</t>
  </si>
  <si>
    <t>霞客环保</t>
  </si>
  <si>
    <t xml:space="preserve">         21.36亿</t>
  </si>
  <si>
    <t>世荣兆业</t>
  </si>
  <si>
    <t xml:space="preserve">         75.48亿</t>
  </si>
  <si>
    <t>东信和平</t>
  </si>
  <si>
    <t xml:space="preserve">         58.81亿</t>
  </si>
  <si>
    <t>*ST华信</t>
  </si>
  <si>
    <t xml:space="preserve">         28.70亿</t>
  </si>
  <si>
    <t>亿帆医药</t>
  </si>
  <si>
    <t xml:space="preserve">        104.00亿</t>
  </si>
  <si>
    <t>京新药业</t>
  </si>
  <si>
    <t xml:space="preserve">         59.44亿</t>
  </si>
  <si>
    <t>中捷资源</t>
  </si>
  <si>
    <t xml:space="preserve">         22.82亿</t>
  </si>
  <si>
    <t>科华生物</t>
  </si>
  <si>
    <t xml:space="preserve">         56.30亿</t>
  </si>
  <si>
    <t>海特高新</t>
  </si>
  <si>
    <t xml:space="preserve">         83.00亿</t>
  </si>
  <si>
    <t>苏宁易购</t>
  </si>
  <si>
    <t xml:space="preserve">        746.63亿</t>
  </si>
  <si>
    <t>航天电器</t>
  </si>
  <si>
    <t xml:space="preserve">        121.38亿</t>
  </si>
  <si>
    <t>山东威达</t>
  </si>
  <si>
    <t xml:space="preserve">         24.31亿</t>
  </si>
  <si>
    <t>分众传媒</t>
  </si>
  <si>
    <t xml:space="preserve">       1025.98亿</t>
  </si>
  <si>
    <t>思源电气</t>
  </si>
  <si>
    <t xml:space="preserve">         71.07亿</t>
  </si>
  <si>
    <t>七 匹 狼</t>
  </si>
  <si>
    <t xml:space="preserve">         54.78亿</t>
  </si>
  <si>
    <t>达安基因</t>
  </si>
  <si>
    <t xml:space="preserve">         97.77亿</t>
  </si>
  <si>
    <t>巨轮智能</t>
  </si>
  <si>
    <t xml:space="preserve">         51.24亿</t>
  </si>
  <si>
    <t>苏 泊 尔</t>
  </si>
  <si>
    <t xml:space="preserve">        359.02亿</t>
  </si>
  <si>
    <t>丽江旅游</t>
  </si>
  <si>
    <t xml:space="preserve">         36.05亿</t>
  </si>
  <si>
    <t>旺能环境</t>
  </si>
  <si>
    <t xml:space="preserve">         37.57亿</t>
  </si>
  <si>
    <t>华帝股份</t>
  </si>
  <si>
    <t xml:space="preserve">         94.81亿</t>
  </si>
  <si>
    <t>联创电子</t>
  </si>
  <si>
    <t xml:space="preserve">         70.30亿</t>
  </si>
  <si>
    <t>久联发展</t>
  </si>
  <si>
    <t xml:space="preserve">         23.14亿</t>
  </si>
  <si>
    <t>双鹭药业</t>
  </si>
  <si>
    <t xml:space="preserve">        155.29亿</t>
  </si>
  <si>
    <t>黔源电力</t>
  </si>
  <si>
    <t xml:space="preserve">         43.61亿</t>
  </si>
  <si>
    <t>南 京 港</t>
  </si>
  <si>
    <t xml:space="preserve">         32.79亿</t>
  </si>
  <si>
    <t>登海种业</t>
  </si>
  <si>
    <t xml:space="preserve">         56.80亿</t>
  </si>
  <si>
    <t>华孚时尚</t>
  </si>
  <si>
    <t xml:space="preserve">         98.96亿</t>
  </si>
  <si>
    <t>兔 宝 宝</t>
  </si>
  <si>
    <t xml:space="preserve">         47.84亿</t>
  </si>
  <si>
    <t>美年健康</t>
  </si>
  <si>
    <t xml:space="preserve">        412.64亿</t>
  </si>
  <si>
    <t>国光电器</t>
  </si>
  <si>
    <t xml:space="preserve">         25.94亿</t>
  </si>
  <si>
    <t>轴研科技</t>
  </si>
  <si>
    <t xml:space="preserve">         32.80亿</t>
  </si>
  <si>
    <t>宝鹰股份</t>
  </si>
  <si>
    <t xml:space="preserve">         87.02亿</t>
  </si>
  <si>
    <t>宁波华翔</t>
  </si>
  <si>
    <t xml:space="preserve">         69.54亿</t>
  </si>
  <si>
    <t>紫光国微</t>
  </si>
  <si>
    <t xml:space="preserve">        250.12亿</t>
  </si>
  <si>
    <t>三花智控</t>
  </si>
  <si>
    <t xml:space="preserve">        296.23亿</t>
  </si>
  <si>
    <t>中工国际</t>
  </si>
  <si>
    <t xml:space="preserve">        153.68亿</t>
  </si>
  <si>
    <t>同洲电子</t>
  </si>
  <si>
    <t xml:space="preserve">         39.01亿</t>
  </si>
  <si>
    <t>云南能投</t>
  </si>
  <si>
    <t xml:space="preserve">         30.33亿</t>
  </si>
  <si>
    <t>德美化工</t>
  </si>
  <si>
    <t xml:space="preserve">         22.35亿</t>
  </si>
  <si>
    <t>得润电子</t>
  </si>
  <si>
    <t xml:space="preserve">         64.39亿</t>
  </si>
  <si>
    <t>横店东磁</t>
  </si>
  <si>
    <t xml:space="preserve">        119.08亿</t>
  </si>
  <si>
    <t>中钢天源</t>
  </si>
  <si>
    <t xml:space="preserve">         22.66亿</t>
  </si>
  <si>
    <t>威 尔 泰</t>
  </si>
  <si>
    <t xml:space="preserve">         20.13亿</t>
  </si>
  <si>
    <t>云南旅游</t>
  </si>
  <si>
    <t xml:space="preserve">         45.31亿</t>
  </si>
  <si>
    <t>粤 水 电</t>
  </si>
  <si>
    <t xml:space="preserve">         42.06亿</t>
  </si>
  <si>
    <t>浙江交科</t>
  </si>
  <si>
    <t xml:space="preserve">         53.53亿</t>
  </si>
  <si>
    <t>宏润建设</t>
  </si>
  <si>
    <t xml:space="preserve">         41.60亿</t>
  </si>
  <si>
    <t>远光软件</t>
  </si>
  <si>
    <t xml:space="preserve">         66.85亿</t>
  </si>
  <si>
    <t>华峰氨纶</t>
  </si>
  <si>
    <t xml:space="preserve">         78.22亿</t>
  </si>
  <si>
    <t>东华软件</t>
  </si>
  <si>
    <t xml:space="preserve">        247.08亿</t>
  </si>
  <si>
    <t>瑞泰科技</t>
  </si>
  <si>
    <t>景兴纸业</t>
  </si>
  <si>
    <t>黑猫股份</t>
  </si>
  <si>
    <t xml:space="preserve">         39.70亿</t>
  </si>
  <si>
    <t>獐子岛</t>
  </si>
  <si>
    <t xml:space="preserve">         28.86亿</t>
  </si>
  <si>
    <t>长城影视</t>
  </si>
  <si>
    <t xml:space="preserve">         26.23亿</t>
  </si>
  <si>
    <t>凯瑞德</t>
  </si>
  <si>
    <t xml:space="preserve">         11.79亿</t>
  </si>
  <si>
    <t>软控股份</t>
  </si>
  <si>
    <t xml:space="preserve">         47.17亿</t>
  </si>
  <si>
    <t>国轩高科</t>
  </si>
  <si>
    <t xml:space="preserve">        176.95亿</t>
  </si>
  <si>
    <t>沙钢股份</t>
  </si>
  <si>
    <t xml:space="preserve">        224.21亿</t>
  </si>
  <si>
    <t>雪 莱 特</t>
  </si>
  <si>
    <t xml:space="preserve">         17.06亿</t>
  </si>
  <si>
    <t>大港股份</t>
  </si>
  <si>
    <t xml:space="preserve">         26.64亿</t>
  </si>
  <si>
    <t>太阳纸业</t>
  </si>
  <si>
    <t xml:space="preserve">        187.24亿</t>
  </si>
  <si>
    <t>苏州固锝</t>
  </si>
  <si>
    <t xml:space="preserve">         53.83亿</t>
  </si>
  <si>
    <t>中材科技</t>
  </si>
  <si>
    <t xml:space="preserve">         83.46亿</t>
  </si>
  <si>
    <t>金 螳 螂</t>
  </si>
  <si>
    <t xml:space="preserve">        281.83亿</t>
  </si>
  <si>
    <t>万邦德</t>
  </si>
  <si>
    <t>孚日股份</t>
  </si>
  <si>
    <t xml:space="preserve">         49.57亿</t>
  </si>
  <si>
    <t>海鸥住工</t>
  </si>
  <si>
    <t xml:space="preserve">         24.55亿</t>
  </si>
  <si>
    <t>万丰奥威</t>
  </si>
  <si>
    <t xml:space="preserve">        171.85亿</t>
  </si>
  <si>
    <t>ST东海洋</t>
  </si>
  <si>
    <t xml:space="preserve">         22.07亿</t>
  </si>
  <si>
    <t>新野纺织</t>
  </si>
  <si>
    <t xml:space="preserve">         35.32亿</t>
  </si>
  <si>
    <t>鲁阳节能</t>
  </si>
  <si>
    <t xml:space="preserve">         34.75亿</t>
  </si>
  <si>
    <t>新 海 宜</t>
  </si>
  <si>
    <t xml:space="preserve">         53.75亿</t>
  </si>
  <si>
    <t>金智科技</t>
  </si>
  <si>
    <t xml:space="preserve">         43.93亿</t>
  </si>
  <si>
    <t>江苏国泰</t>
  </si>
  <si>
    <t xml:space="preserve">         66.01亿</t>
  </si>
  <si>
    <t>中泰化学</t>
  </si>
  <si>
    <t xml:space="preserve">        191.64亿</t>
  </si>
  <si>
    <t>国脉科技</t>
  </si>
  <si>
    <t xml:space="preserve">         90.18亿</t>
  </si>
  <si>
    <t>青岛金王</t>
  </si>
  <si>
    <t xml:space="preserve">         34.00亿</t>
  </si>
  <si>
    <t>生 意 宝</t>
  </si>
  <si>
    <t xml:space="preserve">         73.43亿</t>
  </si>
  <si>
    <t>南岭民爆</t>
  </si>
  <si>
    <t xml:space="preserve">         24.03亿</t>
  </si>
  <si>
    <t>山河智能</t>
  </si>
  <si>
    <t xml:space="preserve">         57.66亿</t>
  </si>
  <si>
    <t>浔兴股份</t>
  </si>
  <si>
    <t xml:space="preserve">         37.09亿</t>
  </si>
  <si>
    <t>海翔药业</t>
  </si>
  <si>
    <t xml:space="preserve">         92.16亿</t>
  </si>
  <si>
    <t>天康生物</t>
  </si>
  <si>
    <t xml:space="preserve">         71.39亿</t>
  </si>
  <si>
    <t>广东鸿图</t>
  </si>
  <si>
    <t xml:space="preserve">         39.58亿</t>
  </si>
  <si>
    <t>ST冠福</t>
  </si>
  <si>
    <t xml:space="preserve">         37.64亿</t>
  </si>
  <si>
    <t>广博股份</t>
  </si>
  <si>
    <t xml:space="preserve">         19.05亿</t>
  </si>
  <si>
    <t>恒宝股份</t>
  </si>
  <si>
    <t xml:space="preserve">         44.33亿</t>
  </si>
  <si>
    <t>信隆健康</t>
  </si>
  <si>
    <t xml:space="preserve">         17.95亿</t>
  </si>
  <si>
    <t>莱宝高科</t>
  </si>
  <si>
    <t xml:space="preserve">         58.98亿</t>
  </si>
  <si>
    <t>沃华医药</t>
  </si>
  <si>
    <t xml:space="preserve">         30.02亿</t>
  </si>
  <si>
    <t>沧州明珠</t>
  </si>
  <si>
    <t xml:space="preserve">         74.44亿</t>
  </si>
  <si>
    <t>兴化股份</t>
  </si>
  <si>
    <t xml:space="preserve">         22.67亿</t>
  </si>
  <si>
    <t>三钢闽光</t>
  </si>
  <si>
    <t xml:space="preserve">        166.13亿</t>
  </si>
  <si>
    <t>威海广泰</t>
  </si>
  <si>
    <t xml:space="preserve">         42.88亿</t>
  </si>
  <si>
    <t>三变科技</t>
  </si>
  <si>
    <t xml:space="preserve">         15.09亿</t>
  </si>
  <si>
    <t>天润数娱</t>
  </si>
  <si>
    <t xml:space="preserve">         33.90亿</t>
  </si>
  <si>
    <t>罗平锌电</t>
  </si>
  <si>
    <t xml:space="preserve">         28.13亿</t>
  </si>
  <si>
    <t>三维通信</t>
  </si>
  <si>
    <t xml:space="preserve">         47.73亿</t>
  </si>
  <si>
    <t>中国海诚</t>
  </si>
  <si>
    <t xml:space="preserve">         40.98亿</t>
  </si>
  <si>
    <t>东港股份</t>
  </si>
  <si>
    <t>紫鑫药业</t>
  </si>
  <si>
    <t xml:space="preserve">         75.15亿</t>
  </si>
  <si>
    <t>康强电子</t>
  </si>
  <si>
    <t xml:space="preserve">         29.68亿</t>
  </si>
  <si>
    <t>韵达股份</t>
  </si>
  <si>
    <t xml:space="preserve">        127.45亿</t>
  </si>
  <si>
    <t>科陆电子</t>
  </si>
  <si>
    <t xml:space="preserve">         53.52亿</t>
  </si>
  <si>
    <t>*ST天马</t>
  </si>
  <si>
    <t xml:space="preserve">         25.34亿</t>
  </si>
  <si>
    <t>梦网集团</t>
  </si>
  <si>
    <t xml:space="preserve">         80.49亿</t>
  </si>
  <si>
    <t>天邦股份</t>
  </si>
  <si>
    <t xml:space="preserve">        142.26亿</t>
  </si>
  <si>
    <t>湘潭电化</t>
  </si>
  <si>
    <t>银轮股份</t>
  </si>
  <si>
    <t xml:space="preserve">         67.44亿</t>
  </si>
  <si>
    <t>南极电商</t>
  </si>
  <si>
    <t xml:space="preserve">        204.94亿</t>
  </si>
  <si>
    <t>露天煤业</t>
  </si>
  <si>
    <t xml:space="preserve">        143.82亿</t>
  </si>
  <si>
    <t>中环股份</t>
  </si>
  <si>
    <t xml:space="preserve">        280.29亿</t>
  </si>
  <si>
    <t>沃尔核材</t>
  </si>
  <si>
    <t xml:space="preserve">         42.48亿</t>
  </si>
  <si>
    <t>利欧股份</t>
  </si>
  <si>
    <t xml:space="preserve">         73.02亿</t>
  </si>
  <si>
    <t>恒星科技</t>
  </si>
  <si>
    <t xml:space="preserve">         38.37亿</t>
  </si>
  <si>
    <t>广宇集团</t>
  </si>
  <si>
    <t xml:space="preserve">         26.48亿</t>
  </si>
  <si>
    <t>天津普林</t>
  </si>
  <si>
    <t xml:space="preserve">         17.28亿</t>
  </si>
  <si>
    <t>东南网架</t>
  </si>
  <si>
    <t xml:space="preserve">         54.16亿</t>
  </si>
  <si>
    <t>安 纳 达</t>
  </si>
  <si>
    <t xml:space="preserve">         18.78亿</t>
  </si>
  <si>
    <t>麦达数字</t>
  </si>
  <si>
    <t xml:space="preserve">         28.31亿</t>
  </si>
  <si>
    <t>顺络电子</t>
  </si>
  <si>
    <t xml:space="preserve">        125.62亿</t>
  </si>
  <si>
    <t>拓邦股份</t>
  </si>
  <si>
    <t xml:space="preserve">         45.95亿</t>
  </si>
  <si>
    <t>东华科技</t>
  </si>
  <si>
    <t xml:space="preserve">         33.67亿</t>
  </si>
  <si>
    <t>贤丰控股</t>
  </si>
  <si>
    <t xml:space="preserve">         33.29亿</t>
  </si>
  <si>
    <t>宁波银行</t>
  </si>
  <si>
    <t xml:space="preserve">        918.25亿</t>
  </si>
  <si>
    <t>印纪传媒</t>
  </si>
  <si>
    <t xml:space="preserve">         37.89亿</t>
  </si>
  <si>
    <t>宏达高科</t>
  </si>
  <si>
    <t xml:space="preserve">         15.95亿</t>
  </si>
  <si>
    <t>中核钛白</t>
  </si>
  <si>
    <t xml:space="preserve">         41.11亿</t>
  </si>
  <si>
    <t>荣盛发展</t>
  </si>
  <si>
    <t xml:space="preserve">        421.67亿</t>
  </si>
  <si>
    <t>ST新光</t>
  </si>
  <si>
    <t xml:space="preserve">         16.54亿</t>
  </si>
  <si>
    <t>北纬科技</t>
  </si>
  <si>
    <t xml:space="preserve">         33.75亿</t>
  </si>
  <si>
    <t>西部材料</t>
  </si>
  <si>
    <t xml:space="preserve">         34.45亿</t>
  </si>
  <si>
    <t>通润装备</t>
  </si>
  <si>
    <t xml:space="preserve">         21.28亿</t>
  </si>
  <si>
    <t>北斗星通</t>
  </si>
  <si>
    <t xml:space="preserve">         76.16亿</t>
  </si>
  <si>
    <t>广电运通</t>
  </si>
  <si>
    <t xml:space="preserve">        138.50亿</t>
  </si>
  <si>
    <t>石基信息</t>
  </si>
  <si>
    <t xml:space="preserve">        161.57亿</t>
  </si>
  <si>
    <t>报 喜 鸟</t>
  </si>
  <si>
    <t xml:space="preserve">         41.64亿</t>
  </si>
  <si>
    <t>湖南黄金</t>
  </si>
  <si>
    <t xml:space="preserve">        101.08亿</t>
  </si>
  <si>
    <t>通富微电</t>
  </si>
  <si>
    <t xml:space="preserve">        111.08亿</t>
  </si>
  <si>
    <t>正邦科技</t>
  </si>
  <si>
    <t xml:space="preserve">        303.29亿</t>
  </si>
  <si>
    <t>汉钟精机</t>
  </si>
  <si>
    <t xml:space="preserve">         54.34亿</t>
  </si>
  <si>
    <t>三特索道</t>
  </si>
  <si>
    <t xml:space="preserve">         28.14亿</t>
  </si>
  <si>
    <t>常铝股份</t>
  </si>
  <si>
    <t xml:space="preserve">         26.19亿</t>
  </si>
  <si>
    <t>远 望 谷</t>
  </si>
  <si>
    <t xml:space="preserve">         49.88亿</t>
  </si>
  <si>
    <t>悦心健康</t>
  </si>
  <si>
    <t xml:space="preserve">         31.14亿</t>
  </si>
  <si>
    <t>中航三鑫</t>
  </si>
  <si>
    <t xml:space="preserve">         46.92亿</t>
  </si>
  <si>
    <t>宁波东力</t>
  </si>
  <si>
    <t xml:space="preserve">         16.94亿</t>
  </si>
  <si>
    <t>红 宝 丽</t>
  </si>
  <si>
    <t xml:space="preserve">         24.21亿</t>
  </si>
  <si>
    <t>莱茵生物</t>
  </si>
  <si>
    <t xml:space="preserve">         27.18亿</t>
  </si>
  <si>
    <t>东方锆业</t>
  </si>
  <si>
    <t xml:space="preserve">         48.44亿</t>
  </si>
  <si>
    <t>惠程科技</t>
  </si>
  <si>
    <t xml:space="preserve">         89.91亿</t>
  </si>
  <si>
    <t>智光电气</t>
  </si>
  <si>
    <t xml:space="preserve">         36.49亿</t>
  </si>
  <si>
    <t>芭田股份</t>
  </si>
  <si>
    <t xml:space="preserve">         28.67亿</t>
  </si>
  <si>
    <t>楚江新材</t>
  </si>
  <si>
    <t xml:space="preserve">         62.44亿</t>
  </si>
  <si>
    <t>澳洋健康</t>
  </si>
  <si>
    <t>创新医疗</t>
  </si>
  <si>
    <t xml:space="preserve">         31.34亿</t>
  </si>
  <si>
    <t>游族网络</t>
  </si>
  <si>
    <t xml:space="preserve">        131.02亿</t>
  </si>
  <si>
    <t>东方网络</t>
  </si>
  <si>
    <t xml:space="preserve">         28.71亿</t>
  </si>
  <si>
    <t>江特电机</t>
  </si>
  <si>
    <t xml:space="preserve">         88.10亿</t>
  </si>
  <si>
    <t>御银股份</t>
  </si>
  <si>
    <t xml:space="preserve">         27.71亿</t>
  </si>
  <si>
    <t>延华智能</t>
  </si>
  <si>
    <t xml:space="preserve">         32.66亿</t>
  </si>
  <si>
    <t>中航光电</t>
  </si>
  <si>
    <t xml:space="preserve">        335.84亿</t>
  </si>
  <si>
    <t>纳思达</t>
  </si>
  <si>
    <t xml:space="preserve">        264.77亿</t>
  </si>
  <si>
    <t>粤 传 媒</t>
  </si>
  <si>
    <t xml:space="preserve">         69.43亿</t>
  </si>
  <si>
    <t>云海金属</t>
  </si>
  <si>
    <t xml:space="preserve">         35.76亿</t>
  </si>
  <si>
    <t>怡 亚 通</t>
  </si>
  <si>
    <t xml:space="preserve">        122.13亿</t>
  </si>
  <si>
    <t>海得控制</t>
  </si>
  <si>
    <t xml:space="preserve">         16.59亿</t>
  </si>
  <si>
    <t>华天科技</t>
  </si>
  <si>
    <t xml:space="preserve">        129.74亿</t>
  </si>
  <si>
    <t>全 聚 德</t>
  </si>
  <si>
    <t xml:space="preserve">         39.76亿</t>
  </si>
  <si>
    <t>广百股份</t>
  </si>
  <si>
    <t xml:space="preserve">         31.23亿</t>
  </si>
  <si>
    <t>*ST巴士</t>
  </si>
  <si>
    <t xml:space="preserve">          8.93亿</t>
  </si>
  <si>
    <t>利达光电</t>
  </si>
  <si>
    <t>成飞集成</t>
  </si>
  <si>
    <t xml:space="preserve">         75.73亿</t>
  </si>
  <si>
    <t>劲嘉股份</t>
  </si>
  <si>
    <t xml:space="preserve">        126.68亿</t>
  </si>
  <si>
    <t>融捷股份</t>
  </si>
  <si>
    <t xml:space="preserve">         68.94亿</t>
  </si>
  <si>
    <t>如意集团</t>
  </si>
  <si>
    <t xml:space="preserve">         23.39亿</t>
  </si>
  <si>
    <t>*ST凡谷</t>
  </si>
  <si>
    <t xml:space="preserve">         63.17亿</t>
  </si>
  <si>
    <t>二三四五</t>
  </si>
  <si>
    <t xml:space="preserve">        215.59亿</t>
  </si>
  <si>
    <t>方正电机</t>
  </si>
  <si>
    <t xml:space="preserve">         18.22亿</t>
  </si>
  <si>
    <t>证通电子</t>
  </si>
  <si>
    <t xml:space="preserve">         41.07亿</t>
  </si>
  <si>
    <t>嘉应制药</t>
  </si>
  <si>
    <t xml:space="preserve">         27.31亿</t>
  </si>
  <si>
    <t>东晶电子</t>
  </si>
  <si>
    <t xml:space="preserve">         23.97亿</t>
  </si>
  <si>
    <t>云投生态</t>
  </si>
  <si>
    <t xml:space="preserve">          8.92亿</t>
  </si>
  <si>
    <t>九鼎新材</t>
  </si>
  <si>
    <t>金风科技</t>
  </si>
  <si>
    <t xml:space="preserve">        438.50亿</t>
  </si>
  <si>
    <t>海亮股份</t>
  </si>
  <si>
    <t xml:space="preserve">        135.45亿</t>
  </si>
  <si>
    <t>大连重工</t>
  </si>
  <si>
    <t xml:space="preserve">         76.68亿</t>
  </si>
  <si>
    <t>国统股份</t>
  </si>
  <si>
    <t xml:space="preserve">         18.20亿</t>
  </si>
  <si>
    <t>海 利 得</t>
  </si>
  <si>
    <t>ST准油</t>
  </si>
  <si>
    <t xml:space="preserve">         15.46亿</t>
  </si>
  <si>
    <t>合肥城建</t>
  </si>
  <si>
    <t xml:space="preserve">         45.11亿</t>
  </si>
  <si>
    <t>达 意 隆</t>
  </si>
  <si>
    <t xml:space="preserve">         12.25亿</t>
  </si>
  <si>
    <t>飞马国际</t>
  </si>
  <si>
    <t xml:space="preserve">         57.38亿</t>
  </si>
  <si>
    <t>宏达新材</t>
  </si>
  <si>
    <t xml:space="preserve">         23.79亿</t>
  </si>
  <si>
    <t>南洋股份</t>
  </si>
  <si>
    <t xml:space="preserve">         97.07亿</t>
  </si>
  <si>
    <t>特 尔 佳</t>
  </si>
  <si>
    <t xml:space="preserve">         20.60亿</t>
  </si>
  <si>
    <t>大立科技</t>
  </si>
  <si>
    <t xml:space="preserve">         25.80亿</t>
  </si>
  <si>
    <t>诺 普 信</t>
  </si>
  <si>
    <t xml:space="preserve">         46.70亿</t>
  </si>
  <si>
    <t>三全食品</t>
  </si>
  <si>
    <t xml:space="preserve">         45.25亿</t>
  </si>
  <si>
    <t>合力泰</t>
  </si>
  <si>
    <t xml:space="preserve">        201.06亿</t>
  </si>
  <si>
    <t>拓日新能</t>
  </si>
  <si>
    <t xml:space="preserve">         45.59亿</t>
  </si>
  <si>
    <t>恒康医疗</t>
  </si>
  <si>
    <t xml:space="preserve">         71.81亿</t>
  </si>
  <si>
    <t>天宝食品</t>
  </si>
  <si>
    <t xml:space="preserve">         20.96亿</t>
  </si>
  <si>
    <t>东华能源</t>
  </si>
  <si>
    <t xml:space="preserve">        136.83亿</t>
  </si>
  <si>
    <t>福晶科技</t>
  </si>
  <si>
    <t xml:space="preserve">         55.11亿</t>
  </si>
  <si>
    <t>鱼跃医疗</t>
  </si>
  <si>
    <t xml:space="preserve">        204.80亿</t>
  </si>
  <si>
    <t>三 力 士</t>
  </si>
  <si>
    <t xml:space="preserve">         33.54亿</t>
  </si>
  <si>
    <t>濮耐股份</t>
  </si>
  <si>
    <t xml:space="preserve">         37.06亿</t>
  </si>
  <si>
    <t>江南化工</t>
  </si>
  <si>
    <t xml:space="preserve">         61.14亿</t>
  </si>
  <si>
    <t>奥 特 迅</t>
  </si>
  <si>
    <t xml:space="preserve">         31.29亿</t>
  </si>
  <si>
    <t>合兴包装</t>
  </si>
  <si>
    <t xml:space="preserve">         64.57亿</t>
  </si>
  <si>
    <t>鸿博股份</t>
  </si>
  <si>
    <t xml:space="preserve">         34.05亿</t>
  </si>
  <si>
    <t>科大讯飞</t>
  </si>
  <si>
    <t xml:space="preserve">        707.95亿</t>
  </si>
  <si>
    <t>奥维通信</t>
  </si>
  <si>
    <t xml:space="preserve">         26.76亿</t>
  </si>
  <si>
    <t>启明信息</t>
  </si>
  <si>
    <t xml:space="preserve">         35.08亿</t>
  </si>
  <si>
    <t>塔牌集团</t>
  </si>
  <si>
    <t xml:space="preserve">        141.32亿</t>
  </si>
  <si>
    <t>民和股份</t>
  </si>
  <si>
    <t xml:space="preserve">         52.85亿</t>
  </si>
  <si>
    <t>安妮股份</t>
  </si>
  <si>
    <t xml:space="preserve">         33.42亿</t>
  </si>
  <si>
    <t>大华股份</t>
  </si>
  <si>
    <t xml:space="preserve">        311.10亿</t>
  </si>
  <si>
    <t>恒邦股份</t>
  </si>
  <si>
    <t xml:space="preserve">         85.76亿</t>
  </si>
  <si>
    <t>天威视讯</t>
  </si>
  <si>
    <t xml:space="preserve">         57.04亿</t>
  </si>
  <si>
    <t>奥特佳</t>
  </si>
  <si>
    <t xml:space="preserve">         84.42亿</t>
  </si>
  <si>
    <t>威华股份</t>
  </si>
  <si>
    <t xml:space="preserve">         45.63亿</t>
  </si>
  <si>
    <t>歌尔股份</t>
  </si>
  <si>
    <t xml:space="preserve">        252.56亿</t>
  </si>
  <si>
    <t>九阳股份</t>
  </si>
  <si>
    <t xml:space="preserve">        146.45亿</t>
  </si>
  <si>
    <t>通产丽星</t>
  </si>
  <si>
    <t xml:space="preserve">         79.41亿</t>
  </si>
  <si>
    <t>滨江集团</t>
  </si>
  <si>
    <t xml:space="preserve">        131.09亿</t>
  </si>
  <si>
    <t>澳洋顺昌</t>
  </si>
  <si>
    <t xml:space="preserve">         45.81亿</t>
  </si>
  <si>
    <t>北化股份</t>
  </si>
  <si>
    <t xml:space="preserve">         36.26亿</t>
  </si>
  <si>
    <t>聚力文化</t>
  </si>
  <si>
    <t xml:space="preserve">         28.62亿</t>
  </si>
  <si>
    <t>华东数控</t>
  </si>
  <si>
    <t xml:space="preserve">         30.40亿</t>
  </si>
  <si>
    <t>大洋电机</t>
  </si>
  <si>
    <t xml:space="preserve">        108.72亿</t>
  </si>
  <si>
    <t>联化科技</t>
  </si>
  <si>
    <t xml:space="preserve">         95.64亿</t>
  </si>
  <si>
    <t>步 步 高</t>
  </si>
  <si>
    <t xml:space="preserve">         76.88亿</t>
  </si>
  <si>
    <t>上海莱士</t>
  </si>
  <si>
    <t xml:space="preserve">        476.87亿</t>
  </si>
  <si>
    <t>川大智胜</t>
  </si>
  <si>
    <t xml:space="preserve">         36.35亿</t>
  </si>
  <si>
    <t>泰和新材</t>
  </si>
  <si>
    <t xml:space="preserve">         71.69亿</t>
  </si>
  <si>
    <t>海陆重工</t>
  </si>
  <si>
    <t xml:space="preserve">         23.10亿</t>
  </si>
  <si>
    <t>兆新股份</t>
  </si>
  <si>
    <t xml:space="preserve">         44.39亿</t>
  </si>
  <si>
    <t>利尔化学</t>
  </si>
  <si>
    <t xml:space="preserve">         82.36亿</t>
  </si>
  <si>
    <t>ST升达</t>
  </si>
  <si>
    <t xml:space="preserve">         17.44亿</t>
  </si>
  <si>
    <t>*ST德奥</t>
  </si>
  <si>
    <t xml:space="preserve">          8.62亿</t>
  </si>
  <si>
    <t>拓维信息</t>
  </si>
  <si>
    <t xml:space="preserve">         53.56亿</t>
  </si>
  <si>
    <t>恩华药业</t>
  </si>
  <si>
    <t xml:space="preserve">        104.60亿</t>
  </si>
  <si>
    <t>*ST东南</t>
  </si>
  <si>
    <t xml:space="preserve">         36.25亿</t>
  </si>
  <si>
    <t>新 华 都</t>
  </si>
  <si>
    <t xml:space="preserve">         39.35亿</t>
  </si>
  <si>
    <t>西仪股份</t>
  </si>
  <si>
    <t xml:space="preserve">         28.53亿</t>
  </si>
  <si>
    <t>浙富控股</t>
  </si>
  <si>
    <t xml:space="preserve">         75.26亿</t>
  </si>
  <si>
    <t>陕天然气</t>
  </si>
  <si>
    <t xml:space="preserve">         91.52亿</t>
  </si>
  <si>
    <t>卫 士 通</t>
  </si>
  <si>
    <t xml:space="preserve">        213.81亿</t>
  </si>
  <si>
    <t>美邦服饰</t>
  </si>
  <si>
    <t xml:space="preserve">         71.86亿</t>
  </si>
  <si>
    <t>华明装备</t>
  </si>
  <si>
    <t xml:space="preserve">         40.49亿</t>
  </si>
  <si>
    <t>东方雨虹</t>
  </si>
  <si>
    <t xml:space="preserve">        200.19亿</t>
  </si>
  <si>
    <t>川润股份</t>
  </si>
  <si>
    <t xml:space="preserve">         16.48亿</t>
  </si>
  <si>
    <t>水晶光电</t>
  </si>
  <si>
    <t xml:space="preserve">        108.52亿</t>
  </si>
  <si>
    <t>华昌化工</t>
  </si>
  <si>
    <t xml:space="preserve">         44.09亿</t>
  </si>
  <si>
    <t>桂林三金</t>
  </si>
  <si>
    <t xml:space="preserve">         76.65亿</t>
  </si>
  <si>
    <t>万马股份</t>
  </si>
  <si>
    <t xml:space="preserve">         73.42亿</t>
  </si>
  <si>
    <t>友阿股份</t>
  </si>
  <si>
    <t>神开股份</t>
  </si>
  <si>
    <t>久其软件</t>
  </si>
  <si>
    <t xml:space="preserve">         53.02亿</t>
  </si>
  <si>
    <t>联络互动</t>
  </si>
  <si>
    <t xml:space="preserve">         83.37亿</t>
  </si>
  <si>
    <t>光迅科技</t>
  </si>
  <si>
    <t xml:space="preserve">        206.26亿</t>
  </si>
  <si>
    <t>博深工具</t>
  </si>
  <si>
    <t xml:space="preserve">         22.41亿</t>
  </si>
  <si>
    <t>天润曲轴</t>
  </si>
  <si>
    <t xml:space="preserve">         41.66亿</t>
  </si>
  <si>
    <t>亚太股份</t>
  </si>
  <si>
    <t xml:space="preserve">         36.84亿</t>
  </si>
  <si>
    <t>世联行</t>
  </si>
  <si>
    <t xml:space="preserve">        123.82亿</t>
  </si>
  <si>
    <t>保龄宝</t>
  </si>
  <si>
    <t>奇正藏药</t>
  </si>
  <si>
    <t xml:space="preserve">        118.15亿</t>
  </si>
  <si>
    <t>超华科技</t>
  </si>
  <si>
    <t xml:space="preserve">         49.38亿</t>
  </si>
  <si>
    <t>宇顺电子</t>
  </si>
  <si>
    <t xml:space="preserve">         18.85亿</t>
  </si>
  <si>
    <t>中科新材</t>
  </si>
  <si>
    <t xml:space="preserve">         22.04亿</t>
  </si>
  <si>
    <t>星期六</t>
  </si>
  <si>
    <t xml:space="preserve">         21.18亿</t>
  </si>
  <si>
    <t>奥飞娱乐</t>
  </si>
  <si>
    <t xml:space="preserve">         60.03亿</t>
  </si>
  <si>
    <t>罗莱生活</t>
  </si>
  <si>
    <t xml:space="preserve">         77.03亿</t>
  </si>
  <si>
    <t>信立泰</t>
  </si>
  <si>
    <t xml:space="preserve">        267.26亿</t>
  </si>
  <si>
    <t>精艺股份</t>
  </si>
  <si>
    <t xml:space="preserve">         20.12亿</t>
  </si>
  <si>
    <t>辉煌科技</t>
  </si>
  <si>
    <t xml:space="preserve">         20.72亿</t>
  </si>
  <si>
    <t>博云新材</t>
  </si>
  <si>
    <t xml:space="preserve">         29.66亿</t>
  </si>
  <si>
    <t>中电兴发</t>
  </si>
  <si>
    <t xml:space="preserve">         38.63亿</t>
  </si>
  <si>
    <t>圣农发展</t>
  </si>
  <si>
    <t xml:space="preserve">        322.83亿</t>
  </si>
  <si>
    <t>太阳电缆</t>
  </si>
  <si>
    <t xml:space="preserve">         37.44亿</t>
  </si>
  <si>
    <t>齐心集团</t>
  </si>
  <si>
    <t xml:space="preserve">         63.60亿</t>
  </si>
  <si>
    <t>西部建设</t>
  </si>
  <si>
    <t xml:space="preserve">        150.05亿</t>
  </si>
  <si>
    <t>美盈森</t>
  </si>
  <si>
    <t xml:space="preserve">         81.28亿</t>
  </si>
  <si>
    <t>洋河股份</t>
  </si>
  <si>
    <t xml:space="preserve">       1490.37亿</t>
  </si>
  <si>
    <t>南国置业</t>
  </si>
  <si>
    <t xml:space="preserve">         54.54亿</t>
  </si>
  <si>
    <t>*ST云网</t>
  </si>
  <si>
    <t xml:space="preserve">         30.62亿</t>
  </si>
  <si>
    <t>北新路桥</t>
  </si>
  <si>
    <t>威创股份</t>
  </si>
  <si>
    <t xml:space="preserve">         56.81亿</t>
  </si>
  <si>
    <t>中利集团</t>
  </si>
  <si>
    <t xml:space="preserve">         62.89亿</t>
  </si>
  <si>
    <t>东方园林</t>
  </si>
  <si>
    <t xml:space="preserve">        135.62亿</t>
  </si>
  <si>
    <t>海大集团</t>
  </si>
  <si>
    <t xml:space="preserve">        418.59亿</t>
  </si>
  <si>
    <t>三泰控股</t>
  </si>
  <si>
    <t xml:space="preserve">         42.71亿</t>
  </si>
  <si>
    <t>日海智能</t>
  </si>
  <si>
    <t xml:space="preserve">         84.24亿</t>
  </si>
  <si>
    <t>南山控股</t>
  </si>
  <si>
    <t xml:space="preserve">         43.02亿</t>
  </si>
  <si>
    <t>焦点科技</t>
  </si>
  <si>
    <t xml:space="preserve">         19.45亿</t>
  </si>
  <si>
    <t>亚联发展</t>
  </si>
  <si>
    <t xml:space="preserve">         24.82亿</t>
  </si>
  <si>
    <t>众生药业</t>
  </si>
  <si>
    <t xml:space="preserve">         74.00亿</t>
  </si>
  <si>
    <t>久立特材</t>
  </si>
  <si>
    <t xml:space="preserve">         64.92亿</t>
  </si>
  <si>
    <t>乐通股份</t>
  </si>
  <si>
    <t xml:space="preserve">         23.52亿</t>
  </si>
  <si>
    <t>海峡股份</t>
  </si>
  <si>
    <t xml:space="preserve">         86.60亿</t>
  </si>
  <si>
    <t>华英农业</t>
  </si>
  <si>
    <t>理工环科</t>
  </si>
  <si>
    <t xml:space="preserve">         44.31亿</t>
  </si>
  <si>
    <t>*ST百特</t>
  </si>
  <si>
    <t xml:space="preserve">          4.14亿</t>
  </si>
  <si>
    <t>普利特</t>
  </si>
  <si>
    <t xml:space="preserve">         25.66亿</t>
  </si>
  <si>
    <t>洪涛股份</t>
  </si>
  <si>
    <t xml:space="preserve">         34.89亿</t>
  </si>
  <si>
    <t>永太科技</t>
  </si>
  <si>
    <t xml:space="preserve">         50.35亿</t>
  </si>
  <si>
    <t>富安娜</t>
  </si>
  <si>
    <t xml:space="preserve">         43.63亿</t>
  </si>
  <si>
    <t>新朋股份</t>
  </si>
  <si>
    <t xml:space="preserve">         23.37亿</t>
  </si>
  <si>
    <t>皇氏集团</t>
  </si>
  <si>
    <t xml:space="preserve">         21.78亿</t>
  </si>
  <si>
    <t>得利斯</t>
  </si>
  <si>
    <t xml:space="preserve">         29.16亿</t>
  </si>
  <si>
    <t>皖通科技</t>
  </si>
  <si>
    <t xml:space="preserve">         32.74亿</t>
  </si>
  <si>
    <t>仙琚制药</t>
  </si>
  <si>
    <t xml:space="preserve">         65.99亿</t>
  </si>
  <si>
    <t>罗普斯金</t>
  </si>
  <si>
    <t xml:space="preserve">         38.46亿</t>
  </si>
  <si>
    <t>英威腾</t>
  </si>
  <si>
    <t xml:space="preserve">         33.35亿</t>
  </si>
  <si>
    <t>科华恒盛</t>
  </si>
  <si>
    <t>人人乐</t>
  </si>
  <si>
    <t xml:space="preserve">         25.04亿</t>
  </si>
  <si>
    <t>赛象科技</t>
  </si>
  <si>
    <t xml:space="preserve">         32.08亿</t>
  </si>
  <si>
    <t>奥普光电</t>
  </si>
  <si>
    <t xml:space="preserve">         35.11亿</t>
  </si>
  <si>
    <t>积成电子</t>
  </si>
  <si>
    <t>格林美</t>
  </si>
  <si>
    <t xml:space="preserve">        194.86亿</t>
  </si>
  <si>
    <t>新纶科技</t>
  </si>
  <si>
    <t xml:space="preserve">         77.34亿</t>
  </si>
  <si>
    <t>巨力索具</t>
  </si>
  <si>
    <t xml:space="preserve">         36.74亿</t>
  </si>
  <si>
    <t>慈文传媒</t>
  </si>
  <si>
    <t>海宁皮城</t>
  </si>
  <si>
    <t xml:space="preserve">         68.87亿</t>
  </si>
  <si>
    <t>潮宏基</t>
  </si>
  <si>
    <t xml:space="preserve">         44.79亿</t>
  </si>
  <si>
    <t>柘中股份</t>
  </si>
  <si>
    <t xml:space="preserve">         55.43亿</t>
  </si>
  <si>
    <t>泰尔股份</t>
  </si>
  <si>
    <t xml:space="preserve">         14.49亿</t>
  </si>
  <si>
    <t>高乐股份</t>
  </si>
  <si>
    <t xml:space="preserve">         31.21亿</t>
  </si>
  <si>
    <t>精华制药</t>
  </si>
  <si>
    <t xml:space="preserve">         54.96亿</t>
  </si>
  <si>
    <t>北京科锐</t>
  </si>
  <si>
    <t xml:space="preserve">         35.80亿</t>
  </si>
  <si>
    <t>漫步者</t>
  </si>
  <si>
    <t>顺丰控股</t>
  </si>
  <si>
    <t xml:space="preserve">        418.71亿</t>
  </si>
  <si>
    <t>杰瑞股份</t>
  </si>
  <si>
    <t xml:space="preserve">        140.26亿</t>
  </si>
  <si>
    <t>天神娱乐</t>
  </si>
  <si>
    <t xml:space="preserve">         39.45亿</t>
  </si>
  <si>
    <t>兴民智通</t>
  </si>
  <si>
    <t xml:space="preserve">         33.20亿</t>
  </si>
  <si>
    <t>赫美集团</t>
  </si>
  <si>
    <t xml:space="preserve">         37.31亿</t>
  </si>
  <si>
    <t>富临运业</t>
  </si>
  <si>
    <t xml:space="preserve">         20.33亿</t>
  </si>
  <si>
    <t>森源电气</t>
  </si>
  <si>
    <t xml:space="preserve">        141.94亿</t>
  </si>
  <si>
    <t>北讯集团</t>
  </si>
  <si>
    <t xml:space="preserve">         76.05亿</t>
  </si>
  <si>
    <t>同德化工</t>
  </si>
  <si>
    <t xml:space="preserve">         18.06亿</t>
  </si>
  <si>
    <t>神剑股份</t>
  </si>
  <si>
    <t xml:space="preserve">         27.64亿</t>
  </si>
  <si>
    <t>汉王科技</t>
  </si>
  <si>
    <t xml:space="preserve">         32.65亿</t>
  </si>
  <si>
    <t>隆基机械</t>
  </si>
  <si>
    <t xml:space="preserve">         25.65亿</t>
  </si>
  <si>
    <t>中恒电气</t>
  </si>
  <si>
    <t xml:space="preserve">         59.83亿</t>
  </si>
  <si>
    <t>永安药业</t>
  </si>
  <si>
    <t xml:space="preserve">         29.09亿</t>
  </si>
  <si>
    <t>台海核电</t>
  </si>
  <si>
    <t xml:space="preserve">         71.70亿</t>
  </si>
  <si>
    <t>康力电梯</t>
  </si>
  <si>
    <t xml:space="preserve">         46.77亿</t>
  </si>
  <si>
    <t>太极股份</t>
  </si>
  <si>
    <t xml:space="preserve">        120.26亿</t>
  </si>
  <si>
    <t>卓翼科技</t>
  </si>
  <si>
    <t xml:space="preserve">         39.15亿</t>
  </si>
  <si>
    <t>亚太药业</t>
  </si>
  <si>
    <t xml:space="preserve">         49.80亿</t>
  </si>
  <si>
    <t>北方华创</t>
  </si>
  <si>
    <t xml:space="preserve">        219.70亿</t>
  </si>
  <si>
    <t>伟星新材</t>
  </si>
  <si>
    <t xml:space="preserve">        202.68亿</t>
  </si>
  <si>
    <t>千方科技</t>
  </si>
  <si>
    <t xml:space="preserve">        134.20亿</t>
  </si>
  <si>
    <t>丽鹏股份</t>
  </si>
  <si>
    <t xml:space="preserve">         26.68亿</t>
  </si>
  <si>
    <t>亚厦股份</t>
  </si>
  <si>
    <t xml:space="preserve">         83.87亿</t>
  </si>
  <si>
    <t>新北洋</t>
  </si>
  <si>
    <t xml:space="preserve">        105.78亿</t>
  </si>
  <si>
    <t>国创高新</t>
  </si>
  <si>
    <t xml:space="preserve">         25.90亿</t>
  </si>
  <si>
    <t>章源钨业</t>
  </si>
  <si>
    <t xml:space="preserve">         62.78亿</t>
  </si>
  <si>
    <t>宏创控股</t>
  </si>
  <si>
    <t xml:space="preserve">         34.63亿</t>
  </si>
  <si>
    <t>科远股份</t>
  </si>
  <si>
    <t xml:space="preserve">         19.14亿</t>
  </si>
  <si>
    <t>双箭股份</t>
  </si>
  <si>
    <t xml:space="preserve">         28.73亿</t>
  </si>
  <si>
    <t>蓝帆医疗</t>
  </si>
  <si>
    <t xml:space="preserve">         79.18亿</t>
  </si>
  <si>
    <t>合众思壮</t>
  </si>
  <si>
    <t xml:space="preserve">         70.05亿</t>
  </si>
  <si>
    <t>东山精密</t>
  </si>
  <si>
    <t xml:space="preserve">        205.04亿</t>
  </si>
  <si>
    <t>大北农</t>
  </si>
  <si>
    <t xml:space="preserve">        120.13亿</t>
  </si>
  <si>
    <t>天原集团</t>
  </si>
  <si>
    <t xml:space="preserve">         42.99亿</t>
  </si>
  <si>
    <t>维信诺</t>
  </si>
  <si>
    <t xml:space="preserve">         67.72亿</t>
  </si>
  <si>
    <t>新亚制程</t>
  </si>
  <si>
    <t xml:space="preserve">         23.38亿</t>
  </si>
  <si>
    <t>航天彩虹</t>
  </si>
  <si>
    <t xml:space="preserve">        100.54亿</t>
  </si>
  <si>
    <t>信邦制药</t>
  </si>
  <si>
    <t xml:space="preserve">         90.20亿</t>
  </si>
  <si>
    <t>长青股份</t>
  </si>
  <si>
    <t xml:space="preserve">         29.43亿</t>
  </si>
  <si>
    <t>北京利尔</t>
  </si>
  <si>
    <t xml:space="preserve">         28.82亿</t>
  </si>
  <si>
    <t>力生制药</t>
  </si>
  <si>
    <t xml:space="preserve">         48.99亿</t>
  </si>
  <si>
    <t>联发股份</t>
  </si>
  <si>
    <t xml:space="preserve">         36.09亿</t>
  </si>
  <si>
    <t>双象股份</t>
  </si>
  <si>
    <t xml:space="preserve">         27.09亿</t>
  </si>
  <si>
    <t>星网锐捷</t>
  </si>
  <si>
    <t xml:space="preserve">        118.60亿</t>
  </si>
  <si>
    <t>梦洁股份</t>
  </si>
  <si>
    <t xml:space="preserve">         24.74亿</t>
  </si>
  <si>
    <t>建研集团</t>
  </si>
  <si>
    <t xml:space="preserve">         28.85亿</t>
  </si>
  <si>
    <t>海普瑞</t>
  </si>
  <si>
    <t xml:space="preserve">        304.32亿</t>
  </si>
  <si>
    <t>省广集团</t>
  </si>
  <si>
    <t xml:space="preserve">         60.98亿</t>
  </si>
  <si>
    <t>中远海科</t>
  </si>
  <si>
    <t xml:space="preserve">         33.53亿</t>
  </si>
  <si>
    <t>和而泰</t>
  </si>
  <si>
    <t xml:space="preserve">         67.07亿</t>
  </si>
  <si>
    <t>爱仕达</t>
  </si>
  <si>
    <t>嘉欣丝绸</t>
  </si>
  <si>
    <t xml:space="preserve">         26.56亿</t>
  </si>
  <si>
    <t>四维图新</t>
  </si>
  <si>
    <t xml:space="preserve">        250.92亿</t>
  </si>
  <si>
    <t>远东传动</t>
  </si>
  <si>
    <t xml:space="preserve">         27.69亿</t>
  </si>
  <si>
    <t>多氟多</t>
  </si>
  <si>
    <t xml:space="preserve">         81.15亿</t>
  </si>
  <si>
    <t>齐翔腾达</t>
  </si>
  <si>
    <t xml:space="preserve">        138.83亿</t>
  </si>
  <si>
    <t>雅克科技</t>
  </si>
  <si>
    <t xml:space="preserve">         33.44亿</t>
  </si>
  <si>
    <t>广联达</t>
  </si>
  <si>
    <t xml:space="preserve">        245.71亿</t>
  </si>
  <si>
    <t>延安必康</t>
  </si>
  <si>
    <t xml:space="preserve">        270.21亿</t>
  </si>
  <si>
    <t>汉森制药</t>
  </si>
  <si>
    <t>雷科防务</t>
  </si>
  <si>
    <t xml:space="preserve">         72.95亿</t>
  </si>
  <si>
    <t>高德红外</t>
  </si>
  <si>
    <t xml:space="preserve">        129.12亿</t>
  </si>
  <si>
    <t>海康威视</t>
  </si>
  <si>
    <t xml:space="preserve">       2889.13亿</t>
  </si>
  <si>
    <t>爱施德</t>
  </si>
  <si>
    <t xml:space="preserve">         74.03亿</t>
  </si>
  <si>
    <t>深南股份</t>
  </si>
  <si>
    <t xml:space="preserve">         21.74亿</t>
  </si>
  <si>
    <t>康盛股份</t>
  </si>
  <si>
    <t xml:space="preserve">         43.46亿</t>
  </si>
  <si>
    <t>天虹股份</t>
  </si>
  <si>
    <t xml:space="preserve">        152.03亿</t>
  </si>
  <si>
    <t>毅昌股份</t>
  </si>
  <si>
    <t xml:space="preserve">         17.51亿</t>
  </si>
  <si>
    <t>达实智能</t>
  </si>
  <si>
    <t xml:space="preserve">         81.74亿</t>
  </si>
  <si>
    <t>科伦药业</t>
  </si>
  <si>
    <t xml:space="preserve">        252.10亿</t>
  </si>
  <si>
    <t>中原特钢</t>
  </si>
  <si>
    <t xml:space="preserve">         66.49亿</t>
  </si>
  <si>
    <t>贵州百灵</t>
  </si>
  <si>
    <t xml:space="preserve">         74.80亿</t>
  </si>
  <si>
    <t>凯撒文化</t>
  </si>
  <si>
    <t xml:space="preserve">         56.23亿</t>
  </si>
  <si>
    <t>胜利精密</t>
  </si>
  <si>
    <t xml:space="preserve">         83.51亿</t>
  </si>
  <si>
    <t>*ST尤夫</t>
  </si>
  <si>
    <t xml:space="preserve">         55.54亿</t>
  </si>
  <si>
    <t>云南锗业</t>
  </si>
  <si>
    <t xml:space="preserve">         50.50亿</t>
  </si>
  <si>
    <t>兆驰股份</t>
  </si>
  <si>
    <t xml:space="preserve">        127.13亿</t>
  </si>
  <si>
    <t>杭氧股份</t>
  </si>
  <si>
    <t xml:space="preserve">        110.37亿</t>
  </si>
  <si>
    <t>棕榈股份</t>
  </si>
  <si>
    <t xml:space="preserve">         63.08亿</t>
  </si>
  <si>
    <t>九安医疗</t>
  </si>
  <si>
    <t xml:space="preserve">         29.52亿</t>
  </si>
  <si>
    <t>太安堂</t>
  </si>
  <si>
    <t xml:space="preserve">         43.26亿</t>
  </si>
  <si>
    <t>万里扬</t>
  </si>
  <si>
    <t>长江润发</t>
  </si>
  <si>
    <t xml:space="preserve">         21.08亿</t>
  </si>
  <si>
    <t>兴森科技</t>
  </si>
  <si>
    <t xml:space="preserve">         66.89亿</t>
  </si>
  <si>
    <t>誉衡药业</t>
  </si>
  <si>
    <t xml:space="preserve">         79.10亿</t>
  </si>
  <si>
    <t>江苏神通</t>
  </si>
  <si>
    <t xml:space="preserve">         25.37亿</t>
  </si>
  <si>
    <t>启明星辰</t>
  </si>
  <si>
    <t xml:space="preserve">        172.64亿</t>
  </si>
  <si>
    <t>闰土股份</t>
  </si>
  <si>
    <t xml:space="preserve">        104.64亿</t>
  </si>
  <si>
    <t>众业达</t>
  </si>
  <si>
    <t xml:space="preserve">         34.40亿</t>
  </si>
  <si>
    <t>龙星化工</t>
  </si>
  <si>
    <t xml:space="preserve">         40.47亿</t>
  </si>
  <si>
    <t>金洲管道</t>
  </si>
  <si>
    <t xml:space="preserve">         36.59亿</t>
  </si>
  <si>
    <t>巨星科技</t>
  </si>
  <si>
    <t xml:space="preserve">        116.26亿</t>
  </si>
  <si>
    <t>ST中南</t>
  </si>
  <si>
    <t>盛路通信</t>
  </si>
  <si>
    <t xml:space="preserve">         54.87亿</t>
  </si>
  <si>
    <t>晨鑫科技</t>
  </si>
  <si>
    <t xml:space="preserve">         43.27亿</t>
  </si>
  <si>
    <t>中原内配</t>
  </si>
  <si>
    <t>国星光电</t>
  </si>
  <si>
    <t xml:space="preserve">         80.37亿</t>
  </si>
  <si>
    <t>ST康得新</t>
  </si>
  <si>
    <t xml:space="preserve">        233.48亿</t>
  </si>
  <si>
    <t>摩恩电气</t>
  </si>
  <si>
    <t xml:space="preserve">         59.21亿</t>
  </si>
  <si>
    <t>长高集团</t>
  </si>
  <si>
    <t xml:space="preserve">         17.08亿</t>
  </si>
  <si>
    <t>华软科技</t>
  </si>
  <si>
    <t>松芝股份</t>
  </si>
  <si>
    <t xml:space="preserve">         32.22亿</t>
  </si>
  <si>
    <t>百川股份</t>
  </si>
  <si>
    <t>欧菲科技</t>
  </si>
  <si>
    <t xml:space="preserve">        399.92亿</t>
  </si>
  <si>
    <t>青龙管业</t>
  </si>
  <si>
    <t xml:space="preserve">         31.00亿</t>
  </si>
  <si>
    <t>益生股份</t>
  </si>
  <si>
    <t xml:space="preserve">         89.37亿</t>
  </si>
  <si>
    <t>天业通联</t>
  </si>
  <si>
    <t xml:space="preserve">         49.42亿</t>
  </si>
  <si>
    <t>赣锋锂业</t>
  </si>
  <si>
    <t xml:space="preserve">        220.07亿</t>
  </si>
  <si>
    <t>珠江啤酒</t>
  </si>
  <si>
    <t xml:space="preserve">         77.13亿</t>
  </si>
  <si>
    <t>嘉事堂</t>
  </si>
  <si>
    <t xml:space="preserve">         41.94亿</t>
  </si>
  <si>
    <t>沪电股份</t>
  </si>
  <si>
    <t xml:space="preserve">        189.97亿</t>
  </si>
  <si>
    <t>众应互联</t>
  </si>
  <si>
    <t xml:space="preserve">         29.14亿</t>
  </si>
  <si>
    <t>海格通信</t>
  </si>
  <si>
    <t xml:space="preserve">        210.16亿</t>
  </si>
  <si>
    <t>天齐锂业</t>
  </si>
  <si>
    <t xml:space="preserve">        426.55亿</t>
  </si>
  <si>
    <t>二六三</t>
  </si>
  <si>
    <t xml:space="preserve">         42.68亿</t>
  </si>
  <si>
    <t>申通快递</t>
  </si>
  <si>
    <t xml:space="preserve">         74.65亿</t>
  </si>
  <si>
    <t>三维工程</t>
  </si>
  <si>
    <t>金正大</t>
  </si>
  <si>
    <t xml:space="preserve">        217.52亿</t>
  </si>
  <si>
    <t>中超控股</t>
  </si>
  <si>
    <t xml:space="preserve">         42.49亿</t>
  </si>
  <si>
    <t>双环传动</t>
  </si>
  <si>
    <t xml:space="preserve">         41.05亿</t>
  </si>
  <si>
    <t>*ST圣莱</t>
  </si>
  <si>
    <t xml:space="preserve">         14.27亿</t>
  </si>
  <si>
    <t>榕基软件</t>
  </si>
  <si>
    <t xml:space="preserve">         38.91亿</t>
  </si>
  <si>
    <t>立讯精密</t>
  </si>
  <si>
    <t xml:space="preserve">        882.11亿</t>
  </si>
  <si>
    <t>宝莫股份</t>
  </si>
  <si>
    <t xml:space="preserve">         31.95亿</t>
  </si>
  <si>
    <t>雏鹰农牧</t>
  </si>
  <si>
    <t xml:space="preserve">         50.06亿</t>
  </si>
  <si>
    <t>常宝股份</t>
  </si>
  <si>
    <t xml:space="preserve">         33.48亿</t>
  </si>
  <si>
    <t>富春环保</t>
  </si>
  <si>
    <t xml:space="preserve">         42.78亿</t>
  </si>
  <si>
    <t>新筑股份</t>
  </si>
  <si>
    <t>双塔食品</t>
  </si>
  <si>
    <t xml:space="preserve">         38.86亿</t>
  </si>
  <si>
    <t>广田集团</t>
  </si>
  <si>
    <t xml:space="preserve">         91.45亿</t>
  </si>
  <si>
    <t>润邦股份</t>
  </si>
  <si>
    <t xml:space="preserve">         29.94亿</t>
  </si>
  <si>
    <t>江海股份</t>
  </si>
  <si>
    <t xml:space="preserve">         59.49亿</t>
  </si>
  <si>
    <t>希努尔</t>
  </si>
  <si>
    <t xml:space="preserve">         45.04亿</t>
  </si>
  <si>
    <t>嘉麟杰</t>
  </si>
  <si>
    <t xml:space="preserve">         34.58亿</t>
  </si>
  <si>
    <t>大金重工</t>
  </si>
  <si>
    <t xml:space="preserve">         27.11亿</t>
  </si>
  <si>
    <t>金固股份</t>
  </si>
  <si>
    <t xml:space="preserve">         72.81亿</t>
  </si>
  <si>
    <t>浙江永强</t>
  </si>
  <si>
    <t xml:space="preserve">         60.79亿</t>
  </si>
  <si>
    <t>山东墨龙</t>
  </si>
  <si>
    <t>通鼎互联</t>
  </si>
  <si>
    <t xml:space="preserve">        123.46亿</t>
  </si>
  <si>
    <t>恒基达鑫</t>
  </si>
  <si>
    <t xml:space="preserve">         25.52亿</t>
  </si>
  <si>
    <t>荣盛石化</t>
  </si>
  <si>
    <t xml:space="preserve">        599.03亿</t>
  </si>
  <si>
    <t>华斯股份</t>
  </si>
  <si>
    <t xml:space="preserve">         18.00亿</t>
  </si>
  <si>
    <t>佳隆股份</t>
  </si>
  <si>
    <t>辉丰股份</t>
  </si>
  <si>
    <t xml:space="preserve">         28.60亿</t>
  </si>
  <si>
    <t>雅化集团</t>
  </si>
  <si>
    <t xml:space="preserve">         66.82亿</t>
  </si>
  <si>
    <t>汉缆股份</t>
  </si>
  <si>
    <t xml:space="preserve">         97.45亿</t>
  </si>
  <si>
    <t>科林环保</t>
  </si>
  <si>
    <t xml:space="preserve">         15.84亿</t>
  </si>
  <si>
    <t>山西证券</t>
  </si>
  <si>
    <t xml:space="preserve">        241.29亿</t>
  </si>
  <si>
    <t>利源精制</t>
  </si>
  <si>
    <t xml:space="preserve">         33.94亿</t>
  </si>
  <si>
    <t>骅威文化</t>
  </si>
  <si>
    <t xml:space="preserve">         27.59亿</t>
  </si>
  <si>
    <t>搜于特</t>
  </si>
  <si>
    <t xml:space="preserve">         58.82亿</t>
  </si>
  <si>
    <t>弘高创意</t>
  </si>
  <si>
    <t xml:space="preserve">         17.74亿</t>
  </si>
  <si>
    <t>大康农业</t>
  </si>
  <si>
    <t xml:space="preserve">        113.55亿</t>
  </si>
  <si>
    <t>协鑫集成</t>
  </si>
  <si>
    <t xml:space="preserve">        265.44亿</t>
  </si>
  <si>
    <t>涪陵榨菜</t>
  </si>
  <si>
    <t xml:space="preserve">        211.16亿</t>
  </si>
  <si>
    <t>老板电器</t>
  </si>
  <si>
    <t xml:space="preserve">        267.38亿</t>
  </si>
  <si>
    <t>天广中茂</t>
  </si>
  <si>
    <t xml:space="preserve">         63.94亿</t>
  </si>
  <si>
    <t>天汽模</t>
  </si>
  <si>
    <t xml:space="preserve">         37.53亿</t>
  </si>
  <si>
    <t>中顺洁柔</t>
  </si>
  <si>
    <t xml:space="preserve">        108.77亿</t>
  </si>
  <si>
    <t>达华智能</t>
  </si>
  <si>
    <t xml:space="preserve">         54.32亿</t>
  </si>
  <si>
    <t>蓝丰生化</t>
  </si>
  <si>
    <t xml:space="preserve">         19.12亿</t>
  </si>
  <si>
    <t>宝馨科技</t>
  </si>
  <si>
    <t xml:space="preserve">         23.36亿</t>
  </si>
  <si>
    <t>金字火腿</t>
  </si>
  <si>
    <t xml:space="preserve">         44.34亿</t>
  </si>
  <si>
    <t>旷达科技</t>
  </si>
  <si>
    <t xml:space="preserve">         32.24亿</t>
  </si>
  <si>
    <t>恺英网络</t>
  </si>
  <si>
    <t>科士达</t>
  </si>
  <si>
    <t xml:space="preserve">         67.74亿</t>
  </si>
  <si>
    <t>银河电子</t>
  </si>
  <si>
    <t>日发精机</t>
  </si>
  <si>
    <t xml:space="preserve">         19.25亿</t>
  </si>
  <si>
    <t>齐峰新材</t>
  </si>
  <si>
    <t xml:space="preserve">         26.75亿</t>
  </si>
  <si>
    <t>浙江众成</t>
  </si>
  <si>
    <t xml:space="preserve">         52.48亿</t>
  </si>
  <si>
    <t>天桥起重</t>
  </si>
  <si>
    <t xml:space="preserve">         50.23亿</t>
  </si>
  <si>
    <t>光正集团</t>
  </si>
  <si>
    <t>山东矿机</t>
  </si>
  <si>
    <t xml:space="preserve">         55.09亿</t>
  </si>
  <si>
    <t>新时达</t>
  </si>
  <si>
    <t xml:space="preserve">         28.24亿</t>
  </si>
  <si>
    <t>英飞拓</t>
  </si>
  <si>
    <t xml:space="preserve">         40.10亿</t>
  </si>
  <si>
    <t>海源复材</t>
  </si>
  <si>
    <t xml:space="preserve">         16.64亿</t>
  </si>
  <si>
    <t>金财互联</t>
  </si>
  <si>
    <t xml:space="preserve">         35.46亿</t>
  </si>
  <si>
    <t>天顺风能</t>
  </si>
  <si>
    <t xml:space="preserve">        104.37亿</t>
  </si>
  <si>
    <t>新界泵业</t>
  </si>
  <si>
    <t xml:space="preserve">         22.29亿</t>
  </si>
  <si>
    <t>金杯电工</t>
  </si>
  <si>
    <t xml:space="preserve">         27.19亿</t>
  </si>
  <si>
    <t>杭锅股份</t>
  </si>
  <si>
    <t xml:space="preserve">         48.05亿</t>
  </si>
  <si>
    <t>林州重机</t>
  </si>
  <si>
    <t xml:space="preserve">         23.91亿</t>
  </si>
  <si>
    <t>西泵股份</t>
  </si>
  <si>
    <t xml:space="preserve">         36.28亿</t>
  </si>
  <si>
    <t>海联金汇</t>
  </si>
  <si>
    <t xml:space="preserve">        143.03亿</t>
  </si>
  <si>
    <t>司尔特</t>
  </si>
  <si>
    <t xml:space="preserve">         39.95亿</t>
  </si>
  <si>
    <t>云图控股</t>
  </si>
  <si>
    <t xml:space="preserve">         32.15亿</t>
  </si>
  <si>
    <t>亚太科技</t>
  </si>
  <si>
    <t xml:space="preserve">         48.69亿</t>
  </si>
  <si>
    <t>鸿路钢构</t>
  </si>
  <si>
    <t xml:space="preserve">         30.70亿</t>
  </si>
  <si>
    <t>中化岩土</t>
  </si>
  <si>
    <t xml:space="preserve">         48.43亿</t>
  </si>
  <si>
    <t>万和电气</t>
  </si>
  <si>
    <t xml:space="preserve">         70.36亿</t>
  </si>
  <si>
    <t>杰赛科技</t>
  </si>
  <si>
    <t xml:space="preserve">         70.68亿</t>
  </si>
  <si>
    <t>东方铁塔</t>
  </si>
  <si>
    <t xml:space="preserve">         59.53亿</t>
  </si>
  <si>
    <t>新联电子</t>
  </si>
  <si>
    <t xml:space="preserve">         36.90亿</t>
  </si>
  <si>
    <t>春兴精工</t>
  </si>
  <si>
    <t xml:space="preserve">         75.22亿</t>
  </si>
  <si>
    <t>金新农</t>
  </si>
  <si>
    <t>凯美特气</t>
  </si>
  <si>
    <t xml:space="preserve">         39.20亿</t>
  </si>
  <si>
    <t>千红制药</t>
  </si>
  <si>
    <t xml:space="preserve">         43.11亿</t>
  </si>
  <si>
    <t>尚荣医疗</t>
  </si>
  <si>
    <t>*ST宝鼎</t>
  </si>
  <si>
    <t xml:space="preserve">         16.19亿</t>
  </si>
  <si>
    <t>南方轴承</t>
  </si>
  <si>
    <t xml:space="preserve">         14.81亿</t>
  </si>
  <si>
    <t>惠博普</t>
  </si>
  <si>
    <t xml:space="preserve">         23.85亿</t>
  </si>
  <si>
    <t>三七互娱</t>
  </si>
  <si>
    <t xml:space="preserve">        216.54亿</t>
  </si>
  <si>
    <t>辉隆股份</t>
  </si>
  <si>
    <t>洽洽食品</t>
  </si>
  <si>
    <t xml:space="preserve">        112.30亿</t>
  </si>
  <si>
    <t>巨人网络</t>
  </si>
  <si>
    <t xml:space="preserve">         97.55亿</t>
  </si>
  <si>
    <t>亚威股份</t>
  </si>
  <si>
    <t>通达股份</t>
  </si>
  <si>
    <t>徐家汇</t>
  </si>
  <si>
    <t xml:space="preserve">         36.19亿</t>
  </si>
  <si>
    <t>兄弟科技</t>
  </si>
  <si>
    <t xml:space="preserve">         26.20亿</t>
  </si>
  <si>
    <t>森马服饰</t>
  </si>
  <si>
    <t xml:space="preserve">        204.30亿</t>
  </si>
  <si>
    <t>天沃科技</t>
  </si>
  <si>
    <t xml:space="preserve">         36.41亿</t>
  </si>
  <si>
    <t>顺灏股份</t>
  </si>
  <si>
    <t xml:space="preserve">         78.35亿</t>
  </si>
  <si>
    <t>益盛药业</t>
  </si>
  <si>
    <t xml:space="preserve">         16.14亿</t>
  </si>
  <si>
    <t>唐人神</t>
  </si>
  <si>
    <t xml:space="preserve">         70.65亿</t>
  </si>
  <si>
    <t>百润股份</t>
  </si>
  <si>
    <t xml:space="preserve">         52.78亿</t>
  </si>
  <si>
    <t>步森股份</t>
  </si>
  <si>
    <t xml:space="preserve">         16.62亿</t>
  </si>
  <si>
    <t>*ST因美</t>
  </si>
  <si>
    <t xml:space="preserve">         61.12亿</t>
  </si>
  <si>
    <t>德力股份</t>
  </si>
  <si>
    <t xml:space="preserve">         13.88亿</t>
  </si>
  <si>
    <t>索菲亚</t>
  </si>
  <si>
    <t xml:space="preserve">        139.81亿</t>
  </si>
  <si>
    <t>清新环境</t>
  </si>
  <si>
    <t xml:space="preserve">        101.50亿</t>
  </si>
  <si>
    <t>明牌珠宝</t>
  </si>
  <si>
    <t xml:space="preserve">         30.99亿</t>
  </si>
  <si>
    <t>群兴玩具</t>
  </si>
  <si>
    <t xml:space="preserve">         59.40亿</t>
  </si>
  <si>
    <t>通达动力</t>
  </si>
  <si>
    <t xml:space="preserve">         17.79亿</t>
  </si>
  <si>
    <t>雷柏科技</t>
  </si>
  <si>
    <t xml:space="preserve">         35.86亿</t>
  </si>
  <si>
    <t>闽发铝业</t>
  </si>
  <si>
    <t xml:space="preserve">         20.40亿</t>
  </si>
  <si>
    <t>中京电子</t>
  </si>
  <si>
    <t xml:space="preserve">         39.65亿</t>
  </si>
  <si>
    <t>圣阳股份</t>
  </si>
  <si>
    <t xml:space="preserve">         18.50亿</t>
  </si>
  <si>
    <t>未名医药</t>
  </si>
  <si>
    <t>好想你</t>
  </si>
  <si>
    <t xml:space="preserve">         23.94亿</t>
  </si>
  <si>
    <t>海能达</t>
  </si>
  <si>
    <t xml:space="preserve">        123.33亿</t>
  </si>
  <si>
    <t>西陇科学</t>
  </si>
  <si>
    <t>双星新材</t>
  </si>
  <si>
    <t xml:space="preserve">         56.07亿</t>
  </si>
  <si>
    <t>围海股份</t>
  </si>
  <si>
    <t xml:space="preserve">         36.97亿</t>
  </si>
  <si>
    <t>奥拓电子</t>
  </si>
  <si>
    <t xml:space="preserve">         26.67亿</t>
  </si>
  <si>
    <t>史丹利</t>
  </si>
  <si>
    <t xml:space="preserve">         35.83亿</t>
  </si>
  <si>
    <t>瑞康医药</t>
  </si>
  <si>
    <t>万安科技</t>
  </si>
  <si>
    <t xml:space="preserve">         37.93亿</t>
  </si>
  <si>
    <t>恒大高新</t>
  </si>
  <si>
    <t xml:space="preserve">         14.39亿</t>
  </si>
  <si>
    <t>八菱科技</t>
  </si>
  <si>
    <t xml:space="preserve">         48.85亿</t>
  </si>
  <si>
    <t>日上集团</t>
  </si>
  <si>
    <t xml:space="preserve">         17.64亿</t>
  </si>
  <si>
    <t>比亚迪</t>
  </si>
  <si>
    <t xml:space="preserve">        617.49亿</t>
  </si>
  <si>
    <t>豪迈科技</t>
  </si>
  <si>
    <t xml:space="preserve">        103.30亿</t>
  </si>
  <si>
    <t>海南瑞泽</t>
  </si>
  <si>
    <t xml:space="preserve">         88.92亿</t>
  </si>
  <si>
    <t>金禾实业</t>
  </si>
  <si>
    <t>山东章鼓</t>
  </si>
  <si>
    <t>盛通股份</t>
  </si>
  <si>
    <t xml:space="preserve">         22.14亿</t>
  </si>
  <si>
    <t>领益智造</t>
  </si>
  <si>
    <t xml:space="preserve">         98.20亿</t>
  </si>
  <si>
    <t>龙蟒佰利</t>
  </si>
  <si>
    <t xml:space="preserve">        102.09亿</t>
  </si>
  <si>
    <t>世纪华通</t>
  </si>
  <si>
    <t xml:space="preserve">        338.84亿</t>
  </si>
  <si>
    <t>以岭药业</t>
  </si>
  <si>
    <t xml:space="preserve">        124.57亿</t>
  </si>
  <si>
    <t>*ST龙力</t>
  </si>
  <si>
    <t xml:space="preserve">          8.99亿</t>
  </si>
  <si>
    <t>姚记扑克</t>
  </si>
  <si>
    <t xml:space="preserve">         29.73亿</t>
  </si>
  <si>
    <t>大连电瓷</t>
  </si>
  <si>
    <t xml:space="preserve">         28.47亿</t>
  </si>
  <si>
    <t>中公教育</t>
  </si>
  <si>
    <t xml:space="preserve">        101.15亿</t>
  </si>
  <si>
    <t>江苏国信</t>
  </si>
  <si>
    <t xml:space="preserve">         54.60亿</t>
  </si>
  <si>
    <t>捷顺科技</t>
  </si>
  <si>
    <t>爱康科技</t>
  </si>
  <si>
    <t xml:space="preserve">         86.57亿</t>
  </si>
  <si>
    <t>东方精工</t>
  </si>
  <si>
    <t xml:space="preserve">         47.21亿</t>
  </si>
  <si>
    <t>朗姿股份</t>
  </si>
  <si>
    <t xml:space="preserve">         20.84亿</t>
  </si>
  <si>
    <t>北玻股份</t>
  </si>
  <si>
    <t xml:space="preserve">         21.47亿</t>
  </si>
  <si>
    <t>奥佳华</t>
  </si>
  <si>
    <t xml:space="preserve">         59.22亿</t>
  </si>
  <si>
    <t>哈尔斯</t>
  </si>
  <si>
    <t xml:space="preserve">         14.43亿</t>
  </si>
  <si>
    <t>长青集团</t>
  </si>
  <si>
    <t xml:space="preserve">         37.40亿</t>
  </si>
  <si>
    <t>露笑科技</t>
  </si>
  <si>
    <t xml:space="preserve">         48.04亿</t>
  </si>
  <si>
    <t>丹邦科技</t>
  </si>
  <si>
    <t xml:space="preserve">         89.48亿</t>
  </si>
  <si>
    <t>艾格拉斯</t>
  </si>
  <si>
    <t xml:space="preserve">         62.01亿</t>
  </si>
  <si>
    <t>瑞和股份</t>
  </si>
  <si>
    <t xml:space="preserve">         21.25亿</t>
  </si>
  <si>
    <t>三垒股份</t>
  </si>
  <si>
    <t xml:space="preserve">         60.31亿</t>
  </si>
  <si>
    <t>融钰集团</t>
  </si>
  <si>
    <t xml:space="preserve">         35.95亿</t>
  </si>
  <si>
    <t>亚玛顿</t>
  </si>
  <si>
    <t xml:space="preserve">         28.66亿</t>
  </si>
  <si>
    <t>完美世界</t>
  </si>
  <si>
    <t xml:space="preserve">        150.13亿</t>
  </si>
  <si>
    <t>光启技术</t>
  </si>
  <si>
    <t xml:space="preserve">         50.86亿</t>
  </si>
  <si>
    <t>金达威</t>
  </si>
  <si>
    <t xml:space="preserve">         85.10亿</t>
  </si>
  <si>
    <t>宜昌交运</t>
  </si>
  <si>
    <t xml:space="preserve">         20.47亿</t>
  </si>
  <si>
    <t>成都路桥</t>
  </si>
  <si>
    <t xml:space="preserve">         43.34亿</t>
  </si>
  <si>
    <t>仁智股份</t>
  </si>
  <si>
    <t xml:space="preserve">         14.47亿</t>
  </si>
  <si>
    <t>华西能源</t>
  </si>
  <si>
    <t xml:space="preserve">         34.84亿</t>
  </si>
  <si>
    <t>德尔未来</t>
  </si>
  <si>
    <t xml:space="preserve">         52.71亿</t>
  </si>
  <si>
    <t>道明光学</t>
  </si>
  <si>
    <t xml:space="preserve">         50.49亿</t>
  </si>
  <si>
    <t>申科股份</t>
  </si>
  <si>
    <t xml:space="preserve">         13.56亿</t>
  </si>
  <si>
    <t>棒杰股份</t>
  </si>
  <si>
    <t xml:space="preserve">         14.05亿</t>
  </si>
  <si>
    <t>安洁科技</t>
  </si>
  <si>
    <t xml:space="preserve">         55.65亿</t>
  </si>
  <si>
    <t>金安国纪</t>
  </si>
  <si>
    <t xml:space="preserve">         23.31亿</t>
  </si>
  <si>
    <t>赞宇科技</t>
  </si>
  <si>
    <t xml:space="preserve">         21.15亿</t>
  </si>
  <si>
    <t>勤上股份</t>
  </si>
  <si>
    <t xml:space="preserve">         31.05亿</t>
  </si>
  <si>
    <t>雪人股份</t>
  </si>
  <si>
    <t xml:space="preserve">         41.81亿</t>
  </si>
  <si>
    <t>跨境通</t>
  </si>
  <si>
    <t xml:space="preserve">        127.64亿</t>
  </si>
  <si>
    <t>永高股份</t>
  </si>
  <si>
    <t>荣之联</t>
  </si>
  <si>
    <t xml:space="preserve">         38.68亿</t>
  </si>
  <si>
    <t>万润股份</t>
  </si>
  <si>
    <t xml:space="preserve">        104.11亿</t>
  </si>
  <si>
    <t>佛慈制药</t>
  </si>
  <si>
    <t xml:space="preserve">         44.63亿</t>
  </si>
  <si>
    <t>华宏科技</t>
  </si>
  <si>
    <t xml:space="preserve">         26.11亿</t>
  </si>
  <si>
    <t>青青稞酒</t>
  </si>
  <si>
    <t xml:space="preserve">         54.72亿</t>
  </si>
  <si>
    <t>仁东控股</t>
  </si>
  <si>
    <t xml:space="preserve">         83.32亿</t>
  </si>
  <si>
    <t>卫星石化</t>
  </si>
  <si>
    <t xml:space="preserve">        144.09亿</t>
  </si>
  <si>
    <t>博彦科技</t>
  </si>
  <si>
    <t xml:space="preserve">         39.25亿</t>
  </si>
  <si>
    <t>加加食品</t>
  </si>
  <si>
    <t>利君股份</t>
  </si>
  <si>
    <t xml:space="preserve">         24.28亿</t>
  </si>
  <si>
    <t>扬子新材</t>
  </si>
  <si>
    <t xml:space="preserve">         26.24亿</t>
  </si>
  <si>
    <t>海思科</t>
  </si>
  <si>
    <t>万润科技</t>
  </si>
  <si>
    <t>共达电声</t>
  </si>
  <si>
    <t xml:space="preserve">         27.50亿</t>
  </si>
  <si>
    <t>摩登大道</t>
  </si>
  <si>
    <t xml:space="preserve">         34.91亿</t>
  </si>
  <si>
    <t>中科金财</t>
  </si>
  <si>
    <t xml:space="preserve">         50.28亿</t>
  </si>
  <si>
    <t>雪迪龙</t>
  </si>
  <si>
    <t xml:space="preserve">         25.60亿</t>
  </si>
  <si>
    <t>凯文教育</t>
  </si>
  <si>
    <t xml:space="preserve">         25.53亿</t>
  </si>
  <si>
    <t>茂硕电源</t>
  </si>
  <si>
    <t xml:space="preserve">         15.45亿</t>
  </si>
  <si>
    <t>克明面业</t>
  </si>
  <si>
    <t xml:space="preserve">         45.93亿</t>
  </si>
  <si>
    <t>京威股份</t>
  </si>
  <si>
    <t xml:space="preserve">         69.59亿</t>
  </si>
  <si>
    <t>普邦股份</t>
  </si>
  <si>
    <t xml:space="preserve">         43.62亿</t>
  </si>
  <si>
    <t>长鹰信质</t>
  </si>
  <si>
    <t xml:space="preserve">         49.34亿</t>
  </si>
  <si>
    <t>首航节能</t>
  </si>
  <si>
    <t xml:space="preserve">         73.33亿</t>
  </si>
  <si>
    <t>德联集团</t>
  </si>
  <si>
    <t xml:space="preserve">         22.80亿</t>
  </si>
  <si>
    <t>鞍重股份</t>
  </si>
  <si>
    <t xml:space="preserve">         12.92亿</t>
  </si>
  <si>
    <t>奥马电器</t>
  </si>
  <si>
    <t xml:space="preserve">         40.89亿</t>
  </si>
  <si>
    <t>康达新材</t>
  </si>
  <si>
    <t xml:space="preserve">         31.72亿</t>
  </si>
  <si>
    <t>国盛金控</t>
  </si>
  <si>
    <t xml:space="preserve">         92.52亿</t>
  </si>
  <si>
    <t>龙泉股份</t>
  </si>
  <si>
    <t xml:space="preserve">         16.21亿</t>
  </si>
  <si>
    <t>东江环保</t>
  </si>
  <si>
    <t xml:space="preserve">         82.11亿</t>
  </si>
  <si>
    <t>西部证券</t>
  </si>
  <si>
    <t xml:space="preserve">        372.95亿</t>
  </si>
  <si>
    <t>兴业科技</t>
  </si>
  <si>
    <t xml:space="preserve">         25.68亿</t>
  </si>
  <si>
    <t>东诚药业</t>
  </si>
  <si>
    <t xml:space="preserve">         77.90亿</t>
  </si>
  <si>
    <t>顺威股份</t>
  </si>
  <si>
    <t>浙江美大</t>
  </si>
  <si>
    <t>珠江钢琴</t>
  </si>
  <si>
    <t xml:space="preserve">         90.65亿</t>
  </si>
  <si>
    <t>福建金森</t>
  </si>
  <si>
    <t xml:space="preserve">         54.22亿</t>
  </si>
  <si>
    <t>*ST长生</t>
  </si>
  <si>
    <t xml:space="preserve">          8.77亿</t>
  </si>
  <si>
    <t>奋达科技</t>
  </si>
  <si>
    <t xml:space="preserve">         57.78亿</t>
  </si>
  <si>
    <t>龙洲股份</t>
  </si>
  <si>
    <t xml:space="preserve">         22.73亿</t>
  </si>
  <si>
    <t>宏大爆破</t>
  </si>
  <si>
    <t xml:space="preserve">         64.10亿</t>
  </si>
  <si>
    <t>猛狮科技</t>
  </si>
  <si>
    <t xml:space="preserve">         28.29亿</t>
  </si>
  <si>
    <t>华东重机</t>
  </si>
  <si>
    <t xml:space="preserve">         43.89亿</t>
  </si>
  <si>
    <t>亿利达</t>
  </si>
  <si>
    <t xml:space="preserve">         25.35亿</t>
  </si>
  <si>
    <t>乔治白</t>
  </si>
  <si>
    <t>金河生物</t>
  </si>
  <si>
    <t xml:space="preserve">         33.03亿</t>
  </si>
  <si>
    <t>远大智能</t>
  </si>
  <si>
    <t>美亚光电</t>
  </si>
  <si>
    <t xml:space="preserve">         82.37亿</t>
  </si>
  <si>
    <t>冀凯股份</t>
  </si>
  <si>
    <t xml:space="preserve">         27.43亿</t>
  </si>
  <si>
    <t>远程股份</t>
  </si>
  <si>
    <t xml:space="preserve">         32.62亿</t>
  </si>
  <si>
    <t>双成药业</t>
  </si>
  <si>
    <t xml:space="preserve">         19.93亿</t>
  </si>
  <si>
    <t>顾地科技</t>
  </si>
  <si>
    <t xml:space="preserve">         24.23亿</t>
  </si>
  <si>
    <t>煌上煌</t>
  </si>
  <si>
    <t xml:space="preserve">         58.22亿</t>
  </si>
  <si>
    <t>百洋股份</t>
  </si>
  <si>
    <t xml:space="preserve">         19.60亿</t>
  </si>
  <si>
    <t>红旗连锁</t>
  </si>
  <si>
    <t xml:space="preserve">         55.83亿</t>
  </si>
  <si>
    <t>博实股份</t>
  </si>
  <si>
    <t>美盛文化</t>
  </si>
  <si>
    <t xml:space="preserve">         51.47亿</t>
  </si>
  <si>
    <t>新疆浩源</t>
  </si>
  <si>
    <t>奥瑞金</t>
  </si>
  <si>
    <t xml:space="preserve">        128.50亿</t>
  </si>
  <si>
    <t>海欣食品</t>
  </si>
  <si>
    <t xml:space="preserve">         15.43亿</t>
  </si>
  <si>
    <t>浙江世宝</t>
  </si>
  <si>
    <t xml:space="preserve">         33.63亿</t>
  </si>
  <si>
    <t>新宝股份</t>
  </si>
  <si>
    <t xml:space="preserve">         84.79亿</t>
  </si>
  <si>
    <t>良信电器</t>
  </si>
  <si>
    <t xml:space="preserve">         34.51亿</t>
  </si>
  <si>
    <t>众信旅游</t>
  </si>
  <si>
    <t xml:space="preserve">         37.69亿</t>
  </si>
  <si>
    <t>光洋股份</t>
  </si>
  <si>
    <t xml:space="preserve">         36.86亿</t>
  </si>
  <si>
    <t>天赐材料</t>
  </si>
  <si>
    <t xml:space="preserve">        113.64亿</t>
  </si>
  <si>
    <t>欧浦智网</t>
  </si>
  <si>
    <t xml:space="preserve">         44.21亿</t>
  </si>
  <si>
    <t>思美传媒</t>
  </si>
  <si>
    <t xml:space="preserve">         25.19亿</t>
  </si>
  <si>
    <t>东易日盛</t>
  </si>
  <si>
    <t xml:space="preserve">         44.98亿</t>
  </si>
  <si>
    <t>牧原股份</t>
  </si>
  <si>
    <t xml:space="preserve">        635.09亿</t>
  </si>
  <si>
    <t>登云股份</t>
  </si>
  <si>
    <t xml:space="preserve">         15.30亿</t>
  </si>
  <si>
    <t>金贵银业</t>
  </si>
  <si>
    <t xml:space="preserve">         44.20亿</t>
  </si>
  <si>
    <t>岭南股份</t>
  </si>
  <si>
    <t xml:space="preserve">         60.41亿</t>
  </si>
  <si>
    <t>友邦吊顶</t>
  </si>
  <si>
    <t xml:space="preserve">         13.65亿</t>
  </si>
  <si>
    <t>麦趣尔</t>
  </si>
  <si>
    <t>金一文化</t>
  </si>
  <si>
    <t xml:space="preserve">         39.60亿</t>
  </si>
  <si>
    <t>金轮股份</t>
  </si>
  <si>
    <t xml:space="preserve">         29.42亿</t>
  </si>
  <si>
    <t>金莱特</t>
  </si>
  <si>
    <t xml:space="preserve">         17.02亿</t>
  </si>
  <si>
    <t>海洋王</t>
  </si>
  <si>
    <t xml:space="preserve">         21.83亿</t>
  </si>
  <si>
    <t>跃岭股份</t>
  </si>
  <si>
    <t>龙大肉食</t>
  </si>
  <si>
    <t xml:space="preserve">         67.09亿</t>
  </si>
  <si>
    <t>一心堂</t>
  </si>
  <si>
    <t xml:space="preserve">         74.24亿</t>
  </si>
  <si>
    <t>特一药业</t>
  </si>
  <si>
    <t xml:space="preserve">         20.36亿</t>
  </si>
  <si>
    <t>好利来</t>
  </si>
  <si>
    <t xml:space="preserve">         16.09亿</t>
  </si>
  <si>
    <t>电光科技</t>
  </si>
  <si>
    <t xml:space="preserve">         22.98亿</t>
  </si>
  <si>
    <t>萃华珠宝</t>
  </si>
  <si>
    <t>燕塘乳业</t>
  </si>
  <si>
    <t xml:space="preserve">         27.22亿</t>
  </si>
  <si>
    <t>雄韬股份</t>
  </si>
  <si>
    <t xml:space="preserve">         80.17亿</t>
  </si>
  <si>
    <t>利民股份</t>
  </si>
  <si>
    <t xml:space="preserve">         27.17亿</t>
  </si>
  <si>
    <t>王子新材</t>
  </si>
  <si>
    <t xml:space="preserve">         10.04亿</t>
  </si>
  <si>
    <t>国信证券</t>
  </si>
  <si>
    <t xml:space="preserve">        984.00亿</t>
  </si>
  <si>
    <t>葵花药业</t>
  </si>
  <si>
    <t xml:space="preserve">         86.10亿</t>
  </si>
  <si>
    <t>中矿资源</t>
  </si>
  <si>
    <t xml:space="preserve">         29.91亿</t>
  </si>
  <si>
    <t>万达电影</t>
  </si>
  <si>
    <t xml:space="preserve">        409.53亿</t>
  </si>
  <si>
    <t>爱迪尔</t>
  </si>
  <si>
    <t xml:space="preserve">         11.03亿</t>
  </si>
  <si>
    <t>光华科技</t>
  </si>
  <si>
    <t xml:space="preserve">         50.27亿</t>
  </si>
  <si>
    <t>三圣股份</t>
  </si>
  <si>
    <t xml:space="preserve">         21.70亿</t>
  </si>
  <si>
    <t>富煌钢构</t>
  </si>
  <si>
    <t xml:space="preserve">         22.65亿</t>
  </si>
  <si>
    <t>木林森</t>
  </si>
  <si>
    <t xml:space="preserve">         80.58亿</t>
  </si>
  <si>
    <t>仙坛股份</t>
  </si>
  <si>
    <t xml:space="preserve">         59.56亿</t>
  </si>
  <si>
    <t>埃斯顿</t>
  </si>
  <si>
    <t xml:space="preserve">         82.30亿</t>
  </si>
  <si>
    <t>世龙实业</t>
  </si>
  <si>
    <t xml:space="preserve">         19.99亿</t>
  </si>
  <si>
    <t>国光股份</t>
  </si>
  <si>
    <t xml:space="preserve">         31.59亿</t>
  </si>
  <si>
    <t>龙津药业</t>
  </si>
  <si>
    <t xml:space="preserve">         42.11亿</t>
  </si>
  <si>
    <t>易尚展示</t>
  </si>
  <si>
    <t xml:space="preserve">         22.89亿</t>
  </si>
  <si>
    <t>昇兴股份</t>
  </si>
  <si>
    <t xml:space="preserve">         12.90亿</t>
  </si>
  <si>
    <t>永东股份</t>
  </si>
  <si>
    <t xml:space="preserve">         20.91亿</t>
  </si>
  <si>
    <t>东方新星</t>
  </si>
  <si>
    <t>永兴特钢</t>
  </si>
  <si>
    <t xml:space="preserve">         29.11亿</t>
  </si>
  <si>
    <t>南兴装备</t>
  </si>
  <si>
    <t xml:space="preserve">         30.96亿</t>
  </si>
  <si>
    <t>华通医药</t>
  </si>
  <si>
    <t xml:space="preserve">         18.25亿</t>
  </si>
  <si>
    <t>天际股份</t>
  </si>
  <si>
    <t xml:space="preserve">         16.89亿</t>
  </si>
  <si>
    <t>凤形股份</t>
  </si>
  <si>
    <t xml:space="preserve">         12.03亿</t>
  </si>
  <si>
    <t>多喜爱</t>
  </si>
  <si>
    <t xml:space="preserve">         35.50亿</t>
  </si>
  <si>
    <t>金发拉比</t>
  </si>
  <si>
    <t xml:space="preserve">         14.18亿</t>
  </si>
  <si>
    <t>汇洁股份</t>
  </si>
  <si>
    <t xml:space="preserve">         16.50亿</t>
  </si>
  <si>
    <t>蓝黛传动</t>
  </si>
  <si>
    <t xml:space="preserve">         18.76亿</t>
  </si>
  <si>
    <t>索菱股份</t>
  </si>
  <si>
    <t xml:space="preserve">         15.65亿</t>
  </si>
  <si>
    <t>先锋电子</t>
  </si>
  <si>
    <t xml:space="preserve">         19.79亿</t>
  </si>
  <si>
    <t>国恩股份</t>
  </si>
  <si>
    <t xml:space="preserve">         60.72亿</t>
  </si>
  <si>
    <t>普路通</t>
  </si>
  <si>
    <t xml:space="preserve">         27.67亿</t>
  </si>
  <si>
    <t>科迪乳业</t>
  </si>
  <si>
    <t xml:space="preserve">         21.75亿</t>
  </si>
  <si>
    <t>真视通</t>
  </si>
  <si>
    <t xml:space="preserve">         15.38亿</t>
  </si>
  <si>
    <t>众兴菌业</t>
  </si>
  <si>
    <t xml:space="preserve">         19.51亿</t>
  </si>
  <si>
    <t>康弘药业</t>
  </si>
  <si>
    <t xml:space="preserve">        208.54亿</t>
  </si>
  <si>
    <t>快意电梯</t>
  </si>
  <si>
    <t xml:space="preserve">          9.47亿</t>
  </si>
  <si>
    <t>文科园林</t>
  </si>
  <si>
    <t xml:space="preserve">         30.52亿</t>
  </si>
  <si>
    <t>柏堡龙</t>
  </si>
  <si>
    <t xml:space="preserve">         51.65亿</t>
  </si>
  <si>
    <t>久远银海</t>
  </si>
  <si>
    <t xml:space="preserve">         44.30亿</t>
  </si>
  <si>
    <t>高科石化</t>
  </si>
  <si>
    <t xml:space="preserve">         13.81亿</t>
  </si>
  <si>
    <t>中坚科技</t>
  </si>
  <si>
    <t xml:space="preserve">         23.08亿</t>
  </si>
  <si>
    <t>三夫户外</t>
  </si>
  <si>
    <t xml:space="preserve">         14.80亿</t>
  </si>
  <si>
    <t>奇信股份</t>
  </si>
  <si>
    <t xml:space="preserve">         36.23亿</t>
  </si>
  <si>
    <t>可立克</t>
  </si>
  <si>
    <t xml:space="preserve">         61.77亿</t>
  </si>
  <si>
    <t>凯龙股份</t>
  </si>
  <si>
    <t xml:space="preserve">         21.24亿</t>
  </si>
  <si>
    <t>万里石</t>
  </si>
  <si>
    <t xml:space="preserve">         16.66亿</t>
  </si>
  <si>
    <t>银宝山新</t>
  </si>
  <si>
    <t xml:space="preserve">         39.88亿</t>
  </si>
  <si>
    <t>华源控股</t>
  </si>
  <si>
    <t xml:space="preserve">         12.50亿</t>
  </si>
  <si>
    <t>鹭燕医药</t>
  </si>
  <si>
    <t>建艺集团</t>
  </si>
  <si>
    <t xml:space="preserve">         11.99亿</t>
  </si>
  <si>
    <t>瑞尔特</t>
  </si>
  <si>
    <t xml:space="preserve">          8.03亿</t>
  </si>
  <si>
    <t>坚朗五金</t>
  </si>
  <si>
    <t xml:space="preserve">         10.52亿</t>
  </si>
  <si>
    <t>通宇通讯</t>
  </si>
  <si>
    <t xml:space="preserve">         25.46亿</t>
  </si>
  <si>
    <t>东音股份</t>
  </si>
  <si>
    <t xml:space="preserve">          7.71亿</t>
  </si>
  <si>
    <t>永和智控</t>
  </si>
  <si>
    <t xml:space="preserve">         10.58亿</t>
  </si>
  <si>
    <t>世嘉科技</t>
  </si>
  <si>
    <t xml:space="preserve">         18.03亿</t>
  </si>
  <si>
    <t>第一创业</t>
  </si>
  <si>
    <t xml:space="preserve">        146.38亿</t>
  </si>
  <si>
    <t>帝欧家居</t>
  </si>
  <si>
    <t>环球印务</t>
  </si>
  <si>
    <t xml:space="preserve">         10.69亿</t>
  </si>
  <si>
    <t>天顺股份</t>
  </si>
  <si>
    <t xml:space="preserve">          6.71亿</t>
  </si>
  <si>
    <t>微光股份</t>
  </si>
  <si>
    <t xml:space="preserve">          7.22亿</t>
  </si>
  <si>
    <t>洪汇新材</t>
  </si>
  <si>
    <t xml:space="preserve">          9.28亿</t>
  </si>
  <si>
    <t>吉宏股份</t>
  </si>
  <si>
    <t xml:space="preserve">         14.16亿</t>
  </si>
  <si>
    <t>丰元股份</t>
  </si>
  <si>
    <t xml:space="preserve">          9.11亿</t>
  </si>
  <si>
    <t>华锋股份</t>
  </si>
  <si>
    <t xml:space="preserve">         11.68亿</t>
  </si>
  <si>
    <t>江阴银行</t>
  </si>
  <si>
    <t>恒久科技</t>
  </si>
  <si>
    <t xml:space="preserve">         12.59亿</t>
  </si>
  <si>
    <t>红墙股份</t>
  </si>
  <si>
    <t xml:space="preserve">         10.76亿</t>
  </si>
  <si>
    <t>山东赫达</t>
  </si>
  <si>
    <t xml:space="preserve">         13.62亿</t>
  </si>
  <si>
    <t>亚泰国际</t>
  </si>
  <si>
    <t xml:space="preserve">          7.53亿</t>
  </si>
  <si>
    <t>恩捷股份</t>
  </si>
  <si>
    <t xml:space="preserve">         77.51亿</t>
  </si>
  <si>
    <t>路畅科技</t>
  </si>
  <si>
    <t xml:space="preserve">          8.14亿</t>
  </si>
  <si>
    <t>崇达技术</t>
  </si>
  <si>
    <t xml:space="preserve">         38.95亿</t>
  </si>
  <si>
    <t>和科达</t>
  </si>
  <si>
    <t xml:space="preserve">         10.88亿</t>
  </si>
  <si>
    <t>黄山胶囊</t>
  </si>
  <si>
    <t xml:space="preserve">          8.16亿</t>
  </si>
  <si>
    <t>富森美</t>
  </si>
  <si>
    <t xml:space="preserve">         21.10亿</t>
  </si>
  <si>
    <t>东方中科</t>
  </si>
  <si>
    <t xml:space="preserve">         11.38亿</t>
  </si>
  <si>
    <t>桂发祥</t>
  </si>
  <si>
    <t xml:space="preserve">         16.58亿</t>
  </si>
  <si>
    <t>凯莱英</t>
  </si>
  <si>
    <t xml:space="preserve">        111.17亿</t>
  </si>
  <si>
    <t>中装建设</t>
  </si>
  <si>
    <t xml:space="preserve">         18.09亿</t>
  </si>
  <si>
    <t>凯中精密</t>
  </si>
  <si>
    <t xml:space="preserve">         11.89亿</t>
  </si>
  <si>
    <t>和胜股份</t>
  </si>
  <si>
    <t xml:space="preserve">          7.79亿</t>
  </si>
  <si>
    <t>纳尔股份</t>
  </si>
  <si>
    <t xml:space="preserve">          7.09亿</t>
  </si>
  <si>
    <t>易明医药</t>
  </si>
  <si>
    <t xml:space="preserve">         15.41亿</t>
  </si>
  <si>
    <t>高争民爆</t>
  </si>
  <si>
    <t xml:space="preserve">         10.22亿</t>
  </si>
  <si>
    <t>贝肯能源</t>
  </si>
  <si>
    <t xml:space="preserve">         12.51亿</t>
  </si>
  <si>
    <t>星网宇达</t>
  </si>
  <si>
    <t xml:space="preserve">         12.38亿</t>
  </si>
  <si>
    <t>名雕股份</t>
  </si>
  <si>
    <t xml:space="preserve">          6.41亿</t>
  </si>
  <si>
    <t>裕同科技</t>
  </si>
  <si>
    <t xml:space="preserve">         60.83亿</t>
  </si>
  <si>
    <t>比音勒芬</t>
  </si>
  <si>
    <t>弘亚数控</t>
  </si>
  <si>
    <t xml:space="preserve">         24.27亿</t>
  </si>
  <si>
    <t>同为股份</t>
  </si>
  <si>
    <t xml:space="preserve">          7.77亿</t>
  </si>
  <si>
    <t>新宏泽</t>
  </si>
  <si>
    <t>英维克</t>
  </si>
  <si>
    <t xml:space="preserve">         14.25亿</t>
  </si>
  <si>
    <t>道恩股份</t>
  </si>
  <si>
    <t xml:space="preserve">         15.86亿</t>
  </si>
  <si>
    <t>张家港行</t>
  </si>
  <si>
    <t xml:space="preserve">         62.22亿</t>
  </si>
  <si>
    <t>华统股份</t>
  </si>
  <si>
    <t xml:space="preserve">         29.05亿</t>
  </si>
  <si>
    <t>视源股份</t>
  </si>
  <si>
    <t xml:space="preserve">         50.43亿</t>
  </si>
  <si>
    <t>翔鹭钨业</t>
  </si>
  <si>
    <t xml:space="preserve">         14.98亿</t>
  </si>
  <si>
    <t>泰嘉股份</t>
  </si>
  <si>
    <t xml:space="preserve">         11.60亿</t>
  </si>
  <si>
    <t>同兴达</t>
  </si>
  <si>
    <t xml:space="preserve">         15.55亿</t>
  </si>
  <si>
    <t>英联股份</t>
  </si>
  <si>
    <t xml:space="preserve">          6.51亿</t>
  </si>
  <si>
    <t>盐津铺子</t>
  </si>
  <si>
    <t xml:space="preserve">          8.87亿</t>
  </si>
  <si>
    <t>高斯贝尔</t>
  </si>
  <si>
    <t xml:space="preserve">         15.42亿</t>
  </si>
  <si>
    <t>威星智能</t>
  </si>
  <si>
    <t xml:space="preserve">          9.34亿</t>
  </si>
  <si>
    <t>科达利</t>
  </si>
  <si>
    <t>麦格米特</t>
  </si>
  <si>
    <t xml:space="preserve">         37.32亿</t>
  </si>
  <si>
    <t>道道全</t>
  </si>
  <si>
    <t xml:space="preserve">         18.55亿</t>
  </si>
  <si>
    <t>皮阿诺</t>
  </si>
  <si>
    <t xml:space="preserve">         11.51亿</t>
  </si>
  <si>
    <t>捷荣技术</t>
  </si>
  <si>
    <t xml:space="preserve">          8.07亿</t>
  </si>
  <si>
    <t>美芝股份</t>
  </si>
  <si>
    <t xml:space="preserve">          6.93亿</t>
  </si>
  <si>
    <t>三晖电气</t>
  </si>
  <si>
    <t xml:space="preserve">          6.34亿</t>
  </si>
  <si>
    <t>力盛赛车</t>
  </si>
  <si>
    <t xml:space="preserve">         10.44亿</t>
  </si>
  <si>
    <t>洁美科技</t>
  </si>
  <si>
    <t xml:space="preserve">         39.10亿</t>
  </si>
  <si>
    <t>星帅尔</t>
  </si>
  <si>
    <t xml:space="preserve">         10.50亿</t>
  </si>
  <si>
    <t>瀛通通讯</t>
  </si>
  <si>
    <t xml:space="preserve">         11.11亿</t>
  </si>
  <si>
    <t>实丰文化</t>
  </si>
  <si>
    <t>今飞凯达</t>
  </si>
  <si>
    <t xml:space="preserve">         13.39亿</t>
  </si>
  <si>
    <t>盘龙药业</t>
  </si>
  <si>
    <t xml:space="preserve">         16.06亿</t>
  </si>
  <si>
    <t>钧达股份</t>
  </si>
  <si>
    <t xml:space="preserve">          8.51亿</t>
  </si>
  <si>
    <t>传艺科技</t>
  </si>
  <si>
    <t xml:space="preserve">         10.35亿</t>
  </si>
  <si>
    <t>周大生</t>
  </si>
  <si>
    <t xml:space="preserve">         49.41亿</t>
  </si>
  <si>
    <t>绿康生化</t>
  </si>
  <si>
    <t xml:space="preserve">          7.78亿</t>
  </si>
  <si>
    <t>金溢科技</t>
  </si>
  <si>
    <t xml:space="preserve">          9.45亿</t>
  </si>
  <si>
    <t>香山股份</t>
  </si>
  <si>
    <t xml:space="preserve">         10.93亿</t>
  </si>
  <si>
    <t>伟隆股份</t>
  </si>
  <si>
    <t xml:space="preserve">          6.83亿</t>
  </si>
  <si>
    <t>天圣制药</t>
  </si>
  <si>
    <t xml:space="preserve">         21.72亿</t>
  </si>
  <si>
    <t>新天药业</t>
  </si>
  <si>
    <t xml:space="preserve">         11.92亿</t>
  </si>
  <si>
    <t>安奈儿</t>
  </si>
  <si>
    <t xml:space="preserve">          9.17亿</t>
  </si>
  <si>
    <t>三利谱</t>
  </si>
  <si>
    <t xml:space="preserve">         26.06亿</t>
  </si>
  <si>
    <t>智能自控</t>
  </si>
  <si>
    <t xml:space="preserve">          8.43亿</t>
  </si>
  <si>
    <t>元隆雅图</t>
  </si>
  <si>
    <t>长缆科技</t>
  </si>
  <si>
    <t xml:space="preserve">         20.20亿</t>
  </si>
  <si>
    <t>卫光生物</t>
  </si>
  <si>
    <t xml:space="preserve">         12.78亿</t>
  </si>
  <si>
    <t>美格智能</t>
  </si>
  <si>
    <t xml:space="preserve">          9.13亿</t>
  </si>
  <si>
    <t>金龙羽</t>
  </si>
  <si>
    <t xml:space="preserve">          9.10亿</t>
  </si>
  <si>
    <t>中设股份</t>
  </si>
  <si>
    <t xml:space="preserve">          7.28亿</t>
  </si>
  <si>
    <t>凌霄泵业</t>
  </si>
  <si>
    <t xml:space="preserve">         15.88亿</t>
  </si>
  <si>
    <t>京泉华</t>
  </si>
  <si>
    <t xml:space="preserve">         10.81亿</t>
  </si>
  <si>
    <t>沃特股份</t>
  </si>
  <si>
    <t xml:space="preserve">          9.57亿</t>
  </si>
  <si>
    <t>绿茵生态</t>
  </si>
  <si>
    <t xml:space="preserve">         10.82亿</t>
  </si>
  <si>
    <t>惠威科技</t>
  </si>
  <si>
    <t xml:space="preserve">          6.89亿</t>
  </si>
  <si>
    <t>东方嘉盛</t>
  </si>
  <si>
    <t xml:space="preserve">         10.13亿</t>
  </si>
  <si>
    <t>弘宇股份</t>
  </si>
  <si>
    <t xml:space="preserve">         10.05亿</t>
  </si>
  <si>
    <t>中宠股份</t>
  </si>
  <si>
    <t xml:space="preserve">         22.02亿</t>
  </si>
  <si>
    <t>科力尔</t>
  </si>
  <si>
    <t xml:space="preserve">         10.27亿</t>
  </si>
  <si>
    <t>华通热力</t>
  </si>
  <si>
    <t xml:space="preserve">         10.23亿</t>
  </si>
  <si>
    <t>川恒股份</t>
  </si>
  <si>
    <t xml:space="preserve">         12.54亿</t>
  </si>
  <si>
    <t>中大力德</t>
  </si>
  <si>
    <t xml:space="preserve">         12.02亿</t>
  </si>
  <si>
    <t>意华股份</t>
  </si>
  <si>
    <t xml:space="preserve">         15.93亿</t>
  </si>
  <si>
    <t>赛隆药业</t>
  </si>
  <si>
    <t xml:space="preserve">          9.71亿</t>
  </si>
  <si>
    <t>英派斯</t>
  </si>
  <si>
    <t xml:space="preserve">         12.52亿</t>
  </si>
  <si>
    <t>哈三联</t>
  </si>
  <si>
    <t xml:space="preserve">         19.56亿</t>
  </si>
  <si>
    <t>大博医疗</t>
  </si>
  <si>
    <t xml:space="preserve">         13.63亿</t>
  </si>
  <si>
    <t>铭普光磁</t>
  </si>
  <si>
    <t xml:space="preserve">         17.92亿</t>
  </si>
  <si>
    <t>宇环数控</t>
  </si>
  <si>
    <t xml:space="preserve">         14.19亿</t>
  </si>
  <si>
    <t>金逸影视</t>
  </si>
  <si>
    <t xml:space="preserve">         10.36亿</t>
  </si>
  <si>
    <t>华阳集团</t>
  </si>
  <si>
    <t xml:space="preserve">         22.61亿</t>
  </si>
  <si>
    <t>华森制药</t>
  </si>
  <si>
    <t xml:space="preserve">         12.17亿</t>
  </si>
  <si>
    <t>德生科技</t>
  </si>
  <si>
    <t xml:space="preserve">         18.27亿</t>
  </si>
  <si>
    <t>集泰股份</t>
  </si>
  <si>
    <t xml:space="preserve">          9.82亿</t>
  </si>
  <si>
    <t>庄园牧场</t>
  </si>
  <si>
    <t xml:space="preserve">          9.76亿</t>
  </si>
  <si>
    <t>佛燃股份</t>
  </si>
  <si>
    <t xml:space="preserve">         48.37亿</t>
  </si>
  <si>
    <t>中新赛克</t>
  </si>
  <si>
    <t xml:space="preserve">         56.73亿</t>
  </si>
  <si>
    <t>奥士康</t>
  </si>
  <si>
    <t xml:space="preserve">         21.42亿</t>
  </si>
  <si>
    <t>中欣氟材</t>
  </si>
  <si>
    <t>深南电路</t>
  </si>
  <si>
    <t xml:space="preserve">         97.16亿</t>
  </si>
  <si>
    <t>金奥博</t>
  </si>
  <si>
    <t xml:space="preserve">          9.80亿</t>
  </si>
  <si>
    <t>蒙娜丽莎</t>
  </si>
  <si>
    <t>名臣健康</t>
  </si>
  <si>
    <t xml:space="preserve">          6.38亿</t>
  </si>
  <si>
    <t>德赛西威</t>
  </si>
  <si>
    <t>联诚精密</t>
  </si>
  <si>
    <t xml:space="preserve">         12.56亿</t>
  </si>
  <si>
    <t>伊戈尔</t>
  </si>
  <si>
    <t xml:space="preserve">         12.30亿</t>
  </si>
  <si>
    <t>润都股份</t>
  </si>
  <si>
    <t xml:space="preserve">          9.74亿</t>
  </si>
  <si>
    <t>盈趣科技</t>
  </si>
  <si>
    <t xml:space="preserve">         96.83亿</t>
  </si>
  <si>
    <t>华西证券</t>
  </si>
  <si>
    <t xml:space="preserve">        200.22亿</t>
  </si>
  <si>
    <t>泰永长征</t>
  </si>
  <si>
    <t xml:space="preserve">         19.43亿</t>
  </si>
  <si>
    <t>华夏航空</t>
  </si>
  <si>
    <t xml:space="preserve">         27.57亿</t>
  </si>
  <si>
    <t>润建通信</t>
  </si>
  <si>
    <t xml:space="preserve">         27.12亿</t>
  </si>
  <si>
    <t>宏川智慧</t>
  </si>
  <si>
    <t xml:space="preserve">         16.80亿</t>
  </si>
  <si>
    <t>锋龙股份</t>
  </si>
  <si>
    <t xml:space="preserve">          7.72亿</t>
  </si>
  <si>
    <t>明德生物</t>
  </si>
  <si>
    <t>新兴装备</t>
  </si>
  <si>
    <t xml:space="preserve">         15.35亿</t>
  </si>
  <si>
    <t>天奥电子</t>
  </si>
  <si>
    <t xml:space="preserve">         13.52亿</t>
  </si>
  <si>
    <t>郑州银行</t>
  </si>
  <si>
    <t xml:space="preserve">         38.28亿</t>
  </si>
  <si>
    <t>兴瑞科技</t>
  </si>
  <si>
    <t xml:space="preserve">         14.08亿</t>
  </si>
  <si>
    <t>鹏鼎控股</t>
  </si>
  <si>
    <t xml:space="preserve">         57.18亿</t>
  </si>
  <si>
    <t>长城证券</t>
  </si>
  <si>
    <t xml:space="preserve">         44.72亿</t>
  </si>
  <si>
    <t>昂利康</t>
  </si>
  <si>
    <t xml:space="preserve">          9.55亿</t>
  </si>
  <si>
    <t>新疆交建</t>
  </si>
  <si>
    <t xml:space="preserve">         23.74亿</t>
  </si>
  <si>
    <t>新农股份</t>
  </si>
  <si>
    <t xml:space="preserve">         10.38亿</t>
  </si>
  <si>
    <t>宇晶股份</t>
  </si>
  <si>
    <t xml:space="preserve">         10.84亿</t>
  </si>
  <si>
    <t>华林证券</t>
  </si>
  <si>
    <t xml:space="preserve">         40.93亿</t>
  </si>
  <si>
    <t>新乳业</t>
  </si>
  <si>
    <t xml:space="preserve">         17.24亿</t>
  </si>
  <si>
    <t>恒铭达</t>
  </si>
  <si>
    <t xml:space="preserve">         16.07亿</t>
  </si>
  <si>
    <t>青岛银行</t>
  </si>
  <si>
    <t xml:space="preserve">         35.36亿</t>
  </si>
  <si>
    <t>华阳国际</t>
  </si>
  <si>
    <t xml:space="preserve">         11.94亿</t>
  </si>
  <si>
    <t>特锐德</t>
  </si>
  <si>
    <t xml:space="preserve">        225.63亿</t>
  </si>
  <si>
    <t>神州泰岳</t>
  </si>
  <si>
    <t xml:space="preserve">         71.31亿</t>
  </si>
  <si>
    <t>乐普医疗</t>
  </si>
  <si>
    <t xml:space="preserve">        397.61亿</t>
  </si>
  <si>
    <t>南风股份</t>
  </si>
  <si>
    <t xml:space="preserve">         20.24亿</t>
  </si>
  <si>
    <t>探路者</t>
  </si>
  <si>
    <t>莱美药业</t>
  </si>
  <si>
    <t xml:space="preserve">         30.35亿</t>
  </si>
  <si>
    <t>汉威科技</t>
  </si>
  <si>
    <t xml:space="preserve">         27.98亿</t>
  </si>
  <si>
    <t>天海防务</t>
  </si>
  <si>
    <t xml:space="preserve">         25.18亿</t>
  </si>
  <si>
    <t>安科生物</t>
  </si>
  <si>
    <t xml:space="preserve">        105.87亿</t>
  </si>
  <si>
    <t>立思辰</t>
  </si>
  <si>
    <t xml:space="preserve">         67.23亿</t>
  </si>
  <si>
    <t>鼎汉技术</t>
  </si>
  <si>
    <t xml:space="preserve">         32.89亿</t>
  </si>
  <si>
    <t>华测检测</t>
  </si>
  <si>
    <t xml:space="preserve">        125.79亿</t>
  </si>
  <si>
    <t>新宁物流</t>
  </si>
  <si>
    <t xml:space="preserve">         38.48亿</t>
  </si>
  <si>
    <t>亿纬锂能</t>
  </si>
  <si>
    <t xml:space="preserve">        183.27亿</t>
  </si>
  <si>
    <t>爱尔眼科</t>
  </si>
  <si>
    <t xml:space="preserve">        625.46亿</t>
  </si>
  <si>
    <t>北陆药业</t>
  </si>
  <si>
    <t xml:space="preserve">         43.53亿</t>
  </si>
  <si>
    <t>网宿科技</t>
  </si>
  <si>
    <t xml:space="preserve">        249.79亿</t>
  </si>
  <si>
    <t>中元股份</t>
  </si>
  <si>
    <t xml:space="preserve">         22.58亿</t>
  </si>
  <si>
    <t>硅宝科技</t>
  </si>
  <si>
    <t xml:space="preserve">         20.10亿</t>
  </si>
  <si>
    <t>银江股份</t>
  </si>
  <si>
    <t xml:space="preserve">         54.38亿</t>
  </si>
  <si>
    <t>大禹节水</t>
  </si>
  <si>
    <t xml:space="preserve">         39.03亿</t>
  </si>
  <si>
    <t>吉峰科技</t>
  </si>
  <si>
    <t>宝德股份</t>
  </si>
  <si>
    <t xml:space="preserve">         11.39亿</t>
  </si>
  <si>
    <t>机器人</t>
  </si>
  <si>
    <t xml:space="preserve">        287.59亿</t>
  </si>
  <si>
    <t>华星创业</t>
  </si>
  <si>
    <t xml:space="preserve">         23.59亿</t>
  </si>
  <si>
    <t>红日药业</t>
  </si>
  <si>
    <t xml:space="preserve">         87.64亿</t>
  </si>
  <si>
    <t>华谊兄弟</t>
  </si>
  <si>
    <t xml:space="preserve">        128.47亿</t>
  </si>
  <si>
    <t>金亚科技</t>
  </si>
  <si>
    <t xml:space="preserve">          2.65亿</t>
  </si>
  <si>
    <t>天龙光电</t>
  </si>
  <si>
    <t xml:space="preserve">         11.04亿</t>
  </si>
  <si>
    <t>阳普医疗</t>
  </si>
  <si>
    <t xml:space="preserve">         15.72亿</t>
  </si>
  <si>
    <t>宝通科技</t>
  </si>
  <si>
    <t xml:space="preserve">         36.50亿</t>
  </si>
  <si>
    <t>金龙机电</t>
  </si>
  <si>
    <t xml:space="preserve">         31.02亿</t>
  </si>
  <si>
    <t>同花顺</t>
  </si>
  <si>
    <t xml:space="preserve">        219.29亿</t>
  </si>
  <si>
    <t>钢研高纳</t>
  </si>
  <si>
    <t xml:space="preserve">         49.89亿</t>
  </si>
  <si>
    <t>中科电气</t>
  </si>
  <si>
    <t xml:space="preserve">         22.70亿</t>
  </si>
  <si>
    <t>超图软件</t>
  </si>
  <si>
    <t xml:space="preserve">         59.48亿</t>
  </si>
  <si>
    <t>新宙邦</t>
  </si>
  <si>
    <t xml:space="preserve">         72.08亿</t>
  </si>
  <si>
    <t>数知科技</t>
  </si>
  <si>
    <t xml:space="preserve">         85.01亿</t>
  </si>
  <si>
    <t>上海凯宝</t>
  </si>
  <si>
    <t xml:space="preserve">         51.20亿</t>
  </si>
  <si>
    <t>九洲电气</t>
  </si>
  <si>
    <t xml:space="preserve">         15.33亿</t>
  </si>
  <si>
    <t>回天新材</t>
  </si>
  <si>
    <t xml:space="preserve">         24.32亿</t>
  </si>
  <si>
    <t>朗科科技</t>
  </si>
  <si>
    <t xml:space="preserve">         20.02亿</t>
  </si>
  <si>
    <t>星辉娱乐</t>
  </si>
  <si>
    <t xml:space="preserve">         42.25亿</t>
  </si>
  <si>
    <t>赛为智能</t>
  </si>
  <si>
    <t xml:space="preserve">         46.64亿</t>
  </si>
  <si>
    <t>华力创通</t>
  </si>
  <si>
    <t xml:space="preserve">         40.64亿</t>
  </si>
  <si>
    <t>台基股份</t>
  </si>
  <si>
    <t>天源迪科</t>
  </si>
  <si>
    <t xml:space="preserve">         49.39亿</t>
  </si>
  <si>
    <t>合康新能</t>
  </si>
  <si>
    <t xml:space="preserve">         29.90亿</t>
  </si>
  <si>
    <t>福瑞股份</t>
  </si>
  <si>
    <t xml:space="preserve">         24.26亿</t>
  </si>
  <si>
    <t>世纪鼎利</t>
  </si>
  <si>
    <t xml:space="preserve">         24.99亿</t>
  </si>
  <si>
    <t>三五互联</t>
  </si>
  <si>
    <t xml:space="preserve">         17.43亿</t>
  </si>
  <si>
    <t>中青宝</t>
  </si>
  <si>
    <t>欧比特</t>
  </si>
  <si>
    <t xml:space="preserve">         55.62亿</t>
  </si>
  <si>
    <t>鼎龙股份</t>
  </si>
  <si>
    <t xml:space="preserve">         64.24亿</t>
  </si>
  <si>
    <t>万邦达</t>
  </si>
  <si>
    <t xml:space="preserve">         77.26亿</t>
  </si>
  <si>
    <t>三维丝</t>
  </si>
  <si>
    <t xml:space="preserve">         13.19亿</t>
  </si>
  <si>
    <t>万顺股份</t>
  </si>
  <si>
    <t xml:space="preserve">         28.69亿</t>
  </si>
  <si>
    <t>蓝色光标</t>
  </si>
  <si>
    <t xml:space="preserve">         84.78亿</t>
  </si>
  <si>
    <t>东方财富</t>
  </si>
  <si>
    <t xml:space="preserve">        883.87亿</t>
  </si>
  <si>
    <t>康旗股份</t>
  </si>
  <si>
    <t xml:space="preserve">         24.56亿</t>
  </si>
  <si>
    <t>中能电气</t>
  </si>
  <si>
    <t xml:space="preserve">         11.46亿</t>
  </si>
  <si>
    <t>天龙集团</t>
  </si>
  <si>
    <t>豫金刚石</t>
  </si>
  <si>
    <t xml:space="preserve">         31.86亿</t>
  </si>
  <si>
    <t>海兰信</t>
  </si>
  <si>
    <t xml:space="preserve">         44.18亿</t>
  </si>
  <si>
    <t>三川智慧</t>
  </si>
  <si>
    <t xml:space="preserve">         46.52亿</t>
  </si>
  <si>
    <t>安诺其</t>
  </si>
  <si>
    <t xml:space="preserve">         28.93亿</t>
  </si>
  <si>
    <t>南都电源</t>
  </si>
  <si>
    <t xml:space="preserve">         96.08亿</t>
  </si>
  <si>
    <t>金利华电</t>
  </si>
  <si>
    <t xml:space="preserve">         13.02亿</t>
  </si>
  <si>
    <t>碧水源</t>
  </si>
  <si>
    <t xml:space="preserve">        211.63亿</t>
  </si>
  <si>
    <t>华谊嘉信</t>
  </si>
  <si>
    <t xml:space="preserve">         17.89亿</t>
  </si>
  <si>
    <t>三聚环保</t>
  </si>
  <si>
    <t xml:space="preserve">        254.23亿</t>
  </si>
  <si>
    <t>当升科技</t>
  </si>
  <si>
    <t xml:space="preserve">        112.09亿</t>
  </si>
  <si>
    <t>华平股份</t>
  </si>
  <si>
    <t>数字政通</t>
  </si>
  <si>
    <t xml:space="preserve">         37.84亿</t>
  </si>
  <si>
    <t>GQY视讯</t>
  </si>
  <si>
    <t xml:space="preserve">         21.58亿</t>
  </si>
  <si>
    <t>国民技术</t>
  </si>
  <si>
    <t xml:space="preserve">         50.79亿</t>
  </si>
  <si>
    <t>思创医惠</t>
  </si>
  <si>
    <t xml:space="preserve">         80.73亿</t>
  </si>
  <si>
    <t>数码科技</t>
  </si>
  <si>
    <t xml:space="preserve">         61.42亿</t>
  </si>
  <si>
    <t>易成新能</t>
  </si>
  <si>
    <t xml:space="preserve">         35.19亿</t>
  </si>
  <si>
    <t>恒信东方</t>
  </si>
  <si>
    <t xml:space="preserve">         34.03亿</t>
  </si>
  <si>
    <t>奥克股份</t>
  </si>
  <si>
    <t xml:space="preserve">         46.82亿</t>
  </si>
  <si>
    <t>劲胜智能</t>
  </si>
  <si>
    <t>海默科技</t>
  </si>
  <si>
    <t xml:space="preserve">         18.51亿</t>
  </si>
  <si>
    <t>银之杰</t>
  </si>
  <si>
    <t xml:space="preserve">         72.63亿</t>
  </si>
  <si>
    <t>康芝药业</t>
  </si>
  <si>
    <t xml:space="preserve">         27.75亿</t>
  </si>
  <si>
    <t>荃银高科</t>
  </si>
  <si>
    <t xml:space="preserve">         28.58亿</t>
  </si>
  <si>
    <t>长信科技</t>
  </si>
  <si>
    <t xml:space="preserve">        138.42亿</t>
  </si>
  <si>
    <t>文化长城</t>
  </si>
  <si>
    <t xml:space="preserve">         17.93亿</t>
  </si>
  <si>
    <t>盛运环保</t>
  </si>
  <si>
    <t xml:space="preserve">         29.35亿</t>
  </si>
  <si>
    <t>金通灵</t>
  </si>
  <si>
    <t xml:space="preserve">         52.36亿</t>
  </si>
  <si>
    <t>科新机电</t>
  </si>
  <si>
    <t xml:space="preserve">         12.34亿</t>
  </si>
  <si>
    <t>金刚玻璃</t>
  </si>
  <si>
    <t xml:space="preserve">         14.88亿</t>
  </si>
  <si>
    <t>国联水产</t>
  </si>
  <si>
    <t xml:space="preserve">         50.59亿</t>
  </si>
  <si>
    <t>华伍股份</t>
  </si>
  <si>
    <t xml:space="preserve">         14.38亿</t>
  </si>
  <si>
    <t>易联众</t>
  </si>
  <si>
    <t xml:space="preserve">         45.18亿</t>
  </si>
  <si>
    <t>智云股份</t>
  </si>
  <si>
    <t>高新兴</t>
  </si>
  <si>
    <t xml:space="preserve">        126.15亿</t>
  </si>
  <si>
    <t>精准信息</t>
  </si>
  <si>
    <t>双林股份</t>
  </si>
  <si>
    <t xml:space="preserve">         43.52亿</t>
  </si>
  <si>
    <t>振芯科技</t>
  </si>
  <si>
    <t xml:space="preserve">         66.12亿</t>
  </si>
  <si>
    <t>乾照光电</t>
  </si>
  <si>
    <t xml:space="preserve">         49.03亿</t>
  </si>
  <si>
    <t>达刚路机</t>
  </si>
  <si>
    <t>乐视网</t>
  </si>
  <si>
    <t xml:space="preserve">         93.73亿</t>
  </si>
  <si>
    <t>龙源技术</t>
  </si>
  <si>
    <t xml:space="preserve">         23.61亿</t>
  </si>
  <si>
    <t>西部牧业</t>
  </si>
  <si>
    <t xml:space="preserve">         13.64亿</t>
  </si>
  <si>
    <t>建新股份</t>
  </si>
  <si>
    <t xml:space="preserve">         40.39亿</t>
  </si>
  <si>
    <t>吉药控股</t>
  </si>
  <si>
    <t>新开源</t>
  </si>
  <si>
    <t xml:space="preserve">         23.22亿</t>
  </si>
  <si>
    <t>华仁药业</t>
  </si>
  <si>
    <t xml:space="preserve">         44.17亿</t>
  </si>
  <si>
    <t>向日葵</t>
  </si>
  <si>
    <t xml:space="preserve">         30.39亿</t>
  </si>
  <si>
    <t>万讯自控</t>
  </si>
  <si>
    <t xml:space="preserve">         15.61亿</t>
  </si>
  <si>
    <t>顺网科技</t>
  </si>
  <si>
    <t xml:space="preserve">         73.34亿</t>
  </si>
  <si>
    <t>中航电测</t>
  </si>
  <si>
    <t xml:space="preserve">         58.60亿</t>
  </si>
  <si>
    <t>长盈精密</t>
  </si>
  <si>
    <t xml:space="preserve">        110.39亿</t>
  </si>
  <si>
    <t>坚瑞沃能</t>
  </si>
  <si>
    <t xml:space="preserve">         26.14亿</t>
  </si>
  <si>
    <t>嘉寓股份</t>
  </si>
  <si>
    <t xml:space="preserve">         31.79亿</t>
  </si>
  <si>
    <t>东方日升</t>
  </si>
  <si>
    <t xml:space="preserve">         66.41亿</t>
  </si>
  <si>
    <t>瑞普生物</t>
  </si>
  <si>
    <t xml:space="preserve">         22.42亿</t>
  </si>
  <si>
    <t>经纬辉开</t>
  </si>
  <si>
    <t>阳谷华泰</t>
  </si>
  <si>
    <t xml:space="preserve">         36.67亿</t>
  </si>
  <si>
    <t>智飞生物</t>
  </si>
  <si>
    <t xml:space="preserve">        399.73亿</t>
  </si>
  <si>
    <t>亚光科技</t>
  </si>
  <si>
    <t>汇川技术</t>
  </si>
  <si>
    <t xml:space="preserve">        378.30亿</t>
  </si>
  <si>
    <t>易世达</t>
  </si>
  <si>
    <t xml:space="preserve">         35.91亿</t>
  </si>
  <si>
    <t>锐奇股份</t>
  </si>
  <si>
    <t>银河磁体</t>
  </si>
  <si>
    <t xml:space="preserve">         30.18亿</t>
  </si>
  <si>
    <t>锦富技术</t>
  </si>
  <si>
    <t xml:space="preserve">         59.68亿</t>
  </si>
  <si>
    <t>泰胜风能</t>
  </si>
  <si>
    <t xml:space="preserve">         22.28亿</t>
  </si>
  <si>
    <t>新国都</t>
  </si>
  <si>
    <t xml:space="preserve">         57.92亿</t>
  </si>
  <si>
    <t>英唐智控</t>
  </si>
  <si>
    <t xml:space="preserve">         47.03亿</t>
  </si>
  <si>
    <t>青松股份</t>
  </si>
  <si>
    <t xml:space="preserve">         52.38亿</t>
  </si>
  <si>
    <t>华策影视</t>
  </si>
  <si>
    <t xml:space="preserve">        116.67亿</t>
  </si>
  <si>
    <t>大富科技</t>
  </si>
  <si>
    <t xml:space="preserve">        107.86亿</t>
  </si>
  <si>
    <t>宝利国际</t>
  </si>
  <si>
    <t>信维通信</t>
  </si>
  <si>
    <t xml:space="preserve">        255.98亿</t>
  </si>
  <si>
    <t>先河环保</t>
  </si>
  <si>
    <t xml:space="preserve">         51.61亿</t>
  </si>
  <si>
    <t>晨光生物</t>
  </si>
  <si>
    <t xml:space="preserve">         26.29亿</t>
  </si>
  <si>
    <t>晓程科技</t>
  </si>
  <si>
    <t xml:space="preserve">         18.86亿</t>
  </si>
  <si>
    <t>中环装备</t>
  </si>
  <si>
    <t>和顺电气</t>
  </si>
  <si>
    <t xml:space="preserve">         15.58亿</t>
  </si>
  <si>
    <t>沃森生物</t>
  </si>
  <si>
    <t xml:space="preserve">        310.11亿</t>
  </si>
  <si>
    <t>星普医科</t>
  </si>
  <si>
    <t xml:space="preserve">         41.41亿</t>
  </si>
  <si>
    <t>宋城演艺</t>
  </si>
  <si>
    <t xml:space="preserve">        262.31亿</t>
  </si>
  <si>
    <t>中金环境</t>
  </si>
  <si>
    <t xml:space="preserve">         59.46亿</t>
  </si>
  <si>
    <t>汤臣倍健</t>
  </si>
  <si>
    <t xml:space="preserve">        187.40亿</t>
  </si>
  <si>
    <t>香雪制药</t>
  </si>
  <si>
    <t xml:space="preserve">         49.99亿</t>
  </si>
  <si>
    <t>天舟文化</t>
  </si>
  <si>
    <t>量子生物</t>
  </si>
  <si>
    <t xml:space="preserve">         74.26亿</t>
  </si>
  <si>
    <t>世纪瑞尔</t>
  </si>
  <si>
    <t xml:space="preserve">         24.75亿</t>
  </si>
  <si>
    <t>昌红科技</t>
  </si>
  <si>
    <t xml:space="preserve">         17.82亿</t>
  </si>
  <si>
    <t>科融环境</t>
  </si>
  <si>
    <t xml:space="preserve">         21.17亿</t>
  </si>
  <si>
    <t>科泰电源</t>
  </si>
  <si>
    <t xml:space="preserve">         27.87亿</t>
  </si>
  <si>
    <t>瑞凌股份</t>
  </si>
  <si>
    <t>安居宝</t>
  </si>
  <si>
    <t xml:space="preserve">         15.01亿</t>
  </si>
  <si>
    <t>神雾环保</t>
  </si>
  <si>
    <t xml:space="preserve">         31.33亿</t>
  </si>
  <si>
    <t>恒泰艾普</t>
  </si>
  <si>
    <t xml:space="preserve">         32.27亿</t>
  </si>
  <si>
    <t>振东制药</t>
  </si>
  <si>
    <t xml:space="preserve">         47.55亿</t>
  </si>
  <si>
    <t>新研股份</t>
  </si>
  <si>
    <t xml:space="preserve">         71.17亿</t>
  </si>
  <si>
    <t>秀强股份</t>
  </si>
  <si>
    <t xml:space="preserve">         25.97亿</t>
  </si>
  <si>
    <t>华中数控</t>
  </si>
  <si>
    <t xml:space="preserve">         24.42亿</t>
  </si>
  <si>
    <t>雷曼股份</t>
  </si>
  <si>
    <t xml:space="preserve">         14.15亿</t>
  </si>
  <si>
    <t>先锋新材</t>
  </si>
  <si>
    <t xml:space="preserve">         13.38亿</t>
  </si>
  <si>
    <t>通源石油</t>
  </si>
  <si>
    <t xml:space="preserve">         22.87亿</t>
  </si>
  <si>
    <t>天瑞仪器</t>
  </si>
  <si>
    <t xml:space="preserve">         15.82亿</t>
  </si>
  <si>
    <t>东方国信</t>
  </si>
  <si>
    <t xml:space="preserve">        125.49亿</t>
  </si>
  <si>
    <t>迪威迅</t>
  </si>
  <si>
    <t xml:space="preserve">         18.40亿</t>
  </si>
  <si>
    <t>万达信息</t>
  </si>
  <si>
    <t xml:space="preserve">        159.21亿</t>
  </si>
  <si>
    <t>天晟新材</t>
  </si>
  <si>
    <t xml:space="preserve">         14.99亿</t>
  </si>
  <si>
    <t>汉得信息</t>
  </si>
  <si>
    <t xml:space="preserve">        105.80亿</t>
  </si>
  <si>
    <t>东富龙</t>
  </si>
  <si>
    <t xml:space="preserve">         33.96亿</t>
  </si>
  <si>
    <t>中电环保</t>
  </si>
  <si>
    <t xml:space="preserve">         21.60亿</t>
  </si>
  <si>
    <t>智慧松德</t>
  </si>
  <si>
    <t>元力股份</t>
  </si>
  <si>
    <t>朗源股份</t>
  </si>
  <si>
    <t>派生科技</t>
  </si>
  <si>
    <t xml:space="preserve">        177.69亿</t>
  </si>
  <si>
    <t>中海达</t>
  </si>
  <si>
    <t xml:space="preserve">         47.09亿</t>
  </si>
  <si>
    <t>腾邦国际</t>
  </si>
  <si>
    <t xml:space="preserve">         58.54亿</t>
  </si>
  <si>
    <t>四方达</t>
  </si>
  <si>
    <t xml:space="preserve">         15.34亿</t>
  </si>
  <si>
    <t>华峰超纤</t>
  </si>
  <si>
    <t xml:space="preserve">         97.46亿</t>
  </si>
  <si>
    <t>佐力药业</t>
  </si>
  <si>
    <t xml:space="preserve">         33.41亿</t>
  </si>
  <si>
    <t>捷成股份</t>
  </si>
  <si>
    <t xml:space="preserve">        105.73亿</t>
  </si>
  <si>
    <t>东软载波</t>
  </si>
  <si>
    <t xml:space="preserve">         41.61亿</t>
  </si>
  <si>
    <t>力源信息</t>
  </si>
  <si>
    <t xml:space="preserve">         33.36亿</t>
  </si>
  <si>
    <t>通裕重工</t>
  </si>
  <si>
    <t xml:space="preserve">         61.96亿</t>
  </si>
  <si>
    <t>永清环保</t>
  </si>
  <si>
    <t xml:space="preserve">         40.79亿</t>
  </si>
  <si>
    <t>美亚柏科</t>
  </si>
  <si>
    <t xml:space="preserve">         92.40亿</t>
  </si>
  <si>
    <t>神农基因</t>
  </si>
  <si>
    <t xml:space="preserve">         30.72亿</t>
  </si>
  <si>
    <t>维尔利</t>
  </si>
  <si>
    <t xml:space="preserve">         41.82亿</t>
  </si>
  <si>
    <t>潜能恒信</t>
  </si>
  <si>
    <t>科斯伍德</t>
  </si>
  <si>
    <t xml:space="preserve">         16.77亿</t>
  </si>
  <si>
    <t>佳士科技</t>
  </si>
  <si>
    <t xml:space="preserve">         35.23亿</t>
  </si>
  <si>
    <t>福安药业</t>
  </si>
  <si>
    <t xml:space="preserve">         22.31亿</t>
  </si>
  <si>
    <t>长荣股份</t>
  </si>
  <si>
    <t xml:space="preserve">         29.75亿</t>
  </si>
  <si>
    <t>长海股份</t>
  </si>
  <si>
    <t xml:space="preserve">         26.92亿</t>
  </si>
  <si>
    <t>铁汉生态</t>
  </si>
  <si>
    <t xml:space="preserve">         77.66亿</t>
  </si>
  <si>
    <t>纳川股份</t>
  </si>
  <si>
    <t xml:space="preserve">         28.07亿</t>
  </si>
  <si>
    <t>翰宇药业</t>
  </si>
  <si>
    <t xml:space="preserve">         56.42亿</t>
  </si>
  <si>
    <t>高盟新材</t>
  </si>
  <si>
    <t xml:space="preserve">         17.15亿</t>
  </si>
  <si>
    <t>海伦哲</t>
  </si>
  <si>
    <t xml:space="preserve">         44.04亿</t>
  </si>
  <si>
    <t>聚龙股份</t>
  </si>
  <si>
    <t xml:space="preserve">         33.22亿</t>
  </si>
  <si>
    <t>聚光科技</t>
  </si>
  <si>
    <t xml:space="preserve">        132.83亿</t>
  </si>
  <si>
    <t>舒泰神</t>
  </si>
  <si>
    <t xml:space="preserve">         60.34亿</t>
  </si>
  <si>
    <t>天喻信息</t>
  </si>
  <si>
    <t xml:space="preserve">         49.20亿</t>
  </si>
  <si>
    <t>理邦仪器</t>
  </si>
  <si>
    <t xml:space="preserve">         23.99亿</t>
  </si>
  <si>
    <t>欣旺达</t>
  </si>
  <si>
    <t xml:space="preserve">        135.33亿</t>
  </si>
  <si>
    <t>青岛中程</t>
  </si>
  <si>
    <t xml:space="preserve">         42.07亿</t>
  </si>
  <si>
    <t>天泽信息</t>
  </si>
  <si>
    <t xml:space="preserve">         36.48亿</t>
  </si>
  <si>
    <t>森远股份</t>
  </si>
  <si>
    <t xml:space="preserve">         19.49亿</t>
  </si>
  <si>
    <t>亿通科技</t>
  </si>
  <si>
    <t xml:space="preserve">         14.45亿</t>
  </si>
  <si>
    <t>易华录</t>
  </si>
  <si>
    <t xml:space="preserve">        114.69亿</t>
  </si>
  <si>
    <t>佳讯飞鸿</t>
  </si>
  <si>
    <t xml:space="preserve">         31.64亿</t>
  </si>
  <si>
    <t>日科化学</t>
  </si>
  <si>
    <t xml:space="preserve">         19.47亿</t>
  </si>
  <si>
    <t>电科院</t>
  </si>
  <si>
    <t xml:space="preserve">         42.94亿</t>
  </si>
  <si>
    <t>千山药机</t>
  </si>
  <si>
    <t xml:space="preserve">         13.12亿</t>
  </si>
  <si>
    <t>东方电热</t>
  </si>
  <si>
    <t>安利股份</t>
  </si>
  <si>
    <t xml:space="preserve">         16.16亿</t>
  </si>
  <si>
    <t>鸿利智汇</t>
  </si>
  <si>
    <t xml:space="preserve">         47.81亿</t>
  </si>
  <si>
    <t>金运激光</t>
  </si>
  <si>
    <t xml:space="preserve">         16.08亿</t>
  </si>
  <si>
    <t>银禧科技</t>
  </si>
  <si>
    <t xml:space="preserve">         32.60亿</t>
  </si>
  <si>
    <t>科大智能</t>
  </si>
  <si>
    <t xml:space="preserve">         65.06亿</t>
  </si>
  <si>
    <t>北京君正</t>
  </si>
  <si>
    <t xml:space="preserve">         32.55亿</t>
  </si>
  <si>
    <t>正海磁材</t>
  </si>
  <si>
    <t xml:space="preserve">         53.88亿</t>
  </si>
  <si>
    <t>金力泰</t>
  </si>
  <si>
    <t>上海钢联</t>
  </si>
  <si>
    <t xml:space="preserve">        122.39亿</t>
  </si>
  <si>
    <t>光韵达</t>
  </si>
  <si>
    <t xml:space="preserve">         21.95亿</t>
  </si>
  <si>
    <t>富瑞特装</t>
  </si>
  <si>
    <t xml:space="preserve">         26.80亿</t>
  </si>
  <si>
    <t>拓尔思</t>
  </si>
  <si>
    <t xml:space="preserve">         53.44亿</t>
  </si>
  <si>
    <t>永利股份</t>
  </si>
  <si>
    <t xml:space="preserve">         31.16亿</t>
  </si>
  <si>
    <t>银信科技</t>
  </si>
  <si>
    <t xml:space="preserve">         28.22亿</t>
  </si>
  <si>
    <t>洲明科技</t>
  </si>
  <si>
    <t xml:space="preserve">         59.84亿</t>
  </si>
  <si>
    <t>金城医药</t>
  </si>
  <si>
    <t xml:space="preserve">         58.26亿</t>
  </si>
  <si>
    <t>开尔新材</t>
  </si>
  <si>
    <t xml:space="preserve">         10.15亿</t>
  </si>
  <si>
    <t>方直科技</t>
  </si>
  <si>
    <t xml:space="preserve">         10.80亿</t>
  </si>
  <si>
    <t>上海新阳</t>
  </si>
  <si>
    <t xml:space="preserve">         61.99亿</t>
  </si>
  <si>
    <t>美晨生态</t>
  </si>
  <si>
    <t xml:space="preserve">         68.82亿</t>
  </si>
  <si>
    <t>冠昊生物</t>
  </si>
  <si>
    <t xml:space="preserve">         35.28亿</t>
  </si>
  <si>
    <t>东宝生物</t>
  </si>
  <si>
    <t>飞力达</t>
  </si>
  <si>
    <t xml:space="preserve">         29.39亿</t>
  </si>
  <si>
    <t>瑞丰光电</t>
  </si>
  <si>
    <t>佳云科技</t>
  </si>
  <si>
    <t xml:space="preserve">         26.51亿</t>
  </si>
  <si>
    <t>瑞丰高材</t>
  </si>
  <si>
    <t xml:space="preserve">         16.53亿</t>
  </si>
  <si>
    <t>迪安诊断</t>
  </si>
  <si>
    <t xml:space="preserve">         82.69亿</t>
  </si>
  <si>
    <t>天玑科技</t>
  </si>
  <si>
    <t>宝莱特</t>
  </si>
  <si>
    <t xml:space="preserve">         15.03亿</t>
  </si>
  <si>
    <t>融捷健康</t>
  </si>
  <si>
    <t xml:space="preserve">         25.10亿</t>
  </si>
  <si>
    <t>新开普</t>
  </si>
  <si>
    <t xml:space="preserve">         27.23亿</t>
  </si>
  <si>
    <t>依米康</t>
  </si>
  <si>
    <t xml:space="preserve">         23.69亿</t>
  </si>
  <si>
    <t>初灵信息</t>
  </si>
  <si>
    <t>光线传媒</t>
  </si>
  <si>
    <t xml:space="preserve">        252.09亿</t>
  </si>
  <si>
    <t>金信诺</t>
  </si>
  <si>
    <t xml:space="preserve">         56.71亿</t>
  </si>
  <si>
    <t>卫宁健康</t>
  </si>
  <si>
    <t xml:space="preserve">        179.25亿</t>
  </si>
  <si>
    <t>仟源医药</t>
  </si>
  <si>
    <t>常山药业</t>
  </si>
  <si>
    <t>星星科技</t>
  </si>
  <si>
    <t>开山股份</t>
  </si>
  <si>
    <t xml:space="preserve">        112.25亿</t>
  </si>
  <si>
    <t>精锻科技</t>
  </si>
  <si>
    <t xml:space="preserve">         49.27亿</t>
  </si>
  <si>
    <t>新天科技</t>
  </si>
  <si>
    <t xml:space="preserve">         26.58亿</t>
  </si>
  <si>
    <t>新莱应材</t>
  </si>
  <si>
    <t xml:space="preserve">         14.84亿</t>
  </si>
  <si>
    <t>雅本化学</t>
  </si>
  <si>
    <t xml:space="preserve">         51.35亿</t>
  </si>
  <si>
    <t>巴安水务</t>
  </si>
  <si>
    <t>隆华科技</t>
  </si>
  <si>
    <t xml:space="preserve">         33.12亿</t>
  </si>
  <si>
    <t>佳创视讯</t>
  </si>
  <si>
    <t xml:space="preserve">         22.43亿</t>
  </si>
  <si>
    <t>通光线缆</t>
  </si>
  <si>
    <t xml:space="preserve">         33.81亿</t>
  </si>
  <si>
    <t>兴源环境</t>
  </si>
  <si>
    <t xml:space="preserve">         60.09亿</t>
  </si>
  <si>
    <t>尔康制药</t>
  </si>
  <si>
    <t xml:space="preserve">         57.36亿</t>
  </si>
  <si>
    <t>佳沃股份</t>
  </si>
  <si>
    <t xml:space="preserve">         15.08亿</t>
  </si>
  <si>
    <t>联建光电</t>
  </si>
  <si>
    <t xml:space="preserve">         22.15亿</t>
  </si>
  <si>
    <t>中威电子</t>
  </si>
  <si>
    <t>华宇软件</t>
  </si>
  <si>
    <t xml:space="preserve">        111.64亿</t>
  </si>
  <si>
    <t>开能健康</t>
  </si>
  <si>
    <t xml:space="preserve">         23.93亿</t>
  </si>
  <si>
    <t>和佳股份</t>
  </si>
  <si>
    <t xml:space="preserve">         34.23亿</t>
  </si>
  <si>
    <t>阳光电源</t>
  </si>
  <si>
    <t xml:space="preserve">        126.63亿</t>
  </si>
  <si>
    <t>梅安森</t>
  </si>
  <si>
    <t>三丰智能</t>
  </si>
  <si>
    <t>海联讯</t>
  </si>
  <si>
    <t xml:space="preserve">         23.78亿</t>
  </si>
  <si>
    <t>华昌达</t>
  </si>
  <si>
    <t>和晶科技</t>
  </si>
  <si>
    <t xml:space="preserve">         21.97亿</t>
  </si>
  <si>
    <t>紫天科技</t>
  </si>
  <si>
    <t xml:space="preserve">         52.61亿</t>
  </si>
  <si>
    <t>金明精机</t>
  </si>
  <si>
    <t xml:space="preserve">         18.45亿</t>
  </si>
  <si>
    <t>三盛教育</t>
  </si>
  <si>
    <t xml:space="preserve">         34.48亿</t>
  </si>
  <si>
    <t>温州宏丰</t>
  </si>
  <si>
    <t xml:space="preserve">         11.76亿</t>
  </si>
  <si>
    <t>苏交科</t>
  </si>
  <si>
    <t xml:space="preserve">         66.33亿</t>
  </si>
  <si>
    <t>国瓷材料</t>
  </si>
  <si>
    <t xml:space="preserve">         84.23亿</t>
  </si>
  <si>
    <t>安科瑞</t>
  </si>
  <si>
    <t xml:space="preserve">         17.56亿</t>
  </si>
  <si>
    <t>飞利信</t>
  </si>
  <si>
    <t xml:space="preserve">         55.05亿</t>
  </si>
  <si>
    <t>朗玛信息</t>
  </si>
  <si>
    <t xml:space="preserve">         32.50亿</t>
  </si>
  <si>
    <t>利德曼</t>
  </si>
  <si>
    <t xml:space="preserve">         31.76亿</t>
  </si>
  <si>
    <t>荣科科技</t>
  </si>
  <si>
    <t xml:space="preserve">         27.48亿</t>
  </si>
  <si>
    <t>华录百纳</t>
  </si>
  <si>
    <t>吴通控股</t>
  </si>
  <si>
    <t xml:space="preserve">         47.67亿</t>
  </si>
  <si>
    <t>蓝英装备</t>
  </si>
  <si>
    <t>博雅生物</t>
  </si>
  <si>
    <t xml:space="preserve">        122.45亿</t>
  </si>
  <si>
    <t>三六五网</t>
  </si>
  <si>
    <t xml:space="preserve">         27.45亿</t>
  </si>
  <si>
    <t>利亚德</t>
  </si>
  <si>
    <t xml:space="preserve">        168.88亿</t>
  </si>
  <si>
    <t>蓝盾股份</t>
  </si>
  <si>
    <t xml:space="preserve">         55.13亿</t>
  </si>
  <si>
    <t>三诺生物</t>
  </si>
  <si>
    <t xml:space="preserve">         52.58亿</t>
  </si>
  <si>
    <t>富春股份</t>
  </si>
  <si>
    <t xml:space="preserve">         38.52亿</t>
  </si>
  <si>
    <t>汉鼎宇佑</t>
  </si>
  <si>
    <t>长方集团</t>
  </si>
  <si>
    <t>同有科技</t>
  </si>
  <si>
    <t xml:space="preserve">         24.15亿</t>
  </si>
  <si>
    <t>聚飞光电</t>
  </si>
  <si>
    <t xml:space="preserve">         38.04亿</t>
  </si>
  <si>
    <t>云意电气</t>
  </si>
  <si>
    <t xml:space="preserve">         39.17亿</t>
  </si>
  <si>
    <t>裕兴股份</t>
  </si>
  <si>
    <t>远方信息</t>
  </si>
  <si>
    <t xml:space="preserve">         14.22亿</t>
  </si>
  <si>
    <t>慈星股份</t>
  </si>
  <si>
    <t>中际旭创</t>
  </si>
  <si>
    <t xml:space="preserve">        124.10亿</t>
  </si>
  <si>
    <t>吉艾科技</t>
  </si>
  <si>
    <t xml:space="preserve">         56.92亿</t>
  </si>
  <si>
    <t>宜通世纪</t>
  </si>
  <si>
    <t xml:space="preserve">         43.99亿</t>
  </si>
  <si>
    <t>任子行</t>
  </si>
  <si>
    <t xml:space="preserve">         35.79亿</t>
  </si>
  <si>
    <t>邦讯技术</t>
  </si>
  <si>
    <t xml:space="preserve">         18.62亿</t>
  </si>
  <si>
    <t>天山生物</t>
  </si>
  <si>
    <t xml:space="preserve">         12.19亿</t>
  </si>
  <si>
    <t>戴维医疗</t>
  </si>
  <si>
    <t xml:space="preserve">         19.92亿</t>
  </si>
  <si>
    <t>掌趣科技</t>
  </si>
  <si>
    <t xml:space="preserve">        106.18亿</t>
  </si>
  <si>
    <t>晶盛机电</t>
  </si>
  <si>
    <t xml:space="preserve">        187.89亿</t>
  </si>
  <si>
    <t>珈伟新能</t>
  </si>
  <si>
    <t xml:space="preserve">         41.21亿</t>
  </si>
  <si>
    <t>博晖创新</t>
  </si>
  <si>
    <t xml:space="preserve">         34.41亿</t>
  </si>
  <si>
    <t>麦捷科技</t>
  </si>
  <si>
    <t xml:space="preserve">         54.45亿</t>
  </si>
  <si>
    <t>海达股份</t>
  </si>
  <si>
    <t xml:space="preserve">         27.90亿</t>
  </si>
  <si>
    <t>同大股份</t>
  </si>
  <si>
    <t xml:space="preserve">         12.39亿</t>
  </si>
  <si>
    <t>硕贝德</t>
  </si>
  <si>
    <t xml:space="preserve">         57.41亿</t>
  </si>
  <si>
    <t>华灿光电</t>
  </si>
  <si>
    <t xml:space="preserve">         65.11亿</t>
  </si>
  <si>
    <t>旋极信息</t>
  </si>
  <si>
    <t xml:space="preserve">         81.71亿</t>
  </si>
  <si>
    <t>德威新材</t>
  </si>
  <si>
    <t>凯利泰</t>
  </si>
  <si>
    <t xml:space="preserve">         70.66亿</t>
  </si>
  <si>
    <t>中颖电子</t>
  </si>
  <si>
    <t xml:space="preserve">         57.88亿</t>
  </si>
  <si>
    <t>宜安科技</t>
  </si>
  <si>
    <t xml:space="preserve">         43.20亿</t>
  </si>
  <si>
    <t>海伦钢琴</t>
  </si>
  <si>
    <t xml:space="preserve">         22.25亿</t>
  </si>
  <si>
    <t>华虹计通</t>
  </si>
  <si>
    <t>苏大维格</t>
  </si>
  <si>
    <t xml:space="preserve">         20.31亿</t>
  </si>
  <si>
    <t>天壕环境</t>
  </si>
  <si>
    <t>兆日科技</t>
  </si>
  <si>
    <t xml:space="preserve">         31.30亿</t>
  </si>
  <si>
    <t>津膜科技</t>
  </si>
  <si>
    <t xml:space="preserve">         24.57亿</t>
  </si>
  <si>
    <t>迪森股份</t>
  </si>
  <si>
    <t xml:space="preserve">         19.66亿</t>
  </si>
  <si>
    <t>新文化</t>
  </si>
  <si>
    <t>银邦股份</t>
  </si>
  <si>
    <t xml:space="preserve">         30.27亿</t>
  </si>
  <si>
    <t>开元股份</t>
  </si>
  <si>
    <t xml:space="preserve">         17.01亿</t>
  </si>
  <si>
    <t>润和软件</t>
  </si>
  <si>
    <t xml:space="preserve">         96.41亿</t>
  </si>
  <si>
    <t>科恒股份</t>
  </si>
  <si>
    <t xml:space="preserve">         27.14亿</t>
  </si>
  <si>
    <t>麦克奥迪</t>
  </si>
  <si>
    <t>天银机电</t>
  </si>
  <si>
    <t>联创互联</t>
  </si>
  <si>
    <t xml:space="preserve">         30.49亿</t>
  </si>
  <si>
    <t>太空智造</t>
  </si>
  <si>
    <t xml:space="preserve">         15.11亿</t>
  </si>
  <si>
    <t>红宇新材</t>
  </si>
  <si>
    <t xml:space="preserve">         18.17亿</t>
  </si>
  <si>
    <t>南大光电</t>
  </si>
  <si>
    <t>泰格医药</t>
  </si>
  <si>
    <t xml:space="preserve">        224.46亿</t>
  </si>
  <si>
    <t>长亮科技</t>
  </si>
  <si>
    <t xml:space="preserve">         59.41亿</t>
  </si>
  <si>
    <t>金卡智能</t>
  </si>
  <si>
    <t xml:space="preserve">         76.31亿</t>
  </si>
  <si>
    <t>华鹏飞</t>
  </si>
  <si>
    <t xml:space="preserve">         22.24亿</t>
  </si>
  <si>
    <t>永贵电器</t>
  </si>
  <si>
    <t xml:space="preserve">         27.89亿</t>
  </si>
  <si>
    <t>北信源</t>
  </si>
  <si>
    <t xml:space="preserve">         63.97亿</t>
  </si>
  <si>
    <t>东土科技</t>
  </si>
  <si>
    <t>东华测试</t>
  </si>
  <si>
    <t xml:space="preserve">          7.83亿</t>
  </si>
  <si>
    <t>蒙草生态</t>
  </si>
  <si>
    <t xml:space="preserve">         61.88亿</t>
  </si>
  <si>
    <t>光一科技</t>
  </si>
  <si>
    <t xml:space="preserve">         29.58亿</t>
  </si>
  <si>
    <t>我武生物</t>
  </si>
  <si>
    <t xml:space="preserve">        112.11亿</t>
  </si>
  <si>
    <t>楚天科技</t>
  </si>
  <si>
    <t xml:space="preserve">         39.31亿</t>
  </si>
  <si>
    <t>全通教育</t>
  </si>
  <si>
    <t xml:space="preserve">         35.18亿</t>
  </si>
  <si>
    <t>炬华科技</t>
  </si>
  <si>
    <t xml:space="preserve">         30.43亿</t>
  </si>
  <si>
    <t>天翔环境</t>
  </si>
  <si>
    <t xml:space="preserve">         21.71亿</t>
  </si>
  <si>
    <t>博腾股份</t>
  </si>
  <si>
    <t xml:space="preserve">         32.54亿</t>
  </si>
  <si>
    <t>中文在线</t>
  </si>
  <si>
    <t xml:space="preserve">         30.64亿</t>
  </si>
  <si>
    <t>恒华科技</t>
  </si>
  <si>
    <t xml:space="preserve">         55.71亿</t>
  </si>
  <si>
    <t>创意信息</t>
  </si>
  <si>
    <t>东方网力</t>
  </si>
  <si>
    <t xml:space="preserve">         73.58亿</t>
  </si>
  <si>
    <t>汇金股份</t>
  </si>
  <si>
    <t xml:space="preserve">         41.52亿</t>
  </si>
  <si>
    <t>绿盟科技</t>
  </si>
  <si>
    <t xml:space="preserve">         88.81亿</t>
  </si>
  <si>
    <t>安控科技</t>
  </si>
  <si>
    <t>汇中股份</t>
  </si>
  <si>
    <t xml:space="preserve">         12.98亿</t>
  </si>
  <si>
    <t>扬杰科技</t>
  </si>
  <si>
    <t xml:space="preserve">         59.34亿</t>
  </si>
  <si>
    <t>恒通科技</t>
  </si>
  <si>
    <t>鹏翎股份</t>
  </si>
  <si>
    <t>易事特</t>
  </si>
  <si>
    <t xml:space="preserve">        138.88亿</t>
  </si>
  <si>
    <t>赢时胜</t>
  </si>
  <si>
    <t xml:space="preserve">         83.72亿</t>
  </si>
  <si>
    <t>鼎捷软件</t>
  </si>
  <si>
    <t>东方通</t>
  </si>
  <si>
    <t>安硕信息</t>
  </si>
  <si>
    <t xml:space="preserve">         28.81亿</t>
  </si>
  <si>
    <t>溢多利</t>
  </si>
  <si>
    <t xml:space="preserve">         35.66亿</t>
  </si>
  <si>
    <t>斯莱克</t>
  </si>
  <si>
    <t xml:space="preserve">         39.37亿</t>
  </si>
  <si>
    <t>光环新网</t>
  </si>
  <si>
    <t xml:space="preserve">        267.44亿</t>
  </si>
  <si>
    <t>三联虹普</t>
  </si>
  <si>
    <t xml:space="preserve">         30.26亿</t>
  </si>
  <si>
    <t>雪浪环境</t>
  </si>
  <si>
    <t xml:space="preserve">          9.64亿</t>
  </si>
  <si>
    <t>飞天诚信</t>
  </si>
  <si>
    <t xml:space="preserve">         30.04亿</t>
  </si>
  <si>
    <t>富邦股份</t>
  </si>
  <si>
    <t xml:space="preserve">         19.82亿</t>
  </si>
  <si>
    <t>国祯环保</t>
  </si>
  <si>
    <t xml:space="preserve">         61.04亿</t>
  </si>
  <si>
    <t>艾比森</t>
  </si>
  <si>
    <t xml:space="preserve">         29.37亿</t>
  </si>
  <si>
    <t>天华超净</t>
  </si>
  <si>
    <t xml:space="preserve">         17.16亿</t>
  </si>
  <si>
    <t>康跃科技</t>
  </si>
  <si>
    <t xml:space="preserve">         17.37亿</t>
  </si>
  <si>
    <t>腾信股份</t>
  </si>
  <si>
    <t xml:space="preserve">         22.11亿</t>
  </si>
  <si>
    <t>中来股份</t>
  </si>
  <si>
    <t xml:space="preserve">         26.74亿</t>
  </si>
  <si>
    <t>天孚通信</t>
  </si>
  <si>
    <t>菲利华</t>
  </si>
  <si>
    <t xml:space="preserve">         52.47亿</t>
  </si>
  <si>
    <t>迪瑞医疗</t>
  </si>
  <si>
    <t xml:space="preserve">         38.75亿</t>
  </si>
  <si>
    <t>天和防务</t>
  </si>
  <si>
    <t>飞凯材料</t>
  </si>
  <si>
    <t xml:space="preserve">         65.70亿</t>
  </si>
  <si>
    <t>京天利</t>
  </si>
  <si>
    <t xml:space="preserve">         15.67亿</t>
  </si>
  <si>
    <t>劲拓股份</t>
  </si>
  <si>
    <t>花园生物</t>
  </si>
  <si>
    <t xml:space="preserve">         72.11亿</t>
  </si>
  <si>
    <t>宝色股份</t>
  </si>
  <si>
    <t xml:space="preserve">          8.28亿</t>
  </si>
  <si>
    <t>汉宇集团</t>
  </si>
  <si>
    <t>博济医药</t>
  </si>
  <si>
    <t xml:space="preserve">         12.00亿</t>
  </si>
  <si>
    <t>科隆股份</t>
  </si>
  <si>
    <t>九强生物</t>
  </si>
  <si>
    <t xml:space="preserve">         40.95亿</t>
  </si>
  <si>
    <t>凯发电气</t>
  </si>
  <si>
    <t>三环集团</t>
  </si>
  <si>
    <t xml:space="preserve">        332.05亿</t>
  </si>
  <si>
    <t>道氏技术</t>
  </si>
  <si>
    <t xml:space="preserve">         44.91亿</t>
  </si>
  <si>
    <t>正业科技</t>
  </si>
  <si>
    <t xml:space="preserve">         42.74亿</t>
  </si>
  <si>
    <t>金盾股份</t>
  </si>
  <si>
    <t xml:space="preserve">         17.17亿</t>
  </si>
  <si>
    <t>迦南科技</t>
  </si>
  <si>
    <t>芒果超媒</t>
  </si>
  <si>
    <t xml:space="preserve">         84.74亿</t>
  </si>
  <si>
    <t>中光防雷</t>
  </si>
  <si>
    <t>伊之密</t>
  </si>
  <si>
    <t xml:space="preserve">         22.03亿</t>
  </si>
  <si>
    <t>苏试试验</t>
  </si>
  <si>
    <t xml:space="preserve">         16.98亿</t>
  </si>
  <si>
    <t>南华仪器</t>
  </si>
  <si>
    <t xml:space="preserve">          7.07亿</t>
  </si>
  <si>
    <t>昆仑万维</t>
  </si>
  <si>
    <t xml:space="preserve">        105.12亿</t>
  </si>
  <si>
    <t>浩丰科技</t>
  </si>
  <si>
    <t xml:space="preserve">         16.34亿</t>
  </si>
  <si>
    <t>五洋停车</t>
  </si>
  <si>
    <t>力星股份</t>
  </si>
  <si>
    <t xml:space="preserve">         17.13亿</t>
  </si>
  <si>
    <t>博世科</t>
  </si>
  <si>
    <t xml:space="preserve">         32.59亿</t>
  </si>
  <si>
    <t>鲁亿通</t>
  </si>
  <si>
    <t>航新科技</t>
  </si>
  <si>
    <t xml:space="preserve">         37.26亿</t>
  </si>
  <si>
    <t>环能科技</t>
  </si>
  <si>
    <t>唐德影视</t>
  </si>
  <si>
    <t xml:space="preserve">         19.33亿</t>
  </si>
  <si>
    <t>红相股份</t>
  </si>
  <si>
    <t xml:space="preserve">         35.77亿</t>
  </si>
  <si>
    <t>四通新材</t>
  </si>
  <si>
    <t xml:space="preserve">         17.19亿</t>
  </si>
  <si>
    <t>强力新材</t>
  </si>
  <si>
    <t xml:space="preserve">         49.47亿</t>
  </si>
  <si>
    <t>诚益通</t>
  </si>
  <si>
    <t xml:space="preserve">         14.69亿</t>
  </si>
  <si>
    <t>暴风集团</t>
  </si>
  <si>
    <t xml:space="preserve">         25.38亿</t>
  </si>
  <si>
    <t>富临精工</t>
  </si>
  <si>
    <t xml:space="preserve">         26.00亿</t>
  </si>
  <si>
    <t>蓝思科技</t>
  </si>
  <si>
    <t xml:space="preserve">        369.53亿</t>
  </si>
  <si>
    <t>金石东方</t>
  </si>
  <si>
    <t xml:space="preserve">         20.78亿</t>
  </si>
  <si>
    <t>中泰股份</t>
  </si>
  <si>
    <t xml:space="preserve">         11.02亿</t>
  </si>
  <si>
    <t>广生堂</t>
  </si>
  <si>
    <t>清水源</t>
  </si>
  <si>
    <t>鹏辉能源</t>
  </si>
  <si>
    <t xml:space="preserve">         48.76亿</t>
  </si>
  <si>
    <t>美康生物</t>
  </si>
  <si>
    <t xml:space="preserve">         32.49亿</t>
  </si>
  <si>
    <t>运达科技</t>
  </si>
  <si>
    <t xml:space="preserve">         33.21亿</t>
  </si>
  <si>
    <t>鲍斯股份</t>
  </si>
  <si>
    <t xml:space="preserve">         19.26亿</t>
  </si>
  <si>
    <t>普丽盛</t>
  </si>
  <si>
    <t xml:space="preserve">         10.59亿</t>
  </si>
  <si>
    <t>金雷股份</t>
  </si>
  <si>
    <t xml:space="preserve">         25.74亿</t>
  </si>
  <si>
    <t>双杰电气</t>
  </si>
  <si>
    <t xml:space="preserve">         24.72亿</t>
  </si>
  <si>
    <t>康斯特</t>
  </si>
  <si>
    <t xml:space="preserve">         10.68亿</t>
  </si>
  <si>
    <t>乐凯新材</t>
  </si>
  <si>
    <t xml:space="preserve">         23.49亿</t>
  </si>
  <si>
    <t>全信股份</t>
  </si>
  <si>
    <t xml:space="preserve">         18.92亿</t>
  </si>
  <si>
    <t>浩云科技</t>
  </si>
  <si>
    <t xml:space="preserve">         30.75亿</t>
  </si>
  <si>
    <t>汉邦高科</t>
  </si>
  <si>
    <t xml:space="preserve">         21.11亿</t>
  </si>
  <si>
    <t>先导智能</t>
  </si>
  <si>
    <t xml:space="preserve">        174.62亿</t>
  </si>
  <si>
    <t>创业慧康</t>
  </si>
  <si>
    <t xml:space="preserve">         74.85亿</t>
  </si>
  <si>
    <t>山河药辅</t>
  </si>
  <si>
    <t xml:space="preserve">         19.13亿</t>
  </si>
  <si>
    <t>三鑫医疗</t>
  </si>
  <si>
    <t xml:space="preserve">         12.85亿</t>
  </si>
  <si>
    <t>深信服</t>
  </si>
  <si>
    <t xml:space="preserve">         40.01亿</t>
  </si>
  <si>
    <t>康拓红外</t>
  </si>
  <si>
    <t xml:space="preserve">         37.23亿</t>
  </si>
  <si>
    <t>耐威科技</t>
  </si>
  <si>
    <t xml:space="preserve">         45.10亿</t>
  </si>
  <si>
    <t>赢合科技</t>
  </si>
  <si>
    <t xml:space="preserve">         55.16亿</t>
  </si>
  <si>
    <t>全志科技</t>
  </si>
  <si>
    <t xml:space="preserve">         58.07亿</t>
  </si>
  <si>
    <t>金科文化</t>
  </si>
  <si>
    <t>惠伦晶体</t>
  </si>
  <si>
    <t>田中精机</t>
  </si>
  <si>
    <t xml:space="preserve">         22.69亿</t>
  </si>
  <si>
    <t>华铭智能</t>
  </si>
  <si>
    <t xml:space="preserve">         13.85亿</t>
  </si>
  <si>
    <t>迈克生物</t>
  </si>
  <si>
    <t xml:space="preserve">         71.84亿</t>
  </si>
  <si>
    <t>星徽精密</t>
  </si>
  <si>
    <t xml:space="preserve">         16.91亿</t>
  </si>
  <si>
    <t>高伟达</t>
  </si>
  <si>
    <t xml:space="preserve">         36.95亿</t>
  </si>
  <si>
    <t>赛摩电气</t>
  </si>
  <si>
    <t xml:space="preserve">         19.70亿</t>
  </si>
  <si>
    <t>迅游科技</t>
  </si>
  <si>
    <t xml:space="preserve">         34.55亿</t>
  </si>
  <si>
    <t>四方精创</t>
  </si>
  <si>
    <t>信息发展</t>
  </si>
  <si>
    <t>日机密封</t>
  </si>
  <si>
    <t xml:space="preserve">         45.22亿</t>
  </si>
  <si>
    <t>厚普股份</t>
  </si>
  <si>
    <t xml:space="preserve">         18.66亿</t>
  </si>
  <si>
    <t>新元科技</t>
  </si>
  <si>
    <t xml:space="preserve">         17.69亿</t>
  </si>
  <si>
    <t>德尔股份</t>
  </si>
  <si>
    <t xml:space="preserve">         38.74亿</t>
  </si>
  <si>
    <t>景嘉微</t>
  </si>
  <si>
    <t xml:space="preserve">         31.51亿</t>
  </si>
  <si>
    <t>聚隆科技</t>
  </si>
  <si>
    <t xml:space="preserve">         19.74亿</t>
  </si>
  <si>
    <t>胜宏科技</t>
  </si>
  <si>
    <t xml:space="preserve">        105.74亿</t>
  </si>
  <si>
    <t>合纵科技</t>
  </si>
  <si>
    <t xml:space="preserve">         31.67亿</t>
  </si>
  <si>
    <t>杭州高新</t>
  </si>
  <si>
    <t>神思电子</t>
  </si>
  <si>
    <t xml:space="preserve">         30.80亿</t>
  </si>
  <si>
    <t>光力科技</t>
  </si>
  <si>
    <t xml:space="preserve">         11.97亿</t>
  </si>
  <si>
    <t>濮阳惠成</t>
  </si>
  <si>
    <t xml:space="preserve">         44.92亿</t>
  </si>
  <si>
    <t>万孚生物</t>
  </si>
  <si>
    <t xml:space="preserve">         71.58亿</t>
  </si>
  <si>
    <t>沃施股份</t>
  </si>
  <si>
    <t xml:space="preserve">         20.79亿</t>
  </si>
  <si>
    <t>蓝海华腾</t>
  </si>
  <si>
    <t>赛升药业</t>
  </si>
  <si>
    <t xml:space="preserve">         28.77亿</t>
  </si>
  <si>
    <t>东杰智能</t>
  </si>
  <si>
    <t>蓝晓科技</t>
  </si>
  <si>
    <t xml:space="preserve">         37.75亿</t>
  </si>
  <si>
    <t>恒锋工具</t>
  </si>
  <si>
    <t xml:space="preserve">          7.96亿</t>
  </si>
  <si>
    <t>中飞股份</t>
  </si>
  <si>
    <t xml:space="preserve">          9.90亿</t>
  </si>
  <si>
    <t>华自科技</t>
  </si>
  <si>
    <t xml:space="preserve">         27.47亿</t>
  </si>
  <si>
    <t>通合科技</t>
  </si>
  <si>
    <t xml:space="preserve">         11.21亿</t>
  </si>
  <si>
    <t>山鼎设计</t>
  </si>
  <si>
    <t xml:space="preserve">          7.84亿</t>
  </si>
  <si>
    <t>润欣科技</t>
  </si>
  <si>
    <t xml:space="preserve">         34.20亿</t>
  </si>
  <si>
    <t>盛天网络</t>
  </si>
  <si>
    <t xml:space="preserve">         16.82亿</t>
  </si>
  <si>
    <t>美尚生态</t>
  </si>
  <si>
    <t xml:space="preserve">         45.90亿</t>
  </si>
  <si>
    <t>中科创达</t>
  </si>
  <si>
    <t>富祥股份</t>
  </si>
  <si>
    <t xml:space="preserve">         22.84亿</t>
  </si>
  <si>
    <t>温氏股份</t>
  </si>
  <si>
    <t xml:space="preserve">       1431.25亿</t>
  </si>
  <si>
    <t>高澜股份</t>
  </si>
  <si>
    <t>启迪设计</t>
  </si>
  <si>
    <t xml:space="preserve">         28.02亿</t>
  </si>
  <si>
    <t>海顺新材</t>
  </si>
  <si>
    <t xml:space="preserve">         11.44亿</t>
  </si>
  <si>
    <t>新易盛</t>
  </si>
  <si>
    <t xml:space="preserve">         49.78亿</t>
  </si>
  <si>
    <t>昊志机电</t>
  </si>
  <si>
    <t xml:space="preserve">         10.67亿</t>
  </si>
  <si>
    <t>天邑股份</t>
  </si>
  <si>
    <t xml:space="preserve">         20.90亿</t>
  </si>
  <si>
    <t>川金诺</t>
  </si>
  <si>
    <t xml:space="preserve">          9.50亿</t>
  </si>
  <si>
    <t>名家汇</t>
  </si>
  <si>
    <t xml:space="preserve">         23.89亿</t>
  </si>
  <si>
    <t>苏奥传感</t>
  </si>
  <si>
    <t xml:space="preserve">         11.58亿</t>
  </si>
  <si>
    <t>维宏股份</t>
  </si>
  <si>
    <t xml:space="preserve">          6.54亿</t>
  </si>
  <si>
    <t>新美星</t>
  </si>
  <si>
    <t xml:space="preserve">          6.52亿</t>
  </si>
  <si>
    <t>金冠股份</t>
  </si>
  <si>
    <t xml:space="preserve">         24.83亿</t>
  </si>
  <si>
    <t>雪榕生物</t>
  </si>
  <si>
    <t>中亚股份</t>
  </si>
  <si>
    <t xml:space="preserve">         12.58亿</t>
  </si>
  <si>
    <t>恒实科技</t>
  </si>
  <si>
    <t xml:space="preserve">         16.20亿</t>
  </si>
  <si>
    <t>友讯达</t>
  </si>
  <si>
    <t>三德科技</t>
  </si>
  <si>
    <t xml:space="preserve">          9.16亿</t>
  </si>
  <si>
    <t>久之洋</t>
  </si>
  <si>
    <t>海波重科</t>
  </si>
  <si>
    <t xml:space="preserve">          6.25亿</t>
  </si>
  <si>
    <t>盛讯达</t>
  </si>
  <si>
    <t xml:space="preserve">         11.93亿</t>
  </si>
  <si>
    <t>新光药业</t>
  </si>
  <si>
    <t xml:space="preserve">         15.23亿</t>
  </si>
  <si>
    <t>科大国创</t>
  </si>
  <si>
    <t xml:space="preserve">         23.32亿</t>
  </si>
  <si>
    <t>爱司凯</t>
  </si>
  <si>
    <t xml:space="preserve">         11.00亿</t>
  </si>
  <si>
    <t>世名科技</t>
  </si>
  <si>
    <t xml:space="preserve">          9.59亿</t>
  </si>
  <si>
    <t>辰安科技</t>
  </si>
  <si>
    <t xml:space="preserve">         53.36亿</t>
  </si>
  <si>
    <t>博思软件</t>
  </si>
  <si>
    <t>中潜股份</t>
  </si>
  <si>
    <t xml:space="preserve">          7.62亿</t>
  </si>
  <si>
    <t>中国应急</t>
  </si>
  <si>
    <t xml:space="preserve">         22.20亿</t>
  </si>
  <si>
    <t>幸福蓝海</t>
  </si>
  <si>
    <t>健帆生物</t>
  </si>
  <si>
    <t xml:space="preserve">         53.69亿</t>
  </si>
  <si>
    <t>达志科技</t>
  </si>
  <si>
    <t xml:space="preserve">          8.01亿</t>
  </si>
  <si>
    <t>优博讯</t>
  </si>
  <si>
    <t>今天国际</t>
  </si>
  <si>
    <t xml:space="preserve">         17.21亿</t>
  </si>
  <si>
    <t>冰川网络</t>
  </si>
  <si>
    <t xml:space="preserve">         14.97亿</t>
  </si>
  <si>
    <t>陇神戎发</t>
  </si>
  <si>
    <t xml:space="preserve">         13.31亿</t>
  </si>
  <si>
    <t>达威股份</t>
  </si>
  <si>
    <t xml:space="preserve">          7.67亿</t>
  </si>
  <si>
    <t>农尚环境</t>
  </si>
  <si>
    <t xml:space="preserve">          6.03亿</t>
  </si>
  <si>
    <t>广信材料</t>
  </si>
  <si>
    <t xml:space="preserve">         10.61亿</t>
  </si>
  <si>
    <t>同益股份</t>
  </si>
  <si>
    <t xml:space="preserve">          7.95亿</t>
  </si>
  <si>
    <t>横河模具</t>
  </si>
  <si>
    <t xml:space="preserve">          6.12亿</t>
  </si>
  <si>
    <t>深冷股份</t>
  </si>
  <si>
    <t xml:space="preserve">          8.39亿</t>
  </si>
  <si>
    <t>先进数通</t>
  </si>
  <si>
    <t xml:space="preserve">         12.96亿</t>
  </si>
  <si>
    <t>新晨科技</t>
  </si>
  <si>
    <t xml:space="preserve">          9.27亿</t>
  </si>
  <si>
    <t>朗科智能</t>
  </si>
  <si>
    <t xml:space="preserve">          8.21亿</t>
  </si>
  <si>
    <t>联得装备</t>
  </si>
  <si>
    <t xml:space="preserve">         17.18亿</t>
  </si>
  <si>
    <t>雄帝科技</t>
  </si>
  <si>
    <t xml:space="preserve">         19.80亿</t>
  </si>
  <si>
    <t>川环科技</t>
  </si>
  <si>
    <t xml:space="preserve">         15.76亿</t>
  </si>
  <si>
    <t>博创科技</t>
  </si>
  <si>
    <t xml:space="preserve">         14.67亿</t>
  </si>
  <si>
    <t>优德精密</t>
  </si>
  <si>
    <t>和仁科技</t>
  </si>
  <si>
    <t>古鳌科技</t>
  </si>
  <si>
    <t>万集科技</t>
  </si>
  <si>
    <t xml:space="preserve">          7.73亿</t>
  </si>
  <si>
    <t>集智股份</t>
  </si>
  <si>
    <t xml:space="preserve">          6.00亿</t>
  </si>
  <si>
    <t>三超新材</t>
  </si>
  <si>
    <t xml:space="preserve">          9.06亿</t>
  </si>
  <si>
    <t>路通视信</t>
  </si>
  <si>
    <t xml:space="preserve">         11.78亿</t>
  </si>
  <si>
    <t>丝路视觉</t>
  </si>
  <si>
    <t xml:space="preserve">         13.71亿</t>
  </si>
  <si>
    <t>理工光科</t>
  </si>
  <si>
    <t xml:space="preserve">          9.33亿</t>
  </si>
  <si>
    <t>贝达药业</t>
  </si>
  <si>
    <t xml:space="preserve">         78.74亿</t>
  </si>
  <si>
    <t>佳发教育</t>
  </si>
  <si>
    <t xml:space="preserve">         35.25亿</t>
  </si>
  <si>
    <t>中富通</t>
  </si>
  <si>
    <t>汇金科技</t>
  </si>
  <si>
    <t xml:space="preserve">         10.43亿</t>
  </si>
  <si>
    <t>乐心医疗</t>
  </si>
  <si>
    <t xml:space="preserve">         10.55亿</t>
  </si>
  <si>
    <t>神宇股份</t>
  </si>
  <si>
    <t xml:space="preserve">          8.94亿</t>
  </si>
  <si>
    <t>科信技术</t>
  </si>
  <si>
    <t xml:space="preserve">         11.24亿</t>
  </si>
  <si>
    <t>激智科技</t>
  </si>
  <si>
    <t xml:space="preserve">         15.99亿</t>
  </si>
  <si>
    <t>精测电子</t>
  </si>
  <si>
    <t>星源材质</t>
  </si>
  <si>
    <t xml:space="preserve">         40.76亿</t>
  </si>
  <si>
    <t>天能重工</t>
  </si>
  <si>
    <t xml:space="preserve">         16.51亿</t>
  </si>
  <si>
    <t>太辰光</t>
  </si>
  <si>
    <t xml:space="preserve">         22.32亿</t>
  </si>
  <si>
    <t>平治信息</t>
  </si>
  <si>
    <t xml:space="preserve">         38.92亿</t>
  </si>
  <si>
    <t>安车检测</t>
  </si>
  <si>
    <t xml:space="preserve">         34.90亿</t>
  </si>
  <si>
    <t>兴齐眼药</t>
  </si>
  <si>
    <t xml:space="preserve">          9.67亿</t>
  </si>
  <si>
    <t>中旗股份</t>
  </si>
  <si>
    <t>容大感光</t>
  </si>
  <si>
    <t xml:space="preserve">          6.60亿</t>
  </si>
  <si>
    <t>开润股份</t>
  </si>
  <si>
    <t xml:space="preserve">         21.51亿</t>
  </si>
  <si>
    <t>会畅通讯</t>
  </si>
  <si>
    <t xml:space="preserve">         12.05亿</t>
  </si>
  <si>
    <t>数字认证</t>
  </si>
  <si>
    <t>贝斯特</t>
  </si>
  <si>
    <t xml:space="preserve">         11.16亿</t>
  </si>
  <si>
    <t>晨曦航空</t>
  </si>
  <si>
    <t xml:space="preserve">          9.43亿</t>
  </si>
  <si>
    <t>英飞特</t>
  </si>
  <si>
    <t xml:space="preserve">         18.52亿</t>
  </si>
  <si>
    <t>赛托生物</t>
  </si>
  <si>
    <t xml:space="preserve">         12.37亿</t>
  </si>
  <si>
    <t>海辰药业</t>
  </si>
  <si>
    <t xml:space="preserve">         13.28亿</t>
  </si>
  <si>
    <t>奥联电子</t>
  </si>
  <si>
    <t xml:space="preserve">          8.67亿</t>
  </si>
  <si>
    <t>美联新材</t>
  </si>
  <si>
    <t xml:space="preserve">          9.08亿</t>
  </si>
  <si>
    <t>天铁股份</t>
  </si>
  <si>
    <t xml:space="preserve">         10.39亿</t>
  </si>
  <si>
    <t>熙菱信息</t>
  </si>
  <si>
    <t>江龙船艇</t>
  </si>
  <si>
    <t xml:space="preserve">          8.57亿</t>
  </si>
  <si>
    <t>移为通信</t>
  </si>
  <si>
    <t xml:space="preserve">         37.02亿</t>
  </si>
  <si>
    <t>万里马</t>
  </si>
  <si>
    <t xml:space="preserve">          7.31亿</t>
  </si>
  <si>
    <t>华凯创意</t>
  </si>
  <si>
    <t xml:space="preserve">          9.51亿</t>
  </si>
  <si>
    <t>新雷能</t>
  </si>
  <si>
    <t>欧普康视</t>
  </si>
  <si>
    <t xml:space="preserve">         67.84亿</t>
  </si>
  <si>
    <t>利安隆</t>
  </si>
  <si>
    <t xml:space="preserve">         40.71亿</t>
  </si>
  <si>
    <t>吉大通信</t>
  </si>
  <si>
    <t xml:space="preserve">         20.64亿</t>
  </si>
  <si>
    <t>诚迈科技</t>
  </si>
  <si>
    <t xml:space="preserve">         12.46亿</t>
  </si>
  <si>
    <t>雄塑科技</t>
  </si>
  <si>
    <t xml:space="preserve">         10.66亿</t>
  </si>
  <si>
    <t>瑞特股份</t>
  </si>
  <si>
    <t>康泰生物</t>
  </si>
  <si>
    <t>飞荣达</t>
  </si>
  <si>
    <t xml:space="preserve">         25.69亿</t>
  </si>
  <si>
    <t>立昂技术</t>
  </si>
  <si>
    <t xml:space="preserve">         14.53亿</t>
  </si>
  <si>
    <t>长川科技</t>
  </si>
  <si>
    <t xml:space="preserve">         25.23亿</t>
  </si>
  <si>
    <t>恒锋信息</t>
  </si>
  <si>
    <t xml:space="preserve">          8.60亿</t>
  </si>
  <si>
    <t>金太阳</t>
  </si>
  <si>
    <t xml:space="preserve">          6.49亿</t>
  </si>
  <si>
    <t>拓斯达</t>
  </si>
  <si>
    <t xml:space="preserve">         23.53亿</t>
  </si>
  <si>
    <t>思特奇</t>
  </si>
  <si>
    <t xml:space="preserve">         17.62亿</t>
  </si>
  <si>
    <t>汇纳科技</t>
  </si>
  <si>
    <t>晨化股份</t>
  </si>
  <si>
    <t xml:space="preserve">          6.85亿</t>
  </si>
  <si>
    <t>美力科技</t>
  </si>
  <si>
    <t xml:space="preserve">          7.21亿</t>
  </si>
  <si>
    <t>宣亚国际</t>
  </si>
  <si>
    <t xml:space="preserve">         13.08亿</t>
  </si>
  <si>
    <t>富瀚微</t>
  </si>
  <si>
    <t xml:space="preserve">         15.39亿</t>
  </si>
  <si>
    <t>欣天科技</t>
  </si>
  <si>
    <t xml:space="preserve">          8.71亿</t>
  </si>
  <si>
    <t>尚品宅配</t>
  </si>
  <si>
    <t xml:space="preserve">         56.93亿</t>
  </si>
  <si>
    <t>安靠智电</t>
  </si>
  <si>
    <t xml:space="preserve">          9.23亿</t>
  </si>
  <si>
    <t>寒锐钴业</t>
  </si>
  <si>
    <t xml:space="preserve">         91.05亿</t>
  </si>
  <si>
    <t>金银河</t>
  </si>
  <si>
    <t>光库科技</t>
  </si>
  <si>
    <t xml:space="preserve">          9.31亿</t>
  </si>
  <si>
    <t>维业股份</t>
  </si>
  <si>
    <t xml:space="preserve">          6.91亿</t>
  </si>
  <si>
    <t>博士眼镜</t>
  </si>
  <si>
    <t xml:space="preserve">          7.12亿</t>
  </si>
  <si>
    <t>捷捷微电</t>
  </si>
  <si>
    <t>万兴科技</t>
  </si>
  <si>
    <t>三雄极光</t>
  </si>
  <si>
    <t xml:space="preserve">         14.93亿</t>
  </si>
  <si>
    <t>华瑞股份</t>
  </si>
  <si>
    <t xml:space="preserve">          8.50亿</t>
  </si>
  <si>
    <t>华测导航</t>
  </si>
  <si>
    <t xml:space="preserve">         21.35亿</t>
  </si>
  <si>
    <t>亿联网络</t>
  </si>
  <si>
    <t xml:space="preserve">         74.08亿</t>
  </si>
  <si>
    <t>新劲刚</t>
  </si>
  <si>
    <t xml:space="preserve">          8.76亿</t>
  </si>
  <si>
    <t>普利制药</t>
  </si>
  <si>
    <t xml:space="preserve">         60.43亿</t>
  </si>
  <si>
    <t>久吾高科</t>
  </si>
  <si>
    <t xml:space="preserve">         12.11亿</t>
  </si>
  <si>
    <t>光莆股份</t>
  </si>
  <si>
    <t>开立医疗</t>
  </si>
  <si>
    <t xml:space="preserve">         38.60亿</t>
  </si>
  <si>
    <t>彩讯股份</t>
  </si>
  <si>
    <t xml:space="preserve">         12.01亿</t>
  </si>
  <si>
    <t>达安股份</t>
  </si>
  <si>
    <t xml:space="preserve">          7.52亿</t>
  </si>
  <si>
    <t>同和药业</t>
  </si>
  <si>
    <t xml:space="preserve">          9.36亿</t>
  </si>
  <si>
    <t>扬帆新材</t>
  </si>
  <si>
    <t xml:space="preserve">         21.53亿</t>
  </si>
  <si>
    <t>广和通</t>
  </si>
  <si>
    <t xml:space="preserve">         19.10亿</t>
  </si>
  <si>
    <t>凯普生物</t>
  </si>
  <si>
    <t>德艺文创</t>
  </si>
  <si>
    <t xml:space="preserve">          5.63亿</t>
  </si>
  <si>
    <t>正丹股份</t>
  </si>
  <si>
    <t>透景生命</t>
  </si>
  <si>
    <t xml:space="preserve">         22.93亿</t>
  </si>
  <si>
    <t>万通智控</t>
  </si>
  <si>
    <t xml:space="preserve">          7.11亿</t>
  </si>
  <si>
    <t>南京聚隆</t>
  </si>
  <si>
    <t>正元智慧</t>
  </si>
  <si>
    <t>超频三</t>
  </si>
  <si>
    <t>星云股份</t>
  </si>
  <si>
    <t xml:space="preserve">         11.61亿</t>
  </si>
  <si>
    <t>杭州园林</t>
  </si>
  <si>
    <t xml:space="preserve">          8.52亿</t>
  </si>
  <si>
    <t>太龙照明</t>
  </si>
  <si>
    <t>金陵体育</t>
  </si>
  <si>
    <t xml:space="preserve">         12.21亿</t>
  </si>
  <si>
    <t>雷迪克</t>
  </si>
  <si>
    <t xml:space="preserve">          6.72亿</t>
  </si>
  <si>
    <t>正海生物</t>
  </si>
  <si>
    <t xml:space="preserve">         24.38亿</t>
  </si>
  <si>
    <t>世纪天鸿</t>
  </si>
  <si>
    <t xml:space="preserve">         13.29亿</t>
  </si>
  <si>
    <t>晶瑞股份</t>
  </si>
  <si>
    <t>民德电子</t>
  </si>
  <si>
    <t>弘信电子</t>
  </si>
  <si>
    <t xml:space="preserve">         28.23亿</t>
  </si>
  <si>
    <t>延江股份</t>
  </si>
  <si>
    <t xml:space="preserve">          5.51亿</t>
  </si>
  <si>
    <t>中孚信息</t>
  </si>
  <si>
    <t xml:space="preserve">         19.90亿</t>
  </si>
  <si>
    <t>江苏雷利</t>
  </si>
  <si>
    <t xml:space="preserve">         10.29亿</t>
  </si>
  <si>
    <t>圣邦股份</t>
  </si>
  <si>
    <t>科锐国际</t>
  </si>
  <si>
    <t>科蓝软件</t>
  </si>
  <si>
    <t xml:space="preserve">         26.47亿</t>
  </si>
  <si>
    <t>鹏鹞环保</t>
  </si>
  <si>
    <t xml:space="preserve">         38.49亿</t>
  </si>
  <si>
    <t>飞鹿股份</t>
  </si>
  <si>
    <t xml:space="preserve">          8.22亿</t>
  </si>
  <si>
    <t>江丰电子</t>
  </si>
  <si>
    <t xml:space="preserve">         41.20亿</t>
  </si>
  <si>
    <t>必创科技</t>
  </si>
  <si>
    <t>杰恩设计</t>
  </si>
  <si>
    <t>沪宁股份</t>
  </si>
  <si>
    <t xml:space="preserve">          5.13亿</t>
  </si>
  <si>
    <t>大烨智能</t>
  </si>
  <si>
    <t>富满电子</t>
  </si>
  <si>
    <t xml:space="preserve">         15.90亿</t>
  </si>
  <si>
    <t>国科微</t>
  </si>
  <si>
    <t>佩蒂股份</t>
  </si>
  <si>
    <t xml:space="preserve">         17.54亿</t>
  </si>
  <si>
    <t>宇信科技</t>
  </si>
  <si>
    <t xml:space="preserve">         14.77亿</t>
  </si>
  <si>
    <t>建科院</t>
  </si>
  <si>
    <t xml:space="preserve">         23.80亿</t>
  </si>
  <si>
    <t>华大基因</t>
  </si>
  <si>
    <t xml:space="preserve">        202.56亿</t>
  </si>
  <si>
    <t>英科医疗</t>
  </si>
  <si>
    <t xml:space="preserve">         20.85亿</t>
  </si>
  <si>
    <t>中科信息</t>
  </si>
  <si>
    <t>电连技术</t>
  </si>
  <si>
    <t xml:space="preserve">         37.72亿</t>
  </si>
  <si>
    <t>隆盛科技</t>
  </si>
  <si>
    <t xml:space="preserve">          6.35亿</t>
  </si>
  <si>
    <t>英搏尔</t>
  </si>
  <si>
    <t xml:space="preserve">          6.79亿</t>
  </si>
  <si>
    <t>朗新科技</t>
  </si>
  <si>
    <t>海特生物</t>
  </si>
  <si>
    <t>中石科技</t>
  </si>
  <si>
    <t xml:space="preserve">         26.55亿</t>
  </si>
  <si>
    <t>艾德生物</t>
  </si>
  <si>
    <t xml:space="preserve">         50.47亿</t>
  </si>
  <si>
    <t>智动力</t>
  </si>
  <si>
    <t>赛意信息</t>
  </si>
  <si>
    <t xml:space="preserve">         17.86亿</t>
  </si>
  <si>
    <t>创业黑马</t>
  </si>
  <si>
    <t xml:space="preserve">         16.57亿</t>
  </si>
  <si>
    <t>澄天伟业</t>
  </si>
  <si>
    <t xml:space="preserve">          6.77亿</t>
  </si>
  <si>
    <t>双一科技</t>
  </si>
  <si>
    <t>联合光电</t>
  </si>
  <si>
    <t xml:space="preserve">         18.43亿</t>
  </si>
  <si>
    <t>中环环保</t>
  </si>
  <si>
    <t>盛弘股份</t>
  </si>
  <si>
    <t xml:space="preserve">         12.88亿</t>
  </si>
  <si>
    <t>蠡湖股份</t>
  </si>
  <si>
    <t xml:space="preserve">         11.91亿</t>
  </si>
  <si>
    <t>兆丰股份</t>
  </si>
  <si>
    <t xml:space="preserve">         10.57亿</t>
  </si>
  <si>
    <t>爱乐达</t>
  </si>
  <si>
    <t xml:space="preserve">         12.32亿</t>
  </si>
  <si>
    <t>电工合金</t>
  </si>
  <si>
    <t xml:space="preserve">          6.46亿</t>
  </si>
  <si>
    <t>万马科技</t>
  </si>
  <si>
    <t xml:space="preserve">          8.19亿</t>
  </si>
  <si>
    <t>光威复材</t>
  </si>
  <si>
    <t xml:space="preserve">        108.86亿</t>
  </si>
  <si>
    <t>岱勒新材</t>
  </si>
  <si>
    <t xml:space="preserve">         10.99亿</t>
  </si>
  <si>
    <t>森霸传感</t>
  </si>
  <si>
    <t>天宇股份</t>
  </si>
  <si>
    <t xml:space="preserve">         14.20亿</t>
  </si>
  <si>
    <t>创源文化</t>
  </si>
  <si>
    <t xml:space="preserve">         10.87亿</t>
  </si>
  <si>
    <t>九典制药</t>
  </si>
  <si>
    <t xml:space="preserve">         13.55亿</t>
  </si>
  <si>
    <t>阿石创</t>
  </si>
  <si>
    <t xml:space="preserve">         17.50亿</t>
  </si>
  <si>
    <t>威唐工业</t>
  </si>
  <si>
    <t>聚灿光电</t>
  </si>
  <si>
    <t xml:space="preserve">         13.79亿</t>
  </si>
  <si>
    <t>精研科技</t>
  </si>
  <si>
    <t>万隆光电</t>
  </si>
  <si>
    <t>广哈通信</t>
  </si>
  <si>
    <t xml:space="preserve">          9.26亿</t>
  </si>
  <si>
    <t>永福股份</t>
  </si>
  <si>
    <t xml:space="preserve">          9.69亿</t>
  </si>
  <si>
    <t>英可瑞</t>
  </si>
  <si>
    <t xml:space="preserve">          9.66亿</t>
  </si>
  <si>
    <t>凯伦股份</t>
  </si>
  <si>
    <t>国立科技</t>
  </si>
  <si>
    <t xml:space="preserve">         10.41亿</t>
  </si>
  <si>
    <t>华信新材</t>
  </si>
  <si>
    <t>长盛轴承</t>
  </si>
  <si>
    <t xml:space="preserve">          8.54亿</t>
  </si>
  <si>
    <t>安达维尔</t>
  </si>
  <si>
    <t xml:space="preserve">          9.91亿</t>
  </si>
  <si>
    <t>海川智能</t>
  </si>
  <si>
    <t xml:space="preserve">          6.94亿</t>
  </si>
  <si>
    <t>怡达股份</t>
  </si>
  <si>
    <t xml:space="preserve">          8.58亿</t>
  </si>
  <si>
    <t>新余国科</t>
  </si>
  <si>
    <t xml:space="preserve">          7.74亿</t>
  </si>
  <si>
    <t>一品红</t>
  </si>
  <si>
    <t>捷佳伟创</t>
  </si>
  <si>
    <t xml:space="preserve">         29.65亿</t>
  </si>
  <si>
    <t>药石科技</t>
  </si>
  <si>
    <t xml:space="preserve">         54.13亿</t>
  </si>
  <si>
    <t>宏达电子</t>
  </si>
  <si>
    <t>润禾材料</t>
  </si>
  <si>
    <t xml:space="preserve">          6.53亿</t>
  </si>
  <si>
    <t>乐歌股份</t>
  </si>
  <si>
    <t xml:space="preserve">          6.24亿</t>
  </si>
  <si>
    <t>科创信息</t>
  </si>
  <si>
    <t xml:space="preserve">         15.49亿</t>
  </si>
  <si>
    <t>科创新源</t>
  </si>
  <si>
    <t>设研院</t>
  </si>
  <si>
    <t xml:space="preserve">         31.45亿</t>
  </si>
  <si>
    <t>西菱动力</t>
  </si>
  <si>
    <t>光弘科技</t>
  </si>
  <si>
    <t xml:space="preserve">         24.87亿</t>
  </si>
  <si>
    <t>百邦科技</t>
  </si>
  <si>
    <t>科顺股份</t>
  </si>
  <si>
    <t xml:space="preserve">         25.77亿</t>
  </si>
  <si>
    <t>奥飞数据</t>
  </si>
  <si>
    <t xml:space="preserve">         15.73亿</t>
  </si>
  <si>
    <t>明阳电路</t>
  </si>
  <si>
    <t>御家汇</t>
  </si>
  <si>
    <t xml:space="preserve">         25.24亿</t>
  </si>
  <si>
    <t>华宝股份</t>
  </si>
  <si>
    <t xml:space="preserve">         21.45亿</t>
  </si>
  <si>
    <t>越博动力</t>
  </si>
  <si>
    <t>天地数码</t>
  </si>
  <si>
    <t>欣锐科技</t>
  </si>
  <si>
    <t>汉嘉设计</t>
  </si>
  <si>
    <t>锐科激光</t>
  </si>
  <si>
    <t xml:space="preserve">         48.97亿</t>
  </si>
  <si>
    <t>金力永磁</t>
  </si>
  <si>
    <t xml:space="preserve">         11.28亿</t>
  </si>
  <si>
    <t>顶固集创</t>
  </si>
  <si>
    <t>宁德时代</t>
  </si>
  <si>
    <t xml:space="preserve">        201.17亿</t>
  </si>
  <si>
    <t>迈为股份</t>
  </si>
  <si>
    <t>隆利科技</t>
  </si>
  <si>
    <t xml:space="preserve">         13.97亿</t>
  </si>
  <si>
    <t>爱朋医疗</t>
  </si>
  <si>
    <t>华致酒行</t>
  </si>
  <si>
    <t xml:space="preserve">         17.71亿</t>
  </si>
  <si>
    <t>中山金马</t>
  </si>
  <si>
    <t xml:space="preserve">          9.68亿</t>
  </si>
  <si>
    <t>罗博特科</t>
  </si>
  <si>
    <t xml:space="preserve">         14.04亿</t>
  </si>
  <si>
    <t>七彩化学</t>
  </si>
  <si>
    <t>康龙化成</t>
  </si>
  <si>
    <t xml:space="preserve">         27.55亿</t>
  </si>
  <si>
    <t>迈瑞医疗</t>
  </si>
  <si>
    <t xml:space="preserve">        161.24亿</t>
  </si>
  <si>
    <t>立华股份</t>
  </si>
  <si>
    <t xml:space="preserve">         36.24亿</t>
  </si>
  <si>
    <t>上海瀚讯</t>
  </si>
  <si>
    <t>*ST华泽</t>
  </si>
  <si>
    <t xml:space="preserve">          0.00亿</t>
  </si>
  <si>
    <t>*ST众和</t>
  </si>
  <si>
    <t>奥美医疗</t>
  </si>
  <si>
    <t>金时科技</t>
  </si>
  <si>
    <t>青农商行</t>
  </si>
  <si>
    <t>每日互动</t>
  </si>
  <si>
    <t>浦发银行</t>
  </si>
  <si>
    <t xml:space="preserve">       3366.83亿</t>
  </si>
  <si>
    <t>白云机场</t>
  </si>
  <si>
    <t xml:space="preserve">        278.12亿</t>
  </si>
  <si>
    <t>东风汽车</t>
  </si>
  <si>
    <t xml:space="preserve">         88.80亿</t>
  </si>
  <si>
    <t>中国国贸</t>
  </si>
  <si>
    <t xml:space="preserve">        149.08亿</t>
  </si>
  <si>
    <t>首创股份</t>
  </si>
  <si>
    <t xml:space="preserve">        199.09亿</t>
  </si>
  <si>
    <t>上海机场</t>
  </si>
  <si>
    <t xml:space="preserve">        632.69亿</t>
  </si>
  <si>
    <t>包钢股份</t>
  </si>
  <si>
    <t xml:space="preserve">        582.86亿</t>
  </si>
  <si>
    <t>华能国际</t>
  </si>
  <si>
    <t xml:space="preserve">        767.55亿</t>
  </si>
  <si>
    <t>皖通高速</t>
  </si>
  <si>
    <t xml:space="preserve">         78.10亿</t>
  </si>
  <si>
    <t>华夏银行</t>
  </si>
  <si>
    <t xml:space="preserve">       1092.49亿</t>
  </si>
  <si>
    <t>民生银行</t>
  </si>
  <si>
    <t xml:space="preserve">       2393.69亿</t>
  </si>
  <si>
    <t>日照港</t>
  </si>
  <si>
    <t xml:space="preserve">        102.11亿</t>
  </si>
  <si>
    <t>上港集团</t>
  </si>
  <si>
    <t xml:space="preserve">       1432.13亿</t>
  </si>
  <si>
    <t>宝钢股份</t>
  </si>
  <si>
    <t xml:space="preserve">       1703.99亿</t>
  </si>
  <si>
    <t>中原高速</t>
  </si>
  <si>
    <t xml:space="preserve">        117.09亿</t>
  </si>
  <si>
    <t>上海电力</t>
  </si>
  <si>
    <t xml:space="preserve">         77.45亿</t>
  </si>
  <si>
    <t>山东钢铁</t>
  </si>
  <si>
    <t xml:space="preserve">        210.17亿</t>
  </si>
  <si>
    <t>浙能电力</t>
  </si>
  <si>
    <t xml:space="preserve">        663.71亿</t>
  </si>
  <si>
    <t>华能水电</t>
  </si>
  <si>
    <t xml:space="preserve">        326.76亿</t>
  </si>
  <si>
    <t>中远海能</t>
  </si>
  <si>
    <t xml:space="preserve">        161.97亿</t>
  </si>
  <si>
    <t>华电国际</t>
  </si>
  <si>
    <t xml:space="preserve">        334.40亿</t>
  </si>
  <si>
    <t>中国石化</t>
  </si>
  <si>
    <t xml:space="preserve">       5819.47亿</t>
  </si>
  <si>
    <t>南方航空</t>
  </si>
  <si>
    <t xml:space="preserve">        596.93亿</t>
  </si>
  <si>
    <t>中信证券</t>
  </si>
  <si>
    <t xml:space="preserve">       2434.04亿</t>
  </si>
  <si>
    <t>三一重工</t>
  </si>
  <si>
    <t xml:space="preserve">        891.20亿</t>
  </si>
  <si>
    <t>福建高速</t>
  </si>
  <si>
    <t xml:space="preserve">         92.76亿</t>
  </si>
  <si>
    <t>楚天高速</t>
  </si>
  <si>
    <t xml:space="preserve">         53.74亿</t>
  </si>
  <si>
    <t>招商银行</t>
  </si>
  <si>
    <t xml:space="preserve">       6673.46亿</t>
  </si>
  <si>
    <t>歌华有线</t>
  </si>
  <si>
    <t xml:space="preserve">        165.20亿</t>
  </si>
  <si>
    <t>中直股份</t>
  </si>
  <si>
    <t xml:space="preserve">        280.24亿</t>
  </si>
  <si>
    <t>四川路桥</t>
  </si>
  <si>
    <t xml:space="preserve">        132.75亿</t>
  </si>
  <si>
    <t>保利地产</t>
  </si>
  <si>
    <t xml:space="preserve">       1667.05亿</t>
  </si>
  <si>
    <t>中国联通</t>
  </si>
  <si>
    <t xml:space="preserve">       1451.97亿</t>
  </si>
  <si>
    <t>宁波联合</t>
  </si>
  <si>
    <t xml:space="preserve">         20.39亿</t>
  </si>
  <si>
    <t>浙江广厦</t>
  </si>
  <si>
    <t>九鼎投资</t>
  </si>
  <si>
    <t xml:space="preserve">        124.21亿</t>
  </si>
  <si>
    <t>黄山旅游</t>
  </si>
  <si>
    <t xml:space="preserve">         54.92亿</t>
  </si>
  <si>
    <t>万东医疗</t>
  </si>
  <si>
    <t xml:space="preserve">         70.90亿</t>
  </si>
  <si>
    <t>中国医药</t>
  </si>
  <si>
    <t xml:space="preserve">        157.59亿</t>
  </si>
  <si>
    <t>厦门象屿</t>
  </si>
  <si>
    <t>五矿发展</t>
  </si>
  <si>
    <t xml:space="preserve">         87.79亿</t>
  </si>
  <si>
    <t>古越龙山</t>
  </si>
  <si>
    <t xml:space="preserve">         62.82亿</t>
  </si>
  <si>
    <t>海信电器</t>
  </si>
  <si>
    <t xml:space="preserve">        153.48亿</t>
  </si>
  <si>
    <t>国投资本</t>
  </si>
  <si>
    <t xml:space="preserve">        564.72亿</t>
  </si>
  <si>
    <t>华润双鹤</t>
  </si>
  <si>
    <t xml:space="preserve">        111.71亿</t>
  </si>
  <si>
    <t>皖维高新</t>
  </si>
  <si>
    <t xml:space="preserve">         61.82亿</t>
  </si>
  <si>
    <t>南京高科</t>
  </si>
  <si>
    <t xml:space="preserve">        119.89亿</t>
  </si>
  <si>
    <t>宇通客车</t>
  </si>
  <si>
    <t xml:space="preserve">        305.97亿</t>
  </si>
  <si>
    <t>冠城大通</t>
  </si>
  <si>
    <t xml:space="preserve">         67.14亿</t>
  </si>
  <si>
    <t>葛洲坝</t>
  </si>
  <si>
    <t xml:space="preserve">        335.69亿</t>
  </si>
  <si>
    <t>银鸽投资</t>
  </si>
  <si>
    <t xml:space="preserve">         61.38亿</t>
  </si>
  <si>
    <t>浙江富润</t>
  </si>
  <si>
    <t xml:space="preserve">         32.52亿</t>
  </si>
  <si>
    <t>凤凰光学</t>
  </si>
  <si>
    <t>中船科技</t>
  </si>
  <si>
    <t xml:space="preserve">         71.19亿</t>
  </si>
  <si>
    <t>上海梅林</t>
  </si>
  <si>
    <t xml:space="preserve">         82.33亿</t>
  </si>
  <si>
    <t>*ST保千</t>
  </si>
  <si>
    <t>新疆天业</t>
  </si>
  <si>
    <t xml:space="preserve">         44.87亿</t>
  </si>
  <si>
    <t>康欣新材</t>
  </si>
  <si>
    <t xml:space="preserve">         52.23亿</t>
  </si>
  <si>
    <t>宋都股份</t>
  </si>
  <si>
    <t xml:space="preserve">         43.82亿</t>
  </si>
  <si>
    <t>澄星股份</t>
  </si>
  <si>
    <t>人福医药</t>
  </si>
  <si>
    <t xml:space="preserve">        147.51亿</t>
  </si>
  <si>
    <t>金花股份</t>
  </si>
  <si>
    <t xml:space="preserve">         24.06亿</t>
  </si>
  <si>
    <t>东风科技</t>
  </si>
  <si>
    <t xml:space="preserve">         28.16亿</t>
  </si>
  <si>
    <t>海泰发展</t>
  </si>
  <si>
    <t xml:space="preserve">         33.02亿</t>
  </si>
  <si>
    <t>博信股份</t>
  </si>
  <si>
    <t>中葡股份</t>
  </si>
  <si>
    <t xml:space="preserve">         38.54亿</t>
  </si>
  <si>
    <t>同仁堂</t>
  </si>
  <si>
    <t xml:space="preserve">        420.08亿</t>
  </si>
  <si>
    <t>东方金钰</t>
  </si>
  <si>
    <t xml:space="preserve">         62.99亿</t>
  </si>
  <si>
    <t>中视传媒</t>
  </si>
  <si>
    <t xml:space="preserve">         46.37亿</t>
  </si>
  <si>
    <t>特变电工</t>
  </si>
  <si>
    <t xml:space="preserve">        300.86亿</t>
  </si>
  <si>
    <t>同济堂</t>
  </si>
  <si>
    <t xml:space="preserve">         42.30亿</t>
  </si>
  <si>
    <t>ST明科</t>
  </si>
  <si>
    <t xml:space="preserve">         17.80亿</t>
  </si>
  <si>
    <t>易见股份</t>
  </si>
  <si>
    <t xml:space="preserve">        136.27亿</t>
  </si>
  <si>
    <t>大名城</t>
  </si>
  <si>
    <t xml:space="preserve">        138.19亿</t>
  </si>
  <si>
    <t>哈高科</t>
  </si>
  <si>
    <t>云天化</t>
  </si>
  <si>
    <t xml:space="preserve">         86.81亿</t>
  </si>
  <si>
    <t>开创国际</t>
  </si>
  <si>
    <t>广州发展</t>
  </si>
  <si>
    <t xml:space="preserve">        172.30亿</t>
  </si>
  <si>
    <t>林海股份</t>
  </si>
  <si>
    <t xml:space="preserve">         14.83亿</t>
  </si>
  <si>
    <t>同方股份</t>
  </si>
  <si>
    <t xml:space="preserve">        335.51亿</t>
  </si>
  <si>
    <t>明星电力</t>
  </si>
  <si>
    <t>青山纸业</t>
  </si>
  <si>
    <t>上汽集团</t>
  </si>
  <si>
    <t xml:space="preserve">       3234.77亿</t>
  </si>
  <si>
    <t>永鼎股份</t>
  </si>
  <si>
    <t xml:space="preserve">         69.10亿</t>
  </si>
  <si>
    <t>重庆路桥</t>
  </si>
  <si>
    <t xml:space="preserve">         39.32亿</t>
  </si>
  <si>
    <t>美尔雅</t>
  </si>
  <si>
    <t xml:space="preserve">         28.55亿</t>
  </si>
  <si>
    <t>亚盛集团</t>
  </si>
  <si>
    <t xml:space="preserve">         62.11亿</t>
  </si>
  <si>
    <t>国金证券</t>
  </si>
  <si>
    <t xml:space="preserve">        305.16亿</t>
  </si>
  <si>
    <t>诺德股份</t>
  </si>
  <si>
    <t xml:space="preserve">         56.14亿</t>
  </si>
  <si>
    <t>北方稀土</t>
  </si>
  <si>
    <t xml:space="preserve">        404.36亿</t>
  </si>
  <si>
    <t>天成控股</t>
  </si>
  <si>
    <t xml:space="preserve">         24.14亿</t>
  </si>
  <si>
    <t>浙江东日</t>
  </si>
  <si>
    <t>东睦股份</t>
  </si>
  <si>
    <t xml:space="preserve">         48.53亿</t>
  </si>
  <si>
    <t>东方航空</t>
  </si>
  <si>
    <t xml:space="preserve">        584.59亿</t>
  </si>
  <si>
    <t>三峡水利</t>
  </si>
  <si>
    <t xml:space="preserve">        101.19亿</t>
  </si>
  <si>
    <t>西宁特钢</t>
  </si>
  <si>
    <t>中国卫星</t>
  </si>
  <si>
    <t xml:space="preserve">        274.81亿</t>
  </si>
  <si>
    <t>长江投资</t>
  </si>
  <si>
    <t xml:space="preserve">         23.64亿</t>
  </si>
  <si>
    <t>浙江东方</t>
  </si>
  <si>
    <t xml:space="preserve">        116.73亿</t>
  </si>
  <si>
    <t>郑州煤电</t>
  </si>
  <si>
    <t>宏图高科</t>
  </si>
  <si>
    <t xml:space="preserve">         51.89亿</t>
  </si>
  <si>
    <t>兰花科创</t>
  </si>
  <si>
    <t xml:space="preserve">         88.54亿</t>
  </si>
  <si>
    <t>铁龙物流</t>
  </si>
  <si>
    <t xml:space="preserve">        107.31亿</t>
  </si>
  <si>
    <t>杭钢股份</t>
  </si>
  <si>
    <t xml:space="preserve">         61.34亿</t>
  </si>
  <si>
    <t>金健米业</t>
  </si>
  <si>
    <t xml:space="preserve">         22.08亿</t>
  </si>
  <si>
    <t>弘业股份</t>
  </si>
  <si>
    <t xml:space="preserve">         25.96亿</t>
  </si>
  <si>
    <t>太极集团</t>
  </si>
  <si>
    <t xml:space="preserve">         59.77亿</t>
  </si>
  <si>
    <t>波导股份</t>
  </si>
  <si>
    <t xml:space="preserve">         34.18亿</t>
  </si>
  <si>
    <t>岷江水电</t>
  </si>
  <si>
    <t xml:space="preserve">         74.15亿</t>
  </si>
  <si>
    <t>重庆啤酒</t>
  </si>
  <si>
    <t xml:space="preserve">        168.08亿</t>
  </si>
  <si>
    <t>东湖高新</t>
  </si>
  <si>
    <t xml:space="preserve">         42.44亿</t>
  </si>
  <si>
    <t>乐凯胶片</t>
  </si>
  <si>
    <t xml:space="preserve">         32.56亿</t>
  </si>
  <si>
    <t>当代明诚</t>
  </si>
  <si>
    <t xml:space="preserve">         42.39亿</t>
  </si>
  <si>
    <t>浪莎股份</t>
  </si>
  <si>
    <t xml:space="preserve">         14.50亿</t>
  </si>
  <si>
    <t>中青旅</t>
  </si>
  <si>
    <t xml:space="preserve">        115.16亿</t>
  </si>
  <si>
    <t>西部资源</t>
  </si>
  <si>
    <t xml:space="preserve">         27.20亿</t>
  </si>
  <si>
    <t>兴发集团</t>
  </si>
  <si>
    <t xml:space="preserve">         81.50亿</t>
  </si>
  <si>
    <t>金发科技</t>
  </si>
  <si>
    <t xml:space="preserve">        140.80亿</t>
  </si>
  <si>
    <t>*ST新亿</t>
  </si>
  <si>
    <t xml:space="preserve">         27.88亿</t>
  </si>
  <si>
    <t>商赢环球</t>
  </si>
  <si>
    <t xml:space="preserve">         16.10亿</t>
  </si>
  <si>
    <t>长春一东</t>
  </si>
  <si>
    <t>ST坊展</t>
  </si>
  <si>
    <t xml:space="preserve">         23.34亿</t>
  </si>
  <si>
    <t>*ST船舶</t>
  </si>
  <si>
    <t xml:space="preserve">        229.87亿</t>
  </si>
  <si>
    <t>航天机电</t>
  </si>
  <si>
    <t xml:space="preserve">         78.04亿</t>
  </si>
  <si>
    <t>维科技术</t>
  </si>
  <si>
    <t>建发股份</t>
  </si>
  <si>
    <t xml:space="preserve">        247.23亿</t>
  </si>
  <si>
    <t>华创阳安</t>
  </si>
  <si>
    <t xml:space="preserve">        113.05亿</t>
  </si>
  <si>
    <t>华升股份</t>
  </si>
  <si>
    <t xml:space="preserve">         21.39亿</t>
  </si>
  <si>
    <t>永泰能源</t>
  </si>
  <si>
    <t xml:space="preserve">        267.15亿</t>
  </si>
  <si>
    <t>中体产业</t>
  </si>
  <si>
    <t xml:space="preserve">         68.97亿</t>
  </si>
  <si>
    <t>大龙地产</t>
  </si>
  <si>
    <t>巨化股份</t>
  </si>
  <si>
    <t xml:space="preserve">        213.47亿</t>
  </si>
  <si>
    <t>天坛生物</t>
  </si>
  <si>
    <t xml:space="preserve">        198.18亿</t>
  </si>
  <si>
    <t>香江控股</t>
  </si>
  <si>
    <t xml:space="preserve">         85.08亿</t>
  </si>
  <si>
    <t>中闽能源</t>
  </si>
  <si>
    <t xml:space="preserve">         38.88亿</t>
  </si>
  <si>
    <t>新日恒力</t>
  </si>
  <si>
    <t xml:space="preserve">         36.71亿</t>
  </si>
  <si>
    <t>福田汽车</t>
  </si>
  <si>
    <t xml:space="preserve">        142.07亿</t>
  </si>
  <si>
    <t>联美控股</t>
  </si>
  <si>
    <t xml:space="preserve">        104.04亿</t>
  </si>
  <si>
    <t>武汉控股</t>
  </si>
  <si>
    <t xml:space="preserve">         47.68亿</t>
  </si>
  <si>
    <t>太原重工</t>
  </si>
  <si>
    <t xml:space="preserve">         78.20亿</t>
  </si>
  <si>
    <t>上海建工</t>
  </si>
  <si>
    <t xml:space="preserve">        317.41亿</t>
  </si>
  <si>
    <t>上海贝岭</t>
  </si>
  <si>
    <t xml:space="preserve">         88.47亿</t>
  </si>
  <si>
    <t>黄河旋风</t>
  </si>
  <si>
    <t xml:space="preserve">         51.62亿</t>
  </si>
  <si>
    <t>卧龙地产</t>
  </si>
  <si>
    <t xml:space="preserve">         33.62亿</t>
  </si>
  <si>
    <t>美都能源</t>
  </si>
  <si>
    <t xml:space="preserve">         66.67亿</t>
  </si>
  <si>
    <t>中国巨石</t>
  </si>
  <si>
    <t xml:space="preserve">        394.71亿</t>
  </si>
  <si>
    <t>雅戈尔</t>
  </si>
  <si>
    <t xml:space="preserve">        311.23亿</t>
  </si>
  <si>
    <t>东安动力</t>
  </si>
  <si>
    <t>安通控股</t>
  </si>
  <si>
    <t xml:space="preserve">         48.30亿</t>
  </si>
  <si>
    <t>瑞茂通</t>
  </si>
  <si>
    <t xml:space="preserve">         92.60亿</t>
  </si>
  <si>
    <t>S佳通</t>
  </si>
  <si>
    <t xml:space="preserve">         29.51亿</t>
  </si>
  <si>
    <t>生益科技</t>
  </si>
  <si>
    <t xml:space="preserve">        259.18亿</t>
  </si>
  <si>
    <t>光电股份</t>
  </si>
  <si>
    <t xml:space="preserve">         59.17亿</t>
  </si>
  <si>
    <t>格力地产</t>
  </si>
  <si>
    <t xml:space="preserve">        103.01亿</t>
  </si>
  <si>
    <t>莲花健康</t>
  </si>
  <si>
    <t xml:space="preserve">         23.15亿</t>
  </si>
  <si>
    <t>国中水务</t>
  </si>
  <si>
    <t>兖州煤业</t>
  </si>
  <si>
    <t xml:space="preserve">        320.26亿</t>
  </si>
  <si>
    <t>吉林森工</t>
  </si>
  <si>
    <t xml:space="preserve">         20.05亿</t>
  </si>
  <si>
    <t>锦州港</t>
  </si>
  <si>
    <t xml:space="preserve">         60.50亿</t>
  </si>
  <si>
    <t>华资实业</t>
  </si>
  <si>
    <t>长城电工</t>
  </si>
  <si>
    <t xml:space="preserve">         29.64亿</t>
  </si>
  <si>
    <t>*ST创兴</t>
  </si>
  <si>
    <t xml:space="preserve">         16.67亿</t>
  </si>
  <si>
    <t>中牧股份</t>
  </si>
  <si>
    <t xml:space="preserve">         75.09亿</t>
  </si>
  <si>
    <t>复星医药</t>
  </si>
  <si>
    <t xml:space="preserve">        565.90亿</t>
  </si>
  <si>
    <t>伊力特</t>
  </si>
  <si>
    <t xml:space="preserve">         77.22亿</t>
  </si>
  <si>
    <t>*ST大唐</t>
  </si>
  <si>
    <t xml:space="preserve">         80.09亿</t>
  </si>
  <si>
    <t>金种子酒</t>
  </si>
  <si>
    <t xml:space="preserve">         31.73亿</t>
  </si>
  <si>
    <t>江苏吴中</t>
  </si>
  <si>
    <t xml:space="preserve">         53.57亿</t>
  </si>
  <si>
    <t>生物股份</t>
  </si>
  <si>
    <t xml:space="preserve">        187.52亿</t>
  </si>
  <si>
    <t>*ST哈空</t>
  </si>
  <si>
    <t xml:space="preserve">         16.68亿</t>
  </si>
  <si>
    <t>福日电子</t>
  </si>
  <si>
    <t>有研新材</t>
  </si>
  <si>
    <t xml:space="preserve">         72.72亿</t>
  </si>
  <si>
    <t>安彩高科</t>
  </si>
  <si>
    <t xml:space="preserve">         37.88亿</t>
  </si>
  <si>
    <t>新湖中宝</t>
  </si>
  <si>
    <t xml:space="preserve">        325.01亿</t>
  </si>
  <si>
    <t>*ST罗顿</t>
  </si>
  <si>
    <t>紫江企业</t>
  </si>
  <si>
    <t xml:space="preserve">         69.77亿</t>
  </si>
  <si>
    <t>西藏药业</t>
  </si>
  <si>
    <t xml:space="preserve">         47.90亿</t>
  </si>
  <si>
    <t>江泉实业</t>
  </si>
  <si>
    <t xml:space="preserve">         24.77亿</t>
  </si>
  <si>
    <t>亚星客车</t>
  </si>
  <si>
    <t>长春经开</t>
  </si>
  <si>
    <t>浙江医药</t>
  </si>
  <si>
    <t xml:space="preserve">         99.42亿</t>
  </si>
  <si>
    <t>中再资环</t>
  </si>
  <si>
    <t xml:space="preserve">         67.13亿</t>
  </si>
  <si>
    <t>全柴动力</t>
  </si>
  <si>
    <t xml:space="preserve">         50.93亿</t>
  </si>
  <si>
    <t>南山铝业</t>
  </si>
  <si>
    <t xml:space="preserve">        259.36亿</t>
  </si>
  <si>
    <t>江苏阳光</t>
  </si>
  <si>
    <t xml:space="preserve">         50.83亿</t>
  </si>
  <si>
    <t>海航控股</t>
  </si>
  <si>
    <t xml:space="preserve">        368.17亿</t>
  </si>
  <si>
    <t>太龙药业</t>
  </si>
  <si>
    <t xml:space="preserve">         24.94亿</t>
  </si>
  <si>
    <t>鲁商置业</t>
  </si>
  <si>
    <t xml:space="preserve">         36.13亿</t>
  </si>
  <si>
    <t>天津松江</t>
  </si>
  <si>
    <t xml:space="preserve">         33.77亿</t>
  </si>
  <si>
    <t>瀚叶股份</t>
  </si>
  <si>
    <t xml:space="preserve">         76.13亿</t>
  </si>
  <si>
    <t>圣济堂</t>
  </si>
  <si>
    <t xml:space="preserve">         44.59亿</t>
  </si>
  <si>
    <t>ST昌九</t>
  </si>
  <si>
    <t xml:space="preserve">         19.72亿</t>
  </si>
  <si>
    <t>城市传媒</t>
  </si>
  <si>
    <t xml:space="preserve">         58.13亿</t>
  </si>
  <si>
    <t>沧州大化</t>
  </si>
  <si>
    <t xml:space="preserve">         83.28亿</t>
  </si>
  <si>
    <t>凌钢股份</t>
  </si>
  <si>
    <t xml:space="preserve">         94.49亿</t>
  </si>
  <si>
    <t>金鹰股份</t>
  </si>
  <si>
    <t xml:space="preserve">         21.19亿</t>
  </si>
  <si>
    <t>圆通速递</t>
  </si>
  <si>
    <t xml:space="preserve">        106.93亿</t>
  </si>
  <si>
    <t>ST山水</t>
  </si>
  <si>
    <t xml:space="preserve">         14.66亿</t>
  </si>
  <si>
    <t>民丰特纸</t>
  </si>
  <si>
    <t xml:space="preserve">         28.91亿</t>
  </si>
  <si>
    <t>桂冠电力</t>
  </si>
  <si>
    <t xml:space="preserve">        357.74亿</t>
  </si>
  <si>
    <t>铜峰电子</t>
  </si>
  <si>
    <t xml:space="preserve">         24.66亿</t>
  </si>
  <si>
    <t>*ST椰岛</t>
  </si>
  <si>
    <t xml:space="preserve">         39.96亿</t>
  </si>
  <si>
    <t>云南城投</t>
  </si>
  <si>
    <t xml:space="preserve">         59.25亿</t>
  </si>
  <si>
    <t>华业资本</t>
  </si>
  <si>
    <t xml:space="preserve">         53.12亿</t>
  </si>
  <si>
    <t>时代万恒</t>
  </si>
  <si>
    <t xml:space="preserve">         17.11亿</t>
  </si>
  <si>
    <t>中昌数据</t>
  </si>
  <si>
    <t xml:space="preserve">         43.68亿</t>
  </si>
  <si>
    <t>青海华鼎</t>
  </si>
  <si>
    <t xml:space="preserve">         21.59亿</t>
  </si>
  <si>
    <t>万通地产</t>
  </si>
  <si>
    <t>*ST成城</t>
  </si>
  <si>
    <t xml:space="preserve">         20.62亿</t>
  </si>
  <si>
    <t>延长化建</t>
  </si>
  <si>
    <t xml:space="preserve">         27.28亿</t>
  </si>
  <si>
    <t>两面针</t>
  </si>
  <si>
    <t>南纺股份</t>
  </si>
  <si>
    <t>冠农股份</t>
  </si>
  <si>
    <t xml:space="preserve">         45.52亿</t>
  </si>
  <si>
    <t>中恒集团</t>
  </si>
  <si>
    <t xml:space="preserve">        110.86亿</t>
  </si>
  <si>
    <t>梦舟股份</t>
  </si>
  <si>
    <t xml:space="preserve">         46.19亿</t>
  </si>
  <si>
    <t>广汇能源</t>
  </si>
  <si>
    <t xml:space="preserve">        291.04亿</t>
  </si>
  <si>
    <t>大湖股份</t>
  </si>
  <si>
    <t>首旅酒店</t>
  </si>
  <si>
    <t xml:space="preserve">        120.55亿</t>
  </si>
  <si>
    <t>广晟有色</t>
  </si>
  <si>
    <t xml:space="preserve">         70.12亿</t>
  </si>
  <si>
    <t>凯乐科技</t>
  </si>
  <si>
    <t xml:space="preserve">        139.54亿</t>
  </si>
  <si>
    <t>阳光照明</t>
  </si>
  <si>
    <t xml:space="preserve">         54.31亿</t>
  </si>
  <si>
    <t>北方股份</t>
  </si>
  <si>
    <t xml:space="preserve">         32.81亿</t>
  </si>
  <si>
    <t>ST景谷</t>
  </si>
  <si>
    <t xml:space="preserve">         34.79亿</t>
  </si>
  <si>
    <t>北京城建</t>
  </si>
  <si>
    <t xml:space="preserve">        153.10亿</t>
  </si>
  <si>
    <t>海正药业</t>
  </si>
  <si>
    <t xml:space="preserve">        103.31亿</t>
  </si>
  <si>
    <t>国电南自</t>
  </si>
  <si>
    <t xml:space="preserve">         32.91亿</t>
  </si>
  <si>
    <t>赣粤高速</t>
  </si>
  <si>
    <t xml:space="preserve">        103.93亿</t>
  </si>
  <si>
    <t>航天信息</t>
  </si>
  <si>
    <t xml:space="preserve">        525.42亿</t>
  </si>
  <si>
    <t>开开实业</t>
  </si>
  <si>
    <t>嘉化能源</t>
  </si>
  <si>
    <t xml:space="preserve">        142.36亿</t>
  </si>
  <si>
    <t>ST昌鱼</t>
  </si>
  <si>
    <t xml:space="preserve">         15.32亿</t>
  </si>
  <si>
    <t>恒瑞医药</t>
  </si>
  <si>
    <t xml:space="preserve">       2646.75亿</t>
  </si>
  <si>
    <t>亿利洁能</t>
  </si>
  <si>
    <t xml:space="preserve">        173.54亿</t>
  </si>
  <si>
    <t>东方创业</t>
  </si>
  <si>
    <t xml:space="preserve">         52.49亿</t>
  </si>
  <si>
    <t>重庆港九</t>
  </si>
  <si>
    <t xml:space="preserve">         31.39亿</t>
  </si>
  <si>
    <t>中央商场</t>
  </si>
  <si>
    <t xml:space="preserve">         53.63亿</t>
  </si>
  <si>
    <t>太化股份</t>
  </si>
  <si>
    <t>南钢股份</t>
  </si>
  <si>
    <t xml:space="preserve">        183.53亿</t>
  </si>
  <si>
    <t>钱江水利</t>
  </si>
  <si>
    <t xml:space="preserve">         48.08亿</t>
  </si>
  <si>
    <t>浦东建设</t>
  </si>
  <si>
    <t xml:space="preserve">         61.51亿</t>
  </si>
  <si>
    <t>羚锐制药</t>
  </si>
  <si>
    <t xml:space="preserve">         44.22亿</t>
  </si>
  <si>
    <t>江苏舜天</t>
  </si>
  <si>
    <t xml:space="preserve">         26.60亿</t>
  </si>
  <si>
    <t>大恒科技</t>
  </si>
  <si>
    <t xml:space="preserve">         44.07亿</t>
  </si>
  <si>
    <t>*ST信通</t>
  </si>
  <si>
    <t xml:space="preserve">         15.62亿</t>
  </si>
  <si>
    <t>华仪电气</t>
  </si>
  <si>
    <t>西水股份</t>
  </si>
  <si>
    <t xml:space="preserve">        171.06亿</t>
  </si>
  <si>
    <t>远达环保</t>
  </si>
  <si>
    <t>三峡新材</t>
  </si>
  <si>
    <t>鄂尔多斯</t>
  </si>
  <si>
    <t xml:space="preserve">         55.81亿</t>
  </si>
  <si>
    <t>广汇汽车</t>
  </si>
  <si>
    <t xml:space="preserve">        411.19亿</t>
  </si>
  <si>
    <t>安琪酵母</t>
  </si>
  <si>
    <t xml:space="preserve">        232.97亿</t>
  </si>
  <si>
    <t>安迪苏</t>
  </si>
  <si>
    <t xml:space="preserve">        308.15亿</t>
  </si>
  <si>
    <t>维维股份</t>
  </si>
  <si>
    <t xml:space="preserve">         55.51亿</t>
  </si>
  <si>
    <t>ST南化</t>
  </si>
  <si>
    <t xml:space="preserve">         15.52亿</t>
  </si>
  <si>
    <t>标准股份</t>
  </si>
  <si>
    <t xml:space="preserve">         18.58亿</t>
  </si>
  <si>
    <t>曙光股份</t>
  </si>
  <si>
    <t>恒顺醋业</t>
  </si>
  <si>
    <t xml:space="preserve">         94.50亿</t>
  </si>
  <si>
    <t>商业城</t>
  </si>
  <si>
    <t xml:space="preserve">         12.68亿</t>
  </si>
  <si>
    <t>酒钢宏兴</t>
  </si>
  <si>
    <t xml:space="preserve">        149.69亿</t>
  </si>
  <si>
    <t>华泰股份</t>
  </si>
  <si>
    <t xml:space="preserve">         59.20亿</t>
  </si>
  <si>
    <t>万华化学</t>
  </si>
  <si>
    <t xml:space="preserve">        584.17亿</t>
  </si>
  <si>
    <t>桂东电力</t>
  </si>
  <si>
    <t>荣华实业</t>
  </si>
  <si>
    <t xml:space="preserve">         25.83亿</t>
  </si>
  <si>
    <t>平高电气</t>
  </si>
  <si>
    <t>农发种业</t>
  </si>
  <si>
    <t xml:space="preserve">         29.56亿</t>
  </si>
  <si>
    <t>上海家化</t>
  </si>
  <si>
    <t xml:space="preserve">        211.91亿</t>
  </si>
  <si>
    <t>洪都航空</t>
  </si>
  <si>
    <t xml:space="preserve">        106.71亿</t>
  </si>
  <si>
    <t>营口港</t>
  </si>
  <si>
    <t xml:space="preserve">        176.71亿</t>
  </si>
  <si>
    <t>新力金融</t>
  </si>
  <si>
    <t xml:space="preserve">         46.32亿</t>
  </si>
  <si>
    <t>亚星化学</t>
  </si>
  <si>
    <t xml:space="preserve">         16.69亿</t>
  </si>
  <si>
    <t>振华重工</t>
  </si>
  <si>
    <t xml:space="preserve">        138.53亿</t>
  </si>
  <si>
    <t>*ST正源</t>
  </si>
  <si>
    <t>天房发展</t>
  </si>
  <si>
    <t xml:space="preserve">         40.91亿</t>
  </si>
  <si>
    <t>瀚蓝环境</t>
  </si>
  <si>
    <t xml:space="preserve">        125.36亿</t>
  </si>
  <si>
    <t>华发股份</t>
  </si>
  <si>
    <t xml:space="preserve">        165.82亿</t>
  </si>
  <si>
    <t>西藏天路</t>
  </si>
  <si>
    <t>大东方</t>
  </si>
  <si>
    <t xml:space="preserve">         36.94亿</t>
  </si>
  <si>
    <t>兰太实业</t>
  </si>
  <si>
    <t>中新药业</t>
  </si>
  <si>
    <t xml:space="preserve">         84.14亿</t>
  </si>
  <si>
    <t>天通股份</t>
  </si>
  <si>
    <t xml:space="preserve">         81.32亿</t>
  </si>
  <si>
    <t>宏达股份</t>
  </si>
  <si>
    <t xml:space="preserve">         80.26亿</t>
  </si>
  <si>
    <t>白云山</t>
  </si>
  <si>
    <t xml:space="preserve">        402.01亿</t>
  </si>
  <si>
    <t>长春燃气</t>
  </si>
  <si>
    <t xml:space="preserve">         31.62亿</t>
  </si>
  <si>
    <t>国机汽车</t>
  </si>
  <si>
    <t xml:space="preserve">         80.83亿</t>
  </si>
  <si>
    <t>澳柯玛</t>
  </si>
  <si>
    <t xml:space="preserve">         32.00亿</t>
  </si>
  <si>
    <t>美克家居</t>
  </si>
  <si>
    <t xml:space="preserve">         80.71亿</t>
  </si>
  <si>
    <t>西藏珠峰</t>
  </si>
  <si>
    <t xml:space="preserve">        163.25亿</t>
  </si>
  <si>
    <t>中油工程</t>
  </si>
  <si>
    <t xml:space="preserve">         69.23亿</t>
  </si>
  <si>
    <t>华夏幸福</t>
  </si>
  <si>
    <t xml:space="preserve">        969.22亿</t>
  </si>
  <si>
    <t>航天动力</t>
  </si>
  <si>
    <t xml:space="preserve">         66.25亿</t>
  </si>
  <si>
    <t>长江通信</t>
  </si>
  <si>
    <t>恒力股份</t>
  </si>
  <si>
    <t xml:space="preserve">        140.11亿</t>
  </si>
  <si>
    <t>阳泉煤业</t>
  </si>
  <si>
    <t xml:space="preserve">        144.78亿</t>
  </si>
  <si>
    <t>山东高速</t>
  </si>
  <si>
    <t xml:space="preserve">        234.30亿</t>
  </si>
  <si>
    <t>亚宝药业</t>
  </si>
  <si>
    <t xml:space="preserve">         49.51亿</t>
  </si>
  <si>
    <t>浙江龙盛</t>
  </si>
  <si>
    <t xml:space="preserve">        360.47亿</t>
  </si>
  <si>
    <t>旭光股份</t>
  </si>
  <si>
    <t xml:space="preserve">         29.96亿</t>
  </si>
  <si>
    <t>敦煌种业</t>
  </si>
  <si>
    <t>精伦电子</t>
  </si>
  <si>
    <t xml:space="preserve">         23.13亿</t>
  </si>
  <si>
    <t>恒丰纸业</t>
  </si>
  <si>
    <t>国旅联合</t>
  </si>
  <si>
    <t xml:space="preserve">         21.91亿</t>
  </si>
  <si>
    <t>新农开发</t>
  </si>
  <si>
    <t xml:space="preserve">         18.54亿</t>
  </si>
  <si>
    <t>华微电子</t>
  </si>
  <si>
    <t xml:space="preserve">         49.50亿</t>
  </si>
  <si>
    <t>华联综超</t>
  </si>
  <si>
    <t xml:space="preserve">         30.89亿</t>
  </si>
  <si>
    <t>江西铜业</t>
  </si>
  <si>
    <t xml:space="preserve">        333.70亿</t>
  </si>
  <si>
    <t>联创光电</t>
  </si>
  <si>
    <t>通葡股份</t>
  </si>
  <si>
    <t xml:space="preserve">         18.12亿</t>
  </si>
  <si>
    <t>宁波韵升</t>
  </si>
  <si>
    <t xml:space="preserve">         64.09亿</t>
  </si>
  <si>
    <t>红星发展</t>
  </si>
  <si>
    <t xml:space="preserve">         25.39亿</t>
  </si>
  <si>
    <t>五洲交通</t>
  </si>
  <si>
    <t xml:space="preserve">         39.73亿</t>
  </si>
  <si>
    <t>西南证券</t>
  </si>
  <si>
    <t xml:space="preserve">        312.17亿</t>
  </si>
  <si>
    <t>三房巷</t>
  </si>
  <si>
    <t xml:space="preserve">         26.79亿</t>
  </si>
  <si>
    <t>万向德农</t>
  </si>
  <si>
    <t xml:space="preserve">         17.58亿</t>
  </si>
  <si>
    <t>中航电子</t>
  </si>
  <si>
    <t xml:space="preserve">        298.89亿</t>
  </si>
  <si>
    <t>中文传媒</t>
  </si>
  <si>
    <t xml:space="preserve">        205.45亿</t>
  </si>
  <si>
    <t>华菱星马</t>
  </si>
  <si>
    <t xml:space="preserve">         33.79亿</t>
  </si>
  <si>
    <t>首开股份</t>
  </si>
  <si>
    <t xml:space="preserve">        211.56亿</t>
  </si>
  <si>
    <t>宁沪高速</t>
  </si>
  <si>
    <t xml:space="preserve">        371.44亿</t>
  </si>
  <si>
    <t>天科股份</t>
  </si>
  <si>
    <t xml:space="preserve">         32.04亿</t>
  </si>
  <si>
    <t>宝光股份</t>
  </si>
  <si>
    <t xml:space="preserve">         18.49亿</t>
  </si>
  <si>
    <t>健康元</t>
  </si>
  <si>
    <t>青海春天</t>
  </si>
  <si>
    <t>广东明珠</t>
  </si>
  <si>
    <t>金地集团</t>
  </si>
  <si>
    <t xml:space="preserve">        571.09亿</t>
  </si>
  <si>
    <t>山东金泰</t>
  </si>
  <si>
    <t>北巴传媒</t>
  </si>
  <si>
    <t>海越能源</t>
  </si>
  <si>
    <t>龙净环保</t>
  </si>
  <si>
    <t xml:space="preserve">        140.58亿</t>
  </si>
  <si>
    <t>江山股份</t>
  </si>
  <si>
    <t xml:space="preserve">         54.23亿</t>
  </si>
  <si>
    <t>五矿资本</t>
  </si>
  <si>
    <t xml:space="preserve">         53.15亿</t>
  </si>
  <si>
    <t>航发科技</t>
  </si>
  <si>
    <t xml:space="preserve">         49.62亿</t>
  </si>
  <si>
    <t>盛和资源</t>
  </si>
  <si>
    <t xml:space="preserve">        155.33亿</t>
  </si>
  <si>
    <t>粤泰股份</t>
  </si>
  <si>
    <t>盘江股份</t>
  </si>
  <si>
    <t xml:space="preserve">         93.01亿</t>
  </si>
  <si>
    <t>金山股份</t>
  </si>
  <si>
    <t xml:space="preserve">         34.02亿</t>
  </si>
  <si>
    <t>*ST安煤</t>
  </si>
  <si>
    <t>海澜之家</t>
  </si>
  <si>
    <t xml:space="preserve">        464.10亿</t>
  </si>
  <si>
    <t>*ST抚钢</t>
  </si>
  <si>
    <t xml:space="preserve">         76.32亿</t>
  </si>
  <si>
    <t>红豆股份</t>
  </si>
  <si>
    <t xml:space="preserve">        106.34亿</t>
  </si>
  <si>
    <t>大有能源</t>
  </si>
  <si>
    <t xml:space="preserve">        103.52亿</t>
  </si>
  <si>
    <t>动力源</t>
  </si>
  <si>
    <t xml:space="preserve">         30.10亿</t>
  </si>
  <si>
    <t>国电南瑞</t>
  </si>
  <si>
    <t xml:space="preserve">        488.17亿</t>
  </si>
  <si>
    <t>*ST安泰</t>
  </si>
  <si>
    <t>三友化工</t>
  </si>
  <si>
    <t xml:space="preserve">        141.19亿</t>
  </si>
  <si>
    <t>华胜天成</t>
  </si>
  <si>
    <t xml:space="preserve">         86.47亿</t>
  </si>
  <si>
    <t>小商品城</t>
  </si>
  <si>
    <t xml:space="preserve">        268.35亿</t>
  </si>
  <si>
    <t>湘电股份</t>
  </si>
  <si>
    <t xml:space="preserve">         63.11亿</t>
  </si>
  <si>
    <t>江淮汽车</t>
  </si>
  <si>
    <t xml:space="preserve">        103.00亿</t>
  </si>
  <si>
    <t>天润乳业</t>
  </si>
  <si>
    <t>现代制药</t>
  </si>
  <si>
    <t xml:space="preserve">         58.12亿</t>
  </si>
  <si>
    <t>ST仰帆</t>
  </si>
  <si>
    <t>昆药集团</t>
  </si>
  <si>
    <t xml:space="preserve">         62.06亿</t>
  </si>
  <si>
    <t>*ST柳化</t>
  </si>
  <si>
    <t xml:space="preserve">         30.51亿</t>
  </si>
  <si>
    <t>青松建化</t>
  </si>
  <si>
    <t>华鲁恒升</t>
  </si>
  <si>
    <t xml:space="preserve">        231.13亿</t>
  </si>
  <si>
    <t>中远海特</t>
  </si>
  <si>
    <t xml:space="preserve">         85.22亿</t>
  </si>
  <si>
    <t>三元股份</t>
  </si>
  <si>
    <t xml:space="preserve">         50.89亿</t>
  </si>
  <si>
    <t>冠豪高新</t>
  </si>
  <si>
    <t xml:space="preserve">         55.56亿</t>
  </si>
  <si>
    <t>北方导航</t>
  </si>
  <si>
    <t xml:space="preserve">        145.21亿</t>
  </si>
  <si>
    <t>片仔癀</t>
  </si>
  <si>
    <t xml:space="preserve">        645.31亿</t>
  </si>
  <si>
    <t>通威股份</t>
  </si>
  <si>
    <t xml:space="preserve">        354.84亿</t>
  </si>
  <si>
    <t>瑞贝卡</t>
  </si>
  <si>
    <t>国机通用</t>
  </si>
  <si>
    <t xml:space="preserve">         16.47亿</t>
  </si>
  <si>
    <t>金证股份</t>
  </si>
  <si>
    <t xml:space="preserve">        186.77亿</t>
  </si>
  <si>
    <t>华纺股份</t>
  </si>
  <si>
    <t xml:space="preserve">         34.33亿</t>
  </si>
  <si>
    <t>宁夏建材</t>
  </si>
  <si>
    <t xml:space="preserve">         43.47亿</t>
  </si>
  <si>
    <t>涪陵电力</t>
  </si>
  <si>
    <t xml:space="preserve">         49.86亿</t>
  </si>
  <si>
    <t>博通股份</t>
  </si>
  <si>
    <t xml:space="preserve">         15.70亿</t>
  </si>
  <si>
    <t>宝钛股份</t>
  </si>
  <si>
    <t xml:space="preserve">         92.68亿</t>
  </si>
  <si>
    <t>时代新材</t>
  </si>
  <si>
    <t xml:space="preserve">         73.30亿</t>
  </si>
  <si>
    <t>贵研铂业</t>
  </si>
  <si>
    <t xml:space="preserve">         53.20亿</t>
  </si>
  <si>
    <t>士兰微</t>
  </si>
  <si>
    <t xml:space="preserve">        165.58亿</t>
  </si>
  <si>
    <t>洪城水业</t>
  </si>
  <si>
    <t xml:space="preserve">         35.52亿</t>
  </si>
  <si>
    <t>ST九有</t>
  </si>
  <si>
    <t xml:space="preserve">         12.49亿</t>
  </si>
  <si>
    <t>空港股份</t>
  </si>
  <si>
    <t xml:space="preserve">         24.51亿</t>
  </si>
  <si>
    <t>蓝光发展</t>
  </si>
  <si>
    <t xml:space="preserve">        202.62亿</t>
  </si>
  <si>
    <t>好当家</t>
  </si>
  <si>
    <t>百利电气</t>
  </si>
  <si>
    <t xml:space="preserve">         50.21亿</t>
  </si>
  <si>
    <t>风神股份</t>
  </si>
  <si>
    <t>六国化工</t>
  </si>
  <si>
    <t xml:space="preserve">         22.79亿</t>
  </si>
  <si>
    <t>华光股份</t>
  </si>
  <si>
    <t xml:space="preserve">         14.33亿</t>
  </si>
  <si>
    <t>湘邮科技</t>
  </si>
  <si>
    <t xml:space="preserve">         24.64亿</t>
  </si>
  <si>
    <t>杭萧钢构</t>
  </si>
  <si>
    <t xml:space="preserve">         78.23亿</t>
  </si>
  <si>
    <t>科力远</t>
  </si>
  <si>
    <t>千金药业</t>
  </si>
  <si>
    <t xml:space="preserve">         39.00亿</t>
  </si>
  <si>
    <t>凌云股份</t>
  </si>
  <si>
    <t xml:space="preserve">         44.01亿</t>
  </si>
  <si>
    <t>双良节能</t>
  </si>
  <si>
    <t xml:space="preserve">         68.71亿</t>
  </si>
  <si>
    <t>中国动力</t>
  </si>
  <si>
    <t xml:space="preserve">        228.12亿</t>
  </si>
  <si>
    <t>福能股份</t>
  </si>
  <si>
    <t xml:space="preserve">        148.51亿</t>
  </si>
  <si>
    <t>信威集团</t>
  </si>
  <si>
    <t xml:space="preserve">        264.45亿</t>
  </si>
  <si>
    <t>扬农化工</t>
  </si>
  <si>
    <t xml:space="preserve">        146.89亿</t>
  </si>
  <si>
    <t>亨通光电</t>
  </si>
  <si>
    <t xml:space="preserve">        419.69亿</t>
  </si>
  <si>
    <t>天药股份</t>
  </si>
  <si>
    <t xml:space="preserve">         43.59亿</t>
  </si>
  <si>
    <t>中金黄金</t>
  </si>
  <si>
    <t xml:space="preserve">        303.70亿</t>
  </si>
  <si>
    <t>鹏欣资源</t>
  </si>
  <si>
    <t xml:space="preserve">         89.03亿</t>
  </si>
  <si>
    <t>龙元建设</t>
  </si>
  <si>
    <t xml:space="preserve">         98.57亿</t>
  </si>
  <si>
    <t>凤竹纺织</t>
  </si>
  <si>
    <t>晋西车轴</t>
  </si>
  <si>
    <t xml:space="preserve">         66.57亿</t>
  </si>
  <si>
    <t>精工钢构</t>
  </si>
  <si>
    <t xml:space="preserve">         48.64亿</t>
  </si>
  <si>
    <t>驰宏锌锗</t>
  </si>
  <si>
    <t xml:space="preserve">        235.32亿</t>
  </si>
  <si>
    <t>烽火通信</t>
  </si>
  <si>
    <t xml:space="preserve">        370.84亿</t>
  </si>
  <si>
    <t>科达洁能</t>
  </si>
  <si>
    <t xml:space="preserve">         81.86亿</t>
  </si>
  <si>
    <t>中化国际</t>
  </si>
  <si>
    <t xml:space="preserve">        166.64亿</t>
  </si>
  <si>
    <t>航天晨光</t>
  </si>
  <si>
    <t xml:space="preserve">         34.25亿</t>
  </si>
  <si>
    <t>安徽水利</t>
  </si>
  <si>
    <t xml:space="preserve">         39.89亿</t>
  </si>
  <si>
    <t>华丽家族</t>
  </si>
  <si>
    <t xml:space="preserve">         71.46亿</t>
  </si>
  <si>
    <t>西昌电力</t>
  </si>
  <si>
    <t>香梨股份</t>
  </si>
  <si>
    <t>方大特钢</t>
  </si>
  <si>
    <t xml:space="preserve">        189.76亿</t>
  </si>
  <si>
    <t>上海能源</t>
  </si>
  <si>
    <t xml:space="preserve">         78.85亿</t>
  </si>
  <si>
    <t>天富能源</t>
  </si>
  <si>
    <t xml:space="preserve">         45.56亿</t>
  </si>
  <si>
    <t>黑牡丹</t>
  </si>
  <si>
    <t xml:space="preserve">         68.79亿</t>
  </si>
  <si>
    <t>国药股份</t>
  </si>
  <si>
    <t xml:space="preserve">         69.44亿</t>
  </si>
  <si>
    <t>腾达建设</t>
  </si>
  <si>
    <t>联环药业</t>
  </si>
  <si>
    <t xml:space="preserve">         20.61亿</t>
  </si>
  <si>
    <t>海航基础</t>
  </si>
  <si>
    <t xml:space="preserve">         96.68亿</t>
  </si>
  <si>
    <t>方大炭素</t>
  </si>
  <si>
    <t xml:space="preserve">        407.63亿</t>
  </si>
  <si>
    <t>置信电气</t>
  </si>
  <si>
    <t xml:space="preserve">         54.63亿</t>
  </si>
  <si>
    <t>康美药业</t>
  </si>
  <si>
    <t xml:space="preserve">        490.96亿</t>
  </si>
  <si>
    <t>贵州茅台</t>
  </si>
  <si>
    <t xml:space="preserve">       9795.58亿</t>
  </si>
  <si>
    <t>文一科技</t>
  </si>
  <si>
    <t xml:space="preserve">         23.02亿</t>
  </si>
  <si>
    <t>华海药业</t>
  </si>
  <si>
    <t xml:space="preserve">        172.98亿</t>
  </si>
  <si>
    <t>中天科技</t>
  </si>
  <si>
    <t xml:space="preserve">        317.65亿</t>
  </si>
  <si>
    <t>贵航股份</t>
  </si>
  <si>
    <t xml:space="preserve">         44.16亿</t>
  </si>
  <si>
    <t>长园集团</t>
  </si>
  <si>
    <t xml:space="preserve">         92.45亿</t>
  </si>
  <si>
    <t>菲达环保</t>
  </si>
  <si>
    <t xml:space="preserve">         31.42亿</t>
  </si>
  <si>
    <t>江南高纤</t>
  </si>
  <si>
    <t>中铁工业</t>
  </si>
  <si>
    <t xml:space="preserve">        228.80亿</t>
  </si>
  <si>
    <t>山东药玻</t>
  </si>
  <si>
    <t xml:space="preserve">         78.12亿</t>
  </si>
  <si>
    <t>交大昂立</t>
  </si>
  <si>
    <t xml:space="preserve">         40.48亿</t>
  </si>
  <si>
    <t>豫光金铅</t>
  </si>
  <si>
    <t>宏达矿业</t>
  </si>
  <si>
    <t xml:space="preserve">         29.98亿</t>
  </si>
  <si>
    <t>栖霞建设</t>
  </si>
  <si>
    <t>天士力</t>
  </si>
  <si>
    <t xml:space="preserve">        347.61亿</t>
  </si>
  <si>
    <t>中国软件</t>
  </si>
  <si>
    <t xml:space="preserve">        168.10亿</t>
  </si>
  <si>
    <t>亿晶光电</t>
  </si>
  <si>
    <t xml:space="preserve">         50.11亿</t>
  </si>
  <si>
    <t>国发股份</t>
  </si>
  <si>
    <t xml:space="preserve">         24.85亿</t>
  </si>
  <si>
    <t>*ST狮头</t>
  </si>
  <si>
    <t xml:space="preserve">         15.98亿</t>
  </si>
  <si>
    <t>新赛股份</t>
  </si>
  <si>
    <t xml:space="preserve">         21.66亿</t>
  </si>
  <si>
    <t>莫高股份</t>
  </si>
  <si>
    <t xml:space="preserve">         22.09亿</t>
  </si>
  <si>
    <t>卓郎智能</t>
  </si>
  <si>
    <t xml:space="preserve">         54.00亿</t>
  </si>
  <si>
    <t>山煤国际</t>
  </si>
  <si>
    <t>山东黄金</t>
  </si>
  <si>
    <t xml:space="preserve">        470.72亿</t>
  </si>
  <si>
    <t>深高速</t>
  </si>
  <si>
    <t xml:space="preserve">        135.44亿</t>
  </si>
  <si>
    <t>厦门钨业</t>
  </si>
  <si>
    <t xml:space="preserve">        206.83亿</t>
  </si>
  <si>
    <t>保变电气</t>
  </si>
  <si>
    <t xml:space="preserve">         70.44亿</t>
  </si>
  <si>
    <t>时代出版</t>
  </si>
  <si>
    <t xml:space="preserve">         50.03亿</t>
  </si>
  <si>
    <t>凯盛科技</t>
  </si>
  <si>
    <t xml:space="preserve">         49.81亿</t>
  </si>
  <si>
    <t>海航创新</t>
  </si>
  <si>
    <t xml:space="preserve">         31.74亿</t>
  </si>
  <si>
    <t>ST慧球</t>
  </si>
  <si>
    <t xml:space="preserve">         29.10亿</t>
  </si>
  <si>
    <t>康缘药业</t>
  </si>
  <si>
    <t xml:space="preserve">         75.71亿</t>
  </si>
  <si>
    <t>大西洋</t>
  </si>
  <si>
    <t xml:space="preserve">         36.44亿</t>
  </si>
  <si>
    <t>老白干酒</t>
  </si>
  <si>
    <t xml:space="preserve">         97.21亿</t>
  </si>
  <si>
    <t>金自天正</t>
  </si>
  <si>
    <t xml:space="preserve">         22.45亿</t>
  </si>
  <si>
    <t>江西长运</t>
  </si>
  <si>
    <t xml:space="preserve">         15.15亿</t>
  </si>
  <si>
    <t>国睿科技</t>
  </si>
  <si>
    <t xml:space="preserve">         97.75亿</t>
  </si>
  <si>
    <t>法拉电子</t>
  </si>
  <si>
    <t xml:space="preserve">        109.28亿</t>
  </si>
  <si>
    <t>迪马股份</t>
  </si>
  <si>
    <t xml:space="preserve">         83.14亿</t>
  </si>
  <si>
    <t>济川药业</t>
  </si>
  <si>
    <t xml:space="preserve">        288.12亿</t>
  </si>
  <si>
    <t>山鹰纸业</t>
  </si>
  <si>
    <t xml:space="preserve">        186.59亿</t>
  </si>
  <si>
    <t>中珠医疗</t>
  </si>
  <si>
    <t xml:space="preserve">         44.29亿</t>
  </si>
  <si>
    <t>安阳钢铁</t>
  </si>
  <si>
    <t>恒生电子</t>
  </si>
  <si>
    <t xml:space="preserve">        541.32亿</t>
  </si>
  <si>
    <t>信雅达</t>
  </si>
  <si>
    <t xml:space="preserve">         47.98亿</t>
  </si>
  <si>
    <t>康恩贝</t>
  </si>
  <si>
    <t xml:space="preserve">        218.97亿</t>
  </si>
  <si>
    <t>惠泉啤酒</t>
  </si>
  <si>
    <t>皖江物流</t>
  </si>
  <si>
    <t xml:space="preserve">         84.07亿</t>
  </si>
  <si>
    <t>祥源文化</t>
  </si>
  <si>
    <t xml:space="preserve">         25.51亿</t>
  </si>
  <si>
    <t>精达股份</t>
  </si>
  <si>
    <t>京能电力</t>
  </si>
  <si>
    <t xml:space="preserve">        176.59亿</t>
  </si>
  <si>
    <t>天华院</t>
  </si>
  <si>
    <t xml:space="preserve">         38.81亿</t>
  </si>
  <si>
    <t>卧龙电气</t>
  </si>
  <si>
    <t xml:space="preserve">         99.63亿</t>
  </si>
  <si>
    <t>八一钢铁</t>
  </si>
  <si>
    <t>天地科技</t>
  </si>
  <si>
    <t xml:space="preserve">        165.54亿</t>
  </si>
  <si>
    <t>海油工程</t>
  </si>
  <si>
    <t xml:space="preserve">        264.84亿</t>
  </si>
  <si>
    <t>长电科技</t>
  </si>
  <si>
    <t xml:space="preserve">        156.73亿</t>
  </si>
  <si>
    <t>海螺水泥</t>
  </si>
  <si>
    <t xml:space="preserve">       1480.29亿</t>
  </si>
  <si>
    <t>金晶科技</t>
  </si>
  <si>
    <t>新华医疗</t>
  </si>
  <si>
    <t xml:space="preserve">         58.30亿</t>
  </si>
  <si>
    <t>用友网络</t>
  </si>
  <si>
    <t xml:space="preserve">        631.75亿</t>
  </si>
  <si>
    <t>广东榕泰</t>
  </si>
  <si>
    <t>泰豪科技</t>
  </si>
  <si>
    <t xml:space="preserve">         55.91亿</t>
  </si>
  <si>
    <t>龙溪股份</t>
  </si>
  <si>
    <t xml:space="preserve">         28.65亿</t>
  </si>
  <si>
    <t>大连圣亚</t>
  </si>
  <si>
    <t>益佰制药</t>
  </si>
  <si>
    <t xml:space="preserve">         52.03亿</t>
  </si>
  <si>
    <t>中孚实业</t>
  </si>
  <si>
    <t>新安股份</t>
  </si>
  <si>
    <t xml:space="preserve">         87.66亿</t>
  </si>
  <si>
    <t>光明乳业</t>
  </si>
  <si>
    <t xml:space="preserve">        119.49亿</t>
  </si>
  <si>
    <t>北大荒</t>
  </si>
  <si>
    <t xml:space="preserve">        168.70亿</t>
  </si>
  <si>
    <t>熊猫金控</t>
  </si>
  <si>
    <t>青岛啤酒</t>
  </si>
  <si>
    <t xml:space="preserve">        278.02亿</t>
  </si>
  <si>
    <t>方正科技</t>
  </si>
  <si>
    <t xml:space="preserve">         75.50亿</t>
  </si>
  <si>
    <t>云赛智联</t>
  </si>
  <si>
    <t xml:space="preserve">         71.10亿</t>
  </si>
  <si>
    <t>广汇物流</t>
  </si>
  <si>
    <t xml:space="preserve">         24.40亿</t>
  </si>
  <si>
    <t>市北高新</t>
  </si>
  <si>
    <t xml:space="preserve">        190.79亿</t>
  </si>
  <si>
    <t>汇通能源</t>
  </si>
  <si>
    <t>绿地控股</t>
  </si>
  <si>
    <t xml:space="preserve">        921.13亿</t>
  </si>
  <si>
    <t>ST沪科</t>
  </si>
  <si>
    <t xml:space="preserve">         14.96亿</t>
  </si>
  <si>
    <t>金杯汽车</t>
  </si>
  <si>
    <t xml:space="preserve">         40.87亿</t>
  </si>
  <si>
    <t>*ST毅达</t>
  </si>
  <si>
    <t>大众交通</t>
  </si>
  <si>
    <t>老凤祥</t>
  </si>
  <si>
    <t xml:space="preserve">        130.97亿</t>
  </si>
  <si>
    <t>神奇制药</t>
  </si>
  <si>
    <t xml:space="preserve">         39.64亿</t>
  </si>
  <si>
    <t>鹏起科技</t>
  </si>
  <si>
    <t xml:space="preserve">         98.70亿</t>
  </si>
  <si>
    <t>丰华股份</t>
  </si>
  <si>
    <t>金枫酒业</t>
  </si>
  <si>
    <t xml:space="preserve">         29.13亿</t>
  </si>
  <si>
    <t>国新能源</t>
  </si>
  <si>
    <t xml:space="preserve">         53.13亿</t>
  </si>
  <si>
    <t>氯碱化工</t>
  </si>
  <si>
    <t xml:space="preserve">         59.54亿</t>
  </si>
  <si>
    <t>海立股份</t>
  </si>
  <si>
    <t xml:space="preserve">         55.59亿</t>
  </si>
  <si>
    <t>天宸股份</t>
  </si>
  <si>
    <t xml:space="preserve">         46.90亿</t>
  </si>
  <si>
    <t>华鑫股份</t>
  </si>
  <si>
    <t xml:space="preserve">         68.46亿</t>
  </si>
  <si>
    <t>光大嘉宝</t>
  </si>
  <si>
    <t xml:space="preserve">        103.02亿</t>
  </si>
  <si>
    <t>华谊集团</t>
  </si>
  <si>
    <t xml:space="preserve">        171.69亿</t>
  </si>
  <si>
    <t>复旦复华</t>
  </si>
  <si>
    <t xml:space="preserve">         51.08亿</t>
  </si>
  <si>
    <t>申达股份</t>
  </si>
  <si>
    <t xml:space="preserve">         41.83亿</t>
  </si>
  <si>
    <t>新世界</t>
  </si>
  <si>
    <t xml:space="preserve">         38.93亿</t>
  </si>
  <si>
    <t>华建集团</t>
  </si>
  <si>
    <t xml:space="preserve">         52.91亿</t>
  </si>
  <si>
    <t>龙头股份</t>
  </si>
  <si>
    <t xml:space="preserve">         34.46亿</t>
  </si>
  <si>
    <t>浙数文化</t>
  </si>
  <si>
    <t xml:space="preserve">        146.19亿</t>
  </si>
  <si>
    <t>*ST富控</t>
  </si>
  <si>
    <t>大众公用</t>
  </si>
  <si>
    <t xml:space="preserve">        163.75亿</t>
  </si>
  <si>
    <t>三爱富</t>
  </si>
  <si>
    <t xml:space="preserve">         64.31亿</t>
  </si>
  <si>
    <t>东方明珠</t>
  </si>
  <si>
    <t xml:space="preserve">        428.52亿</t>
  </si>
  <si>
    <t>新黄浦</t>
  </si>
  <si>
    <t xml:space="preserve">         65.66亿</t>
  </si>
  <si>
    <t>浦东金桥</t>
  </si>
  <si>
    <t xml:space="preserve">        124.90亿</t>
  </si>
  <si>
    <t>号百控股</t>
  </si>
  <si>
    <t>万业企业</t>
  </si>
  <si>
    <t xml:space="preserve">         87.31亿</t>
  </si>
  <si>
    <t>申能股份</t>
  </si>
  <si>
    <t xml:space="preserve">        253.09亿</t>
  </si>
  <si>
    <t>爱建集团</t>
  </si>
  <si>
    <t xml:space="preserve">        182.41亿</t>
  </si>
  <si>
    <t>乐山电力</t>
  </si>
  <si>
    <t xml:space="preserve">         32.36亿</t>
  </si>
  <si>
    <t>中源协和</t>
  </si>
  <si>
    <t>同达创业</t>
  </si>
  <si>
    <t xml:space="preserve">         20.08亿</t>
  </si>
  <si>
    <t>外高桥</t>
  </si>
  <si>
    <t xml:space="preserve">        153.59亿</t>
  </si>
  <si>
    <t>城投控股</t>
  </si>
  <si>
    <t xml:space="preserve">        172.12亿</t>
  </si>
  <si>
    <t>锦江投资</t>
  </si>
  <si>
    <t xml:space="preserve">         45.07亿</t>
  </si>
  <si>
    <t>飞乐音响</t>
  </si>
  <si>
    <t xml:space="preserve">         47.19亿</t>
  </si>
  <si>
    <t>游久游戏</t>
  </si>
  <si>
    <t xml:space="preserve">         36.14亿</t>
  </si>
  <si>
    <t>申华控股</t>
  </si>
  <si>
    <t>ST中安</t>
  </si>
  <si>
    <t xml:space="preserve">         16.23亿</t>
  </si>
  <si>
    <t>豫园股份</t>
  </si>
  <si>
    <t xml:space="preserve">        125.91亿</t>
  </si>
  <si>
    <t>信达地产</t>
  </si>
  <si>
    <t xml:space="preserve">         76.52亿</t>
  </si>
  <si>
    <t>电子城</t>
  </si>
  <si>
    <t xml:space="preserve">         68.35亿</t>
  </si>
  <si>
    <t>福耀玻璃</t>
  </si>
  <si>
    <t xml:space="preserve">        498.54亿</t>
  </si>
  <si>
    <t>昂立教育</t>
  </si>
  <si>
    <t xml:space="preserve">         57.72亿</t>
  </si>
  <si>
    <t>强生控股</t>
  </si>
  <si>
    <t xml:space="preserve">         53.62亿</t>
  </si>
  <si>
    <t>陆家嘴</t>
  </si>
  <si>
    <t xml:space="preserve">        431.71亿</t>
  </si>
  <si>
    <t>哈药股份</t>
  </si>
  <si>
    <t xml:space="preserve">        110.81亿</t>
  </si>
  <si>
    <t>天地源</t>
  </si>
  <si>
    <t>奥瑞德</t>
  </si>
  <si>
    <t xml:space="preserve">         31.15亿</t>
  </si>
  <si>
    <t>太极实业</t>
  </si>
  <si>
    <t xml:space="preserve">         79.93亿</t>
  </si>
  <si>
    <t>尖峰集团</t>
  </si>
  <si>
    <t xml:space="preserve">         47.28亿</t>
  </si>
  <si>
    <t>天目药业</t>
  </si>
  <si>
    <t>东阳光科</t>
  </si>
  <si>
    <t xml:space="preserve">        218.84亿</t>
  </si>
  <si>
    <t>川投能源</t>
  </si>
  <si>
    <t xml:space="preserve">        407.20亿</t>
  </si>
  <si>
    <t>中华企业</t>
  </si>
  <si>
    <t xml:space="preserve">        117.44亿</t>
  </si>
  <si>
    <t>交运股份</t>
  </si>
  <si>
    <t xml:space="preserve">         49.55亿</t>
  </si>
  <si>
    <t>航天通信</t>
  </si>
  <si>
    <t xml:space="preserve">         65.05亿</t>
  </si>
  <si>
    <t>四川金顶</t>
  </si>
  <si>
    <t xml:space="preserve">         25.72亿</t>
  </si>
  <si>
    <t>上海凤凰</t>
  </si>
  <si>
    <t xml:space="preserve">         27.58亿</t>
  </si>
  <si>
    <t>百川能源</t>
  </si>
  <si>
    <t xml:space="preserve">         50.58亿</t>
  </si>
  <si>
    <t>南京新百</t>
  </si>
  <si>
    <t xml:space="preserve">        130.77亿</t>
  </si>
  <si>
    <t>京投发展</t>
  </si>
  <si>
    <t xml:space="preserve">         38.59亿</t>
  </si>
  <si>
    <t>珠江实业</t>
  </si>
  <si>
    <t>中船防务</t>
  </si>
  <si>
    <t xml:space="preserve">        140.55亿</t>
  </si>
  <si>
    <t>金龙汽车</t>
  </si>
  <si>
    <t xml:space="preserve">         53.58亿</t>
  </si>
  <si>
    <t>刚泰控股</t>
  </si>
  <si>
    <t xml:space="preserve">         73.54亿</t>
  </si>
  <si>
    <t>上海石化</t>
  </si>
  <si>
    <t xml:space="preserve">        407.48亿</t>
  </si>
  <si>
    <t>上海三毛</t>
  </si>
  <si>
    <t xml:space="preserve">         17.70亿</t>
  </si>
  <si>
    <t>青岛海尔</t>
  </si>
  <si>
    <t xml:space="preserve">       1068.87亿</t>
  </si>
  <si>
    <t>阳煤化工</t>
  </si>
  <si>
    <t>亚通股份</t>
  </si>
  <si>
    <t>东百集团</t>
  </si>
  <si>
    <t xml:space="preserve">         51.05亿</t>
  </si>
  <si>
    <t>大商股份</t>
  </si>
  <si>
    <t xml:space="preserve">         88.23亿</t>
  </si>
  <si>
    <t>绿庭投资</t>
  </si>
  <si>
    <t xml:space="preserve">         22.76亿</t>
  </si>
  <si>
    <t>ST岩石</t>
  </si>
  <si>
    <t>欧亚集团</t>
  </si>
  <si>
    <t xml:space="preserve">         32.58亿</t>
  </si>
  <si>
    <t>湖南天雁</t>
  </si>
  <si>
    <t xml:space="preserve">         30.81亿</t>
  </si>
  <si>
    <t>均胜电子</t>
  </si>
  <si>
    <t xml:space="preserve">        251.66亿</t>
  </si>
  <si>
    <t>*ST工新</t>
  </si>
  <si>
    <t>舍得酒业</t>
  </si>
  <si>
    <t xml:space="preserve">         93.72亿</t>
  </si>
  <si>
    <t>三安光电</t>
  </si>
  <si>
    <t xml:space="preserve">        613.80亿</t>
  </si>
  <si>
    <t>物产中大</t>
  </si>
  <si>
    <t xml:space="preserve">        244.19亿</t>
  </si>
  <si>
    <t>中航资本</t>
  </si>
  <si>
    <t xml:space="preserve">        542.17亿</t>
  </si>
  <si>
    <t>曲江文旅</t>
  </si>
  <si>
    <t xml:space="preserve">         21.05亿</t>
  </si>
  <si>
    <t>彩虹股份</t>
  </si>
  <si>
    <t xml:space="preserve">         89.38亿</t>
  </si>
  <si>
    <t>光明地产</t>
  </si>
  <si>
    <t xml:space="preserve">         95.91亿</t>
  </si>
  <si>
    <t>苏美达</t>
  </si>
  <si>
    <t xml:space="preserve">         31.50亿</t>
  </si>
  <si>
    <t>盛屯矿业</t>
  </si>
  <si>
    <t xml:space="preserve">         93.87亿</t>
  </si>
  <si>
    <t>南宁百货</t>
  </si>
  <si>
    <t xml:space="preserve">         23.67亿</t>
  </si>
  <si>
    <t>南京医药</t>
  </si>
  <si>
    <t xml:space="preserve">         44.15亿</t>
  </si>
  <si>
    <t>金瑞矿业</t>
  </si>
  <si>
    <t xml:space="preserve">         20.49亿</t>
  </si>
  <si>
    <t>文投控股</t>
  </si>
  <si>
    <t xml:space="preserve">         65.37亿</t>
  </si>
  <si>
    <t>凤凰股份</t>
  </si>
  <si>
    <t xml:space="preserve">         43.87亿</t>
  </si>
  <si>
    <t>天津港</t>
  </si>
  <si>
    <t xml:space="preserve">        142.69亿</t>
  </si>
  <si>
    <t>东软集团</t>
  </si>
  <si>
    <t xml:space="preserve">        166.85亿</t>
  </si>
  <si>
    <t>大连热电</t>
  </si>
  <si>
    <t>祁连山</t>
  </si>
  <si>
    <t xml:space="preserve">         63.65亿</t>
  </si>
  <si>
    <t>百花村</t>
  </si>
  <si>
    <t>金牛化工</t>
  </si>
  <si>
    <t xml:space="preserve">         37.55亿</t>
  </si>
  <si>
    <t>首商股份</t>
  </si>
  <si>
    <t xml:space="preserve">         46.72亿</t>
  </si>
  <si>
    <t>宁波富达</t>
  </si>
  <si>
    <t xml:space="preserve">         57.22亿</t>
  </si>
  <si>
    <t>ST云维</t>
  </si>
  <si>
    <t xml:space="preserve">         33.65亿</t>
  </si>
  <si>
    <t>华电能源</t>
  </si>
  <si>
    <t>鲁北化工</t>
  </si>
  <si>
    <t xml:space="preserve">         22.88亿</t>
  </si>
  <si>
    <t>佳都科技</t>
  </si>
  <si>
    <t xml:space="preserve">        192.66亿</t>
  </si>
  <si>
    <t>重庆百货</t>
  </si>
  <si>
    <t xml:space="preserve">        131.07亿</t>
  </si>
  <si>
    <t>中国高科</t>
  </si>
  <si>
    <t>湖南海利</t>
  </si>
  <si>
    <t>ST新梅</t>
  </si>
  <si>
    <t>北汽蓝谷</t>
  </si>
  <si>
    <t>实达集团</t>
  </si>
  <si>
    <t xml:space="preserve">         31.96亿</t>
  </si>
  <si>
    <t>新华锦</t>
  </si>
  <si>
    <t xml:space="preserve">         24.70亿</t>
  </si>
  <si>
    <t>苏州高新</t>
  </si>
  <si>
    <t xml:space="preserve">         76.91亿</t>
  </si>
  <si>
    <t>中粮糖业</t>
  </si>
  <si>
    <t xml:space="preserve">        183.44亿</t>
  </si>
  <si>
    <t>兰州民百</t>
  </si>
  <si>
    <t xml:space="preserve">         39.22亿</t>
  </si>
  <si>
    <t>辽宁成大</t>
  </si>
  <si>
    <t xml:space="preserve">        218.29亿</t>
  </si>
  <si>
    <t>山西焦化</t>
  </si>
  <si>
    <t xml:space="preserve">         63.32亿</t>
  </si>
  <si>
    <t>华域汽车</t>
  </si>
  <si>
    <t xml:space="preserve">        661.13亿</t>
  </si>
  <si>
    <t>一汽富维</t>
  </si>
  <si>
    <t xml:space="preserve">         61.02亿</t>
  </si>
  <si>
    <t>华远地产</t>
  </si>
  <si>
    <t xml:space="preserve">         70.85亿</t>
  </si>
  <si>
    <t>华银电力</t>
  </si>
  <si>
    <t xml:space="preserve">         29.30亿</t>
  </si>
  <si>
    <t>闻泰科技</t>
  </si>
  <si>
    <t xml:space="preserve">        193.09亿</t>
  </si>
  <si>
    <t>江苏索普</t>
  </si>
  <si>
    <t xml:space="preserve">         20.44亿</t>
  </si>
  <si>
    <t>ST大控</t>
  </si>
  <si>
    <t xml:space="preserve">         15.75亿</t>
  </si>
  <si>
    <t>上实发展</t>
  </si>
  <si>
    <t xml:space="preserve">        154.02亿</t>
  </si>
  <si>
    <t>*ST藏旅</t>
  </si>
  <si>
    <t>江中药业</t>
  </si>
  <si>
    <t xml:space="preserve">         75.85亿</t>
  </si>
  <si>
    <t>海航科技</t>
  </si>
  <si>
    <t xml:space="preserve">        104.47亿</t>
  </si>
  <si>
    <t>东方银星</t>
  </si>
  <si>
    <t xml:space="preserve">         23.60亿</t>
  </si>
  <si>
    <t>锦江股份</t>
  </si>
  <si>
    <t>厦门国贸</t>
  </si>
  <si>
    <t xml:space="preserve">        147.12亿</t>
  </si>
  <si>
    <t>浪潮软件</t>
  </si>
  <si>
    <t>长江传媒</t>
  </si>
  <si>
    <t xml:space="preserve">         88.34亿</t>
  </si>
  <si>
    <t>红阳能源</t>
  </si>
  <si>
    <t xml:space="preserve">         32.06亿</t>
  </si>
  <si>
    <t>洲际油气</t>
  </si>
  <si>
    <t xml:space="preserve">         72.71亿</t>
  </si>
  <si>
    <t>中航沈飞</t>
  </si>
  <si>
    <t xml:space="preserve">        134.90亿</t>
  </si>
  <si>
    <t>安徽合力</t>
  </si>
  <si>
    <t xml:space="preserve">         79.57亿</t>
  </si>
  <si>
    <t>通策医疗</t>
  </si>
  <si>
    <t xml:space="preserve">        188.86亿</t>
  </si>
  <si>
    <t>中国海防</t>
  </si>
  <si>
    <t xml:space="preserve">         94.98亿</t>
  </si>
  <si>
    <t>中航重机</t>
  </si>
  <si>
    <t xml:space="preserve">         79.59亿</t>
  </si>
  <si>
    <t>园城黄金</t>
  </si>
  <si>
    <t>ST运盛</t>
  </si>
  <si>
    <t xml:space="preserve">         18.89亿</t>
  </si>
  <si>
    <t>宁波富邦</t>
  </si>
  <si>
    <t>祥龙电业</t>
  </si>
  <si>
    <t xml:space="preserve">         18.11亿</t>
  </si>
  <si>
    <t>综艺股份</t>
  </si>
  <si>
    <t xml:space="preserve">         87.62亿</t>
  </si>
  <si>
    <t>广誉远</t>
  </si>
  <si>
    <t xml:space="preserve">         91.75亿</t>
  </si>
  <si>
    <t>西藏城投</t>
  </si>
  <si>
    <t>汉商集团</t>
  </si>
  <si>
    <t xml:space="preserve">         31.38亿</t>
  </si>
  <si>
    <t>南京熊猫</t>
  </si>
  <si>
    <t xml:space="preserve">         82.84亿</t>
  </si>
  <si>
    <t>东方通信</t>
  </si>
  <si>
    <t xml:space="preserve">        319.88亿</t>
  </si>
  <si>
    <t>新潮能源</t>
  </si>
  <si>
    <t xml:space="preserve">         83.34亿</t>
  </si>
  <si>
    <t>*ST友好</t>
  </si>
  <si>
    <t>水井坊</t>
  </si>
  <si>
    <t xml:space="preserve">        205.24亿</t>
  </si>
  <si>
    <t>通宝能源</t>
  </si>
  <si>
    <t xml:space="preserve">         43.91亿</t>
  </si>
  <si>
    <t>辅仁药业</t>
  </si>
  <si>
    <t xml:space="preserve">         53.26亿</t>
  </si>
  <si>
    <t>新钢股份</t>
  </si>
  <si>
    <t xml:space="preserve">        195.79亿</t>
  </si>
  <si>
    <t>鲁信创投</t>
  </si>
  <si>
    <t xml:space="preserve">        187.58亿</t>
  </si>
  <si>
    <t>鲁银投资</t>
  </si>
  <si>
    <t xml:space="preserve">         33.47亿</t>
  </si>
  <si>
    <t>新华百货</t>
  </si>
  <si>
    <t xml:space="preserve">         40.59亿</t>
  </si>
  <si>
    <t>中储股份</t>
  </si>
  <si>
    <t xml:space="preserve">        137.49亿</t>
  </si>
  <si>
    <t>鲁抗医药</t>
  </si>
  <si>
    <t>轻纺城</t>
  </si>
  <si>
    <t xml:space="preserve">         61.27亿</t>
  </si>
  <si>
    <t>京能置业</t>
  </si>
  <si>
    <t xml:space="preserve">         21.12亿</t>
  </si>
  <si>
    <t>云煤能源</t>
  </si>
  <si>
    <t xml:space="preserve">         38.31亿</t>
  </si>
  <si>
    <t>宜宾纸业</t>
  </si>
  <si>
    <t xml:space="preserve">         17.53亿</t>
  </si>
  <si>
    <t>保税科技</t>
  </si>
  <si>
    <t xml:space="preserve">         38.25亿</t>
  </si>
  <si>
    <t>国电电力</t>
  </si>
  <si>
    <t xml:space="preserve">        532.53亿</t>
  </si>
  <si>
    <t>钱江生化</t>
  </si>
  <si>
    <t>浙大网新</t>
  </si>
  <si>
    <t xml:space="preserve">         99.49亿</t>
  </si>
  <si>
    <t>宁波海运</t>
  </si>
  <si>
    <t xml:space="preserve">         39.79亿</t>
  </si>
  <si>
    <t>天津磁卡</t>
  </si>
  <si>
    <t xml:space="preserve">         39.28亿</t>
  </si>
  <si>
    <t>华新水泥</t>
  </si>
  <si>
    <t xml:space="preserve">        194.26亿</t>
  </si>
  <si>
    <t>福建水泥</t>
  </si>
  <si>
    <t xml:space="preserve">         32.57亿</t>
  </si>
  <si>
    <t>新奥股份</t>
  </si>
  <si>
    <t xml:space="preserve">        144.20亿</t>
  </si>
  <si>
    <t>鹏博士</t>
  </si>
  <si>
    <t xml:space="preserve">        156.56亿</t>
  </si>
  <si>
    <t>悦达投资</t>
  </si>
  <si>
    <t xml:space="preserve">         47.45亿</t>
  </si>
  <si>
    <t>*ST天业</t>
  </si>
  <si>
    <t xml:space="preserve">         35.81亿</t>
  </si>
  <si>
    <t>马钢股份</t>
  </si>
  <si>
    <t xml:space="preserve">        241.69亿</t>
  </si>
  <si>
    <t>山西汾酒</t>
  </si>
  <si>
    <t xml:space="preserve">        478.81亿</t>
  </si>
  <si>
    <t>神马股份</t>
  </si>
  <si>
    <t xml:space="preserve">         62.36亿</t>
  </si>
  <si>
    <t>东方集团</t>
  </si>
  <si>
    <t>华北制药</t>
  </si>
  <si>
    <t>杭州解百</t>
  </si>
  <si>
    <t xml:space="preserve">         42.54亿</t>
  </si>
  <si>
    <t>厦工股份</t>
  </si>
  <si>
    <t xml:space="preserve">         33.95亿</t>
  </si>
  <si>
    <t>安信信托</t>
  </si>
  <si>
    <t xml:space="preserve">        374.27亿</t>
  </si>
  <si>
    <t>ST宏盛</t>
  </si>
  <si>
    <t xml:space="preserve">         12.61亿</t>
  </si>
  <si>
    <t>中路股份</t>
  </si>
  <si>
    <t xml:space="preserve">         29.46亿</t>
  </si>
  <si>
    <t>耀皮玻璃</t>
  </si>
  <si>
    <t>隧道股份</t>
  </si>
  <si>
    <t xml:space="preserve">        231.72亿</t>
  </si>
  <si>
    <t>津劝业</t>
  </si>
  <si>
    <t>上海物贸</t>
  </si>
  <si>
    <t xml:space="preserve">         40.21亿</t>
  </si>
  <si>
    <t>世茂股份</t>
  </si>
  <si>
    <t xml:space="preserve">        169.93亿</t>
  </si>
  <si>
    <t>益民集团</t>
  </si>
  <si>
    <t xml:space="preserve">         43.00亿</t>
  </si>
  <si>
    <t>新华传媒</t>
  </si>
  <si>
    <t xml:space="preserve">         73.25亿</t>
  </si>
  <si>
    <t>兰生股份</t>
  </si>
  <si>
    <t>百联股份</t>
  </si>
  <si>
    <t xml:space="preserve">        153.66亿</t>
  </si>
  <si>
    <t>茂业商业</t>
  </si>
  <si>
    <t xml:space="preserve">         35.70亿</t>
  </si>
  <si>
    <t>人民同泰</t>
  </si>
  <si>
    <t xml:space="preserve">         39.66亿</t>
  </si>
  <si>
    <t>香溢融通</t>
  </si>
  <si>
    <t xml:space="preserve">         29.44亿</t>
  </si>
  <si>
    <t>广电网络</t>
  </si>
  <si>
    <t xml:space="preserve">         52.17亿</t>
  </si>
  <si>
    <t>第一医药</t>
  </si>
  <si>
    <t>申通地铁</t>
  </si>
  <si>
    <t>上海机电</t>
  </si>
  <si>
    <t xml:space="preserve">        148.32亿</t>
  </si>
  <si>
    <t>界龙实业</t>
  </si>
  <si>
    <t xml:space="preserve">         29.69亿</t>
  </si>
  <si>
    <t>海通证券</t>
  </si>
  <si>
    <t xml:space="preserve">       1054.40亿</t>
  </si>
  <si>
    <t>上海九百</t>
  </si>
  <si>
    <t xml:space="preserve">         29.26亿</t>
  </si>
  <si>
    <t>四川长虹</t>
  </si>
  <si>
    <t xml:space="preserve">        160.58亿</t>
  </si>
  <si>
    <t>上柴股份</t>
  </si>
  <si>
    <t xml:space="preserve">         44.62亿</t>
  </si>
  <si>
    <t>上工申贝</t>
  </si>
  <si>
    <t>丹化科技</t>
  </si>
  <si>
    <t xml:space="preserve">         33.57亿</t>
  </si>
  <si>
    <t>宝信软件</t>
  </si>
  <si>
    <t xml:space="preserve">        201.35亿</t>
  </si>
  <si>
    <t>同济科技</t>
  </si>
  <si>
    <t>万里股份</t>
  </si>
  <si>
    <t>上海临港</t>
  </si>
  <si>
    <t xml:space="preserve">        203.70亿</t>
  </si>
  <si>
    <t>华东电脑</t>
  </si>
  <si>
    <t xml:space="preserve">         87.43亿</t>
  </si>
  <si>
    <t>海欣股份</t>
  </si>
  <si>
    <t xml:space="preserve">         60.24亿</t>
  </si>
  <si>
    <t>龙建股份</t>
  </si>
  <si>
    <t xml:space="preserve">         22.55亿</t>
  </si>
  <si>
    <t>春兰股份</t>
  </si>
  <si>
    <t>航天长峰</t>
  </si>
  <si>
    <t xml:space="preserve">         47.05亿</t>
  </si>
  <si>
    <t>中天能源</t>
  </si>
  <si>
    <t xml:space="preserve">         59.24亿</t>
  </si>
  <si>
    <t>宁波中百</t>
  </si>
  <si>
    <t>银座股份</t>
  </si>
  <si>
    <t xml:space="preserve">         29.34亿</t>
  </si>
  <si>
    <t>王府井</t>
  </si>
  <si>
    <t xml:space="preserve">         65.74亿</t>
  </si>
  <si>
    <t>京城股份</t>
  </si>
  <si>
    <t>北京城乡</t>
  </si>
  <si>
    <t xml:space="preserve">         24.36亿</t>
  </si>
  <si>
    <t>中航高科</t>
  </si>
  <si>
    <t xml:space="preserve">        116.04亿</t>
  </si>
  <si>
    <t>内蒙华电</t>
  </si>
  <si>
    <t xml:space="preserve">        176.56亿</t>
  </si>
  <si>
    <t>哈投股份</t>
  </si>
  <si>
    <t xml:space="preserve">         95.17亿</t>
  </si>
  <si>
    <t>百大集团</t>
  </si>
  <si>
    <t xml:space="preserve">         26.26亿</t>
  </si>
  <si>
    <t>星湖科技</t>
  </si>
  <si>
    <t>通化东宝</t>
  </si>
  <si>
    <t xml:space="preserve">        291.69亿</t>
  </si>
  <si>
    <t>梅雁吉祥</t>
  </si>
  <si>
    <t xml:space="preserve">         73.65亿</t>
  </si>
  <si>
    <t>智慧能源</t>
  </si>
  <si>
    <t xml:space="preserve">        121.40亿</t>
  </si>
  <si>
    <t>*ST厦华</t>
  </si>
  <si>
    <t xml:space="preserve">         18.63亿</t>
  </si>
  <si>
    <t>*ST油服</t>
  </si>
  <si>
    <t xml:space="preserve">        248.08亿</t>
  </si>
  <si>
    <t>中炬高新</t>
  </si>
  <si>
    <t xml:space="preserve">        258.11亿</t>
  </si>
  <si>
    <t>梅花生物</t>
  </si>
  <si>
    <t xml:space="preserve">        164.14亿</t>
  </si>
  <si>
    <t>创业环保</t>
  </si>
  <si>
    <t xml:space="preserve">        105.35亿</t>
  </si>
  <si>
    <t>东方电气</t>
  </si>
  <si>
    <t xml:space="preserve">        204.08亿</t>
  </si>
  <si>
    <t>洛阳玻璃</t>
  </si>
  <si>
    <t xml:space="preserve">         34.74亿</t>
  </si>
  <si>
    <t>ST嘉陵</t>
  </si>
  <si>
    <t>航天电子</t>
  </si>
  <si>
    <t xml:space="preserve">        167.00亿</t>
  </si>
  <si>
    <t>博瑞传播</t>
  </si>
  <si>
    <t xml:space="preserve">         46.45亿</t>
  </si>
  <si>
    <t>亚泰集团</t>
  </si>
  <si>
    <t xml:space="preserve">        129.26亿</t>
  </si>
  <si>
    <t>广泽股份</t>
  </si>
  <si>
    <t xml:space="preserve">         32.86亿</t>
  </si>
  <si>
    <t>博闻科技</t>
  </si>
  <si>
    <t>杉杉股份</t>
  </si>
  <si>
    <t xml:space="preserve">        180.09亿</t>
  </si>
  <si>
    <t>宏发股份</t>
  </si>
  <si>
    <t xml:space="preserve">        198.03亿</t>
  </si>
  <si>
    <t>国投电力</t>
  </si>
  <si>
    <t xml:space="preserve">        562.56亿</t>
  </si>
  <si>
    <t>伊利股份</t>
  </si>
  <si>
    <t xml:space="preserve">       1675.44亿</t>
  </si>
  <si>
    <t>新疆众和</t>
  </si>
  <si>
    <t>南京化纤</t>
  </si>
  <si>
    <t xml:space="preserve">         18.82亿</t>
  </si>
  <si>
    <t>中房股份</t>
  </si>
  <si>
    <t xml:space="preserve">         47.26亿</t>
  </si>
  <si>
    <t>秋林集团</t>
  </si>
  <si>
    <t xml:space="preserve">         21.86亿</t>
  </si>
  <si>
    <t>大晟文化</t>
  </si>
  <si>
    <t xml:space="preserve">         35.07亿</t>
  </si>
  <si>
    <t>航发动力</t>
  </si>
  <si>
    <t xml:space="preserve">        506.99亿</t>
  </si>
  <si>
    <t>广日股份</t>
  </si>
  <si>
    <t xml:space="preserve">         62.86亿</t>
  </si>
  <si>
    <t>张江高科</t>
  </si>
  <si>
    <t xml:space="preserve">        326.31亿</t>
  </si>
  <si>
    <t>*ST海投</t>
  </si>
  <si>
    <t>厦门空港</t>
  </si>
  <si>
    <t xml:space="preserve">         69.96亿</t>
  </si>
  <si>
    <t>国美通讯</t>
  </si>
  <si>
    <t xml:space="preserve">         23.56亿</t>
  </si>
  <si>
    <t>长江电力</t>
  </si>
  <si>
    <t xml:space="preserve">       1875.47亿</t>
  </si>
  <si>
    <t>江苏租赁</t>
  </si>
  <si>
    <t xml:space="preserve">        137.44亿</t>
  </si>
  <si>
    <t>贵州燃气</t>
  </si>
  <si>
    <t xml:space="preserve">         99.68亿</t>
  </si>
  <si>
    <t>无锡银行</t>
  </si>
  <si>
    <t xml:space="preserve">         55.42亿</t>
  </si>
  <si>
    <t>华安证券</t>
  </si>
  <si>
    <t xml:space="preserve">        181.03亿</t>
  </si>
  <si>
    <t>重庆燃气</t>
  </si>
  <si>
    <t xml:space="preserve">        116.70亿</t>
  </si>
  <si>
    <t>江苏银行</t>
  </si>
  <si>
    <t xml:space="preserve">        448.21亿</t>
  </si>
  <si>
    <t>杭州银行</t>
  </si>
  <si>
    <t xml:space="preserve">        185.89亿</t>
  </si>
  <si>
    <t>西安银行</t>
  </si>
  <si>
    <t xml:space="preserve">         36.22亿</t>
  </si>
  <si>
    <t>湖南盐业</t>
  </si>
  <si>
    <t>爱柯迪</t>
  </si>
  <si>
    <t xml:space="preserve">         24.54亿</t>
  </si>
  <si>
    <t>广西广电</t>
  </si>
  <si>
    <t>重庆建工</t>
  </si>
  <si>
    <t>东方证券</t>
  </si>
  <si>
    <t xml:space="preserve">        715.35亿</t>
  </si>
  <si>
    <t>江苏有线</t>
  </si>
  <si>
    <t xml:space="preserve">        207.43亿</t>
  </si>
  <si>
    <t>渤海汽车</t>
  </si>
  <si>
    <t xml:space="preserve">         28.43亿</t>
  </si>
  <si>
    <t>株冶集团</t>
  </si>
  <si>
    <t xml:space="preserve">         47.31亿</t>
  </si>
  <si>
    <t>国投中鲁</t>
  </si>
  <si>
    <t xml:space="preserve">         27.33亿</t>
  </si>
  <si>
    <t>岳阳林纸</t>
  </si>
  <si>
    <t xml:space="preserve">         48.09亿</t>
  </si>
  <si>
    <t>福成股份</t>
  </si>
  <si>
    <t xml:space="preserve">         89.98亿</t>
  </si>
  <si>
    <t>博汇纸业</t>
  </si>
  <si>
    <t xml:space="preserve">         47.46亿</t>
  </si>
  <si>
    <t>内蒙一机</t>
  </si>
  <si>
    <t xml:space="preserve">        117.66亿</t>
  </si>
  <si>
    <t>郴电国际</t>
  </si>
  <si>
    <t xml:space="preserve">         25.98亿</t>
  </si>
  <si>
    <t>中材国际</t>
  </si>
  <si>
    <t xml:space="preserve">        120.90亿</t>
  </si>
  <si>
    <t>恒源煤电</t>
  </si>
  <si>
    <t xml:space="preserve">         69.70亿</t>
  </si>
  <si>
    <t>宝胜股份</t>
  </si>
  <si>
    <t xml:space="preserve">         55.12亿</t>
  </si>
  <si>
    <t>新五丰</t>
  </si>
  <si>
    <t xml:space="preserve">         50.39亿</t>
  </si>
  <si>
    <t>健民集团</t>
  </si>
  <si>
    <t xml:space="preserve">         26.05亿</t>
  </si>
  <si>
    <t>中国电影</t>
  </si>
  <si>
    <t xml:space="preserve">         90.57亿</t>
  </si>
  <si>
    <t>宜华生活</t>
  </si>
  <si>
    <t xml:space="preserve">         70.88亿</t>
  </si>
  <si>
    <t>广安爱众</t>
  </si>
  <si>
    <t xml:space="preserve">         35.75亿</t>
  </si>
  <si>
    <t>北矿科技</t>
  </si>
  <si>
    <t xml:space="preserve">         18.16亿</t>
  </si>
  <si>
    <t>汇鸿集团</t>
  </si>
  <si>
    <t>宁波热电</t>
  </si>
  <si>
    <t>惠而浦</t>
  </si>
  <si>
    <t xml:space="preserve">         34.53亿</t>
  </si>
  <si>
    <t>建设机械</t>
  </si>
  <si>
    <t xml:space="preserve">         51.57亿</t>
  </si>
  <si>
    <t>淮北矿业</t>
  </si>
  <si>
    <t>科达股份</t>
  </si>
  <si>
    <t xml:space="preserve">         74.28亿</t>
  </si>
  <si>
    <t>航民股份</t>
  </si>
  <si>
    <t xml:space="preserve">         58.58亿</t>
  </si>
  <si>
    <t>赤峰黄金</t>
  </si>
  <si>
    <t>四创电子</t>
  </si>
  <si>
    <t xml:space="preserve">         61.11亿</t>
  </si>
  <si>
    <t>贵绳股份</t>
  </si>
  <si>
    <t xml:space="preserve">         21.94亿</t>
  </si>
  <si>
    <t>马应龙</t>
  </si>
  <si>
    <t xml:space="preserve">         66.77亿</t>
  </si>
  <si>
    <t>文山电力</t>
  </si>
  <si>
    <t>贵广网络</t>
  </si>
  <si>
    <t xml:space="preserve">         26.10亿</t>
  </si>
  <si>
    <t>开滦股份</t>
  </si>
  <si>
    <t xml:space="preserve">         84.33亿</t>
  </si>
  <si>
    <t>九州通</t>
  </si>
  <si>
    <t xml:space="preserve">        259.46亿</t>
  </si>
  <si>
    <t>招商证券</t>
  </si>
  <si>
    <t xml:space="preserve">        883.16亿</t>
  </si>
  <si>
    <t>唐山港</t>
  </si>
  <si>
    <t xml:space="preserve">        164.99亿</t>
  </si>
  <si>
    <t>大同煤业</t>
  </si>
  <si>
    <t xml:space="preserve">         81.68亿</t>
  </si>
  <si>
    <t>晋亿实业</t>
  </si>
  <si>
    <t xml:space="preserve">         58.02亿</t>
  </si>
  <si>
    <t>柳钢股份</t>
  </si>
  <si>
    <t xml:space="preserve">        207.84亿</t>
  </si>
  <si>
    <t>重庆钢铁</t>
  </si>
  <si>
    <t xml:space="preserve">        187.72亿</t>
  </si>
  <si>
    <t>大秦铁路</t>
  </si>
  <si>
    <t xml:space="preserve">       1312.74亿</t>
  </si>
  <si>
    <t>金陵饭店</t>
  </si>
  <si>
    <t xml:space="preserve">         28.98亿</t>
  </si>
  <si>
    <t>连云港</t>
  </si>
  <si>
    <t>南京银行</t>
  </si>
  <si>
    <t xml:space="preserve">        655.67亿</t>
  </si>
  <si>
    <t>文峰股份</t>
  </si>
  <si>
    <t xml:space="preserve">         62.09亿</t>
  </si>
  <si>
    <t>宝泰隆</t>
  </si>
  <si>
    <t>隆基股份</t>
  </si>
  <si>
    <t xml:space="preserve">        766.92亿</t>
  </si>
  <si>
    <t>陕西黑猫</t>
  </si>
  <si>
    <t xml:space="preserve">         69.01亿</t>
  </si>
  <si>
    <t>节能风电</t>
  </si>
  <si>
    <t xml:space="preserve">        125.08亿</t>
  </si>
  <si>
    <t>宁波港</t>
  </si>
  <si>
    <t xml:space="preserve">        506.88亿</t>
  </si>
  <si>
    <t>山东出版</t>
  </si>
  <si>
    <t xml:space="preserve">         37.91亿</t>
  </si>
  <si>
    <t>华钰矿业</t>
  </si>
  <si>
    <t>春秋航空</t>
  </si>
  <si>
    <t xml:space="preserve">        327.73亿</t>
  </si>
  <si>
    <t>玉龙股份</t>
  </si>
  <si>
    <t xml:space="preserve">         43.85亿</t>
  </si>
  <si>
    <t>一拖股份</t>
  </si>
  <si>
    <t>赛轮轮胎</t>
  </si>
  <si>
    <t xml:space="preserve">         60.02亿</t>
  </si>
  <si>
    <t>中信建投</t>
  </si>
  <si>
    <t>中铝国际</t>
  </si>
  <si>
    <t>西部黄金</t>
  </si>
  <si>
    <t xml:space="preserve">         96.10亿</t>
  </si>
  <si>
    <t>国芳集团</t>
  </si>
  <si>
    <t>中国神华</t>
  </si>
  <si>
    <t xml:space="preserve">       3479.61亿</t>
  </si>
  <si>
    <t>中南传媒</t>
  </si>
  <si>
    <t xml:space="preserve">        244.26亿</t>
  </si>
  <si>
    <t>太平洋</t>
  </si>
  <si>
    <t xml:space="preserve">        287.01亿</t>
  </si>
  <si>
    <t>恒立液压</t>
  </si>
  <si>
    <t xml:space="preserve">        267.16亿</t>
  </si>
  <si>
    <t>昊华能源</t>
  </si>
  <si>
    <t xml:space="preserve">         81.84亿</t>
  </si>
  <si>
    <t>中国一重</t>
  </si>
  <si>
    <t xml:space="preserve">        269.37亿</t>
  </si>
  <si>
    <t>四川成渝</t>
  </si>
  <si>
    <t xml:space="preserve">         84.13亿</t>
  </si>
  <si>
    <t>财通证券</t>
  </si>
  <si>
    <t xml:space="preserve">        270.99亿</t>
  </si>
  <si>
    <t>中国国航</t>
  </si>
  <si>
    <t xml:space="preserve">        934.47亿</t>
  </si>
  <si>
    <t>华鼎股份</t>
  </si>
  <si>
    <t xml:space="preserve">         65.81亿</t>
  </si>
  <si>
    <t>三江购物</t>
  </si>
  <si>
    <t xml:space="preserve">         54.75亿</t>
  </si>
  <si>
    <t>中国化学</t>
  </si>
  <si>
    <t xml:space="preserve">        312.75亿</t>
  </si>
  <si>
    <t>海南橡胶</t>
  </si>
  <si>
    <t xml:space="preserve">        231.52亿</t>
  </si>
  <si>
    <t>四方股份</t>
  </si>
  <si>
    <t xml:space="preserve">         51.88亿</t>
  </si>
  <si>
    <t>小康股份</t>
  </si>
  <si>
    <t xml:space="preserve">         36.64亿</t>
  </si>
  <si>
    <t>常熟银行</t>
  </si>
  <si>
    <t xml:space="preserve">         83.60亿</t>
  </si>
  <si>
    <t>博威合金</t>
  </si>
  <si>
    <t xml:space="preserve">         46.81亿</t>
  </si>
  <si>
    <t>工业富联</t>
  </si>
  <si>
    <t xml:space="preserve">        172.71亿</t>
  </si>
  <si>
    <t>深圳燃气</t>
  </si>
  <si>
    <t xml:space="preserve">        174.71亿</t>
  </si>
  <si>
    <t>新城控股</t>
  </si>
  <si>
    <t xml:space="preserve">        817.54亿</t>
  </si>
  <si>
    <t>重庆水务</t>
  </si>
  <si>
    <t xml:space="preserve">        296.16亿</t>
  </si>
  <si>
    <t>天风证券</t>
  </si>
  <si>
    <t>三角轮胎</t>
  </si>
  <si>
    <t xml:space="preserve">         35.92亿</t>
  </si>
  <si>
    <t>兴业银行</t>
  </si>
  <si>
    <t xml:space="preserve">       3635.19亿</t>
  </si>
  <si>
    <t>西部矿业</t>
  </si>
  <si>
    <t xml:space="preserve">        156.80亿</t>
  </si>
  <si>
    <t>北京银行</t>
  </si>
  <si>
    <t xml:space="preserve">       1209.84亿</t>
  </si>
  <si>
    <t>杭齿前进</t>
  </si>
  <si>
    <t xml:space="preserve">         55.97亿</t>
  </si>
  <si>
    <t>中国西电</t>
  </si>
  <si>
    <t xml:space="preserve">        220.93亿</t>
  </si>
  <si>
    <t>中国铁建</t>
  </si>
  <si>
    <t xml:space="preserve">       1356.23亿</t>
  </si>
  <si>
    <t>龙江交通</t>
  </si>
  <si>
    <t>东兴证券</t>
  </si>
  <si>
    <t xml:space="preserve">        373.43亿</t>
  </si>
  <si>
    <t>江南水务</t>
  </si>
  <si>
    <t>上海环境</t>
  </si>
  <si>
    <t xml:space="preserve">        102.26亿</t>
  </si>
  <si>
    <t>东材科技</t>
  </si>
  <si>
    <t xml:space="preserve">         36.47亿</t>
  </si>
  <si>
    <t>国泰君安</t>
  </si>
  <si>
    <t xml:space="preserve">       1509.99亿</t>
  </si>
  <si>
    <t>白银有色</t>
  </si>
  <si>
    <t xml:space="preserve">         85.66亿</t>
  </si>
  <si>
    <t>君正集团</t>
  </si>
  <si>
    <t xml:space="preserve">        343.43亿</t>
  </si>
  <si>
    <t>吉鑫科技</t>
  </si>
  <si>
    <t xml:space="preserve">         30.55亿</t>
  </si>
  <si>
    <t>林洋能源</t>
  </si>
  <si>
    <t xml:space="preserve">        102.13亿</t>
  </si>
  <si>
    <t>陕西煤业</t>
  </si>
  <si>
    <t xml:space="preserve">        915.00亿</t>
  </si>
  <si>
    <t>华电重工</t>
  </si>
  <si>
    <t xml:space="preserve">         54.28亿</t>
  </si>
  <si>
    <t>广州港</t>
  </si>
  <si>
    <t xml:space="preserve">         70.57亿</t>
  </si>
  <si>
    <t>上海银行</t>
  </si>
  <si>
    <t xml:space="preserve">        653.60亿</t>
  </si>
  <si>
    <t>环旭电子</t>
  </si>
  <si>
    <t xml:space="preserve">        285.70亿</t>
  </si>
  <si>
    <t>桐昆股份</t>
  </si>
  <si>
    <t xml:space="preserve">        232.86亿</t>
  </si>
  <si>
    <t>广汽集团</t>
  </si>
  <si>
    <t xml:space="preserve">        746.06亿</t>
  </si>
  <si>
    <t>庞大集团</t>
  </si>
  <si>
    <t xml:space="preserve">        122.27亿</t>
  </si>
  <si>
    <t>农业银行</t>
  </si>
  <si>
    <t xml:space="preserve">      11291.72亿</t>
  </si>
  <si>
    <t>青岛港</t>
  </si>
  <si>
    <t xml:space="preserve">         36.80亿</t>
  </si>
  <si>
    <t>骆驼股份</t>
  </si>
  <si>
    <t xml:space="preserve">         93.49亿</t>
  </si>
  <si>
    <t>中国平安</t>
  </si>
  <si>
    <t xml:space="preserve">       7807.10亿</t>
  </si>
  <si>
    <t>中国人保</t>
  </si>
  <si>
    <t xml:space="preserve">        107.19亿</t>
  </si>
  <si>
    <t>秦港股份</t>
  </si>
  <si>
    <t xml:space="preserve">         60.18亿</t>
  </si>
  <si>
    <t>交通银行</t>
  </si>
  <si>
    <t xml:space="preserve">       2641.58亿</t>
  </si>
  <si>
    <t>绿色动力</t>
  </si>
  <si>
    <t xml:space="preserve">         16.22亿</t>
  </si>
  <si>
    <t>广深铁路</t>
  </si>
  <si>
    <t xml:space="preserve">        218.18亿</t>
  </si>
  <si>
    <t>新华保险</t>
  </si>
  <si>
    <t xml:space="preserve">       1126.14亿</t>
  </si>
  <si>
    <t>百隆东方</t>
  </si>
  <si>
    <t xml:space="preserve">         79.20亿</t>
  </si>
  <si>
    <t>三六零</t>
  </si>
  <si>
    <t xml:space="preserve">        107.04亿</t>
  </si>
  <si>
    <t>利群股份</t>
  </si>
  <si>
    <t>绿城水务</t>
  </si>
  <si>
    <t xml:space="preserve">         48.34亿</t>
  </si>
  <si>
    <t>陕鼓动力</t>
  </si>
  <si>
    <t xml:space="preserve">        112.26亿</t>
  </si>
  <si>
    <t>中原证券</t>
  </si>
  <si>
    <t xml:space="preserve">        106.90亿</t>
  </si>
  <si>
    <t>兴业证券</t>
  </si>
  <si>
    <t xml:space="preserve">        471.45亿</t>
  </si>
  <si>
    <t>怡球资源</t>
  </si>
  <si>
    <t xml:space="preserve">         59.95亿</t>
  </si>
  <si>
    <t>中国中铁</t>
  </si>
  <si>
    <t xml:space="preserve">       1410.74亿</t>
  </si>
  <si>
    <t>工商银行</t>
  </si>
  <si>
    <t xml:space="preserve">      15691.43亿</t>
  </si>
  <si>
    <t>通用股份</t>
  </si>
  <si>
    <t xml:space="preserve">         13.05亿</t>
  </si>
  <si>
    <t>东风股份</t>
  </si>
  <si>
    <t xml:space="preserve">        104.42亿</t>
  </si>
  <si>
    <t>吉林高速</t>
  </si>
  <si>
    <t xml:space="preserve">         38.09亿</t>
  </si>
  <si>
    <t>大智慧</t>
  </si>
  <si>
    <t xml:space="preserve">        193.80亿</t>
  </si>
  <si>
    <t>东吴证券</t>
  </si>
  <si>
    <t xml:space="preserve">        272.33亿</t>
  </si>
  <si>
    <t>ST锐电</t>
  </si>
  <si>
    <t xml:space="preserve">         78.19亿</t>
  </si>
  <si>
    <t>九牧王</t>
  </si>
  <si>
    <t xml:space="preserve">         79.24亿</t>
  </si>
  <si>
    <t>三星医疗</t>
  </si>
  <si>
    <t xml:space="preserve">         93.59亿</t>
  </si>
  <si>
    <t>长沙银行</t>
  </si>
  <si>
    <t>会稽山</t>
  </si>
  <si>
    <t xml:space="preserve">         39.44亿</t>
  </si>
  <si>
    <t>北辰实业</t>
  </si>
  <si>
    <t xml:space="preserve">         92.04亿</t>
  </si>
  <si>
    <t>上海电影</t>
  </si>
  <si>
    <t xml:space="preserve">         15.10亿</t>
  </si>
  <si>
    <t>中国外运</t>
  </si>
  <si>
    <t>鹿港文化</t>
  </si>
  <si>
    <t>中国铝业</t>
  </si>
  <si>
    <t xml:space="preserve">        481.14亿</t>
  </si>
  <si>
    <t>中国太保</t>
  </si>
  <si>
    <t xml:space="preserve">       2176.46亿</t>
  </si>
  <si>
    <t>长城军工</t>
  </si>
  <si>
    <t xml:space="preserve">         26.70亿</t>
  </si>
  <si>
    <t>上海医药</t>
  </si>
  <si>
    <t xml:space="preserve">        364.01亿</t>
  </si>
  <si>
    <t>中信重工</t>
  </si>
  <si>
    <t xml:space="preserve">        226.08亿</t>
  </si>
  <si>
    <t>中国核建</t>
  </si>
  <si>
    <t xml:space="preserve">         79.83亿</t>
  </si>
  <si>
    <t>明阳智能</t>
  </si>
  <si>
    <t xml:space="preserve">         34.27亿</t>
  </si>
  <si>
    <t>广电电气</t>
  </si>
  <si>
    <t>中国中冶</t>
  </si>
  <si>
    <t xml:space="preserve">        665.90亿</t>
  </si>
  <si>
    <t>嘉泽新能</t>
  </si>
  <si>
    <t xml:space="preserve">         28.56亿</t>
  </si>
  <si>
    <t>中国人寿</t>
  </si>
  <si>
    <t xml:space="preserve">       6394.91亿</t>
  </si>
  <si>
    <t>长城汽车</t>
  </si>
  <si>
    <t xml:space="preserve">        489.45亿</t>
  </si>
  <si>
    <t>旗滨集团</t>
  </si>
  <si>
    <t xml:space="preserve">        117.93亿</t>
  </si>
  <si>
    <t>平煤股份</t>
  </si>
  <si>
    <t xml:space="preserve">        100.11亿</t>
  </si>
  <si>
    <t>中国建筑</t>
  </si>
  <si>
    <t xml:space="preserve">       2616.57亿</t>
  </si>
  <si>
    <t>中国电建</t>
  </si>
  <si>
    <t xml:space="preserve">        654.18亿</t>
  </si>
  <si>
    <t>明泰铝业</t>
  </si>
  <si>
    <t xml:space="preserve">         61.94亿</t>
  </si>
  <si>
    <t>滨化股份</t>
  </si>
  <si>
    <t xml:space="preserve">         81.54亿</t>
  </si>
  <si>
    <t>华泰证券</t>
  </si>
  <si>
    <t xml:space="preserve">       1278.73亿</t>
  </si>
  <si>
    <t>拓普集团</t>
  </si>
  <si>
    <t xml:space="preserve">         52.43亿</t>
  </si>
  <si>
    <t>潞安环能</t>
  </si>
  <si>
    <t xml:space="preserve">        249.18亿</t>
  </si>
  <si>
    <t>风范股份</t>
  </si>
  <si>
    <t xml:space="preserve">        114.91亿</t>
  </si>
  <si>
    <t>郑煤机</t>
  </si>
  <si>
    <t xml:space="preserve">         92.55亿</t>
  </si>
  <si>
    <t>际华集团</t>
  </si>
  <si>
    <t xml:space="preserve">        189.28亿</t>
  </si>
  <si>
    <t>上海电气</t>
  </si>
  <si>
    <t xml:space="preserve">        589.42亿</t>
  </si>
  <si>
    <t>中国中车</t>
  </si>
  <si>
    <t xml:space="preserve">       2227.60亿</t>
  </si>
  <si>
    <t>力帆股份</t>
  </si>
  <si>
    <t xml:space="preserve">         59.67亿</t>
  </si>
  <si>
    <t>光大证券</t>
  </si>
  <si>
    <t xml:space="preserve">        530.53亿</t>
  </si>
  <si>
    <t>宁波建工</t>
  </si>
  <si>
    <t xml:space="preserve">         39.92亿</t>
  </si>
  <si>
    <t>*ST蓝科</t>
  </si>
  <si>
    <t>星宇股份</t>
  </si>
  <si>
    <t xml:space="preserve">        158.65亿</t>
  </si>
  <si>
    <t>中国交建</t>
  </si>
  <si>
    <t xml:space="preserve">       1497.77亿</t>
  </si>
  <si>
    <t>皖新传媒</t>
  </si>
  <si>
    <t xml:space="preserve">        158.94亿</t>
  </si>
  <si>
    <t>中海油服</t>
  </si>
  <si>
    <t xml:space="preserve">        293.09亿</t>
  </si>
  <si>
    <t>新华文轩</t>
  </si>
  <si>
    <t>光大银行</t>
  </si>
  <si>
    <t xml:space="preserve">       1779.53亿</t>
  </si>
  <si>
    <t>美凯龙</t>
  </si>
  <si>
    <t xml:space="preserve">         50.54亿</t>
  </si>
  <si>
    <t>成都银行</t>
  </si>
  <si>
    <t xml:space="preserve">        173.58亿</t>
  </si>
  <si>
    <t>中国石油</t>
  </si>
  <si>
    <t xml:space="preserve">      12743.27亿</t>
  </si>
  <si>
    <t>中国科传</t>
  </si>
  <si>
    <t xml:space="preserve">         20.35亿</t>
  </si>
  <si>
    <t>紫金银行</t>
  </si>
  <si>
    <t xml:space="preserve">         35.69亿</t>
  </si>
  <si>
    <t>福莱特</t>
  </si>
  <si>
    <t>中远海发</t>
  </si>
  <si>
    <t xml:space="preserve">        241.93亿</t>
  </si>
  <si>
    <t>长飞光纤</t>
  </si>
  <si>
    <t>招商轮船</t>
  </si>
  <si>
    <t xml:space="preserve">        222.83亿</t>
  </si>
  <si>
    <t>正泰电器</t>
  </si>
  <si>
    <t xml:space="preserve">        449.58亿</t>
  </si>
  <si>
    <t>浙商证券</t>
  </si>
  <si>
    <t xml:space="preserve">        128.10亿</t>
  </si>
  <si>
    <t>大连港</t>
  </si>
  <si>
    <t xml:space="preserve">        177.15亿</t>
  </si>
  <si>
    <t>中国银河</t>
  </si>
  <si>
    <t xml:space="preserve">        143.86亿</t>
  </si>
  <si>
    <t>海天精工</t>
  </si>
  <si>
    <t xml:space="preserve">         11.22亿</t>
  </si>
  <si>
    <t>江河集团</t>
  </si>
  <si>
    <t xml:space="preserve">         78.79亿</t>
  </si>
  <si>
    <t>中国国旅</t>
  </si>
  <si>
    <t xml:space="preserve">       1218.34亿</t>
  </si>
  <si>
    <t>亚星锚链</t>
  </si>
  <si>
    <t xml:space="preserve">         61.59亿</t>
  </si>
  <si>
    <t>中煤能源</t>
  </si>
  <si>
    <t xml:space="preserve">        480.48亿</t>
  </si>
  <si>
    <t>紫金矿业</t>
  </si>
  <si>
    <t xml:space="preserve">        609.21亿</t>
  </si>
  <si>
    <t>南方传媒</t>
  </si>
  <si>
    <t xml:space="preserve">         84.68亿</t>
  </si>
  <si>
    <t>方正证券</t>
  </si>
  <si>
    <t xml:space="preserve">        639.63亿</t>
  </si>
  <si>
    <t>京运通</t>
  </si>
  <si>
    <t xml:space="preserve">         84.50亿</t>
  </si>
  <si>
    <t>新集能源</t>
  </si>
  <si>
    <t xml:space="preserve">         89.63亿</t>
  </si>
  <si>
    <t>中远海控</t>
  </si>
  <si>
    <t xml:space="preserve">        384.84亿</t>
  </si>
  <si>
    <t>凤凰传媒</t>
  </si>
  <si>
    <t xml:space="preserve">        216.32亿</t>
  </si>
  <si>
    <t>吉视传媒</t>
  </si>
  <si>
    <t xml:space="preserve">         90.84亿</t>
  </si>
  <si>
    <t>永辉超市</t>
  </si>
  <si>
    <t xml:space="preserve">        706.79亿</t>
  </si>
  <si>
    <t>建设银行</t>
  </si>
  <si>
    <t xml:space="preserve">        700.34亿</t>
  </si>
  <si>
    <t>中国出版</t>
  </si>
  <si>
    <t xml:space="preserve">         22.38亿</t>
  </si>
  <si>
    <t>苏垦农发</t>
  </si>
  <si>
    <t>金钼股份</t>
  </si>
  <si>
    <t xml:space="preserve">        227.15亿</t>
  </si>
  <si>
    <t>中国汽研</t>
  </si>
  <si>
    <t xml:space="preserve">         76.41亿</t>
  </si>
  <si>
    <t>玲珑轮胎</t>
  </si>
  <si>
    <t xml:space="preserve">         65.08亿</t>
  </si>
  <si>
    <t>宝钢包装</t>
  </si>
  <si>
    <t xml:space="preserve">         42.42亿</t>
  </si>
  <si>
    <t>海南矿业</t>
  </si>
  <si>
    <t xml:space="preserve">        104.77亿</t>
  </si>
  <si>
    <t>ST长油</t>
  </si>
  <si>
    <t xml:space="preserve">         45.38亿</t>
  </si>
  <si>
    <t>中国核电</t>
  </si>
  <si>
    <t xml:space="preserve">        960.39亿</t>
  </si>
  <si>
    <t>中国银行</t>
  </si>
  <si>
    <t xml:space="preserve">       8219.86亿</t>
  </si>
  <si>
    <t>中国重工</t>
  </si>
  <si>
    <t xml:space="preserve">       1020.91亿</t>
  </si>
  <si>
    <t>南京证券</t>
  </si>
  <si>
    <t xml:space="preserve">         37.62亿</t>
  </si>
  <si>
    <t>大唐发电</t>
  </si>
  <si>
    <t xml:space="preserve">        344.81亿</t>
  </si>
  <si>
    <t>金隅集团</t>
  </si>
  <si>
    <t xml:space="preserve">        347.53亿</t>
  </si>
  <si>
    <t>丰林集团</t>
  </si>
  <si>
    <t>贵阳银行</t>
  </si>
  <si>
    <t xml:space="preserve">        168.87亿</t>
  </si>
  <si>
    <t>中信银行</t>
  </si>
  <si>
    <t xml:space="preserve">       2185.50亿</t>
  </si>
  <si>
    <t>出版传媒</t>
  </si>
  <si>
    <t xml:space="preserve">         37.08亿</t>
  </si>
  <si>
    <t>人民网</t>
  </si>
  <si>
    <t xml:space="preserve">        256.96亿</t>
  </si>
  <si>
    <t>奥康国际</t>
  </si>
  <si>
    <t xml:space="preserve">         45.43亿</t>
  </si>
  <si>
    <t>宏昌电子</t>
  </si>
  <si>
    <t xml:space="preserve">         26.36亿</t>
  </si>
  <si>
    <t>龙宇燃油</t>
  </si>
  <si>
    <t xml:space="preserve">         35.82亿</t>
  </si>
  <si>
    <t>晶方科技</t>
  </si>
  <si>
    <t>联明股份</t>
  </si>
  <si>
    <t>花王股份</t>
  </si>
  <si>
    <t>喜临门</t>
  </si>
  <si>
    <t>北特科技</t>
  </si>
  <si>
    <t>万盛股份</t>
  </si>
  <si>
    <t xml:space="preserve">         35.26亿</t>
  </si>
  <si>
    <t>合锻智能</t>
  </si>
  <si>
    <t>创力集团</t>
  </si>
  <si>
    <t xml:space="preserve">         54.30亿</t>
  </si>
  <si>
    <t>亚普股份</t>
  </si>
  <si>
    <t xml:space="preserve">         11.15亿</t>
  </si>
  <si>
    <t>弘讯科技</t>
  </si>
  <si>
    <t>新宏泰</t>
  </si>
  <si>
    <t xml:space="preserve">         14.32亿</t>
  </si>
  <si>
    <t>中衡设计</t>
  </si>
  <si>
    <t xml:space="preserve">         41.35亿</t>
  </si>
  <si>
    <t>中设集团</t>
  </si>
  <si>
    <t>中科曙光</t>
  </si>
  <si>
    <t xml:space="preserve">        338.87亿</t>
  </si>
  <si>
    <t>爱普股份</t>
  </si>
  <si>
    <t>山东华鹏</t>
  </si>
  <si>
    <t xml:space="preserve">         21.55亿</t>
  </si>
  <si>
    <t>新通联</t>
  </si>
  <si>
    <t>威帝股份</t>
  </si>
  <si>
    <t>大豪科技</t>
  </si>
  <si>
    <t xml:space="preserve">        110.07亿</t>
  </si>
  <si>
    <t>石大胜华</t>
  </si>
  <si>
    <t>千禾味业</t>
  </si>
  <si>
    <t xml:space="preserve">         26.97亿</t>
  </si>
  <si>
    <t>赛福天</t>
  </si>
  <si>
    <t xml:space="preserve">         10.85亿</t>
  </si>
  <si>
    <t>天鹅股份</t>
  </si>
  <si>
    <t xml:space="preserve">          5.54亿</t>
  </si>
  <si>
    <t>全筑股份</t>
  </si>
  <si>
    <t xml:space="preserve">         36.42亿</t>
  </si>
  <si>
    <t>安德利</t>
  </si>
  <si>
    <t xml:space="preserve">          7.38亿</t>
  </si>
  <si>
    <t>德新交运</t>
  </si>
  <si>
    <t xml:space="preserve">         30.06亿</t>
  </si>
  <si>
    <t>三维股份</t>
  </si>
  <si>
    <t xml:space="preserve">         12.35亿</t>
  </si>
  <si>
    <t>常熟汽饰</t>
  </si>
  <si>
    <t>如通股份</t>
  </si>
  <si>
    <t xml:space="preserve">          6.69亿</t>
  </si>
  <si>
    <t>凯众股份</t>
  </si>
  <si>
    <t xml:space="preserve">         13.46亿</t>
  </si>
  <si>
    <t>华立股份</t>
  </si>
  <si>
    <t>泛微网络</t>
  </si>
  <si>
    <t>新坐标</t>
  </si>
  <si>
    <t xml:space="preserve">          9.39亿</t>
  </si>
  <si>
    <t>美思德</t>
  </si>
  <si>
    <t xml:space="preserve">          7.25亿</t>
  </si>
  <si>
    <t>华脉科技</t>
  </si>
  <si>
    <t>广州酒家</t>
  </si>
  <si>
    <t>福达合金</t>
  </si>
  <si>
    <t xml:space="preserve">          7.40亿</t>
  </si>
  <si>
    <t>科林电气</t>
  </si>
  <si>
    <t xml:space="preserve">         11.57亿</t>
  </si>
  <si>
    <t>台华新材</t>
  </si>
  <si>
    <t>德邦股份</t>
  </si>
  <si>
    <t xml:space="preserve">         42.86亿</t>
  </si>
  <si>
    <t>永吉股份</t>
  </si>
  <si>
    <t>倍加洁</t>
  </si>
  <si>
    <t>国检集团</t>
  </si>
  <si>
    <t xml:space="preserve">         15.40亿</t>
  </si>
  <si>
    <t>禾望电气</t>
  </si>
  <si>
    <t>音飞储存</t>
  </si>
  <si>
    <t xml:space="preserve">         23.82亿</t>
  </si>
  <si>
    <t>振华股份</t>
  </si>
  <si>
    <t xml:space="preserve">         14.46亿</t>
  </si>
  <si>
    <t>海汽集团</t>
  </si>
  <si>
    <t xml:space="preserve">         13.10亿</t>
  </si>
  <si>
    <t>乐惠国际</t>
  </si>
  <si>
    <t xml:space="preserve">          6.92亿</t>
  </si>
  <si>
    <t>和邦生物</t>
  </si>
  <si>
    <t xml:space="preserve">        177.51亿</t>
  </si>
  <si>
    <t>江化微</t>
  </si>
  <si>
    <t xml:space="preserve">         15.37亿</t>
  </si>
  <si>
    <t>圣达生物</t>
  </si>
  <si>
    <t>新疆火炬</t>
  </si>
  <si>
    <t>大丰实业</t>
  </si>
  <si>
    <t xml:space="preserve">         13.35亿</t>
  </si>
  <si>
    <t>剑桥科技</t>
  </si>
  <si>
    <t xml:space="preserve">         16.03亿</t>
  </si>
  <si>
    <t>天成自控</t>
  </si>
  <si>
    <t>先达股份</t>
  </si>
  <si>
    <t xml:space="preserve">         20.16亿</t>
  </si>
  <si>
    <t>宁波精达</t>
  </si>
  <si>
    <t xml:space="preserve">         15.06亿</t>
  </si>
  <si>
    <t>正裕工业</t>
  </si>
  <si>
    <t xml:space="preserve">          6.31亿</t>
  </si>
  <si>
    <t>宏盛股份</t>
  </si>
  <si>
    <t xml:space="preserve">          5.98亿</t>
  </si>
  <si>
    <t>新经典</t>
  </si>
  <si>
    <t xml:space="preserve">         35.04亿</t>
  </si>
  <si>
    <t>森特股份</t>
  </si>
  <si>
    <t xml:space="preserve">         11.36亿</t>
  </si>
  <si>
    <t>长白山</t>
  </si>
  <si>
    <t>川仪股份</t>
  </si>
  <si>
    <t>汇嘉时代</t>
  </si>
  <si>
    <t>横店影视</t>
  </si>
  <si>
    <t xml:space="preserve">         12.95亿</t>
  </si>
  <si>
    <t>芯能科技</t>
  </si>
  <si>
    <t xml:space="preserve">         14.65亿</t>
  </si>
  <si>
    <t>恒银金融</t>
  </si>
  <si>
    <t>润达医疗</t>
  </si>
  <si>
    <t>东方材料</t>
  </si>
  <si>
    <t xml:space="preserve">          7.23亿</t>
  </si>
  <si>
    <t>康尼机电</t>
  </si>
  <si>
    <t xml:space="preserve">         38.69亿</t>
  </si>
  <si>
    <t>金能科技</t>
  </si>
  <si>
    <t xml:space="preserve">         44.50亿</t>
  </si>
  <si>
    <t>红蜻蜓</t>
  </si>
  <si>
    <t>万林物流</t>
  </si>
  <si>
    <t xml:space="preserve">         26.91亿</t>
  </si>
  <si>
    <t>共进股份</t>
  </si>
  <si>
    <t xml:space="preserve">         64.46亿</t>
  </si>
  <si>
    <t>华培动力</t>
  </si>
  <si>
    <t>翠微股份</t>
  </si>
  <si>
    <t xml:space="preserve">         33.91亿</t>
  </si>
  <si>
    <t>中材节能</t>
  </si>
  <si>
    <t>昭衍新药</t>
  </si>
  <si>
    <t>华贸物流</t>
  </si>
  <si>
    <t xml:space="preserve">         60.92亿</t>
  </si>
  <si>
    <t>春风动力</t>
  </si>
  <si>
    <t>上海沪工</t>
  </si>
  <si>
    <t xml:space="preserve">         10.48亿</t>
  </si>
  <si>
    <t>碳元科技</t>
  </si>
  <si>
    <t>天目湖</t>
  </si>
  <si>
    <t xml:space="preserve">          7.48亿</t>
  </si>
  <si>
    <t>海量数据</t>
  </si>
  <si>
    <t xml:space="preserve">         10.98亿</t>
  </si>
  <si>
    <t>康惠制药</t>
  </si>
  <si>
    <t>养元饮品</t>
  </si>
  <si>
    <t xml:space="preserve">        209.92亿</t>
  </si>
  <si>
    <t>拉夏贝尔</t>
  </si>
  <si>
    <t xml:space="preserve">         13.09亿</t>
  </si>
  <si>
    <t>腾龙股份</t>
  </si>
  <si>
    <t xml:space="preserve">         34.35亿</t>
  </si>
  <si>
    <t>上海亚虹</t>
  </si>
  <si>
    <t xml:space="preserve">          5.35亿</t>
  </si>
  <si>
    <t>汇顶科技</t>
  </si>
  <si>
    <t xml:space="preserve">        217.58亿</t>
  </si>
  <si>
    <t>科华控股</t>
  </si>
  <si>
    <t>荣晟环保</t>
  </si>
  <si>
    <t xml:space="preserve">          9.65亿</t>
  </si>
  <si>
    <t>福达股份</t>
  </si>
  <si>
    <t xml:space="preserve">         37.47亿</t>
  </si>
  <si>
    <t>渤海轮渡</t>
  </si>
  <si>
    <t xml:space="preserve">         45.49亿</t>
  </si>
  <si>
    <t>莎普爱思</t>
  </si>
  <si>
    <t xml:space="preserve">         22.81亿</t>
  </si>
  <si>
    <t>兰石重装</t>
  </si>
  <si>
    <t>德创环保</t>
  </si>
  <si>
    <t>圣龙股份</t>
  </si>
  <si>
    <t xml:space="preserve">          5.62亿</t>
  </si>
  <si>
    <t>新泉股份</t>
  </si>
  <si>
    <t xml:space="preserve">         16.84亿</t>
  </si>
  <si>
    <t>金牌厨柜</t>
  </si>
  <si>
    <t xml:space="preserve">         13.30亿</t>
  </si>
  <si>
    <t>皇马科技</t>
  </si>
  <si>
    <t xml:space="preserve">         19.44亿</t>
  </si>
  <si>
    <t>建研院</t>
  </si>
  <si>
    <t xml:space="preserve">         13.21亿</t>
  </si>
  <si>
    <t>上机数控</t>
  </si>
  <si>
    <t>华正新材</t>
  </si>
  <si>
    <t>海容冷链</t>
  </si>
  <si>
    <t xml:space="preserve">          9.62亿</t>
  </si>
  <si>
    <t>亚邦股份</t>
  </si>
  <si>
    <t xml:space="preserve">         50.63亿</t>
  </si>
  <si>
    <t>网达软件</t>
  </si>
  <si>
    <t xml:space="preserve">         14.37亿</t>
  </si>
  <si>
    <t>汇得科技</t>
  </si>
  <si>
    <t xml:space="preserve">          8.91亿</t>
  </si>
  <si>
    <t>日播时尚</t>
  </si>
  <si>
    <t xml:space="preserve">          6.40亿</t>
  </si>
  <si>
    <t>保隆科技</t>
  </si>
  <si>
    <t>迎驾贡酒</t>
  </si>
  <si>
    <t xml:space="preserve">        131.28亿</t>
  </si>
  <si>
    <t>九华旅游</t>
  </si>
  <si>
    <t>上海洗霸</t>
  </si>
  <si>
    <t xml:space="preserve">          9.98亿</t>
  </si>
  <si>
    <t>快克股份</t>
  </si>
  <si>
    <t xml:space="preserve">         14.02亿</t>
  </si>
  <si>
    <t>江山欧派</t>
  </si>
  <si>
    <t>爱婴室</t>
  </si>
  <si>
    <t>日月股份</t>
  </si>
  <si>
    <t xml:space="preserve">         21.85亿</t>
  </si>
  <si>
    <t>贝通信</t>
  </si>
  <si>
    <t xml:space="preserve">         32.25亿</t>
  </si>
  <si>
    <t>济民制药</t>
  </si>
  <si>
    <t>恒通股份</t>
  </si>
  <si>
    <t xml:space="preserve">         19.37亿</t>
  </si>
  <si>
    <t>新凤鸣</t>
  </si>
  <si>
    <t xml:space="preserve">         22.48亿</t>
  </si>
  <si>
    <t>菲林格尔</t>
  </si>
  <si>
    <t xml:space="preserve">          5.50亿</t>
  </si>
  <si>
    <t>雪峰科技</t>
  </si>
  <si>
    <t xml:space="preserve">         29.97亿</t>
  </si>
  <si>
    <t>景旺电子</t>
  </si>
  <si>
    <t xml:space="preserve">         52.97亿</t>
  </si>
  <si>
    <t>奥翔药业</t>
  </si>
  <si>
    <t>格尔软件</t>
  </si>
  <si>
    <t>大参林</t>
  </si>
  <si>
    <t xml:space="preserve">         28.39亿</t>
  </si>
  <si>
    <t>诺邦股份</t>
  </si>
  <si>
    <t>浙江仙通</t>
  </si>
  <si>
    <t xml:space="preserve">         12.80亿</t>
  </si>
  <si>
    <t>电魂网络</t>
  </si>
  <si>
    <t xml:space="preserve">         21.20亿</t>
  </si>
  <si>
    <t>药明康德</t>
  </si>
  <si>
    <t xml:space="preserve">        103.51亿</t>
  </si>
  <si>
    <t>合盛硅业</t>
  </si>
  <si>
    <t>天龙股份</t>
  </si>
  <si>
    <t>松发股份</t>
  </si>
  <si>
    <t xml:space="preserve">         24.73亿</t>
  </si>
  <si>
    <t>海鸥股份</t>
  </si>
  <si>
    <t xml:space="preserve">          5.97亿</t>
  </si>
  <si>
    <t>银都股份</t>
  </si>
  <si>
    <t xml:space="preserve">         16.12亿</t>
  </si>
  <si>
    <t>大业股份</t>
  </si>
  <si>
    <t xml:space="preserve">         14.74亿</t>
  </si>
  <si>
    <t>赛腾股份</t>
  </si>
  <si>
    <t xml:space="preserve">          8.05亿</t>
  </si>
  <si>
    <t>日盈电子</t>
  </si>
  <si>
    <t xml:space="preserve">          7.29亿</t>
  </si>
  <si>
    <t>海天味业</t>
  </si>
  <si>
    <t xml:space="preserve">       2106.29亿</t>
  </si>
  <si>
    <t>泰瑞机器</t>
  </si>
  <si>
    <t xml:space="preserve">         15.02亿</t>
  </si>
  <si>
    <t>永新光学</t>
  </si>
  <si>
    <t xml:space="preserve">         11.08亿</t>
  </si>
  <si>
    <t>杭叉集团</t>
  </si>
  <si>
    <t xml:space="preserve">         24.12亿</t>
  </si>
  <si>
    <t>苏盐井神</t>
  </si>
  <si>
    <t>华铁科技</t>
  </si>
  <si>
    <t>振德医疗</t>
  </si>
  <si>
    <t xml:space="preserve">          8.86亿</t>
  </si>
  <si>
    <t>得邦照明</t>
  </si>
  <si>
    <t xml:space="preserve">         13.98亿</t>
  </si>
  <si>
    <t>旭升股份</t>
  </si>
  <si>
    <t xml:space="preserve">         21.98亿</t>
  </si>
  <si>
    <t>华懋科技</t>
  </si>
  <si>
    <t>应流股份</t>
  </si>
  <si>
    <t>维力医疗</t>
  </si>
  <si>
    <t xml:space="preserve">         23.24亿</t>
  </si>
  <si>
    <t>金海环境</t>
  </si>
  <si>
    <t xml:space="preserve">         25.79亿</t>
  </si>
  <si>
    <t>梦百合</t>
  </si>
  <si>
    <t>福鞍股份</t>
  </si>
  <si>
    <t xml:space="preserve">         31.17亿</t>
  </si>
  <si>
    <t>诚邦股份</t>
  </si>
  <si>
    <t xml:space="preserve">          8.84亿</t>
  </si>
  <si>
    <t>派思股份</t>
  </si>
  <si>
    <t xml:space="preserve">         54.81亿</t>
  </si>
  <si>
    <t>湘油泵</t>
  </si>
  <si>
    <t>迪贝电气</t>
  </si>
  <si>
    <t xml:space="preserve">          6.19亿</t>
  </si>
  <si>
    <t>梅轮电梯</t>
  </si>
  <si>
    <t xml:space="preserve">         10.77亿</t>
  </si>
  <si>
    <t>超讯通信</t>
  </si>
  <si>
    <t xml:space="preserve">         16.86亿</t>
  </si>
  <si>
    <t>吴江银行</t>
  </si>
  <si>
    <t xml:space="preserve">         49.59亿</t>
  </si>
  <si>
    <t>我乐家居</t>
  </si>
  <si>
    <t>依顿电子</t>
  </si>
  <si>
    <t xml:space="preserve">        114.02亿</t>
  </si>
  <si>
    <t>上海雅仕</t>
  </si>
  <si>
    <t>上海天洋</t>
  </si>
  <si>
    <t xml:space="preserve">          7.26亿</t>
  </si>
  <si>
    <t>百达精工</t>
  </si>
  <si>
    <t xml:space="preserve">          5.29亿</t>
  </si>
  <si>
    <t>苏州龙杰</t>
  </si>
  <si>
    <t xml:space="preserve">         11.87亿</t>
  </si>
  <si>
    <t>尚纬股份</t>
  </si>
  <si>
    <t xml:space="preserve">         34.76亿</t>
  </si>
  <si>
    <t>迪生力</t>
  </si>
  <si>
    <t xml:space="preserve">         10.28亿</t>
  </si>
  <si>
    <t>宏辉果蔬</t>
  </si>
  <si>
    <t xml:space="preserve">         12.18亿</t>
  </si>
  <si>
    <t>杰克股份</t>
  </si>
  <si>
    <t xml:space="preserve">         34.77亿</t>
  </si>
  <si>
    <t>浙江鼎力</t>
  </si>
  <si>
    <t xml:space="preserve">        179.33亿</t>
  </si>
  <si>
    <t>四方科技</t>
  </si>
  <si>
    <t xml:space="preserve">         10.54亿</t>
  </si>
  <si>
    <t>安井食品</t>
  </si>
  <si>
    <t xml:space="preserve">         43.86亿</t>
  </si>
  <si>
    <t>文灿股份</t>
  </si>
  <si>
    <t xml:space="preserve">         13.14亿</t>
  </si>
  <si>
    <t>威尔药业</t>
  </si>
  <si>
    <t xml:space="preserve">         10.26亿</t>
  </si>
  <si>
    <t>莱克电气</t>
  </si>
  <si>
    <t xml:space="preserve">        100.13亿</t>
  </si>
  <si>
    <t>华菱精工</t>
  </si>
  <si>
    <t>设计总院</t>
  </si>
  <si>
    <t xml:space="preserve">         32.37亿</t>
  </si>
  <si>
    <t>华达科技</t>
  </si>
  <si>
    <t xml:space="preserve">         19.04亿</t>
  </si>
  <si>
    <t>东珠生态</t>
  </si>
  <si>
    <t xml:space="preserve">         29.55亿</t>
  </si>
  <si>
    <t>百傲化学</t>
  </si>
  <si>
    <t>傲农生物</t>
  </si>
  <si>
    <t xml:space="preserve">         22.47亿</t>
  </si>
  <si>
    <t>水星家纺</t>
  </si>
  <si>
    <t>日出东方</t>
  </si>
  <si>
    <t xml:space="preserve">         40.40亿</t>
  </si>
  <si>
    <t>辰欣药业</t>
  </si>
  <si>
    <t>柳药股份</t>
  </si>
  <si>
    <t xml:space="preserve">         75.29亿</t>
  </si>
  <si>
    <t>今世缘</t>
  </si>
  <si>
    <t xml:space="preserve">        277.12亿</t>
  </si>
  <si>
    <t>东方时尚</t>
  </si>
  <si>
    <t xml:space="preserve">         88.55亿</t>
  </si>
  <si>
    <t>亚士创能</t>
  </si>
  <si>
    <t>易德龙</t>
  </si>
  <si>
    <t xml:space="preserve">          8.17亿</t>
  </si>
  <si>
    <t>顶点软件</t>
  </si>
  <si>
    <t xml:space="preserve">         41.30亿</t>
  </si>
  <si>
    <t>惠达卫浴</t>
  </si>
  <si>
    <t xml:space="preserve">         26.77亿</t>
  </si>
  <si>
    <t>广东骏亚</t>
  </si>
  <si>
    <t xml:space="preserve">         10.34亿</t>
  </si>
  <si>
    <t>基蛋生物</t>
  </si>
  <si>
    <t xml:space="preserve">         29.53亿</t>
  </si>
  <si>
    <t>元成股份</t>
  </si>
  <si>
    <t xml:space="preserve">          9.85亿</t>
  </si>
  <si>
    <t>亚振家居</t>
  </si>
  <si>
    <t xml:space="preserve">          6.84亿</t>
  </si>
  <si>
    <t>新天然气</t>
  </si>
  <si>
    <t xml:space="preserve">         32.35亿</t>
  </si>
  <si>
    <t>金辰股份</t>
  </si>
  <si>
    <t>邦宝益智</t>
  </si>
  <si>
    <t xml:space="preserve">         28.50亿</t>
  </si>
  <si>
    <t>吉翔股份</t>
  </si>
  <si>
    <t xml:space="preserve">         59.59亿</t>
  </si>
  <si>
    <t>信捷电气</t>
  </si>
  <si>
    <t xml:space="preserve">         10.30亿</t>
  </si>
  <si>
    <t>鼎信通讯</t>
  </si>
  <si>
    <t xml:space="preserve">         13.54亿</t>
  </si>
  <si>
    <t>集友股份</t>
  </si>
  <si>
    <t xml:space="preserve">         27.76亿</t>
  </si>
  <si>
    <t>吉比特</t>
  </si>
  <si>
    <t xml:space="preserve">         70.72亿</t>
  </si>
  <si>
    <t>九洲药业</t>
  </si>
  <si>
    <t xml:space="preserve">         63.68亿</t>
  </si>
  <si>
    <t>勘设股份</t>
  </si>
  <si>
    <t xml:space="preserve">         28.80亿</t>
  </si>
  <si>
    <t>风语筑</t>
  </si>
  <si>
    <t>振静股份</t>
  </si>
  <si>
    <t>科沃斯</t>
  </si>
  <si>
    <t xml:space="preserve">         23.55亿</t>
  </si>
  <si>
    <t>展鹏科技</t>
  </si>
  <si>
    <t xml:space="preserve">          8.47亿</t>
  </si>
  <si>
    <t>恒为科技</t>
  </si>
  <si>
    <t>翔港科技</t>
  </si>
  <si>
    <t xml:space="preserve">          5.89亿</t>
  </si>
  <si>
    <t>祥和实业</t>
  </si>
  <si>
    <t xml:space="preserve">          6.62亿</t>
  </si>
  <si>
    <t>韦尔股份</t>
  </si>
  <si>
    <t>金石资源</t>
  </si>
  <si>
    <t xml:space="preserve">         19.11亿</t>
  </si>
  <si>
    <t>南都物业</t>
  </si>
  <si>
    <t xml:space="preserve">          7.16亿</t>
  </si>
  <si>
    <t>振江股份</t>
  </si>
  <si>
    <t>思维列控</t>
  </si>
  <si>
    <t xml:space="preserve">         73.22亿</t>
  </si>
  <si>
    <t>欧普照明</t>
  </si>
  <si>
    <t xml:space="preserve">         43.78亿</t>
  </si>
  <si>
    <t>淳中科技</t>
  </si>
  <si>
    <t xml:space="preserve">         24.09亿</t>
  </si>
  <si>
    <t>绝味食品</t>
  </si>
  <si>
    <t xml:space="preserve">         66.05亿</t>
  </si>
  <si>
    <t>维格娜丝</t>
  </si>
  <si>
    <t>立霸股份</t>
  </si>
  <si>
    <t xml:space="preserve">         20.95亿</t>
  </si>
  <si>
    <t>司太立</t>
  </si>
  <si>
    <t>众源新材</t>
  </si>
  <si>
    <t xml:space="preserve">         13.42亿</t>
  </si>
  <si>
    <t>多伦科技</t>
  </si>
  <si>
    <t>掌阅科技</t>
  </si>
  <si>
    <t>嘉诚国际</t>
  </si>
  <si>
    <t>惠发股份</t>
  </si>
  <si>
    <t xml:space="preserve">          5.55亿</t>
  </si>
  <si>
    <t>美诺华</t>
  </si>
  <si>
    <t xml:space="preserve">         18.57亿</t>
  </si>
  <si>
    <t>贵人鸟</t>
  </si>
  <si>
    <t xml:space="preserve">         43.56亿</t>
  </si>
  <si>
    <t>海兴电力</t>
  </si>
  <si>
    <t>起步股份</t>
  </si>
  <si>
    <t>健盛集团</t>
  </si>
  <si>
    <t xml:space="preserve">         32.14亿</t>
  </si>
  <si>
    <t>中通国脉</t>
  </si>
  <si>
    <t xml:space="preserve">         20.03亿</t>
  </si>
  <si>
    <t>普莱柯</t>
  </si>
  <si>
    <t xml:space="preserve">         47.58亿</t>
  </si>
  <si>
    <t>珍宝岛</t>
  </si>
  <si>
    <t xml:space="preserve">        109.88亿</t>
  </si>
  <si>
    <t>伟明环保</t>
  </si>
  <si>
    <t xml:space="preserve">        171.11亿</t>
  </si>
  <si>
    <t>长久物流</t>
  </si>
  <si>
    <t>汇金通</t>
  </si>
  <si>
    <t xml:space="preserve">          8.64亿</t>
  </si>
  <si>
    <t>三星新材</t>
  </si>
  <si>
    <t xml:space="preserve">          6.81亿</t>
  </si>
  <si>
    <t>荣泰健康</t>
  </si>
  <si>
    <t xml:space="preserve">         17.78亿</t>
  </si>
  <si>
    <t>艾艾精工</t>
  </si>
  <si>
    <t xml:space="preserve">          5.44亿</t>
  </si>
  <si>
    <t>捷昌驱动</t>
  </si>
  <si>
    <t>苏利股份</t>
  </si>
  <si>
    <t xml:space="preserve">         12.73亿</t>
  </si>
  <si>
    <t>金麒麟</t>
  </si>
  <si>
    <t>地素时尚</t>
  </si>
  <si>
    <t>高能环境</t>
  </si>
  <si>
    <t xml:space="preserve">         68.06亿</t>
  </si>
  <si>
    <t>口子窖</t>
  </si>
  <si>
    <t xml:space="preserve">        284.40亿</t>
  </si>
  <si>
    <t>康辰药业</t>
  </si>
  <si>
    <t>东尼电子</t>
  </si>
  <si>
    <t xml:space="preserve">         21.06亿</t>
  </si>
  <si>
    <t>伯特利</t>
  </si>
  <si>
    <t>引力传媒</t>
  </si>
  <si>
    <t xml:space="preserve">         30.56亿</t>
  </si>
  <si>
    <t>广信股份</t>
  </si>
  <si>
    <t xml:space="preserve">         67.52亿</t>
  </si>
  <si>
    <t>永艺股份</t>
  </si>
  <si>
    <t xml:space="preserve">         24.43亿</t>
  </si>
  <si>
    <t>再升科技</t>
  </si>
  <si>
    <t xml:space="preserve">         47.74亿</t>
  </si>
  <si>
    <t>纵横通信</t>
  </si>
  <si>
    <t xml:space="preserve">         20.32亿</t>
  </si>
  <si>
    <t>博天环境</t>
  </si>
  <si>
    <t xml:space="preserve">         48.96亿</t>
  </si>
  <si>
    <t>珀莱雅</t>
  </si>
  <si>
    <t xml:space="preserve">         32.31亿</t>
  </si>
  <si>
    <t>东方电缆</t>
  </si>
  <si>
    <t xml:space="preserve">         53.32亿</t>
  </si>
  <si>
    <t>京华激光</t>
  </si>
  <si>
    <t>天创时尚</t>
  </si>
  <si>
    <t xml:space="preserve">         14.13亿</t>
  </si>
  <si>
    <t>禾丰牧业</t>
  </si>
  <si>
    <t>诺力股份</t>
  </si>
  <si>
    <t>索通发展</t>
  </si>
  <si>
    <t xml:space="preserve">         28.74亿</t>
  </si>
  <si>
    <t>茶花股份</t>
  </si>
  <si>
    <t>韩建河山</t>
  </si>
  <si>
    <t>君禾股份</t>
  </si>
  <si>
    <t xml:space="preserve">          5.68亿</t>
  </si>
  <si>
    <t>杭电股份</t>
  </si>
  <si>
    <t xml:space="preserve">         46.71亿</t>
  </si>
  <si>
    <t>中曼石油</t>
  </si>
  <si>
    <t xml:space="preserve">         23.76亿</t>
  </si>
  <si>
    <t>科森科技</t>
  </si>
  <si>
    <t>清源股份</t>
  </si>
  <si>
    <t>利通电子</t>
  </si>
  <si>
    <t xml:space="preserve">         10.45亿</t>
  </si>
  <si>
    <t>拉芳家化</t>
  </si>
  <si>
    <t xml:space="preserve">         12.55亿</t>
  </si>
  <si>
    <t>徕木股份</t>
  </si>
  <si>
    <t xml:space="preserve">         13.83亿</t>
  </si>
  <si>
    <t>南威软件</t>
  </si>
  <si>
    <t xml:space="preserve">         60.60亿</t>
  </si>
  <si>
    <t>镇海股份</t>
  </si>
  <si>
    <t xml:space="preserve">          6.90亿</t>
  </si>
  <si>
    <t>艾迪精密</t>
  </si>
  <si>
    <t xml:space="preserve">         24.46亿</t>
  </si>
  <si>
    <t>海利尔</t>
  </si>
  <si>
    <t>畅联股份</t>
  </si>
  <si>
    <t>彤程新材</t>
  </si>
  <si>
    <t>朗博科技</t>
  </si>
  <si>
    <t>泰禾光电</t>
  </si>
  <si>
    <t xml:space="preserve">         12.20亿</t>
  </si>
  <si>
    <t>春光科技</t>
  </si>
  <si>
    <t>安图生物</t>
  </si>
  <si>
    <t xml:space="preserve">         83.12亿</t>
  </si>
  <si>
    <t>璞泰来</t>
  </si>
  <si>
    <t xml:space="preserve">         98.88亿</t>
  </si>
  <si>
    <t>苏州科达</t>
  </si>
  <si>
    <t xml:space="preserve">         58.08亿</t>
  </si>
  <si>
    <t>恒林股份</t>
  </si>
  <si>
    <t xml:space="preserve">          9.92亿</t>
  </si>
  <si>
    <t>三祥新材</t>
  </si>
  <si>
    <t xml:space="preserve">          9.61亿</t>
  </si>
  <si>
    <t>康隆达</t>
  </si>
  <si>
    <t xml:space="preserve">          9.38亿</t>
  </si>
  <si>
    <t>亿嘉和</t>
  </si>
  <si>
    <t>五洲新春</t>
  </si>
  <si>
    <t>天马科技</t>
  </si>
  <si>
    <t>灵康药业</t>
  </si>
  <si>
    <t>卫信康</t>
  </si>
  <si>
    <t xml:space="preserve">          8.27亿</t>
  </si>
  <si>
    <t>奇精机械</t>
  </si>
  <si>
    <t>火炬电子</t>
  </si>
  <si>
    <t xml:space="preserve">         87.61亿</t>
  </si>
  <si>
    <t>华体科技</t>
  </si>
  <si>
    <t xml:space="preserve">         11.77亿</t>
  </si>
  <si>
    <t>今创集团</t>
  </si>
  <si>
    <t xml:space="preserve">         31.56亿</t>
  </si>
  <si>
    <t>晶华新材</t>
  </si>
  <si>
    <t>晨丰科技</t>
  </si>
  <si>
    <t xml:space="preserve">          7.05亿</t>
  </si>
  <si>
    <t>龙马环卫</t>
  </si>
  <si>
    <t xml:space="preserve">         41.18亿</t>
  </si>
  <si>
    <t>石英股份</t>
  </si>
  <si>
    <t>皖天然气</t>
  </si>
  <si>
    <t>至纯科技</t>
  </si>
  <si>
    <t xml:space="preserve">         22.26亿</t>
  </si>
  <si>
    <t>江苏新能</t>
  </si>
  <si>
    <t xml:space="preserve">         18.90亿</t>
  </si>
  <si>
    <t>安记食品</t>
  </si>
  <si>
    <t xml:space="preserve">         21.79亿</t>
  </si>
  <si>
    <t>航天工程</t>
  </si>
  <si>
    <t xml:space="preserve">         70.54亿</t>
  </si>
  <si>
    <t>纽威股份</t>
  </si>
  <si>
    <t xml:space="preserve">         90.68亿</t>
  </si>
  <si>
    <t>宁波水表</t>
  </si>
  <si>
    <t xml:space="preserve">         12.47亿</t>
  </si>
  <si>
    <t>德宏股份</t>
  </si>
  <si>
    <t xml:space="preserve">          9.35亿</t>
  </si>
  <si>
    <t>盛洋科技</t>
  </si>
  <si>
    <t xml:space="preserve">         12.04亿</t>
  </si>
  <si>
    <t>东方环宇</t>
  </si>
  <si>
    <t>健友股份</t>
  </si>
  <si>
    <t xml:space="preserve">         79.40亿</t>
  </si>
  <si>
    <t>家家悦</t>
  </si>
  <si>
    <t xml:space="preserve">         37.28亿</t>
  </si>
  <si>
    <t>中源家居</t>
  </si>
  <si>
    <t xml:space="preserve">          5.80亿</t>
  </si>
  <si>
    <t>香飘飘</t>
  </si>
  <si>
    <t xml:space="preserve">         10.94亿</t>
  </si>
  <si>
    <t>七一二</t>
  </si>
  <si>
    <t xml:space="preserve">         70.83亿</t>
  </si>
  <si>
    <t>密尔克卫</t>
  </si>
  <si>
    <t xml:space="preserve">         14.12亿</t>
  </si>
  <si>
    <t>塞力斯</t>
  </si>
  <si>
    <t xml:space="preserve">         17.57亿</t>
  </si>
  <si>
    <t>天域生态</t>
  </si>
  <si>
    <t>海利生物</t>
  </si>
  <si>
    <t xml:space="preserve">         95.05亿</t>
  </si>
  <si>
    <t>中广天择</t>
  </si>
  <si>
    <t>阿科力</t>
  </si>
  <si>
    <t>天安新材</t>
  </si>
  <si>
    <t>朗迪集团</t>
  </si>
  <si>
    <t xml:space="preserve">          6.56亿</t>
  </si>
  <si>
    <t>博迈科</t>
  </si>
  <si>
    <t>鸣志电器</t>
  </si>
  <si>
    <t>龙韵股份</t>
  </si>
  <si>
    <t xml:space="preserve">         16.46亿</t>
  </si>
  <si>
    <t>岱美股份</t>
  </si>
  <si>
    <t xml:space="preserve">         19.88亿</t>
  </si>
  <si>
    <t>仙鹤股份</t>
  </si>
  <si>
    <t>三棵树</t>
  </si>
  <si>
    <t>泰晶科技</t>
  </si>
  <si>
    <t>蔚蓝生物</t>
  </si>
  <si>
    <t xml:space="preserve">         13.70亿</t>
  </si>
  <si>
    <t>大元泵业</t>
  </si>
  <si>
    <t>秦安股份</t>
  </si>
  <si>
    <t xml:space="preserve">          9.02亿</t>
  </si>
  <si>
    <t>隆鑫通用</t>
  </si>
  <si>
    <t xml:space="preserve">        103.54亿</t>
  </si>
  <si>
    <t>中马传动</t>
  </si>
  <si>
    <t>常青股份</t>
  </si>
  <si>
    <t xml:space="preserve">          9.40亿</t>
  </si>
  <si>
    <t>沃格光电</t>
  </si>
  <si>
    <t xml:space="preserve">         12.09亿</t>
  </si>
  <si>
    <t>永安行</t>
  </si>
  <si>
    <t>来伊份</t>
  </si>
  <si>
    <t xml:space="preserve">         12.72亿</t>
  </si>
  <si>
    <t>乾景园林</t>
  </si>
  <si>
    <t xml:space="preserve">         25.05亿</t>
  </si>
  <si>
    <t>威龙股份</t>
  </si>
  <si>
    <t>新日股份</t>
  </si>
  <si>
    <t xml:space="preserve">          7.85亿</t>
  </si>
  <si>
    <t>宁波高发</t>
  </si>
  <si>
    <t>星光农机</t>
  </si>
  <si>
    <t xml:space="preserve">         35.00亿</t>
  </si>
  <si>
    <t>雅运股份</t>
  </si>
  <si>
    <t xml:space="preserve">          8.56亿</t>
  </si>
  <si>
    <t>联泰环保</t>
  </si>
  <si>
    <t xml:space="preserve">          7.36亿</t>
  </si>
  <si>
    <t>康普顿</t>
  </si>
  <si>
    <t>华友钴业</t>
  </si>
  <si>
    <t xml:space="preserve">        315.24亿</t>
  </si>
  <si>
    <t>道森股份</t>
  </si>
  <si>
    <t xml:space="preserve">         27.41亿</t>
  </si>
  <si>
    <t>志邦家居</t>
  </si>
  <si>
    <t>瑞斯康达</t>
  </si>
  <si>
    <t>福斯特</t>
  </si>
  <si>
    <t xml:space="preserve">        182.75亿</t>
  </si>
  <si>
    <t>歌力思</t>
  </si>
  <si>
    <t xml:space="preserve">         58.25亿</t>
  </si>
  <si>
    <t>豪能股份</t>
  </si>
  <si>
    <t>丰山集团</t>
  </si>
  <si>
    <t xml:space="preserve">          8.29亿</t>
  </si>
  <si>
    <t>诚意药业</t>
  </si>
  <si>
    <t>原尚股份</t>
  </si>
  <si>
    <t xml:space="preserve">          9.30亿</t>
  </si>
  <si>
    <t>顾家家居</t>
  </si>
  <si>
    <t>海峡环保</t>
  </si>
  <si>
    <t xml:space="preserve">         13.50亿</t>
  </si>
  <si>
    <t>曲美家居</t>
  </si>
  <si>
    <t xml:space="preserve">         39.07亿</t>
  </si>
  <si>
    <t>神力股份</t>
  </si>
  <si>
    <t>嘉澳环保</t>
  </si>
  <si>
    <t xml:space="preserve">         13.27亿</t>
  </si>
  <si>
    <t>百合花</t>
  </si>
  <si>
    <t>华扬联众</t>
  </si>
  <si>
    <t>坤彩科技</t>
  </si>
  <si>
    <t xml:space="preserve">         31.77亿</t>
  </si>
  <si>
    <t>柯利达</t>
  </si>
  <si>
    <t xml:space="preserve">         46.54亿</t>
  </si>
  <si>
    <t>洛凯股份</t>
  </si>
  <si>
    <t>欧派家居</t>
  </si>
  <si>
    <t xml:space="preserve">         99.92亿</t>
  </si>
  <si>
    <t>四通股份</t>
  </si>
  <si>
    <t>安正时尚</t>
  </si>
  <si>
    <t>正平股份</t>
  </si>
  <si>
    <t xml:space="preserve">         16.39亿</t>
  </si>
  <si>
    <t>好太太</t>
  </si>
  <si>
    <t xml:space="preserve">         12.57亿</t>
  </si>
  <si>
    <t>华荣股份</t>
  </si>
  <si>
    <t xml:space="preserve">         18.34亿</t>
  </si>
  <si>
    <t>东宏股份</t>
  </si>
  <si>
    <t xml:space="preserve">         11.23亿</t>
  </si>
  <si>
    <t>步长制药</t>
  </si>
  <si>
    <t xml:space="preserve">        122.53亿</t>
  </si>
  <si>
    <t>能科股份</t>
  </si>
  <si>
    <t xml:space="preserve">         13.03亿</t>
  </si>
  <si>
    <t>中公高科</t>
  </si>
  <si>
    <t xml:space="preserve">          6.47亿</t>
  </si>
  <si>
    <t>白云电器</t>
  </si>
  <si>
    <t xml:space="preserve">         14.76亿</t>
  </si>
  <si>
    <t>桃李面包</t>
  </si>
  <si>
    <t xml:space="preserve">        250.75亿</t>
  </si>
  <si>
    <t>飞科电器</t>
  </si>
  <si>
    <t>新智认知</t>
  </si>
  <si>
    <t>嘉友国际</t>
  </si>
  <si>
    <t xml:space="preserve">         11.42亿</t>
  </si>
  <si>
    <t>鼎胜新材</t>
  </si>
  <si>
    <t>太平鸟</t>
  </si>
  <si>
    <t>武进不锈</t>
  </si>
  <si>
    <t xml:space="preserve">         14.17亿</t>
  </si>
  <si>
    <t>永悦科技</t>
  </si>
  <si>
    <t xml:space="preserve">          8.80亿</t>
  </si>
  <si>
    <t>南卫股份</t>
  </si>
  <si>
    <t>数据港</t>
  </si>
  <si>
    <t xml:space="preserve">         45.45亿</t>
  </si>
  <si>
    <t>金域医学</t>
  </si>
  <si>
    <t xml:space="preserve">         72.43亿</t>
  </si>
  <si>
    <t>老百姓</t>
  </si>
  <si>
    <t xml:space="preserve">        154.06亿</t>
  </si>
  <si>
    <t>吉祥航空</t>
  </si>
  <si>
    <t xml:space="preserve">        243.68亿</t>
  </si>
  <si>
    <t>元祖股份</t>
  </si>
  <si>
    <t>城地股份</t>
  </si>
  <si>
    <t xml:space="preserve">         14.30亿</t>
  </si>
  <si>
    <t>新华网</t>
  </si>
  <si>
    <t xml:space="preserve">         39.14亿</t>
  </si>
  <si>
    <t>新澳股份</t>
  </si>
  <si>
    <t xml:space="preserve">         41.02亿</t>
  </si>
  <si>
    <t>春秋电子</t>
  </si>
  <si>
    <t>天永智能</t>
  </si>
  <si>
    <t>寿仙谷</t>
  </si>
  <si>
    <t xml:space="preserve">         21.77亿</t>
  </si>
  <si>
    <t>长城科技</t>
  </si>
  <si>
    <t xml:space="preserve">         11.45亿</t>
  </si>
  <si>
    <t>好莱客</t>
  </si>
  <si>
    <t xml:space="preserve">         59.10亿</t>
  </si>
  <si>
    <t>晨光文具</t>
  </si>
  <si>
    <t xml:space="preserve">        287.78亿</t>
  </si>
  <si>
    <t>莱绅通灵</t>
  </si>
  <si>
    <t>永创智能</t>
  </si>
  <si>
    <t xml:space="preserve">         14.55亿</t>
  </si>
  <si>
    <t>中持股份</t>
  </si>
  <si>
    <t xml:space="preserve">         17.45亿</t>
  </si>
  <si>
    <t>龙蟠科技</t>
  </si>
  <si>
    <t>牧高笛</t>
  </si>
  <si>
    <t xml:space="preserve">          5.66亿</t>
  </si>
  <si>
    <t>合诚股份</t>
  </si>
  <si>
    <t xml:space="preserve">          6.70亿</t>
  </si>
  <si>
    <t>佳力图</t>
  </si>
  <si>
    <t>苏博特</t>
  </si>
  <si>
    <t>合力科技</t>
  </si>
  <si>
    <t>金桥信息</t>
  </si>
  <si>
    <t xml:space="preserve">         25.00亿</t>
  </si>
  <si>
    <t>金徽酒</t>
  </si>
  <si>
    <t xml:space="preserve">         15.26亿</t>
  </si>
  <si>
    <t>世运电路</t>
  </si>
  <si>
    <t>金鸿顺</t>
  </si>
  <si>
    <t xml:space="preserve">          5.82亿</t>
  </si>
  <si>
    <t>铁流股份</t>
  </si>
  <si>
    <t xml:space="preserve">         10.49亿</t>
  </si>
  <si>
    <t>兴业股份</t>
  </si>
  <si>
    <t>亚翔集成</t>
  </si>
  <si>
    <t xml:space="preserve">         17.46亿</t>
  </si>
  <si>
    <t>睿能科技</t>
  </si>
  <si>
    <t xml:space="preserve">          7.42亿</t>
  </si>
  <si>
    <t>博敏电子</t>
  </si>
  <si>
    <t xml:space="preserve">         30.46亿</t>
  </si>
  <si>
    <t>丽岛新材</t>
  </si>
  <si>
    <t xml:space="preserve">         10.03亿</t>
  </si>
  <si>
    <t>三孚股份</t>
  </si>
  <si>
    <t xml:space="preserve">         10.32亿</t>
  </si>
  <si>
    <t>益丰药房</t>
  </si>
  <si>
    <t xml:space="preserve">        194.30亿</t>
  </si>
  <si>
    <t>大千生态</t>
  </si>
  <si>
    <t>威派格</t>
  </si>
  <si>
    <t>哈森股份</t>
  </si>
  <si>
    <t xml:space="preserve">          5.81亿</t>
  </si>
  <si>
    <t>百利科技</t>
  </si>
  <si>
    <t xml:space="preserve">         34.08亿</t>
  </si>
  <si>
    <t>克来机电</t>
  </si>
  <si>
    <t xml:space="preserve">         16.27亿</t>
  </si>
  <si>
    <t>大理药业</t>
  </si>
  <si>
    <t xml:space="preserve">         11.48亿</t>
  </si>
  <si>
    <t>法兰泰克</t>
  </si>
  <si>
    <t xml:space="preserve">          9.79亿</t>
  </si>
  <si>
    <t>醋化股份</t>
  </si>
  <si>
    <t xml:space="preserve">         30.61亿</t>
  </si>
  <si>
    <t>银龙股份</t>
  </si>
  <si>
    <t xml:space="preserve">         44.49亿</t>
  </si>
  <si>
    <t>中农立华</t>
  </si>
  <si>
    <t xml:space="preserve">         13.41亿</t>
  </si>
  <si>
    <t>正川股份</t>
  </si>
  <si>
    <t>国泰集团</t>
  </si>
  <si>
    <t xml:space="preserve">         14.48亿</t>
  </si>
  <si>
    <t>深圳新星</t>
  </si>
  <si>
    <t xml:space="preserve">         17.77亿</t>
  </si>
  <si>
    <t>金诚信</t>
  </si>
  <si>
    <t xml:space="preserve">         51.22亿</t>
  </si>
  <si>
    <t>吉华集团</t>
  </si>
  <si>
    <t xml:space="preserve">         35.15亿</t>
  </si>
  <si>
    <t>恒润股份</t>
  </si>
  <si>
    <t>兆易创新</t>
  </si>
  <si>
    <t xml:space="preserve">        220.63亿</t>
  </si>
  <si>
    <t>康德莱</t>
  </si>
  <si>
    <t xml:space="preserve">         19.24亿</t>
  </si>
  <si>
    <t>中电电机</t>
  </si>
  <si>
    <t>艾华集团</t>
  </si>
  <si>
    <t xml:space="preserve">         84.94亿</t>
  </si>
  <si>
    <t>麦迪科技</t>
  </si>
  <si>
    <t xml:space="preserve">         26.22亿</t>
  </si>
  <si>
    <t>至正股份</t>
  </si>
  <si>
    <t xml:space="preserve">          8.48亿</t>
  </si>
  <si>
    <t>洛阳钼业</t>
  </si>
  <si>
    <t xml:space="preserve">        862.09亿</t>
  </si>
  <si>
    <t>中新科技</t>
  </si>
  <si>
    <t xml:space="preserve">         34.13亿</t>
  </si>
  <si>
    <t>继峰股份</t>
  </si>
  <si>
    <t xml:space="preserve">         54.43亿</t>
  </si>
  <si>
    <t>方盛制药</t>
  </si>
  <si>
    <t>读者传媒</t>
  </si>
  <si>
    <t>*ST海润</t>
  </si>
  <si>
    <t>*ST上普</t>
  </si>
  <si>
    <t>永冠新材</t>
  </si>
  <si>
    <t>数据来源:通达信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</si>
</sst>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98"/>
  <sheetViews>
    <sheetView tabSelected="1" workbookViewId="0"/>
  </sheetViews>
  <sheetFormatPr defaultRowHeight="14.1" x14ac:dyDescent="0.5"/>
  <sheetData>
    <row r="1" spans="1:14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5">
      <c r="A2" t="str">
        <f>"000001"</f>
        <v>000001</v>
      </c>
      <c r="B2" t="s">
        <v>13</v>
      </c>
      <c r="C2">
        <v>0.54</v>
      </c>
      <c r="D2">
        <v>8.9499999999999993</v>
      </c>
      <c r="E2">
        <v>13.06</v>
      </c>
      <c r="F2">
        <v>7.0000000000000007E-2</v>
      </c>
      <c r="G2">
        <v>13.05</v>
      </c>
      <c r="H2">
        <v>13.06</v>
      </c>
      <c r="I2" t="s">
        <v>14</v>
      </c>
      <c r="J2">
        <v>0.82</v>
      </c>
      <c r="K2">
        <v>0.82</v>
      </c>
      <c r="L2">
        <v>12.91</v>
      </c>
      <c r="M2">
        <v>13.29</v>
      </c>
      <c r="N2">
        <v>12.84</v>
      </c>
    </row>
    <row r="3" spans="1:14" x14ac:dyDescent="0.5">
      <c r="A3" t="str">
        <f>"000002"</f>
        <v>000002</v>
      </c>
      <c r="B3" t="s">
        <v>15</v>
      </c>
      <c r="C3">
        <v>0.81</v>
      </c>
      <c r="D3">
        <v>10.18</v>
      </c>
      <c r="E3">
        <v>29.94</v>
      </c>
      <c r="F3">
        <v>0.24</v>
      </c>
      <c r="G3">
        <v>29.94</v>
      </c>
      <c r="H3">
        <v>29.95</v>
      </c>
      <c r="I3" t="s">
        <v>16</v>
      </c>
      <c r="J3">
        <v>0.86</v>
      </c>
      <c r="K3">
        <v>0.86</v>
      </c>
      <c r="L3">
        <v>29.69</v>
      </c>
      <c r="M3">
        <v>30.52</v>
      </c>
      <c r="N3">
        <v>29.47</v>
      </c>
    </row>
    <row r="4" spans="1:14" x14ac:dyDescent="0.5">
      <c r="A4" t="str">
        <f>"000004"</f>
        <v>000004</v>
      </c>
      <c r="B4" t="s">
        <v>17</v>
      </c>
      <c r="C4">
        <v>0.42</v>
      </c>
      <c r="D4">
        <v>136.97999999999999</v>
      </c>
      <c r="E4">
        <v>19.12</v>
      </c>
      <c r="F4">
        <v>0.08</v>
      </c>
      <c r="G4">
        <v>19.12</v>
      </c>
      <c r="H4">
        <v>19.13</v>
      </c>
      <c r="I4" t="s">
        <v>18</v>
      </c>
      <c r="J4">
        <v>1.55</v>
      </c>
      <c r="K4">
        <v>1.55</v>
      </c>
      <c r="L4">
        <v>18.8</v>
      </c>
      <c r="M4">
        <v>19.48</v>
      </c>
      <c r="N4">
        <v>18.5</v>
      </c>
    </row>
    <row r="5" spans="1:14" x14ac:dyDescent="0.5">
      <c r="A5" t="str">
        <f>"000005"</f>
        <v>000005</v>
      </c>
      <c r="B5" t="s">
        <v>19</v>
      </c>
      <c r="C5">
        <v>4.03</v>
      </c>
      <c r="D5">
        <v>94.86</v>
      </c>
      <c r="E5">
        <v>3.61</v>
      </c>
      <c r="F5">
        <v>0.14000000000000001</v>
      </c>
      <c r="G5">
        <v>3.6</v>
      </c>
      <c r="H5">
        <v>3.61</v>
      </c>
      <c r="I5" t="s">
        <v>20</v>
      </c>
      <c r="J5">
        <v>3.35</v>
      </c>
      <c r="K5">
        <v>3.35</v>
      </c>
      <c r="L5">
        <v>3.45</v>
      </c>
      <c r="M5">
        <v>3.65</v>
      </c>
      <c r="N5">
        <v>3.41</v>
      </c>
    </row>
    <row r="6" spans="1:14" x14ac:dyDescent="0.5">
      <c r="A6" t="str">
        <f>"000006"</f>
        <v>000006</v>
      </c>
      <c r="B6" t="s">
        <v>21</v>
      </c>
      <c r="C6">
        <v>1.77</v>
      </c>
      <c r="D6">
        <v>8.52</v>
      </c>
      <c r="E6">
        <v>6.34</v>
      </c>
      <c r="F6">
        <v>0.11</v>
      </c>
      <c r="G6">
        <v>6.33</v>
      </c>
      <c r="H6">
        <v>6.34</v>
      </c>
      <c r="I6" t="s">
        <v>22</v>
      </c>
      <c r="J6">
        <v>2.25</v>
      </c>
      <c r="K6">
        <v>2.25</v>
      </c>
      <c r="L6">
        <v>6.2</v>
      </c>
      <c r="M6">
        <v>6.39</v>
      </c>
      <c r="N6">
        <v>6.15</v>
      </c>
    </row>
    <row r="7" spans="1:14" x14ac:dyDescent="0.5">
      <c r="A7" t="str">
        <f>"000007"</f>
        <v>000007</v>
      </c>
      <c r="B7" t="s">
        <v>23</v>
      </c>
      <c r="C7">
        <v>6.83</v>
      </c>
      <c r="D7" t="s">
        <v>24</v>
      </c>
      <c r="E7">
        <v>7.51</v>
      </c>
      <c r="F7">
        <v>0.48</v>
      </c>
      <c r="G7">
        <v>7.51</v>
      </c>
      <c r="H7">
        <v>7.52</v>
      </c>
      <c r="I7" t="s">
        <v>25</v>
      </c>
      <c r="J7">
        <v>10.35</v>
      </c>
      <c r="K7">
        <v>10.35</v>
      </c>
      <c r="L7">
        <v>7</v>
      </c>
      <c r="M7">
        <v>7.63</v>
      </c>
      <c r="N7">
        <v>6.91</v>
      </c>
    </row>
    <row r="8" spans="1:14" x14ac:dyDescent="0.5">
      <c r="A8" t="str">
        <f>"000008"</f>
        <v>000008</v>
      </c>
      <c r="B8" t="s">
        <v>26</v>
      </c>
      <c r="C8">
        <v>0.21</v>
      </c>
      <c r="D8">
        <v>14.83</v>
      </c>
      <c r="E8">
        <v>4.71</v>
      </c>
      <c r="F8">
        <v>0.01</v>
      </c>
      <c r="G8">
        <v>4.71</v>
      </c>
      <c r="H8">
        <v>4.72</v>
      </c>
      <c r="I8" t="s">
        <v>27</v>
      </c>
      <c r="J8">
        <v>2.56</v>
      </c>
      <c r="K8">
        <v>2.56</v>
      </c>
      <c r="L8">
        <v>4.66</v>
      </c>
      <c r="M8">
        <v>4.72</v>
      </c>
      <c r="N8">
        <v>4.5999999999999996</v>
      </c>
    </row>
    <row r="9" spans="1:14" x14ac:dyDescent="0.5">
      <c r="A9" t="str">
        <f>"000009"</f>
        <v>000009</v>
      </c>
      <c r="B9" t="s">
        <v>28</v>
      </c>
      <c r="C9">
        <v>10.09</v>
      </c>
      <c r="D9">
        <v>221.07</v>
      </c>
      <c r="E9">
        <v>5.89</v>
      </c>
      <c r="F9">
        <v>0.54</v>
      </c>
      <c r="G9">
        <v>5.89</v>
      </c>
      <c r="H9" t="s">
        <v>24</v>
      </c>
      <c r="I9" t="s">
        <v>29</v>
      </c>
      <c r="J9">
        <v>3.07</v>
      </c>
      <c r="K9">
        <v>3.07</v>
      </c>
      <c r="L9">
        <v>5.36</v>
      </c>
      <c r="M9">
        <v>5.89</v>
      </c>
      <c r="N9">
        <v>5.32</v>
      </c>
    </row>
    <row r="10" spans="1:14" x14ac:dyDescent="0.5">
      <c r="A10" t="str">
        <f>"000010"</f>
        <v>000010</v>
      </c>
      <c r="B10" t="s">
        <v>30</v>
      </c>
      <c r="C10">
        <v>5.8</v>
      </c>
      <c r="D10" t="s">
        <v>24</v>
      </c>
      <c r="E10">
        <v>3.83</v>
      </c>
      <c r="F10">
        <v>0.21</v>
      </c>
      <c r="G10">
        <v>3.82</v>
      </c>
      <c r="H10">
        <v>3.83</v>
      </c>
      <c r="I10" t="s">
        <v>31</v>
      </c>
      <c r="J10">
        <v>3.65</v>
      </c>
      <c r="K10">
        <v>3.65</v>
      </c>
      <c r="L10">
        <v>3.61</v>
      </c>
      <c r="M10">
        <v>3.93</v>
      </c>
      <c r="N10">
        <v>3.55</v>
      </c>
    </row>
    <row r="11" spans="1:14" x14ac:dyDescent="0.5">
      <c r="A11" t="str">
        <f>"000011"</f>
        <v>000011</v>
      </c>
      <c r="B11" t="s">
        <v>32</v>
      </c>
      <c r="C11">
        <v>0.92</v>
      </c>
      <c r="D11">
        <v>34.42</v>
      </c>
      <c r="E11">
        <v>11.02</v>
      </c>
      <c r="F11">
        <v>0.1</v>
      </c>
      <c r="G11">
        <v>11.02</v>
      </c>
      <c r="H11">
        <v>11.03</v>
      </c>
      <c r="I11" t="s">
        <v>33</v>
      </c>
      <c r="J11">
        <v>6.18</v>
      </c>
      <c r="K11">
        <v>6.18</v>
      </c>
      <c r="L11">
        <v>10.88</v>
      </c>
      <c r="M11">
        <v>11.02</v>
      </c>
      <c r="N11">
        <v>10.78</v>
      </c>
    </row>
    <row r="12" spans="1:14" x14ac:dyDescent="0.5">
      <c r="A12" t="str">
        <f>"000012"</f>
        <v>000012</v>
      </c>
      <c r="B12" t="s">
        <v>34</v>
      </c>
      <c r="C12">
        <v>3.59</v>
      </c>
      <c r="D12">
        <v>24.39</v>
      </c>
      <c r="E12">
        <v>5.19</v>
      </c>
      <c r="F12">
        <v>0.18</v>
      </c>
      <c r="G12">
        <v>5.19</v>
      </c>
      <c r="H12">
        <v>5.2</v>
      </c>
      <c r="I12" t="s">
        <v>35</v>
      </c>
      <c r="J12">
        <v>2.41</v>
      </c>
      <c r="K12">
        <v>2.41</v>
      </c>
      <c r="L12">
        <v>5.01</v>
      </c>
      <c r="M12">
        <v>5.19</v>
      </c>
      <c r="N12">
        <v>4.97</v>
      </c>
    </row>
    <row r="13" spans="1:14" x14ac:dyDescent="0.5">
      <c r="A13" t="str">
        <f>"000014"</f>
        <v>000014</v>
      </c>
      <c r="B13" t="s">
        <v>36</v>
      </c>
      <c r="C13">
        <v>1.43</v>
      </c>
      <c r="D13">
        <v>410.21</v>
      </c>
      <c r="E13">
        <v>11.36</v>
      </c>
      <c r="F13">
        <v>0.16</v>
      </c>
      <c r="G13">
        <v>11.35</v>
      </c>
      <c r="H13">
        <v>11.36</v>
      </c>
      <c r="I13" t="s">
        <v>37</v>
      </c>
      <c r="J13">
        <v>5.31</v>
      </c>
      <c r="K13">
        <v>5.31</v>
      </c>
      <c r="L13">
        <v>11.31</v>
      </c>
      <c r="M13">
        <v>11.38</v>
      </c>
      <c r="N13">
        <v>11.17</v>
      </c>
    </row>
    <row r="14" spans="1:14" x14ac:dyDescent="0.5">
      <c r="A14" t="str">
        <f>"000016"</f>
        <v>000016</v>
      </c>
      <c r="B14" t="s">
        <v>38</v>
      </c>
      <c r="C14">
        <v>10</v>
      </c>
      <c r="D14">
        <v>1.94</v>
      </c>
      <c r="E14">
        <v>5.0599999999999996</v>
      </c>
      <c r="F14">
        <v>0.46</v>
      </c>
      <c r="G14">
        <v>5.0599999999999996</v>
      </c>
      <c r="H14" t="s">
        <v>24</v>
      </c>
      <c r="I14" t="s">
        <v>39</v>
      </c>
      <c r="J14">
        <v>5.87</v>
      </c>
      <c r="K14">
        <v>5.87</v>
      </c>
      <c r="L14">
        <v>4.63</v>
      </c>
      <c r="M14">
        <v>5.0599999999999996</v>
      </c>
      <c r="N14">
        <v>4.57</v>
      </c>
    </row>
    <row r="15" spans="1:14" x14ac:dyDescent="0.5">
      <c r="A15" t="str">
        <f>"000017"</f>
        <v>000017</v>
      </c>
      <c r="B15" t="s">
        <v>40</v>
      </c>
      <c r="C15">
        <v>3.22</v>
      </c>
      <c r="D15">
        <v>683.33</v>
      </c>
      <c r="E15">
        <v>5.13</v>
      </c>
      <c r="F15">
        <v>0.16</v>
      </c>
      <c r="G15">
        <v>5.12</v>
      </c>
      <c r="H15">
        <v>5.13</v>
      </c>
      <c r="I15" t="s">
        <v>41</v>
      </c>
      <c r="J15">
        <v>5</v>
      </c>
      <c r="K15">
        <v>5</v>
      </c>
      <c r="L15">
        <v>4.99</v>
      </c>
      <c r="M15">
        <v>5.13</v>
      </c>
      <c r="N15">
        <v>4.93</v>
      </c>
    </row>
    <row r="16" spans="1:14" x14ac:dyDescent="0.5">
      <c r="A16" t="str">
        <f>"000018"</f>
        <v>000018</v>
      </c>
      <c r="B16" t="s">
        <v>42</v>
      </c>
      <c r="C16">
        <v>6.59</v>
      </c>
      <c r="D16" t="s">
        <v>24</v>
      </c>
      <c r="E16">
        <v>2.91</v>
      </c>
      <c r="F16">
        <v>0.18</v>
      </c>
      <c r="G16">
        <v>2.9</v>
      </c>
      <c r="H16">
        <v>2.91</v>
      </c>
      <c r="I16" t="s">
        <v>43</v>
      </c>
      <c r="J16">
        <v>8.6199999999999992</v>
      </c>
      <c r="K16">
        <v>8.6199999999999992</v>
      </c>
      <c r="L16">
        <v>2.73</v>
      </c>
      <c r="M16">
        <v>2.94</v>
      </c>
      <c r="N16">
        <v>2.68</v>
      </c>
    </row>
    <row r="17" spans="1:14" x14ac:dyDescent="0.5">
      <c r="A17" t="str">
        <f>"000019"</f>
        <v>000019</v>
      </c>
      <c r="B17" t="s">
        <v>44</v>
      </c>
      <c r="C17">
        <v>1.48</v>
      </c>
      <c r="D17" t="s">
        <v>24</v>
      </c>
      <c r="E17">
        <v>8.2200000000000006</v>
      </c>
      <c r="F17">
        <v>0.12</v>
      </c>
      <c r="G17">
        <v>8.2200000000000006</v>
      </c>
      <c r="H17">
        <v>8.23</v>
      </c>
      <c r="I17" t="s">
        <v>45</v>
      </c>
      <c r="J17">
        <v>3.37</v>
      </c>
      <c r="K17">
        <v>3.37</v>
      </c>
      <c r="L17">
        <v>8.02</v>
      </c>
      <c r="M17">
        <v>8.23</v>
      </c>
      <c r="N17">
        <v>8.02</v>
      </c>
    </row>
    <row r="18" spans="1:14" x14ac:dyDescent="0.5">
      <c r="A18" t="str">
        <f>"000020"</f>
        <v>000020</v>
      </c>
      <c r="B18" t="s">
        <v>46</v>
      </c>
      <c r="C18">
        <v>0.56000000000000005</v>
      </c>
      <c r="D18">
        <v>3069.74</v>
      </c>
      <c r="E18">
        <v>12.55</v>
      </c>
      <c r="F18">
        <v>7.0000000000000007E-2</v>
      </c>
      <c r="G18">
        <v>12.55</v>
      </c>
      <c r="H18">
        <v>12.56</v>
      </c>
      <c r="I18" t="s">
        <v>47</v>
      </c>
      <c r="J18">
        <v>1.69</v>
      </c>
      <c r="K18">
        <v>1.69</v>
      </c>
      <c r="L18">
        <v>12.45</v>
      </c>
      <c r="M18">
        <v>12.56</v>
      </c>
      <c r="N18">
        <v>12.17</v>
      </c>
    </row>
    <row r="19" spans="1:14" x14ac:dyDescent="0.5">
      <c r="A19" t="str">
        <f>"000021"</f>
        <v>000021</v>
      </c>
      <c r="B19" t="s">
        <v>48</v>
      </c>
      <c r="C19">
        <v>5.19</v>
      </c>
      <c r="D19">
        <v>21.36</v>
      </c>
      <c r="E19">
        <v>7.91</v>
      </c>
      <c r="F19">
        <v>0.39</v>
      </c>
      <c r="G19">
        <v>7.91</v>
      </c>
      <c r="H19">
        <v>7.92</v>
      </c>
      <c r="I19" t="s">
        <v>49</v>
      </c>
      <c r="J19">
        <v>1.83</v>
      </c>
      <c r="K19">
        <v>1.83</v>
      </c>
      <c r="L19">
        <v>7.53</v>
      </c>
      <c r="M19">
        <v>7.94</v>
      </c>
      <c r="N19">
        <v>7.48</v>
      </c>
    </row>
    <row r="20" spans="1:14" x14ac:dyDescent="0.5">
      <c r="A20" t="str">
        <f>"000023"</f>
        <v>000023</v>
      </c>
      <c r="B20" t="s">
        <v>50</v>
      </c>
      <c r="C20">
        <v>2.4700000000000002</v>
      </c>
      <c r="D20">
        <v>316.5</v>
      </c>
      <c r="E20">
        <v>17.03</v>
      </c>
      <c r="F20">
        <v>0.41</v>
      </c>
      <c r="G20">
        <v>17.03</v>
      </c>
      <c r="H20">
        <v>17.05</v>
      </c>
      <c r="I20" t="s">
        <v>51</v>
      </c>
      <c r="J20">
        <v>8.18</v>
      </c>
      <c r="K20">
        <v>8.18</v>
      </c>
      <c r="L20">
        <v>16.62</v>
      </c>
      <c r="M20">
        <v>17.190000000000001</v>
      </c>
      <c r="N20">
        <v>16.350000000000001</v>
      </c>
    </row>
    <row r="21" spans="1:14" x14ac:dyDescent="0.5">
      <c r="A21" t="str">
        <f>"000025"</f>
        <v>000025</v>
      </c>
      <c r="B21" t="s">
        <v>52</v>
      </c>
      <c r="C21">
        <v>10.02</v>
      </c>
      <c r="D21">
        <v>136.01</v>
      </c>
      <c r="E21">
        <v>31.63</v>
      </c>
      <c r="F21">
        <v>2.88</v>
      </c>
      <c r="G21">
        <v>31.63</v>
      </c>
      <c r="H21" t="s">
        <v>24</v>
      </c>
      <c r="I21" t="s">
        <v>53</v>
      </c>
      <c r="J21">
        <v>3.54</v>
      </c>
      <c r="K21">
        <v>3.54</v>
      </c>
      <c r="L21">
        <v>28.68</v>
      </c>
      <c r="M21">
        <v>31.63</v>
      </c>
      <c r="N21">
        <v>28.46</v>
      </c>
    </row>
    <row r="22" spans="1:14" x14ac:dyDescent="0.5">
      <c r="A22" t="str">
        <f>"000026"</f>
        <v>000026</v>
      </c>
      <c r="B22" t="s">
        <v>54</v>
      </c>
      <c r="C22">
        <v>1.28</v>
      </c>
      <c r="D22">
        <v>22.82</v>
      </c>
      <c r="E22">
        <v>8.6999999999999993</v>
      </c>
      <c r="F22">
        <v>0.11</v>
      </c>
      <c r="G22">
        <v>8.69</v>
      </c>
      <c r="H22">
        <v>8.6999999999999993</v>
      </c>
      <c r="I22" t="s">
        <v>55</v>
      </c>
      <c r="J22">
        <v>0.99</v>
      </c>
      <c r="K22">
        <v>0.99</v>
      </c>
      <c r="L22">
        <v>8.58</v>
      </c>
      <c r="M22">
        <v>8.6999999999999993</v>
      </c>
      <c r="N22">
        <v>8.5299999999999994</v>
      </c>
    </row>
    <row r="23" spans="1:14" x14ac:dyDescent="0.5">
      <c r="A23" t="str">
        <f>"000027"</f>
        <v>000027</v>
      </c>
      <c r="B23" t="s">
        <v>56</v>
      </c>
      <c r="C23">
        <v>0.94</v>
      </c>
      <c r="D23">
        <v>46.46</v>
      </c>
      <c r="E23">
        <v>6.44</v>
      </c>
      <c r="F23">
        <v>0.06</v>
      </c>
      <c r="G23">
        <v>6.44</v>
      </c>
      <c r="H23">
        <v>6.45</v>
      </c>
      <c r="I23" t="s">
        <v>57</v>
      </c>
      <c r="J23">
        <v>0.47</v>
      </c>
      <c r="K23">
        <v>0.47</v>
      </c>
      <c r="L23">
        <v>6.35</v>
      </c>
      <c r="M23">
        <v>6.45</v>
      </c>
      <c r="N23">
        <v>6.25</v>
      </c>
    </row>
    <row r="24" spans="1:14" x14ac:dyDescent="0.5">
      <c r="A24" t="str">
        <f>"000028"</f>
        <v>000028</v>
      </c>
      <c r="B24" t="s">
        <v>58</v>
      </c>
      <c r="C24">
        <v>4.76</v>
      </c>
      <c r="D24">
        <v>16.62</v>
      </c>
      <c r="E24">
        <v>48.2</v>
      </c>
      <c r="F24">
        <v>2.19</v>
      </c>
      <c r="G24">
        <v>48.18</v>
      </c>
      <c r="H24">
        <v>48.2</v>
      </c>
      <c r="I24" t="s">
        <v>59</v>
      </c>
      <c r="J24">
        <v>0.87</v>
      </c>
      <c r="K24">
        <v>0.87</v>
      </c>
      <c r="L24">
        <v>46.3</v>
      </c>
      <c r="M24">
        <v>48.28</v>
      </c>
      <c r="N24">
        <v>46.01</v>
      </c>
    </row>
    <row r="25" spans="1:14" x14ac:dyDescent="0.5">
      <c r="A25" t="str">
        <f>"000029"</f>
        <v>000029</v>
      </c>
      <c r="B25" t="s">
        <v>60</v>
      </c>
      <c r="C25" t="s">
        <v>24</v>
      </c>
      <c r="D25">
        <v>27.6</v>
      </c>
      <c r="E25">
        <v>11.17</v>
      </c>
      <c r="F25" t="s">
        <v>24</v>
      </c>
      <c r="G25" t="s">
        <v>24</v>
      </c>
      <c r="H25" t="s">
        <v>24</v>
      </c>
      <c r="I25" t="s">
        <v>61</v>
      </c>
      <c r="J25">
        <v>0</v>
      </c>
      <c r="K25">
        <v>0</v>
      </c>
      <c r="L25" t="s">
        <v>24</v>
      </c>
      <c r="M25" t="s">
        <v>24</v>
      </c>
      <c r="N25" t="s">
        <v>24</v>
      </c>
    </row>
    <row r="26" spans="1:14" x14ac:dyDescent="0.5">
      <c r="A26" t="str">
        <f>"000030"</f>
        <v>000030</v>
      </c>
      <c r="B26" t="s">
        <v>62</v>
      </c>
      <c r="C26">
        <v>1.91</v>
      </c>
      <c r="D26">
        <v>9.99</v>
      </c>
      <c r="E26">
        <v>4.79</v>
      </c>
      <c r="F26">
        <v>0.09</v>
      </c>
      <c r="G26">
        <v>4.78</v>
      </c>
      <c r="H26">
        <v>4.79</v>
      </c>
      <c r="I26" t="s">
        <v>63</v>
      </c>
      <c r="J26">
        <v>0.86</v>
      </c>
      <c r="K26">
        <v>0.86</v>
      </c>
      <c r="L26">
        <v>4.7</v>
      </c>
      <c r="M26">
        <v>4.8</v>
      </c>
      <c r="N26">
        <v>4.66</v>
      </c>
    </row>
    <row r="27" spans="1:14" x14ac:dyDescent="0.5">
      <c r="A27" t="str">
        <f>"000031"</f>
        <v>000031</v>
      </c>
      <c r="B27" t="s">
        <v>64</v>
      </c>
      <c r="C27">
        <v>5.04</v>
      </c>
      <c r="D27">
        <v>17.12</v>
      </c>
      <c r="E27">
        <v>6.25</v>
      </c>
      <c r="F27">
        <v>0.3</v>
      </c>
      <c r="G27">
        <v>6.24</v>
      </c>
      <c r="H27">
        <v>6.25</v>
      </c>
      <c r="I27" t="s">
        <v>65</v>
      </c>
      <c r="J27">
        <v>2.42</v>
      </c>
      <c r="K27">
        <v>2.42</v>
      </c>
      <c r="L27">
        <v>5.93</v>
      </c>
      <c r="M27">
        <v>6.38</v>
      </c>
      <c r="N27">
        <v>5.82</v>
      </c>
    </row>
    <row r="28" spans="1:14" x14ac:dyDescent="0.5">
      <c r="A28" t="str">
        <f>"000032"</f>
        <v>000032</v>
      </c>
      <c r="B28" t="s">
        <v>66</v>
      </c>
      <c r="C28">
        <v>5.03</v>
      </c>
      <c r="D28">
        <v>71.260000000000005</v>
      </c>
      <c r="E28">
        <v>9.39</v>
      </c>
      <c r="F28">
        <v>0.45</v>
      </c>
      <c r="G28">
        <v>9.3800000000000008</v>
      </c>
      <c r="H28">
        <v>9.39</v>
      </c>
      <c r="I28" t="s">
        <v>67</v>
      </c>
      <c r="J28">
        <v>2.61</v>
      </c>
      <c r="K28">
        <v>2.61</v>
      </c>
      <c r="L28">
        <v>8.9499999999999993</v>
      </c>
      <c r="M28">
        <v>9.4</v>
      </c>
      <c r="N28">
        <v>8.83</v>
      </c>
    </row>
    <row r="29" spans="1:14" x14ac:dyDescent="0.5">
      <c r="A29" t="str">
        <f>"000034"</f>
        <v>000034</v>
      </c>
      <c r="B29" t="s">
        <v>68</v>
      </c>
      <c r="C29">
        <v>5.74</v>
      </c>
      <c r="D29">
        <v>11.62</v>
      </c>
      <c r="E29">
        <v>14.55</v>
      </c>
      <c r="F29">
        <v>0.79</v>
      </c>
      <c r="G29">
        <v>14.54</v>
      </c>
      <c r="H29">
        <v>14.55</v>
      </c>
      <c r="I29" t="s">
        <v>69</v>
      </c>
      <c r="J29">
        <v>4.72</v>
      </c>
      <c r="K29">
        <v>4.72</v>
      </c>
      <c r="L29">
        <v>13.52</v>
      </c>
      <c r="M29">
        <v>14.58</v>
      </c>
      <c r="N29">
        <v>13.51</v>
      </c>
    </row>
    <row r="30" spans="1:14" x14ac:dyDescent="0.5">
      <c r="A30" t="str">
        <f>"000035"</f>
        <v>000035</v>
      </c>
      <c r="B30" t="s">
        <v>70</v>
      </c>
      <c r="C30">
        <v>1.63</v>
      </c>
      <c r="D30">
        <v>53.07</v>
      </c>
      <c r="E30">
        <v>5.6</v>
      </c>
      <c r="F30">
        <v>0.09</v>
      </c>
      <c r="G30">
        <v>5.59</v>
      </c>
      <c r="H30">
        <v>5.6</v>
      </c>
      <c r="I30" t="s">
        <v>71</v>
      </c>
      <c r="J30">
        <v>1.23</v>
      </c>
      <c r="K30">
        <v>1.23</v>
      </c>
      <c r="L30">
        <v>5.54</v>
      </c>
      <c r="M30">
        <v>5.61</v>
      </c>
      <c r="N30">
        <v>5.44</v>
      </c>
    </row>
    <row r="31" spans="1:14" x14ac:dyDescent="0.5">
      <c r="A31" t="str">
        <f>"000036"</f>
        <v>000036</v>
      </c>
      <c r="B31" t="s">
        <v>72</v>
      </c>
      <c r="C31">
        <v>0.61</v>
      </c>
      <c r="D31">
        <v>7.31</v>
      </c>
      <c r="E31">
        <v>6.56</v>
      </c>
      <c r="F31">
        <v>0.04</v>
      </c>
      <c r="G31">
        <v>6.56</v>
      </c>
      <c r="H31">
        <v>6.57</v>
      </c>
      <c r="I31" t="s">
        <v>73</v>
      </c>
      <c r="J31">
        <v>1.41</v>
      </c>
      <c r="K31">
        <v>1.41</v>
      </c>
      <c r="L31">
        <v>6.53</v>
      </c>
      <c r="M31">
        <v>6.6</v>
      </c>
      <c r="N31">
        <v>6.47</v>
      </c>
    </row>
    <row r="32" spans="1:14" x14ac:dyDescent="0.5">
      <c r="A32" t="str">
        <f>"000037"</f>
        <v>000037</v>
      </c>
      <c r="B32" t="s">
        <v>74</v>
      </c>
      <c r="C32">
        <v>3.67</v>
      </c>
      <c r="D32">
        <v>97.23</v>
      </c>
      <c r="E32">
        <v>10.16</v>
      </c>
      <c r="F32">
        <v>0.36</v>
      </c>
      <c r="G32">
        <v>10.15</v>
      </c>
      <c r="H32">
        <v>10.16</v>
      </c>
      <c r="I32" t="s">
        <v>75</v>
      </c>
      <c r="J32">
        <v>6.36</v>
      </c>
      <c r="K32">
        <v>6.36</v>
      </c>
      <c r="L32">
        <v>9.8000000000000007</v>
      </c>
      <c r="M32">
        <v>10.44</v>
      </c>
      <c r="N32">
        <v>9.5</v>
      </c>
    </row>
    <row r="33" spans="1:14" x14ac:dyDescent="0.5">
      <c r="A33" t="str">
        <f>"000038"</f>
        <v>000038</v>
      </c>
      <c r="B33" t="s">
        <v>76</v>
      </c>
      <c r="C33">
        <v>2.44</v>
      </c>
      <c r="D33">
        <v>23.16</v>
      </c>
      <c r="E33">
        <v>14.29</v>
      </c>
      <c r="F33">
        <v>0.34</v>
      </c>
      <c r="G33">
        <v>14.29</v>
      </c>
      <c r="H33">
        <v>14.3</v>
      </c>
      <c r="I33" t="s">
        <v>77</v>
      </c>
      <c r="J33">
        <v>4.71</v>
      </c>
      <c r="K33">
        <v>4.71</v>
      </c>
      <c r="L33">
        <v>13.89</v>
      </c>
      <c r="M33">
        <v>14.3</v>
      </c>
      <c r="N33">
        <v>13.82</v>
      </c>
    </row>
    <row r="34" spans="1:14" x14ac:dyDescent="0.5">
      <c r="A34" t="str">
        <f>"000039"</f>
        <v>000039</v>
      </c>
      <c r="B34" t="s">
        <v>78</v>
      </c>
      <c r="C34">
        <v>1.48</v>
      </c>
      <c r="D34">
        <v>11.42</v>
      </c>
      <c r="E34">
        <v>13.7</v>
      </c>
      <c r="F34">
        <v>0.2</v>
      </c>
      <c r="G34">
        <v>13.7</v>
      </c>
      <c r="H34">
        <v>13.71</v>
      </c>
      <c r="I34" t="s">
        <v>79</v>
      </c>
      <c r="J34">
        <v>1.42</v>
      </c>
      <c r="K34">
        <v>1.42</v>
      </c>
      <c r="L34">
        <v>13.49</v>
      </c>
      <c r="M34">
        <v>13.72</v>
      </c>
      <c r="N34">
        <v>13.41</v>
      </c>
    </row>
    <row r="35" spans="1:14" x14ac:dyDescent="0.5">
      <c r="A35" t="str">
        <f>"000040"</f>
        <v>000040</v>
      </c>
      <c r="B35" t="s">
        <v>80</v>
      </c>
      <c r="C35">
        <v>1.7</v>
      </c>
      <c r="D35">
        <v>7.23</v>
      </c>
      <c r="E35">
        <v>8.3699999999999992</v>
      </c>
      <c r="F35">
        <v>0.14000000000000001</v>
      </c>
      <c r="G35">
        <v>8.3699999999999992</v>
      </c>
      <c r="H35">
        <v>8.3800000000000008</v>
      </c>
      <c r="I35" t="s">
        <v>81</v>
      </c>
      <c r="J35">
        <v>5.78</v>
      </c>
      <c r="K35">
        <v>5.78</v>
      </c>
      <c r="L35">
        <v>8.1999999999999993</v>
      </c>
      <c r="M35">
        <v>8.39</v>
      </c>
      <c r="N35">
        <v>8.14</v>
      </c>
    </row>
    <row r="36" spans="1:14" x14ac:dyDescent="0.5">
      <c r="A36" t="str">
        <f>"000042"</f>
        <v>000042</v>
      </c>
      <c r="B36" t="s">
        <v>82</v>
      </c>
      <c r="C36">
        <v>2.66</v>
      </c>
      <c r="D36">
        <v>7.39</v>
      </c>
      <c r="E36">
        <v>13.11</v>
      </c>
      <c r="F36">
        <v>0.34</v>
      </c>
      <c r="G36">
        <v>13.1</v>
      </c>
      <c r="H36">
        <v>13.11</v>
      </c>
      <c r="I36" t="s">
        <v>83</v>
      </c>
      <c r="J36">
        <v>0.57999999999999996</v>
      </c>
      <c r="K36">
        <v>0.57999999999999996</v>
      </c>
      <c r="L36">
        <v>12.7</v>
      </c>
      <c r="M36">
        <v>13.11</v>
      </c>
      <c r="N36">
        <v>12.64</v>
      </c>
    </row>
    <row r="37" spans="1:14" x14ac:dyDescent="0.5">
      <c r="A37" t="str">
        <f>"000043"</f>
        <v>000043</v>
      </c>
      <c r="B37" t="s">
        <v>84</v>
      </c>
      <c r="C37">
        <v>2.02</v>
      </c>
      <c r="D37">
        <v>5.28</v>
      </c>
      <c r="E37">
        <v>8.57</v>
      </c>
      <c r="F37">
        <v>0.17</v>
      </c>
      <c r="G37">
        <v>8.57</v>
      </c>
      <c r="H37">
        <v>8.58</v>
      </c>
      <c r="I37" t="s">
        <v>85</v>
      </c>
      <c r="J37">
        <v>0.95</v>
      </c>
      <c r="K37">
        <v>0.95</v>
      </c>
      <c r="L37">
        <v>8.35</v>
      </c>
      <c r="M37">
        <v>8.57</v>
      </c>
      <c r="N37">
        <v>8.35</v>
      </c>
    </row>
    <row r="38" spans="1:14" x14ac:dyDescent="0.5">
      <c r="A38" t="str">
        <f>"000045"</f>
        <v>000045</v>
      </c>
      <c r="B38" t="s">
        <v>86</v>
      </c>
      <c r="C38">
        <v>2.7</v>
      </c>
      <c r="D38">
        <v>112.71</v>
      </c>
      <c r="E38">
        <v>7.23</v>
      </c>
      <c r="F38">
        <v>0.19</v>
      </c>
      <c r="G38">
        <v>7.22</v>
      </c>
      <c r="H38">
        <v>7.23</v>
      </c>
      <c r="I38" t="s">
        <v>87</v>
      </c>
      <c r="J38">
        <v>3.35</v>
      </c>
      <c r="K38">
        <v>3.35</v>
      </c>
      <c r="L38">
        <v>7</v>
      </c>
      <c r="M38">
        <v>7.23</v>
      </c>
      <c r="N38">
        <v>6.91</v>
      </c>
    </row>
    <row r="39" spans="1:14" x14ac:dyDescent="0.5">
      <c r="A39" t="str">
        <f>"000046"</f>
        <v>000046</v>
      </c>
      <c r="B39" t="s">
        <v>88</v>
      </c>
      <c r="C39">
        <v>0.15</v>
      </c>
      <c r="D39">
        <v>9.51</v>
      </c>
      <c r="E39">
        <v>6.7</v>
      </c>
      <c r="F39">
        <v>0.01</v>
      </c>
      <c r="G39">
        <v>6.7</v>
      </c>
      <c r="H39">
        <v>6.71</v>
      </c>
      <c r="I39" t="s">
        <v>89</v>
      </c>
      <c r="J39">
        <v>0.93</v>
      </c>
      <c r="K39">
        <v>0.93</v>
      </c>
      <c r="L39">
        <v>6.55</v>
      </c>
      <c r="M39">
        <v>6.75</v>
      </c>
      <c r="N39">
        <v>6.35</v>
      </c>
    </row>
    <row r="40" spans="1:14" x14ac:dyDescent="0.5">
      <c r="A40" t="str">
        <f>"000048"</f>
        <v>000048</v>
      </c>
      <c r="B40" t="s">
        <v>90</v>
      </c>
      <c r="C40">
        <v>-1.31</v>
      </c>
      <c r="D40">
        <v>18.690000000000001</v>
      </c>
      <c r="E40">
        <v>20.41</v>
      </c>
      <c r="F40">
        <v>-0.27</v>
      </c>
      <c r="G40">
        <v>20.41</v>
      </c>
      <c r="H40">
        <v>20.420000000000002</v>
      </c>
      <c r="I40" t="s">
        <v>91</v>
      </c>
      <c r="J40">
        <v>0.18</v>
      </c>
      <c r="K40">
        <v>0.18</v>
      </c>
      <c r="L40">
        <v>20.5</v>
      </c>
      <c r="M40">
        <v>20.64</v>
      </c>
      <c r="N40">
        <v>20.399999999999999</v>
      </c>
    </row>
    <row r="41" spans="1:14" x14ac:dyDescent="0.5">
      <c r="A41" t="str">
        <f>"000049"</f>
        <v>000049</v>
      </c>
      <c r="B41" t="s">
        <v>92</v>
      </c>
      <c r="C41">
        <v>2.04</v>
      </c>
      <c r="D41">
        <v>17.899999999999999</v>
      </c>
      <c r="E41">
        <v>34.56</v>
      </c>
      <c r="F41">
        <v>0.69</v>
      </c>
      <c r="G41">
        <v>34.56</v>
      </c>
      <c r="H41">
        <v>34.57</v>
      </c>
      <c r="I41" t="s">
        <v>93</v>
      </c>
      <c r="J41">
        <v>1.7</v>
      </c>
      <c r="K41">
        <v>1.7</v>
      </c>
      <c r="L41">
        <v>33.86</v>
      </c>
      <c r="M41">
        <v>34.69</v>
      </c>
      <c r="N41">
        <v>33.54</v>
      </c>
    </row>
    <row r="42" spans="1:14" x14ac:dyDescent="0.5">
      <c r="A42" t="str">
        <f>"000050"</f>
        <v>000050</v>
      </c>
      <c r="B42" t="s">
        <v>94</v>
      </c>
      <c r="C42">
        <v>7.16</v>
      </c>
      <c r="D42">
        <v>51.19</v>
      </c>
      <c r="E42">
        <v>17.37</v>
      </c>
      <c r="F42">
        <v>1.1599999999999999</v>
      </c>
      <c r="G42">
        <v>17.37</v>
      </c>
      <c r="H42">
        <v>17.38</v>
      </c>
      <c r="I42" t="s">
        <v>95</v>
      </c>
      <c r="J42">
        <v>9.24</v>
      </c>
      <c r="K42">
        <v>9.24</v>
      </c>
      <c r="L42">
        <v>15.99</v>
      </c>
      <c r="M42">
        <v>17.59</v>
      </c>
      <c r="N42">
        <v>15.82</v>
      </c>
    </row>
    <row r="43" spans="1:14" x14ac:dyDescent="0.5">
      <c r="A43" t="str">
        <f>"000055"</f>
        <v>000055</v>
      </c>
      <c r="B43" t="s">
        <v>96</v>
      </c>
      <c r="C43">
        <v>2.34</v>
      </c>
      <c r="D43">
        <v>3.19</v>
      </c>
      <c r="E43">
        <v>6.55</v>
      </c>
      <c r="F43">
        <v>0.15</v>
      </c>
      <c r="G43">
        <v>6.54</v>
      </c>
      <c r="H43">
        <v>6.55</v>
      </c>
      <c r="I43" t="s">
        <v>97</v>
      </c>
      <c r="J43">
        <v>5.57</v>
      </c>
      <c r="K43">
        <v>5.57</v>
      </c>
      <c r="L43">
        <v>6.41</v>
      </c>
      <c r="M43">
        <v>6.59</v>
      </c>
      <c r="N43">
        <v>6.35</v>
      </c>
    </row>
    <row r="44" spans="1:14" x14ac:dyDescent="0.5">
      <c r="A44" t="str">
        <f>"000056"</f>
        <v>000056</v>
      </c>
      <c r="B44" t="s">
        <v>98</v>
      </c>
      <c r="C44">
        <v>2.91</v>
      </c>
      <c r="D44">
        <v>38.130000000000003</v>
      </c>
      <c r="E44">
        <v>5.66</v>
      </c>
      <c r="F44">
        <v>0.16</v>
      </c>
      <c r="G44">
        <v>5.66</v>
      </c>
      <c r="H44">
        <v>5.67</v>
      </c>
      <c r="I44" t="s">
        <v>99</v>
      </c>
      <c r="J44">
        <v>2.3199999999999998</v>
      </c>
      <c r="K44">
        <v>2.3199999999999998</v>
      </c>
      <c r="L44">
        <v>5.5</v>
      </c>
      <c r="M44">
        <v>5.67</v>
      </c>
      <c r="N44">
        <v>5.46</v>
      </c>
    </row>
    <row r="45" spans="1:14" x14ac:dyDescent="0.5">
      <c r="A45" t="str">
        <f>"000058"</f>
        <v>000058</v>
      </c>
      <c r="B45" t="s">
        <v>100</v>
      </c>
      <c r="C45">
        <v>0.25</v>
      </c>
      <c r="D45">
        <v>34.19</v>
      </c>
      <c r="E45">
        <v>8.02</v>
      </c>
      <c r="F45">
        <v>0.02</v>
      </c>
      <c r="G45">
        <v>8.01</v>
      </c>
      <c r="H45">
        <v>8.02</v>
      </c>
      <c r="I45" t="s">
        <v>101</v>
      </c>
      <c r="J45">
        <v>5.51</v>
      </c>
      <c r="K45">
        <v>5.51</v>
      </c>
      <c r="L45">
        <v>7.85</v>
      </c>
      <c r="M45">
        <v>8.1</v>
      </c>
      <c r="N45">
        <v>7.73</v>
      </c>
    </row>
    <row r="46" spans="1:14" x14ac:dyDescent="0.5">
      <c r="A46" t="str">
        <f>"000059"</f>
        <v>000059</v>
      </c>
      <c r="B46" t="s">
        <v>102</v>
      </c>
      <c r="C46">
        <v>2.2200000000000002</v>
      </c>
      <c r="D46">
        <v>6.4</v>
      </c>
      <c r="E46">
        <v>6.92</v>
      </c>
      <c r="F46">
        <v>0.15</v>
      </c>
      <c r="G46">
        <v>6.91</v>
      </c>
      <c r="H46">
        <v>6.92</v>
      </c>
      <c r="I46" t="s">
        <v>103</v>
      </c>
      <c r="J46">
        <v>1.83</v>
      </c>
      <c r="K46">
        <v>1.83</v>
      </c>
      <c r="L46">
        <v>6.76</v>
      </c>
      <c r="M46">
        <v>6.92</v>
      </c>
      <c r="N46">
        <v>6.72</v>
      </c>
    </row>
    <row r="47" spans="1:14" x14ac:dyDescent="0.5">
      <c r="A47" t="str">
        <f>"000060"</f>
        <v>000060</v>
      </c>
      <c r="B47" t="s">
        <v>104</v>
      </c>
      <c r="C47">
        <v>0.99</v>
      </c>
      <c r="D47">
        <v>17.96</v>
      </c>
      <c r="E47">
        <v>5.09</v>
      </c>
      <c r="F47">
        <v>0.05</v>
      </c>
      <c r="G47">
        <v>5.08</v>
      </c>
      <c r="H47">
        <v>5.09</v>
      </c>
      <c r="I47" t="s">
        <v>105</v>
      </c>
      <c r="J47">
        <v>2.2599999999999998</v>
      </c>
      <c r="K47">
        <v>2.2599999999999998</v>
      </c>
      <c r="L47">
        <v>4.9800000000000004</v>
      </c>
      <c r="M47">
        <v>5.09</v>
      </c>
      <c r="N47">
        <v>4.9400000000000004</v>
      </c>
    </row>
    <row r="48" spans="1:14" x14ac:dyDescent="0.5">
      <c r="A48" t="str">
        <f>"000061"</f>
        <v>000061</v>
      </c>
      <c r="B48" t="s">
        <v>106</v>
      </c>
      <c r="C48">
        <v>1.52</v>
      </c>
      <c r="D48">
        <v>170.18</v>
      </c>
      <c r="E48">
        <v>6.01</v>
      </c>
      <c r="F48">
        <v>0.09</v>
      </c>
      <c r="G48">
        <v>6.01</v>
      </c>
      <c r="H48">
        <v>6.02</v>
      </c>
      <c r="I48" t="s">
        <v>107</v>
      </c>
      <c r="J48">
        <v>0.78</v>
      </c>
      <c r="K48">
        <v>0.78</v>
      </c>
      <c r="L48">
        <v>5.9</v>
      </c>
      <c r="M48">
        <v>6.02</v>
      </c>
      <c r="N48">
        <v>5.85</v>
      </c>
    </row>
    <row r="49" spans="1:14" x14ac:dyDescent="0.5">
      <c r="A49" t="str">
        <f>"000062"</f>
        <v>000062</v>
      </c>
      <c r="B49" t="s">
        <v>108</v>
      </c>
      <c r="C49">
        <v>0.76</v>
      </c>
      <c r="D49">
        <v>23.82</v>
      </c>
      <c r="E49">
        <v>21.11</v>
      </c>
      <c r="F49">
        <v>0.16</v>
      </c>
      <c r="G49">
        <v>21.1</v>
      </c>
      <c r="H49">
        <v>21.11</v>
      </c>
      <c r="I49" t="s">
        <v>109</v>
      </c>
      <c r="J49">
        <v>1.0900000000000001</v>
      </c>
      <c r="K49">
        <v>1.0900000000000001</v>
      </c>
      <c r="L49">
        <v>20.9</v>
      </c>
      <c r="M49">
        <v>21.15</v>
      </c>
      <c r="N49">
        <v>20.61</v>
      </c>
    </row>
    <row r="50" spans="1:14" x14ac:dyDescent="0.5">
      <c r="A50" t="str">
        <f>"000063"</f>
        <v>000063</v>
      </c>
      <c r="B50" t="s">
        <v>110</v>
      </c>
      <c r="C50">
        <v>4.42</v>
      </c>
      <c r="D50" t="s">
        <v>24</v>
      </c>
      <c r="E50">
        <v>31.65</v>
      </c>
      <c r="F50">
        <v>1.34</v>
      </c>
      <c r="G50">
        <v>31.65</v>
      </c>
      <c r="H50">
        <v>31.66</v>
      </c>
      <c r="I50" t="s">
        <v>111</v>
      </c>
      <c r="J50">
        <v>5.55</v>
      </c>
      <c r="K50">
        <v>5.55</v>
      </c>
      <c r="L50">
        <v>30.22</v>
      </c>
      <c r="M50">
        <v>31.7</v>
      </c>
      <c r="N50">
        <v>29.65</v>
      </c>
    </row>
    <row r="51" spans="1:14" x14ac:dyDescent="0.5">
      <c r="A51" t="str">
        <f>"000065"</f>
        <v>000065</v>
      </c>
      <c r="B51" t="s">
        <v>112</v>
      </c>
      <c r="C51">
        <v>0.98</v>
      </c>
      <c r="D51">
        <v>11.96</v>
      </c>
      <c r="E51">
        <v>9.3000000000000007</v>
      </c>
      <c r="F51">
        <v>0.09</v>
      </c>
      <c r="G51">
        <v>9.3000000000000007</v>
      </c>
      <c r="H51">
        <v>9.31</v>
      </c>
      <c r="I51" t="s">
        <v>113</v>
      </c>
      <c r="J51">
        <v>1.51</v>
      </c>
      <c r="K51">
        <v>1.51</v>
      </c>
      <c r="L51">
        <v>9.2100000000000009</v>
      </c>
      <c r="M51">
        <v>9.41</v>
      </c>
      <c r="N51">
        <v>9.08</v>
      </c>
    </row>
    <row r="52" spans="1:14" x14ac:dyDescent="0.5">
      <c r="A52" t="str">
        <f>"000066"</f>
        <v>000066</v>
      </c>
      <c r="B52" t="s">
        <v>114</v>
      </c>
      <c r="C52">
        <v>9.73</v>
      </c>
      <c r="D52">
        <v>41.9</v>
      </c>
      <c r="E52">
        <v>7.78</v>
      </c>
      <c r="F52">
        <v>0.69</v>
      </c>
      <c r="G52">
        <v>7.77</v>
      </c>
      <c r="H52">
        <v>7.78</v>
      </c>
      <c r="I52" t="s">
        <v>115</v>
      </c>
      <c r="J52">
        <v>5.07</v>
      </c>
      <c r="K52">
        <v>5.07</v>
      </c>
      <c r="L52">
        <v>7.04</v>
      </c>
      <c r="M52">
        <v>7.78</v>
      </c>
      <c r="N52">
        <v>7</v>
      </c>
    </row>
    <row r="53" spans="1:14" x14ac:dyDescent="0.5">
      <c r="A53" t="str">
        <f>"000068"</f>
        <v>000068</v>
      </c>
      <c r="B53" t="s">
        <v>116</v>
      </c>
      <c r="C53">
        <v>1.32</v>
      </c>
      <c r="D53" t="s">
        <v>24</v>
      </c>
      <c r="E53">
        <v>6.91</v>
      </c>
      <c r="F53">
        <v>0.09</v>
      </c>
      <c r="G53">
        <v>6.91</v>
      </c>
      <c r="H53">
        <v>6.92</v>
      </c>
      <c r="I53" t="s">
        <v>117</v>
      </c>
      <c r="J53">
        <v>11.1</v>
      </c>
      <c r="K53">
        <v>11.1</v>
      </c>
      <c r="L53">
        <v>6.55</v>
      </c>
      <c r="M53">
        <v>7.18</v>
      </c>
      <c r="N53">
        <v>6.54</v>
      </c>
    </row>
    <row r="54" spans="1:14" x14ac:dyDescent="0.5">
      <c r="A54" t="str">
        <f>"000069"</f>
        <v>000069</v>
      </c>
      <c r="B54" t="s">
        <v>118</v>
      </c>
      <c r="C54">
        <v>1.1200000000000001</v>
      </c>
      <c r="D54">
        <v>6.37</v>
      </c>
      <c r="E54">
        <v>7.25</v>
      </c>
      <c r="F54">
        <v>0.08</v>
      </c>
      <c r="G54">
        <v>7.24</v>
      </c>
      <c r="H54">
        <v>7.25</v>
      </c>
      <c r="I54" t="s">
        <v>119</v>
      </c>
      <c r="J54">
        <v>0.83</v>
      </c>
      <c r="K54">
        <v>0.83</v>
      </c>
      <c r="L54">
        <v>7.17</v>
      </c>
      <c r="M54">
        <v>7.32</v>
      </c>
      <c r="N54">
        <v>7.13</v>
      </c>
    </row>
    <row r="55" spans="1:14" x14ac:dyDescent="0.5">
      <c r="A55" t="str">
        <f>"000070"</f>
        <v>000070</v>
      </c>
      <c r="B55" t="s">
        <v>120</v>
      </c>
      <c r="C55">
        <v>3.44</v>
      </c>
      <c r="D55">
        <v>37.15</v>
      </c>
      <c r="E55">
        <v>16.84</v>
      </c>
      <c r="F55">
        <v>0.56000000000000005</v>
      </c>
      <c r="G55">
        <v>16.84</v>
      </c>
      <c r="H55">
        <v>16.850000000000001</v>
      </c>
      <c r="I55" t="s">
        <v>121</v>
      </c>
      <c r="J55">
        <v>18.190000000000001</v>
      </c>
      <c r="K55">
        <v>18.190000000000001</v>
      </c>
      <c r="L55">
        <v>15.8</v>
      </c>
      <c r="M55">
        <v>17.649999999999999</v>
      </c>
      <c r="N55">
        <v>15.36</v>
      </c>
    </row>
    <row r="56" spans="1:14" x14ac:dyDescent="0.5">
      <c r="A56" t="str">
        <f>"000078"</f>
        <v>000078</v>
      </c>
      <c r="B56" t="s">
        <v>122</v>
      </c>
      <c r="C56">
        <v>9.98</v>
      </c>
      <c r="D56">
        <v>17.32</v>
      </c>
      <c r="E56">
        <v>4.74</v>
      </c>
      <c r="F56">
        <v>0.43</v>
      </c>
      <c r="G56">
        <v>4.74</v>
      </c>
      <c r="H56" t="s">
        <v>24</v>
      </c>
      <c r="I56" t="s">
        <v>123</v>
      </c>
      <c r="J56">
        <v>7.55</v>
      </c>
      <c r="K56">
        <v>7.55</v>
      </c>
      <c r="L56">
        <v>4.29</v>
      </c>
      <c r="M56">
        <v>4.74</v>
      </c>
      <c r="N56">
        <v>4.21</v>
      </c>
    </row>
    <row r="57" spans="1:14" x14ac:dyDescent="0.5">
      <c r="A57" t="str">
        <f>"000088"</f>
        <v>000088</v>
      </c>
      <c r="B57" t="s">
        <v>124</v>
      </c>
      <c r="C57">
        <v>1.08</v>
      </c>
      <c r="D57">
        <v>29.81</v>
      </c>
      <c r="E57">
        <v>6.57</v>
      </c>
      <c r="F57">
        <v>7.0000000000000007E-2</v>
      </c>
      <c r="G57">
        <v>6.56</v>
      </c>
      <c r="H57">
        <v>6.57</v>
      </c>
      <c r="I57" t="s">
        <v>125</v>
      </c>
      <c r="J57">
        <v>0.97</v>
      </c>
      <c r="K57">
        <v>0.97</v>
      </c>
      <c r="L57">
        <v>6.49</v>
      </c>
      <c r="M57">
        <v>6.59</v>
      </c>
      <c r="N57">
        <v>6.38</v>
      </c>
    </row>
    <row r="58" spans="1:14" x14ac:dyDescent="0.5">
      <c r="A58" t="str">
        <f>"000089"</f>
        <v>000089</v>
      </c>
      <c r="B58" t="s">
        <v>126</v>
      </c>
      <c r="C58">
        <v>-0.21</v>
      </c>
      <c r="D58">
        <v>27.22</v>
      </c>
      <c r="E58">
        <v>9.65</v>
      </c>
      <c r="F58">
        <v>-0.02</v>
      </c>
      <c r="G58">
        <v>9.64</v>
      </c>
      <c r="H58">
        <v>9.65</v>
      </c>
      <c r="I58" t="s">
        <v>127</v>
      </c>
      <c r="J58">
        <v>0.91</v>
      </c>
      <c r="K58">
        <v>0.91</v>
      </c>
      <c r="L58">
        <v>9.66</v>
      </c>
      <c r="M58">
        <v>9.67</v>
      </c>
      <c r="N58">
        <v>9.51</v>
      </c>
    </row>
    <row r="59" spans="1:14" x14ac:dyDescent="0.5">
      <c r="A59" t="str">
        <f>"000090"</f>
        <v>000090</v>
      </c>
      <c r="B59" t="s">
        <v>128</v>
      </c>
      <c r="C59">
        <v>1.34</v>
      </c>
      <c r="D59">
        <v>36.700000000000003</v>
      </c>
      <c r="E59">
        <v>6.06</v>
      </c>
      <c r="F59">
        <v>0.08</v>
      </c>
      <c r="G59">
        <v>6.05</v>
      </c>
      <c r="H59">
        <v>6.06</v>
      </c>
      <c r="I59" t="s">
        <v>129</v>
      </c>
      <c r="J59">
        <v>0.96</v>
      </c>
      <c r="K59">
        <v>0.96</v>
      </c>
      <c r="L59">
        <v>5.98</v>
      </c>
      <c r="M59">
        <v>6.08</v>
      </c>
      <c r="N59">
        <v>5.98</v>
      </c>
    </row>
    <row r="60" spans="1:14" x14ac:dyDescent="0.5">
      <c r="A60" t="str">
        <f>"000096"</f>
        <v>000096</v>
      </c>
      <c r="B60" t="s">
        <v>130</v>
      </c>
      <c r="C60">
        <v>0.56000000000000005</v>
      </c>
      <c r="D60">
        <v>42.95</v>
      </c>
      <c r="E60">
        <v>10.84</v>
      </c>
      <c r="F60">
        <v>0.06</v>
      </c>
      <c r="G60">
        <v>10.83</v>
      </c>
      <c r="H60">
        <v>10.84</v>
      </c>
      <c r="I60" t="s">
        <v>131</v>
      </c>
      <c r="J60">
        <v>0.78</v>
      </c>
      <c r="K60">
        <v>0.78</v>
      </c>
      <c r="L60">
        <v>10.71</v>
      </c>
      <c r="M60">
        <v>10.97</v>
      </c>
      <c r="N60">
        <v>10.6</v>
      </c>
    </row>
    <row r="61" spans="1:14" x14ac:dyDescent="0.5">
      <c r="A61" t="str">
        <f>"000099"</f>
        <v>000099</v>
      </c>
      <c r="B61" t="s">
        <v>132</v>
      </c>
      <c r="C61">
        <v>0.36</v>
      </c>
      <c r="D61">
        <v>48.93</v>
      </c>
      <c r="E61">
        <v>8.31</v>
      </c>
      <c r="F61">
        <v>0.03</v>
      </c>
      <c r="G61">
        <v>8.3000000000000007</v>
      </c>
      <c r="H61">
        <v>8.31</v>
      </c>
      <c r="I61" t="s">
        <v>133</v>
      </c>
      <c r="J61">
        <v>3.35</v>
      </c>
      <c r="K61">
        <v>3.35</v>
      </c>
      <c r="L61">
        <v>8.25</v>
      </c>
      <c r="M61">
        <v>8.39</v>
      </c>
      <c r="N61">
        <v>8.09</v>
      </c>
    </row>
    <row r="62" spans="1:14" x14ac:dyDescent="0.5">
      <c r="A62" t="str">
        <f>"000100"</f>
        <v>000100</v>
      </c>
      <c r="B62" t="s">
        <v>134</v>
      </c>
      <c r="C62">
        <v>10.14</v>
      </c>
      <c r="D62">
        <v>13.73</v>
      </c>
      <c r="E62">
        <v>3.8</v>
      </c>
      <c r="F62">
        <v>0.35</v>
      </c>
      <c r="G62">
        <v>3.8</v>
      </c>
      <c r="H62" t="s">
        <v>24</v>
      </c>
      <c r="I62" t="s">
        <v>135</v>
      </c>
      <c r="J62">
        <v>5.29</v>
      </c>
      <c r="K62">
        <v>5.29</v>
      </c>
      <c r="L62">
        <v>3.47</v>
      </c>
      <c r="M62">
        <v>3.8</v>
      </c>
      <c r="N62">
        <v>3.42</v>
      </c>
    </row>
    <row r="63" spans="1:14" x14ac:dyDescent="0.5">
      <c r="A63" t="str">
        <f>"000150"</f>
        <v>000150</v>
      </c>
      <c r="B63" t="s">
        <v>136</v>
      </c>
      <c r="C63">
        <v>0.46</v>
      </c>
      <c r="D63">
        <v>33.85</v>
      </c>
      <c r="E63">
        <v>13.1</v>
      </c>
      <c r="F63">
        <v>0.06</v>
      </c>
      <c r="G63">
        <v>13.09</v>
      </c>
      <c r="H63">
        <v>13.1</v>
      </c>
      <c r="I63" t="s">
        <v>137</v>
      </c>
      <c r="J63">
        <v>4.04</v>
      </c>
      <c r="K63">
        <v>4.04</v>
      </c>
      <c r="L63">
        <v>12.85</v>
      </c>
      <c r="M63">
        <v>13.14</v>
      </c>
      <c r="N63">
        <v>12.66</v>
      </c>
    </row>
    <row r="64" spans="1:14" x14ac:dyDescent="0.5">
      <c r="A64" t="str">
        <f>"000151"</f>
        <v>000151</v>
      </c>
      <c r="B64" t="s">
        <v>138</v>
      </c>
      <c r="C64">
        <v>-0.14000000000000001</v>
      </c>
      <c r="D64">
        <v>45.03</v>
      </c>
      <c r="E64">
        <v>13.97</v>
      </c>
      <c r="F64">
        <v>-0.02</v>
      </c>
      <c r="G64">
        <v>13.96</v>
      </c>
      <c r="H64">
        <v>13.97</v>
      </c>
      <c r="I64" t="s">
        <v>139</v>
      </c>
      <c r="J64">
        <v>8.61</v>
      </c>
      <c r="K64">
        <v>8.61</v>
      </c>
      <c r="L64">
        <v>13.7</v>
      </c>
      <c r="M64">
        <v>14.35</v>
      </c>
      <c r="N64">
        <v>13.57</v>
      </c>
    </row>
    <row r="65" spans="1:14" x14ac:dyDescent="0.5">
      <c r="A65" t="str">
        <f>"000153"</f>
        <v>000153</v>
      </c>
      <c r="B65" t="s">
        <v>140</v>
      </c>
      <c r="C65">
        <v>1.07</v>
      </c>
      <c r="D65">
        <v>32.92</v>
      </c>
      <c r="E65">
        <v>6.63</v>
      </c>
      <c r="F65">
        <v>7.0000000000000007E-2</v>
      </c>
      <c r="G65">
        <v>6.63</v>
      </c>
      <c r="H65">
        <v>6.64</v>
      </c>
      <c r="I65" t="s">
        <v>141</v>
      </c>
      <c r="J65">
        <v>2.8</v>
      </c>
      <c r="K65">
        <v>2.8</v>
      </c>
      <c r="L65">
        <v>6.58</v>
      </c>
      <c r="M65">
        <v>6.68</v>
      </c>
      <c r="N65">
        <v>6.43</v>
      </c>
    </row>
    <row r="66" spans="1:14" x14ac:dyDescent="0.5">
      <c r="A66" t="str">
        <f>"000155"</f>
        <v>000155</v>
      </c>
      <c r="B66" t="s">
        <v>142</v>
      </c>
      <c r="C66">
        <v>2.21</v>
      </c>
      <c r="D66">
        <v>37.049999999999997</v>
      </c>
      <c r="E66">
        <v>4.17</v>
      </c>
      <c r="F66">
        <v>0.09</v>
      </c>
      <c r="G66">
        <v>4.16</v>
      </c>
      <c r="H66">
        <v>4.17</v>
      </c>
      <c r="I66" t="s">
        <v>143</v>
      </c>
      <c r="J66">
        <v>1.69</v>
      </c>
      <c r="K66">
        <v>1.69</v>
      </c>
      <c r="L66">
        <v>4.09</v>
      </c>
      <c r="M66">
        <v>4.18</v>
      </c>
      <c r="N66">
        <v>4.03</v>
      </c>
    </row>
    <row r="67" spans="1:14" x14ac:dyDescent="0.5">
      <c r="A67" t="str">
        <f>"000156"</f>
        <v>000156</v>
      </c>
      <c r="B67" t="s">
        <v>144</v>
      </c>
      <c r="C67">
        <v>7.31</v>
      </c>
      <c r="D67">
        <v>22.15</v>
      </c>
      <c r="E67">
        <v>11.45</v>
      </c>
      <c r="F67">
        <v>0.78</v>
      </c>
      <c r="G67">
        <v>11.45</v>
      </c>
      <c r="H67">
        <v>11.46</v>
      </c>
      <c r="I67" t="s">
        <v>145</v>
      </c>
      <c r="J67">
        <v>2.31</v>
      </c>
      <c r="K67">
        <v>2.31</v>
      </c>
      <c r="L67">
        <v>10.75</v>
      </c>
      <c r="M67">
        <v>11.45</v>
      </c>
      <c r="N67">
        <v>10.61</v>
      </c>
    </row>
    <row r="68" spans="1:14" x14ac:dyDescent="0.5">
      <c r="A68" t="str">
        <f>"000157"</f>
        <v>000157</v>
      </c>
      <c r="B68" t="s">
        <v>146</v>
      </c>
      <c r="C68">
        <v>1.62</v>
      </c>
      <c r="D68">
        <v>24.42</v>
      </c>
      <c r="E68">
        <v>4.38</v>
      </c>
      <c r="F68">
        <v>7.0000000000000007E-2</v>
      </c>
      <c r="G68">
        <v>4.37</v>
      </c>
      <c r="H68">
        <v>4.38</v>
      </c>
      <c r="I68" t="s">
        <v>147</v>
      </c>
      <c r="J68">
        <v>0.77</v>
      </c>
      <c r="K68">
        <v>0.77</v>
      </c>
      <c r="L68">
        <v>4.3</v>
      </c>
      <c r="M68">
        <v>4.3899999999999997</v>
      </c>
      <c r="N68">
        <v>4.29</v>
      </c>
    </row>
    <row r="69" spans="1:14" x14ac:dyDescent="0.5">
      <c r="A69" t="str">
        <f>"000158"</f>
        <v>000158</v>
      </c>
      <c r="B69" t="s">
        <v>148</v>
      </c>
      <c r="C69">
        <v>4.12</v>
      </c>
      <c r="D69">
        <v>29.25</v>
      </c>
      <c r="E69">
        <v>6.06</v>
      </c>
      <c r="F69">
        <v>0.24</v>
      </c>
      <c r="G69">
        <v>6.05</v>
      </c>
      <c r="H69">
        <v>6.06</v>
      </c>
      <c r="I69" t="s">
        <v>149</v>
      </c>
      <c r="J69">
        <v>2.0699999999999998</v>
      </c>
      <c r="K69">
        <v>2.0699999999999998</v>
      </c>
      <c r="L69">
        <v>5.8</v>
      </c>
      <c r="M69">
        <v>6.08</v>
      </c>
      <c r="N69">
        <v>5.74</v>
      </c>
    </row>
    <row r="70" spans="1:14" x14ac:dyDescent="0.5">
      <c r="A70" t="str">
        <f>"000159"</f>
        <v>000159</v>
      </c>
      <c r="B70" t="s">
        <v>150</v>
      </c>
      <c r="C70">
        <v>0.6</v>
      </c>
      <c r="D70">
        <v>167.46</v>
      </c>
      <c r="E70">
        <v>5.03</v>
      </c>
      <c r="F70">
        <v>0.03</v>
      </c>
      <c r="G70">
        <v>5.0199999999999996</v>
      </c>
      <c r="H70">
        <v>5.03</v>
      </c>
      <c r="I70" t="s">
        <v>151</v>
      </c>
      <c r="J70">
        <v>3.83</v>
      </c>
      <c r="K70">
        <v>3.83</v>
      </c>
      <c r="L70">
        <v>4.91</v>
      </c>
      <c r="M70">
        <v>5.0599999999999996</v>
      </c>
      <c r="N70">
        <v>4.8899999999999997</v>
      </c>
    </row>
    <row r="71" spans="1:14" x14ac:dyDescent="0.5">
      <c r="A71" t="str">
        <f>"000166"</f>
        <v>000166</v>
      </c>
      <c r="B71" t="s">
        <v>152</v>
      </c>
      <c r="C71">
        <v>-0.35</v>
      </c>
      <c r="D71">
        <v>30.55</v>
      </c>
      <c r="E71">
        <v>5.64</v>
      </c>
      <c r="F71">
        <v>-0.02</v>
      </c>
      <c r="G71">
        <v>5.64</v>
      </c>
      <c r="H71">
        <v>5.65</v>
      </c>
      <c r="I71" t="s">
        <v>153</v>
      </c>
      <c r="J71">
        <v>0.68</v>
      </c>
      <c r="K71">
        <v>0.68</v>
      </c>
      <c r="L71">
        <v>5.6</v>
      </c>
      <c r="M71">
        <v>5.66</v>
      </c>
      <c r="N71">
        <v>5.55</v>
      </c>
    </row>
    <row r="72" spans="1:14" x14ac:dyDescent="0.5">
      <c r="A72" t="str">
        <f>"000301"</f>
        <v>000301</v>
      </c>
      <c r="B72" t="s">
        <v>154</v>
      </c>
      <c r="C72">
        <v>0.55000000000000004</v>
      </c>
      <c r="D72" t="s">
        <v>24</v>
      </c>
      <c r="E72">
        <v>5.53</v>
      </c>
      <c r="F72">
        <v>0.03</v>
      </c>
      <c r="G72">
        <v>5.53</v>
      </c>
      <c r="H72">
        <v>5.54</v>
      </c>
      <c r="I72" t="s">
        <v>155</v>
      </c>
      <c r="J72">
        <v>1.1000000000000001</v>
      </c>
      <c r="K72">
        <v>1.1000000000000001</v>
      </c>
      <c r="L72">
        <v>5.53</v>
      </c>
      <c r="M72">
        <v>5.55</v>
      </c>
      <c r="N72">
        <v>5.46</v>
      </c>
    </row>
    <row r="73" spans="1:14" x14ac:dyDescent="0.5">
      <c r="A73" t="str">
        <f>"000333"</f>
        <v>000333</v>
      </c>
      <c r="B73" t="s">
        <v>156</v>
      </c>
      <c r="C73">
        <v>0.08</v>
      </c>
      <c r="D73">
        <v>15.83</v>
      </c>
      <c r="E73">
        <v>49</v>
      </c>
      <c r="F73">
        <v>0.04</v>
      </c>
      <c r="G73">
        <v>49</v>
      </c>
      <c r="H73">
        <v>49.01</v>
      </c>
      <c r="I73" t="s">
        <v>157</v>
      </c>
      <c r="J73">
        <v>0.48</v>
      </c>
      <c r="K73">
        <v>0.48</v>
      </c>
      <c r="L73">
        <v>49.42</v>
      </c>
      <c r="M73">
        <v>49.5</v>
      </c>
      <c r="N73">
        <v>48.71</v>
      </c>
    </row>
    <row r="74" spans="1:14" x14ac:dyDescent="0.5">
      <c r="A74" t="str">
        <f>"000338"</f>
        <v>000338</v>
      </c>
      <c r="B74" t="s">
        <v>158</v>
      </c>
      <c r="C74">
        <v>2.35</v>
      </c>
      <c r="D74">
        <v>9.6999999999999993</v>
      </c>
      <c r="E74">
        <v>10.9</v>
      </c>
      <c r="F74">
        <v>0.25</v>
      </c>
      <c r="G74">
        <v>10.9</v>
      </c>
      <c r="H74">
        <v>10.91</v>
      </c>
      <c r="I74" t="s">
        <v>159</v>
      </c>
      <c r="J74">
        <v>2.82</v>
      </c>
      <c r="K74">
        <v>2.82</v>
      </c>
      <c r="L74">
        <v>10.5</v>
      </c>
      <c r="M74">
        <v>11.14</v>
      </c>
      <c r="N74">
        <v>10.42</v>
      </c>
    </row>
    <row r="75" spans="1:14" x14ac:dyDescent="0.5">
      <c r="A75" t="str">
        <f>"000400"</f>
        <v>000400</v>
      </c>
      <c r="B75" t="s">
        <v>160</v>
      </c>
      <c r="C75">
        <v>2.78</v>
      </c>
      <c r="D75">
        <v>23.58</v>
      </c>
      <c r="E75">
        <v>11.47</v>
      </c>
      <c r="F75">
        <v>0.31</v>
      </c>
      <c r="G75">
        <v>11.47</v>
      </c>
      <c r="H75">
        <v>11.48</v>
      </c>
      <c r="I75" t="s">
        <v>161</v>
      </c>
      <c r="J75">
        <v>2.31</v>
      </c>
      <c r="K75">
        <v>2.31</v>
      </c>
      <c r="L75">
        <v>11.13</v>
      </c>
      <c r="M75">
        <v>11.49</v>
      </c>
      <c r="N75">
        <v>11</v>
      </c>
    </row>
    <row r="76" spans="1:14" x14ac:dyDescent="0.5">
      <c r="A76" t="str">
        <f>"000401"</f>
        <v>000401</v>
      </c>
      <c r="B76" t="s">
        <v>162</v>
      </c>
      <c r="C76">
        <v>0.18</v>
      </c>
      <c r="D76">
        <v>25.15</v>
      </c>
      <c r="E76">
        <v>16.43</v>
      </c>
      <c r="F76">
        <v>0.03</v>
      </c>
      <c r="G76">
        <v>16.420000000000002</v>
      </c>
      <c r="H76">
        <v>16.43</v>
      </c>
      <c r="I76" t="s">
        <v>163</v>
      </c>
      <c r="J76">
        <v>4.1900000000000004</v>
      </c>
      <c r="K76">
        <v>4.1900000000000004</v>
      </c>
      <c r="L76">
        <v>16.71</v>
      </c>
      <c r="M76">
        <v>16.88</v>
      </c>
      <c r="N76">
        <v>16.170000000000002</v>
      </c>
    </row>
    <row r="77" spans="1:14" x14ac:dyDescent="0.5">
      <c r="A77" t="str">
        <f>"000402"</f>
        <v>000402</v>
      </c>
      <c r="B77" t="s">
        <v>164</v>
      </c>
      <c r="C77">
        <v>1.96</v>
      </c>
      <c r="D77">
        <v>9.1999999999999993</v>
      </c>
      <c r="E77">
        <v>8.31</v>
      </c>
      <c r="F77">
        <v>0.16</v>
      </c>
      <c r="G77">
        <v>8.3000000000000007</v>
      </c>
      <c r="H77">
        <v>8.31</v>
      </c>
      <c r="I77" t="s">
        <v>165</v>
      </c>
      <c r="J77">
        <v>0.54</v>
      </c>
      <c r="K77">
        <v>0.54</v>
      </c>
      <c r="L77">
        <v>8.17</v>
      </c>
      <c r="M77">
        <v>8.33</v>
      </c>
      <c r="N77">
        <v>8.11</v>
      </c>
    </row>
    <row r="78" spans="1:14" x14ac:dyDescent="0.5">
      <c r="A78" t="str">
        <f>"000403"</f>
        <v>000403</v>
      </c>
      <c r="B78" t="s">
        <v>166</v>
      </c>
      <c r="C78">
        <v>0.25</v>
      </c>
      <c r="D78">
        <v>128.66</v>
      </c>
      <c r="E78">
        <v>28.41</v>
      </c>
      <c r="F78">
        <v>7.0000000000000007E-2</v>
      </c>
      <c r="G78">
        <v>28.41</v>
      </c>
      <c r="H78">
        <v>28.44</v>
      </c>
      <c r="I78" t="s">
        <v>167</v>
      </c>
      <c r="J78">
        <v>0.47</v>
      </c>
      <c r="K78">
        <v>0.47</v>
      </c>
      <c r="L78">
        <v>28.34</v>
      </c>
      <c r="M78">
        <v>28.92</v>
      </c>
      <c r="N78">
        <v>28.1</v>
      </c>
    </row>
    <row r="79" spans="1:14" x14ac:dyDescent="0.5">
      <c r="A79" t="str">
        <f>"000404"</f>
        <v>000404</v>
      </c>
      <c r="B79" t="s">
        <v>168</v>
      </c>
      <c r="C79">
        <v>3.05</v>
      </c>
      <c r="D79">
        <v>78.45</v>
      </c>
      <c r="E79">
        <v>4.7300000000000004</v>
      </c>
      <c r="F79">
        <v>0.14000000000000001</v>
      </c>
      <c r="G79">
        <v>4.7300000000000004</v>
      </c>
      <c r="H79">
        <v>4.74</v>
      </c>
      <c r="I79" t="s">
        <v>169</v>
      </c>
      <c r="J79">
        <v>1.87</v>
      </c>
      <c r="K79">
        <v>1.87</v>
      </c>
      <c r="L79">
        <v>4.58</v>
      </c>
      <c r="M79">
        <v>4.75</v>
      </c>
      <c r="N79">
        <v>4.58</v>
      </c>
    </row>
    <row r="80" spans="1:14" x14ac:dyDescent="0.5">
      <c r="A80" t="str">
        <f>"000407"</f>
        <v>000407</v>
      </c>
      <c r="B80" t="s">
        <v>170</v>
      </c>
      <c r="C80">
        <v>2.3199999999999998</v>
      </c>
      <c r="D80">
        <v>51.92</v>
      </c>
      <c r="E80">
        <v>4.41</v>
      </c>
      <c r="F80">
        <v>0.1</v>
      </c>
      <c r="G80">
        <v>4.4000000000000004</v>
      </c>
      <c r="H80">
        <v>4.41</v>
      </c>
      <c r="I80" t="s">
        <v>171</v>
      </c>
      <c r="J80">
        <v>3.19</v>
      </c>
      <c r="K80">
        <v>3.19</v>
      </c>
      <c r="L80">
        <v>4.29</v>
      </c>
      <c r="M80">
        <v>4.41</v>
      </c>
      <c r="N80">
        <v>4.26</v>
      </c>
    </row>
    <row r="81" spans="1:14" x14ac:dyDescent="0.5">
      <c r="A81" t="str">
        <f>"000408"</f>
        <v>000408</v>
      </c>
      <c r="B81" t="s">
        <v>172</v>
      </c>
      <c r="C81">
        <v>-0.25</v>
      </c>
      <c r="D81">
        <v>18.5</v>
      </c>
      <c r="E81">
        <v>11.93</v>
      </c>
      <c r="F81">
        <v>-0.03</v>
      </c>
      <c r="G81">
        <v>11.93</v>
      </c>
      <c r="H81">
        <v>11.94</v>
      </c>
      <c r="I81" t="s">
        <v>173</v>
      </c>
      <c r="J81">
        <v>2.5499999999999998</v>
      </c>
      <c r="K81">
        <v>2.5499999999999998</v>
      </c>
      <c r="L81">
        <v>11.87</v>
      </c>
      <c r="M81">
        <v>11.96</v>
      </c>
      <c r="N81">
        <v>11.71</v>
      </c>
    </row>
    <row r="82" spans="1:14" x14ac:dyDescent="0.5">
      <c r="A82" t="str">
        <f>"000409"</f>
        <v>000409</v>
      </c>
      <c r="B82" t="s">
        <v>174</v>
      </c>
      <c r="C82">
        <v>-0.61</v>
      </c>
      <c r="D82" t="s">
        <v>24</v>
      </c>
      <c r="E82">
        <v>4.92</v>
      </c>
      <c r="F82">
        <v>-0.03</v>
      </c>
      <c r="G82">
        <v>4.92</v>
      </c>
      <c r="H82">
        <v>4.93</v>
      </c>
      <c r="I82" t="s">
        <v>175</v>
      </c>
      <c r="J82">
        <v>1.4</v>
      </c>
      <c r="K82">
        <v>1.4</v>
      </c>
      <c r="L82">
        <v>4.9000000000000004</v>
      </c>
      <c r="M82">
        <v>4.93</v>
      </c>
      <c r="N82">
        <v>4.8899999999999997</v>
      </c>
    </row>
    <row r="83" spans="1:14" x14ac:dyDescent="0.5">
      <c r="A83" t="str">
        <f>"000410"</f>
        <v>000410</v>
      </c>
      <c r="B83" t="s">
        <v>176</v>
      </c>
      <c r="C83">
        <v>1.29</v>
      </c>
      <c r="D83">
        <v>8.81</v>
      </c>
      <c r="E83">
        <v>8.67</v>
      </c>
      <c r="F83">
        <v>0.11</v>
      </c>
      <c r="G83">
        <v>8.67</v>
      </c>
      <c r="H83">
        <v>8.68</v>
      </c>
      <c r="I83" t="s">
        <v>177</v>
      </c>
      <c r="J83">
        <v>4.93</v>
      </c>
      <c r="K83">
        <v>4.93</v>
      </c>
      <c r="L83">
        <v>8.58</v>
      </c>
      <c r="M83">
        <v>8.89</v>
      </c>
      <c r="N83">
        <v>8.43</v>
      </c>
    </row>
    <row r="84" spans="1:14" x14ac:dyDescent="0.5">
      <c r="A84" t="str">
        <f>"000411"</f>
        <v>000411</v>
      </c>
      <c r="B84" t="s">
        <v>178</v>
      </c>
      <c r="C84">
        <v>2.2999999999999998</v>
      </c>
      <c r="D84">
        <v>27.44</v>
      </c>
      <c r="E84">
        <v>13.36</v>
      </c>
      <c r="F84">
        <v>0.3</v>
      </c>
      <c r="G84">
        <v>13.36</v>
      </c>
      <c r="H84">
        <v>13.37</v>
      </c>
      <c r="I84" t="s">
        <v>179</v>
      </c>
      <c r="J84">
        <v>1.87</v>
      </c>
      <c r="K84">
        <v>1.87</v>
      </c>
      <c r="L84">
        <v>13.17</v>
      </c>
      <c r="M84">
        <v>13.45</v>
      </c>
      <c r="N84">
        <v>13.06</v>
      </c>
    </row>
    <row r="85" spans="1:14" x14ac:dyDescent="0.5">
      <c r="A85" t="str">
        <f>"000413"</f>
        <v>000413</v>
      </c>
      <c r="B85" t="s">
        <v>180</v>
      </c>
      <c r="C85">
        <v>8.1</v>
      </c>
      <c r="D85">
        <v>16.36</v>
      </c>
      <c r="E85">
        <v>6.27</v>
      </c>
      <c r="F85">
        <v>0.47</v>
      </c>
      <c r="G85">
        <v>6.26</v>
      </c>
      <c r="H85">
        <v>6.27</v>
      </c>
      <c r="I85" t="s">
        <v>181</v>
      </c>
      <c r="J85">
        <v>7.24</v>
      </c>
      <c r="K85">
        <v>7.24</v>
      </c>
      <c r="L85">
        <v>5.79</v>
      </c>
      <c r="M85">
        <v>6.34</v>
      </c>
      <c r="N85">
        <v>5.74</v>
      </c>
    </row>
    <row r="86" spans="1:14" x14ac:dyDescent="0.5">
      <c r="A86" t="str">
        <f>"000415"</f>
        <v>000415</v>
      </c>
      <c r="B86" t="s">
        <v>182</v>
      </c>
      <c r="C86">
        <v>1.74</v>
      </c>
      <c r="D86">
        <v>8.89</v>
      </c>
      <c r="E86">
        <v>4.6900000000000004</v>
      </c>
      <c r="F86">
        <v>0.08</v>
      </c>
      <c r="G86">
        <v>4.68</v>
      </c>
      <c r="H86">
        <v>4.6900000000000004</v>
      </c>
      <c r="I86" t="s">
        <v>183</v>
      </c>
      <c r="J86">
        <v>2.16</v>
      </c>
      <c r="K86">
        <v>2.16</v>
      </c>
      <c r="L86">
        <v>4.54</v>
      </c>
      <c r="M86">
        <v>4.7</v>
      </c>
      <c r="N86">
        <v>4.51</v>
      </c>
    </row>
    <row r="87" spans="1:14" x14ac:dyDescent="0.5">
      <c r="A87" t="str">
        <f>"000416"</f>
        <v>000416</v>
      </c>
      <c r="B87" t="s">
        <v>184</v>
      </c>
      <c r="C87">
        <v>0</v>
      </c>
      <c r="D87">
        <v>182.16</v>
      </c>
      <c r="E87">
        <v>5.53</v>
      </c>
      <c r="F87">
        <v>0</v>
      </c>
      <c r="G87">
        <v>5.53</v>
      </c>
      <c r="H87">
        <v>5.54</v>
      </c>
      <c r="I87" t="s">
        <v>185</v>
      </c>
      <c r="J87">
        <v>4</v>
      </c>
      <c r="K87">
        <v>4</v>
      </c>
      <c r="L87">
        <v>5.5</v>
      </c>
      <c r="M87">
        <v>5.55</v>
      </c>
      <c r="N87">
        <v>5.41</v>
      </c>
    </row>
    <row r="88" spans="1:14" x14ac:dyDescent="0.5">
      <c r="A88" t="str">
        <f>"000417"</f>
        <v>000417</v>
      </c>
      <c r="B88" t="s">
        <v>186</v>
      </c>
      <c r="C88">
        <v>4.74</v>
      </c>
      <c r="D88">
        <v>29.63</v>
      </c>
      <c r="E88">
        <v>5.3</v>
      </c>
      <c r="F88">
        <v>0.24</v>
      </c>
      <c r="G88">
        <v>5.29</v>
      </c>
      <c r="H88">
        <v>5.3</v>
      </c>
      <c r="I88" t="s">
        <v>187</v>
      </c>
      <c r="J88">
        <v>1.94</v>
      </c>
      <c r="K88">
        <v>1.94</v>
      </c>
      <c r="L88">
        <v>5.0599999999999996</v>
      </c>
      <c r="M88">
        <v>5.35</v>
      </c>
      <c r="N88">
        <v>5.0199999999999996</v>
      </c>
    </row>
    <row r="89" spans="1:14" x14ac:dyDescent="0.5">
      <c r="A89" t="str">
        <f>"000418"</f>
        <v>000418</v>
      </c>
      <c r="B89" t="s">
        <v>188</v>
      </c>
      <c r="C89">
        <v>1.46</v>
      </c>
      <c r="D89">
        <v>20.63</v>
      </c>
      <c r="E89">
        <v>56.95</v>
      </c>
      <c r="F89">
        <v>0.82</v>
      </c>
      <c r="G89">
        <v>56.95</v>
      </c>
      <c r="H89">
        <v>56.98</v>
      </c>
      <c r="I89" t="s">
        <v>189</v>
      </c>
      <c r="J89">
        <v>0.48</v>
      </c>
      <c r="K89">
        <v>0.48</v>
      </c>
      <c r="L89">
        <v>56.4</v>
      </c>
      <c r="M89">
        <v>57.49</v>
      </c>
      <c r="N89">
        <v>56.1</v>
      </c>
    </row>
    <row r="90" spans="1:14" x14ac:dyDescent="0.5">
      <c r="A90" t="str">
        <f>"000419"</f>
        <v>000419</v>
      </c>
      <c r="B90" t="s">
        <v>190</v>
      </c>
      <c r="C90">
        <v>1.4</v>
      </c>
      <c r="D90">
        <v>18.54</v>
      </c>
      <c r="E90">
        <v>5.0599999999999996</v>
      </c>
      <c r="F90">
        <v>7.0000000000000007E-2</v>
      </c>
      <c r="G90">
        <v>5.0599999999999996</v>
      </c>
      <c r="H90">
        <v>5.07</v>
      </c>
      <c r="I90" t="s">
        <v>191</v>
      </c>
      <c r="J90">
        <v>1.17</v>
      </c>
      <c r="K90">
        <v>1.17</v>
      </c>
      <c r="L90">
        <v>4.97</v>
      </c>
      <c r="M90">
        <v>5.07</v>
      </c>
      <c r="N90">
        <v>4.9400000000000004</v>
      </c>
    </row>
    <row r="91" spans="1:14" x14ac:dyDescent="0.5">
      <c r="A91" t="str">
        <f>"000420"</f>
        <v>000420</v>
      </c>
      <c r="B91" t="s">
        <v>192</v>
      </c>
      <c r="C91">
        <v>5.49</v>
      </c>
      <c r="D91">
        <v>35.58</v>
      </c>
      <c r="E91">
        <v>2.5</v>
      </c>
      <c r="F91">
        <v>0.13</v>
      </c>
      <c r="G91">
        <v>2.4900000000000002</v>
      </c>
      <c r="H91">
        <v>2.5</v>
      </c>
      <c r="I91" t="s">
        <v>193</v>
      </c>
      <c r="J91">
        <v>3.86</v>
      </c>
      <c r="K91">
        <v>3.86</v>
      </c>
      <c r="L91">
        <v>2.36</v>
      </c>
      <c r="M91">
        <v>2.5499999999999998</v>
      </c>
      <c r="N91">
        <v>2.33</v>
      </c>
    </row>
    <row r="92" spans="1:14" x14ac:dyDescent="0.5">
      <c r="A92" t="str">
        <f>"000421"</f>
        <v>000421</v>
      </c>
      <c r="B92" t="s">
        <v>194</v>
      </c>
      <c r="C92">
        <v>0.77</v>
      </c>
      <c r="D92">
        <v>16.71</v>
      </c>
      <c r="E92">
        <v>5.23</v>
      </c>
      <c r="F92">
        <v>0.04</v>
      </c>
      <c r="G92">
        <v>5.23</v>
      </c>
      <c r="H92">
        <v>5.24</v>
      </c>
      <c r="I92" t="s">
        <v>195</v>
      </c>
      <c r="J92">
        <v>0.9</v>
      </c>
      <c r="K92">
        <v>0.9</v>
      </c>
      <c r="L92">
        <v>5.18</v>
      </c>
      <c r="M92">
        <v>5.24</v>
      </c>
      <c r="N92">
        <v>5.17</v>
      </c>
    </row>
    <row r="93" spans="1:14" x14ac:dyDescent="0.5">
      <c r="A93" t="str">
        <f>"000422"</f>
        <v>000422</v>
      </c>
      <c r="B93" t="s">
        <v>196</v>
      </c>
      <c r="C93">
        <v>1.87</v>
      </c>
      <c r="D93" t="s">
        <v>24</v>
      </c>
      <c r="E93">
        <v>3.82</v>
      </c>
      <c r="F93">
        <v>7.0000000000000007E-2</v>
      </c>
      <c r="G93">
        <v>3.81</v>
      </c>
      <c r="H93">
        <v>3.82</v>
      </c>
      <c r="I93" t="s">
        <v>197</v>
      </c>
      <c r="J93">
        <v>1.56</v>
      </c>
      <c r="K93">
        <v>1.56</v>
      </c>
      <c r="L93">
        <v>3.8</v>
      </c>
      <c r="M93">
        <v>3.89</v>
      </c>
      <c r="N93">
        <v>3.78</v>
      </c>
    </row>
    <row r="94" spans="1:14" x14ac:dyDescent="0.5">
      <c r="A94" t="str">
        <f>"000423"</f>
        <v>000423</v>
      </c>
      <c r="B94" t="s">
        <v>198</v>
      </c>
      <c r="C94">
        <v>0.85</v>
      </c>
      <c r="D94">
        <v>14.95</v>
      </c>
      <c r="E94">
        <v>47.3</v>
      </c>
      <c r="F94">
        <v>0.4</v>
      </c>
      <c r="G94">
        <v>47.29</v>
      </c>
      <c r="H94">
        <v>47.3</v>
      </c>
      <c r="I94" t="s">
        <v>199</v>
      </c>
      <c r="J94">
        <v>0.86</v>
      </c>
      <c r="K94">
        <v>0.86</v>
      </c>
      <c r="L94">
        <v>46.95</v>
      </c>
      <c r="M94">
        <v>47.51</v>
      </c>
      <c r="N94">
        <v>46.76</v>
      </c>
    </row>
    <row r="95" spans="1:14" x14ac:dyDescent="0.5">
      <c r="A95" t="str">
        <f>"000425"</f>
        <v>000425</v>
      </c>
      <c r="B95" t="s">
        <v>200</v>
      </c>
      <c r="C95">
        <v>0.48</v>
      </c>
      <c r="D95">
        <v>17.940000000000001</v>
      </c>
      <c r="E95">
        <v>4.21</v>
      </c>
      <c r="F95">
        <v>0.02</v>
      </c>
      <c r="G95">
        <v>4.2</v>
      </c>
      <c r="H95">
        <v>4.21</v>
      </c>
      <c r="I95" t="s">
        <v>201</v>
      </c>
      <c r="J95">
        <v>1.84</v>
      </c>
      <c r="K95">
        <v>1.84</v>
      </c>
      <c r="L95">
        <v>4.2300000000000004</v>
      </c>
      <c r="M95">
        <v>4.2300000000000004</v>
      </c>
      <c r="N95">
        <v>4.1399999999999997</v>
      </c>
    </row>
    <row r="96" spans="1:14" x14ac:dyDescent="0.5">
      <c r="A96" t="str">
        <f>"000426"</f>
        <v>000426</v>
      </c>
      <c r="B96" t="s">
        <v>202</v>
      </c>
      <c r="C96">
        <v>3.14</v>
      </c>
      <c r="D96">
        <v>16.61</v>
      </c>
      <c r="E96">
        <v>6.89</v>
      </c>
      <c r="F96">
        <v>0.21</v>
      </c>
      <c r="G96">
        <v>6.89</v>
      </c>
      <c r="H96">
        <v>6.9</v>
      </c>
      <c r="I96" t="s">
        <v>203</v>
      </c>
      <c r="J96">
        <v>7.61</v>
      </c>
      <c r="K96">
        <v>7.61</v>
      </c>
      <c r="L96">
        <v>6.65</v>
      </c>
      <c r="M96">
        <v>6.94</v>
      </c>
      <c r="N96">
        <v>6.58</v>
      </c>
    </row>
    <row r="97" spans="1:14" x14ac:dyDescent="0.5">
      <c r="A97" t="str">
        <f>"000428"</f>
        <v>000428</v>
      </c>
      <c r="B97" t="s">
        <v>204</v>
      </c>
      <c r="C97">
        <v>1.99</v>
      </c>
      <c r="D97">
        <v>58.75</v>
      </c>
      <c r="E97">
        <v>3.07</v>
      </c>
      <c r="F97">
        <v>0.06</v>
      </c>
      <c r="G97">
        <v>3.07</v>
      </c>
      <c r="H97">
        <v>3.08</v>
      </c>
      <c r="I97" t="s">
        <v>205</v>
      </c>
      <c r="J97">
        <v>0.73</v>
      </c>
      <c r="K97">
        <v>0.73</v>
      </c>
      <c r="L97">
        <v>3</v>
      </c>
      <c r="M97">
        <v>3.08</v>
      </c>
      <c r="N97">
        <v>2.98</v>
      </c>
    </row>
    <row r="98" spans="1:14" x14ac:dyDescent="0.5">
      <c r="A98" t="str">
        <f>"000429"</f>
        <v>000429</v>
      </c>
      <c r="B98" t="s">
        <v>206</v>
      </c>
      <c r="C98">
        <v>0.23</v>
      </c>
      <c r="D98">
        <v>12.65</v>
      </c>
      <c r="E98">
        <v>8.8800000000000008</v>
      </c>
      <c r="F98">
        <v>0.02</v>
      </c>
      <c r="G98">
        <v>8.8699999999999992</v>
      </c>
      <c r="H98">
        <v>8.8800000000000008</v>
      </c>
      <c r="I98" t="s">
        <v>207</v>
      </c>
      <c r="J98">
        <v>2.17</v>
      </c>
      <c r="K98">
        <v>2.17</v>
      </c>
      <c r="L98">
        <v>8.84</v>
      </c>
      <c r="M98">
        <v>8.94</v>
      </c>
      <c r="N98">
        <v>8.8000000000000007</v>
      </c>
    </row>
    <row r="99" spans="1:14" x14ac:dyDescent="0.5">
      <c r="A99" t="str">
        <f>"000430"</f>
        <v>000430</v>
      </c>
      <c r="B99" t="s">
        <v>208</v>
      </c>
      <c r="C99">
        <v>0.85</v>
      </c>
      <c r="D99">
        <v>45.2</v>
      </c>
      <c r="E99">
        <v>5.96</v>
      </c>
      <c r="F99">
        <v>0.05</v>
      </c>
      <c r="G99">
        <v>5.95</v>
      </c>
      <c r="H99">
        <v>5.96</v>
      </c>
      <c r="I99" t="s">
        <v>209</v>
      </c>
      <c r="J99">
        <v>0.79</v>
      </c>
      <c r="K99">
        <v>0.79</v>
      </c>
      <c r="L99">
        <v>5.83</v>
      </c>
      <c r="M99">
        <v>5.96</v>
      </c>
      <c r="N99">
        <v>5.83</v>
      </c>
    </row>
    <row r="100" spans="1:14" x14ac:dyDescent="0.5">
      <c r="A100" t="str">
        <f>"000488"</f>
        <v>000488</v>
      </c>
      <c r="B100" t="s">
        <v>210</v>
      </c>
      <c r="C100">
        <v>0.44</v>
      </c>
      <c r="D100">
        <v>5.54</v>
      </c>
      <c r="E100">
        <v>6.88</v>
      </c>
      <c r="F100">
        <v>0.03</v>
      </c>
      <c r="G100">
        <v>6.87</v>
      </c>
      <c r="H100">
        <v>6.88</v>
      </c>
      <c r="I100" t="s">
        <v>211</v>
      </c>
      <c r="J100">
        <v>2.76</v>
      </c>
      <c r="K100">
        <v>2.76</v>
      </c>
      <c r="L100">
        <v>6.84</v>
      </c>
      <c r="M100">
        <v>6.89</v>
      </c>
      <c r="N100">
        <v>6.77</v>
      </c>
    </row>
    <row r="101" spans="1:14" x14ac:dyDescent="0.5">
      <c r="A101" t="str">
        <f>"000498"</f>
        <v>000498</v>
      </c>
      <c r="B101" t="s">
        <v>212</v>
      </c>
      <c r="C101">
        <v>0.16</v>
      </c>
      <c r="D101">
        <v>13.03</v>
      </c>
      <c r="E101">
        <v>6.15</v>
      </c>
      <c r="F101">
        <v>0.01</v>
      </c>
      <c r="G101">
        <v>6.15</v>
      </c>
      <c r="H101">
        <v>6.16</v>
      </c>
      <c r="I101" t="s">
        <v>213</v>
      </c>
      <c r="J101">
        <v>7.72</v>
      </c>
      <c r="K101">
        <v>7.72</v>
      </c>
      <c r="L101">
        <v>6.1</v>
      </c>
      <c r="M101">
        <v>6.23</v>
      </c>
      <c r="N101">
        <v>6.02</v>
      </c>
    </row>
    <row r="102" spans="1:14" x14ac:dyDescent="0.5">
      <c r="A102" t="str">
        <f>"000501"</f>
        <v>000501</v>
      </c>
      <c r="B102" t="s">
        <v>214</v>
      </c>
      <c r="C102">
        <v>3.18</v>
      </c>
      <c r="D102">
        <v>7.35</v>
      </c>
      <c r="E102">
        <v>11.35</v>
      </c>
      <c r="F102">
        <v>0.35</v>
      </c>
      <c r="G102">
        <v>11.35</v>
      </c>
      <c r="H102">
        <v>11.36</v>
      </c>
      <c r="I102" t="s">
        <v>215</v>
      </c>
      <c r="J102">
        <v>1.94</v>
      </c>
      <c r="K102">
        <v>1.94</v>
      </c>
      <c r="L102">
        <v>11.02</v>
      </c>
      <c r="M102">
        <v>11.4</v>
      </c>
      <c r="N102">
        <v>10.97</v>
      </c>
    </row>
    <row r="103" spans="1:14" x14ac:dyDescent="0.5">
      <c r="A103" t="str">
        <f>"000502"</f>
        <v>000502</v>
      </c>
      <c r="B103" t="s">
        <v>216</v>
      </c>
      <c r="C103">
        <v>2.39</v>
      </c>
      <c r="D103">
        <v>86.62</v>
      </c>
      <c r="E103">
        <v>8.1300000000000008</v>
      </c>
      <c r="F103">
        <v>0.19</v>
      </c>
      <c r="G103">
        <v>8.1199999999999992</v>
      </c>
      <c r="H103">
        <v>8.1300000000000008</v>
      </c>
      <c r="I103" t="s">
        <v>217</v>
      </c>
      <c r="J103">
        <v>1.26</v>
      </c>
      <c r="K103">
        <v>1.26</v>
      </c>
      <c r="L103">
        <v>7.98</v>
      </c>
      <c r="M103">
        <v>8.1300000000000008</v>
      </c>
      <c r="N103">
        <v>7.96</v>
      </c>
    </row>
    <row r="104" spans="1:14" x14ac:dyDescent="0.5">
      <c r="A104" t="str">
        <f>"000503"</f>
        <v>000503</v>
      </c>
      <c r="B104" t="s">
        <v>218</v>
      </c>
      <c r="C104">
        <v>-0.19</v>
      </c>
      <c r="D104">
        <v>309.64</v>
      </c>
      <c r="E104">
        <v>21.28</v>
      </c>
      <c r="F104">
        <v>-0.04</v>
      </c>
      <c r="G104">
        <v>21.27</v>
      </c>
      <c r="H104">
        <v>21.28</v>
      </c>
      <c r="I104" t="s">
        <v>219</v>
      </c>
      <c r="J104">
        <v>3.09</v>
      </c>
      <c r="K104">
        <v>3.09</v>
      </c>
      <c r="L104">
        <v>21.15</v>
      </c>
      <c r="M104">
        <v>21.88</v>
      </c>
      <c r="N104">
        <v>20.88</v>
      </c>
    </row>
    <row r="105" spans="1:14" x14ac:dyDescent="0.5">
      <c r="A105" t="str">
        <f>"000504"</f>
        <v>000504</v>
      </c>
      <c r="B105" t="s">
        <v>220</v>
      </c>
      <c r="C105">
        <v>1.21</v>
      </c>
      <c r="D105" t="s">
        <v>24</v>
      </c>
      <c r="E105">
        <v>13.43</v>
      </c>
      <c r="F105">
        <v>0.16</v>
      </c>
      <c r="G105">
        <v>13.42</v>
      </c>
      <c r="H105">
        <v>13.43</v>
      </c>
      <c r="I105" t="s">
        <v>221</v>
      </c>
      <c r="J105">
        <v>0.91</v>
      </c>
      <c r="K105">
        <v>0.91</v>
      </c>
      <c r="L105">
        <v>13.27</v>
      </c>
      <c r="M105">
        <v>13.43</v>
      </c>
      <c r="N105">
        <v>13.18</v>
      </c>
    </row>
    <row r="106" spans="1:14" x14ac:dyDescent="0.5">
      <c r="A106" t="str">
        <f>"000505"</f>
        <v>000505</v>
      </c>
      <c r="B106" t="s">
        <v>222</v>
      </c>
      <c r="C106">
        <v>2.7</v>
      </c>
      <c r="D106">
        <v>32.799999999999997</v>
      </c>
      <c r="E106">
        <v>6.47</v>
      </c>
      <c r="F106">
        <v>0.17</v>
      </c>
      <c r="G106">
        <v>6.47</v>
      </c>
      <c r="H106">
        <v>6.48</v>
      </c>
      <c r="I106" t="s">
        <v>223</v>
      </c>
      <c r="J106">
        <v>3.91</v>
      </c>
      <c r="K106">
        <v>3.91</v>
      </c>
      <c r="L106">
        <v>6.33</v>
      </c>
      <c r="M106">
        <v>6.54</v>
      </c>
      <c r="N106">
        <v>6.27</v>
      </c>
    </row>
    <row r="107" spans="1:14" x14ac:dyDescent="0.5">
      <c r="A107" t="str">
        <f>"000506"</f>
        <v>000506</v>
      </c>
      <c r="B107" t="s">
        <v>224</v>
      </c>
      <c r="C107">
        <v>1.75</v>
      </c>
      <c r="D107" t="s">
        <v>24</v>
      </c>
      <c r="E107">
        <v>3.48</v>
      </c>
      <c r="F107">
        <v>0.06</v>
      </c>
      <c r="G107">
        <v>3.47</v>
      </c>
      <c r="H107">
        <v>3.48</v>
      </c>
      <c r="I107" t="s">
        <v>225</v>
      </c>
      <c r="J107">
        <v>5.62</v>
      </c>
      <c r="K107">
        <v>5.62</v>
      </c>
      <c r="L107">
        <v>3.39</v>
      </c>
      <c r="M107">
        <v>3.49</v>
      </c>
      <c r="N107">
        <v>3.37</v>
      </c>
    </row>
    <row r="108" spans="1:14" x14ac:dyDescent="0.5">
      <c r="A108" t="str">
        <f>"000507"</f>
        <v>000507</v>
      </c>
      <c r="B108" t="s">
        <v>226</v>
      </c>
      <c r="C108">
        <v>0.88</v>
      </c>
      <c r="D108">
        <v>36.200000000000003</v>
      </c>
      <c r="E108">
        <v>8.02</v>
      </c>
      <c r="F108">
        <v>7.0000000000000007E-2</v>
      </c>
      <c r="G108">
        <v>8.01</v>
      </c>
      <c r="H108">
        <v>8.02</v>
      </c>
      <c r="I108" t="s">
        <v>227</v>
      </c>
      <c r="J108">
        <v>3.65</v>
      </c>
      <c r="K108">
        <v>3.65</v>
      </c>
      <c r="L108">
        <v>7.91</v>
      </c>
      <c r="M108">
        <v>8.02</v>
      </c>
      <c r="N108">
        <v>7.85</v>
      </c>
    </row>
    <row r="109" spans="1:14" x14ac:dyDescent="0.5">
      <c r="A109" t="str">
        <f>"000509"</f>
        <v>000509</v>
      </c>
      <c r="B109" t="s">
        <v>228</v>
      </c>
      <c r="C109">
        <v>3.14</v>
      </c>
      <c r="D109">
        <v>131.91999999999999</v>
      </c>
      <c r="E109">
        <v>3.28</v>
      </c>
      <c r="F109">
        <v>0.1</v>
      </c>
      <c r="G109">
        <v>3.27</v>
      </c>
      <c r="H109">
        <v>3.28</v>
      </c>
      <c r="I109" t="s">
        <v>229</v>
      </c>
      <c r="J109">
        <v>5.13</v>
      </c>
      <c r="K109">
        <v>5.13</v>
      </c>
      <c r="L109">
        <v>3.19</v>
      </c>
      <c r="M109">
        <v>3.28</v>
      </c>
      <c r="N109">
        <v>3.14</v>
      </c>
    </row>
    <row r="110" spans="1:14" x14ac:dyDescent="0.5">
      <c r="A110" t="str">
        <f>"000510"</f>
        <v>000510</v>
      </c>
      <c r="B110" t="s">
        <v>230</v>
      </c>
      <c r="C110">
        <v>2.63</v>
      </c>
      <c r="D110">
        <v>26.53</v>
      </c>
      <c r="E110">
        <v>5.07</v>
      </c>
      <c r="F110">
        <v>0.13</v>
      </c>
      <c r="G110">
        <v>5.07</v>
      </c>
      <c r="H110">
        <v>5.08</v>
      </c>
      <c r="I110" t="s">
        <v>231</v>
      </c>
      <c r="J110">
        <v>3.41</v>
      </c>
      <c r="K110">
        <v>3.41</v>
      </c>
      <c r="L110">
        <v>4.9400000000000004</v>
      </c>
      <c r="M110">
        <v>5.08</v>
      </c>
      <c r="N110">
        <v>4.9000000000000004</v>
      </c>
    </row>
    <row r="111" spans="1:14" x14ac:dyDescent="0.5">
      <c r="A111" t="str">
        <f>"000513"</f>
        <v>000513</v>
      </c>
      <c r="B111" t="s">
        <v>232</v>
      </c>
      <c r="C111">
        <v>-1.41</v>
      </c>
      <c r="D111">
        <v>21.57</v>
      </c>
      <c r="E111">
        <v>34.200000000000003</v>
      </c>
      <c r="F111">
        <v>-0.49</v>
      </c>
      <c r="G111">
        <v>34.200000000000003</v>
      </c>
      <c r="H111">
        <v>34.21</v>
      </c>
      <c r="I111" t="s">
        <v>233</v>
      </c>
      <c r="J111">
        <v>2.82</v>
      </c>
      <c r="K111">
        <v>2.82</v>
      </c>
      <c r="L111">
        <v>34.340000000000003</v>
      </c>
      <c r="M111">
        <v>34.799999999999997</v>
      </c>
      <c r="N111">
        <v>33.590000000000003</v>
      </c>
    </row>
    <row r="112" spans="1:14" x14ac:dyDescent="0.5">
      <c r="A112" t="str">
        <f>"000514"</f>
        <v>000514</v>
      </c>
      <c r="B112" t="s">
        <v>234</v>
      </c>
      <c r="C112">
        <v>2.61</v>
      </c>
      <c r="D112">
        <v>139.68</v>
      </c>
      <c r="E112">
        <v>4.32</v>
      </c>
      <c r="F112">
        <v>0.11</v>
      </c>
      <c r="G112">
        <v>4.32</v>
      </c>
      <c r="H112">
        <v>4.33</v>
      </c>
      <c r="I112" t="s">
        <v>235</v>
      </c>
      <c r="J112">
        <v>1.2</v>
      </c>
      <c r="K112">
        <v>1.2</v>
      </c>
      <c r="L112">
        <v>4.2</v>
      </c>
      <c r="M112">
        <v>4.34</v>
      </c>
      <c r="N112">
        <v>4.1900000000000004</v>
      </c>
    </row>
    <row r="113" spans="1:14" x14ac:dyDescent="0.5">
      <c r="A113" t="str">
        <f>"000516"</f>
        <v>000516</v>
      </c>
      <c r="B113" t="s">
        <v>236</v>
      </c>
      <c r="C113">
        <v>1.03</v>
      </c>
      <c r="D113">
        <v>5.04</v>
      </c>
      <c r="E113">
        <v>5.87</v>
      </c>
      <c r="F113">
        <v>0.06</v>
      </c>
      <c r="G113">
        <v>5.86</v>
      </c>
      <c r="H113">
        <v>5.87</v>
      </c>
      <c r="I113" t="s">
        <v>237</v>
      </c>
      <c r="J113">
        <v>2.5099999999999998</v>
      </c>
      <c r="K113">
        <v>2.5099999999999998</v>
      </c>
      <c r="L113">
        <v>5.78</v>
      </c>
      <c r="M113">
        <v>5.87</v>
      </c>
      <c r="N113">
        <v>5.69</v>
      </c>
    </row>
    <row r="114" spans="1:14" x14ac:dyDescent="0.5">
      <c r="A114" t="str">
        <f>"000517"</f>
        <v>000517</v>
      </c>
      <c r="B114" t="s">
        <v>238</v>
      </c>
      <c r="C114">
        <v>0.65</v>
      </c>
      <c r="D114">
        <v>20.260000000000002</v>
      </c>
      <c r="E114">
        <v>3.09</v>
      </c>
      <c r="F114">
        <v>0.02</v>
      </c>
      <c r="G114">
        <v>3.09</v>
      </c>
      <c r="H114">
        <v>3.1</v>
      </c>
      <c r="I114" t="s">
        <v>239</v>
      </c>
      <c r="J114">
        <v>1.78</v>
      </c>
      <c r="K114">
        <v>1.78</v>
      </c>
      <c r="L114">
        <v>3.05</v>
      </c>
      <c r="M114">
        <v>3.14</v>
      </c>
      <c r="N114">
        <v>3</v>
      </c>
    </row>
    <row r="115" spans="1:14" x14ac:dyDescent="0.5">
      <c r="A115" t="str">
        <f>"000518"</f>
        <v>000518</v>
      </c>
      <c r="B115" t="s">
        <v>240</v>
      </c>
      <c r="C115">
        <v>-0.61</v>
      </c>
      <c r="D115" t="s">
        <v>24</v>
      </c>
      <c r="E115">
        <v>4.91</v>
      </c>
      <c r="F115">
        <v>-0.03</v>
      </c>
      <c r="G115">
        <v>4.91</v>
      </c>
      <c r="H115">
        <v>4.92</v>
      </c>
      <c r="I115" t="s">
        <v>241</v>
      </c>
      <c r="J115">
        <v>4.25</v>
      </c>
      <c r="K115">
        <v>4.25</v>
      </c>
      <c r="L115">
        <v>4.8499999999999996</v>
      </c>
      <c r="M115">
        <v>4.95</v>
      </c>
      <c r="N115">
        <v>4.75</v>
      </c>
    </row>
    <row r="116" spans="1:14" x14ac:dyDescent="0.5">
      <c r="A116" t="str">
        <f>"000519"</f>
        <v>000519</v>
      </c>
      <c r="B116" t="s">
        <v>242</v>
      </c>
      <c r="C116">
        <v>1.1200000000000001</v>
      </c>
      <c r="D116">
        <v>31.01</v>
      </c>
      <c r="E116">
        <v>8.16</v>
      </c>
      <c r="F116">
        <v>0.09</v>
      </c>
      <c r="G116">
        <v>8.15</v>
      </c>
      <c r="H116">
        <v>8.16</v>
      </c>
      <c r="I116" t="s">
        <v>243</v>
      </c>
      <c r="J116">
        <v>5.95</v>
      </c>
      <c r="K116">
        <v>5.95</v>
      </c>
      <c r="L116">
        <v>8.02</v>
      </c>
      <c r="M116">
        <v>8.17</v>
      </c>
      <c r="N116">
        <v>7.98</v>
      </c>
    </row>
    <row r="117" spans="1:14" x14ac:dyDescent="0.5">
      <c r="A117" t="str">
        <f>"000520"</f>
        <v>000520</v>
      </c>
      <c r="B117" t="s">
        <v>244</v>
      </c>
      <c r="C117">
        <v>1.17</v>
      </c>
      <c r="D117">
        <v>45.02</v>
      </c>
      <c r="E117">
        <v>3.45</v>
      </c>
      <c r="F117">
        <v>0.04</v>
      </c>
      <c r="G117">
        <v>3.44</v>
      </c>
      <c r="H117">
        <v>3.45</v>
      </c>
      <c r="I117" t="s">
        <v>245</v>
      </c>
      <c r="J117">
        <v>1.64</v>
      </c>
      <c r="K117">
        <v>1.64</v>
      </c>
      <c r="L117">
        <v>3.41</v>
      </c>
      <c r="M117">
        <v>3.46</v>
      </c>
      <c r="N117">
        <v>3.38</v>
      </c>
    </row>
    <row r="118" spans="1:14" x14ac:dyDescent="0.5">
      <c r="A118" t="str">
        <f>"000521"</f>
        <v>000521</v>
      </c>
      <c r="B118" t="s">
        <v>246</v>
      </c>
      <c r="C118">
        <v>4.22</v>
      </c>
      <c r="D118" t="s">
        <v>24</v>
      </c>
      <c r="E118">
        <v>3.95</v>
      </c>
      <c r="F118">
        <v>0.16</v>
      </c>
      <c r="G118">
        <v>3.95</v>
      </c>
      <c r="H118">
        <v>3.96</v>
      </c>
      <c r="I118" t="s">
        <v>247</v>
      </c>
      <c r="J118">
        <v>5.57</v>
      </c>
      <c r="K118">
        <v>5.57</v>
      </c>
      <c r="L118">
        <v>3.81</v>
      </c>
      <c r="M118">
        <v>4</v>
      </c>
      <c r="N118">
        <v>3.77</v>
      </c>
    </row>
    <row r="119" spans="1:14" x14ac:dyDescent="0.5">
      <c r="A119" t="str">
        <f>"000523"</f>
        <v>000523</v>
      </c>
      <c r="B119" t="s">
        <v>248</v>
      </c>
      <c r="C119">
        <v>0.41</v>
      </c>
      <c r="D119">
        <v>78.59</v>
      </c>
      <c r="E119">
        <v>4.8499999999999996</v>
      </c>
      <c r="F119">
        <v>0.02</v>
      </c>
      <c r="G119">
        <v>4.84</v>
      </c>
      <c r="H119">
        <v>4.8499999999999996</v>
      </c>
      <c r="I119" t="s">
        <v>249</v>
      </c>
      <c r="J119">
        <v>1.64</v>
      </c>
      <c r="K119">
        <v>1.64</v>
      </c>
      <c r="L119">
        <v>4.7699999999999996</v>
      </c>
      <c r="M119">
        <v>4.8499999999999996</v>
      </c>
      <c r="N119">
        <v>4.7300000000000004</v>
      </c>
    </row>
    <row r="120" spans="1:14" x14ac:dyDescent="0.5">
      <c r="A120" t="str">
        <f>"000524"</f>
        <v>000524</v>
      </c>
      <c r="B120" t="s">
        <v>250</v>
      </c>
      <c r="C120">
        <v>1.3</v>
      </c>
      <c r="D120">
        <v>25.74</v>
      </c>
      <c r="E120">
        <v>7.77</v>
      </c>
      <c r="F120">
        <v>0.1</v>
      </c>
      <c r="G120">
        <v>7.76</v>
      </c>
      <c r="H120">
        <v>7.77</v>
      </c>
      <c r="I120" t="s">
        <v>251</v>
      </c>
      <c r="J120">
        <v>1.35</v>
      </c>
      <c r="K120">
        <v>1.35</v>
      </c>
      <c r="L120">
        <v>7.63</v>
      </c>
      <c r="M120">
        <v>7.77</v>
      </c>
      <c r="N120">
        <v>7.61</v>
      </c>
    </row>
    <row r="121" spans="1:14" x14ac:dyDescent="0.5">
      <c r="A121" t="str">
        <f>"000525"</f>
        <v>000525</v>
      </c>
      <c r="B121" t="s">
        <v>252</v>
      </c>
      <c r="C121">
        <v>1.38</v>
      </c>
      <c r="D121">
        <v>12.1</v>
      </c>
      <c r="E121">
        <v>15.43</v>
      </c>
      <c r="F121">
        <v>0.21</v>
      </c>
      <c r="G121">
        <v>15.42</v>
      </c>
      <c r="H121">
        <v>15.43</v>
      </c>
      <c r="I121" t="s">
        <v>253</v>
      </c>
      <c r="J121">
        <v>1.04</v>
      </c>
      <c r="K121">
        <v>1.04</v>
      </c>
      <c r="L121">
        <v>15.21</v>
      </c>
      <c r="M121">
        <v>15.49</v>
      </c>
      <c r="N121">
        <v>15.1</v>
      </c>
    </row>
    <row r="122" spans="1:14" x14ac:dyDescent="0.5">
      <c r="A122" t="str">
        <f>"000526"</f>
        <v>000526</v>
      </c>
      <c r="B122" t="s">
        <v>254</v>
      </c>
      <c r="C122">
        <v>-0.55000000000000004</v>
      </c>
      <c r="D122">
        <v>75.97</v>
      </c>
      <c r="E122">
        <v>23.67</v>
      </c>
      <c r="F122">
        <v>-0.13</v>
      </c>
      <c r="G122">
        <v>23.67</v>
      </c>
      <c r="H122">
        <v>23.68</v>
      </c>
      <c r="I122" t="s">
        <v>255</v>
      </c>
      <c r="J122">
        <v>2.63</v>
      </c>
      <c r="K122">
        <v>2.63</v>
      </c>
      <c r="L122">
        <v>23.68</v>
      </c>
      <c r="M122">
        <v>23.84</v>
      </c>
      <c r="N122">
        <v>23.4</v>
      </c>
    </row>
    <row r="123" spans="1:14" x14ac:dyDescent="0.5">
      <c r="A123" t="str">
        <f>"000528"</f>
        <v>000528</v>
      </c>
      <c r="B123" t="s">
        <v>256</v>
      </c>
      <c r="C123">
        <v>1.29</v>
      </c>
      <c r="D123">
        <v>14.95</v>
      </c>
      <c r="E123">
        <v>7.84</v>
      </c>
      <c r="F123">
        <v>0.1</v>
      </c>
      <c r="G123">
        <v>7.84</v>
      </c>
      <c r="H123">
        <v>7.85</v>
      </c>
      <c r="I123" t="s">
        <v>257</v>
      </c>
      <c r="J123">
        <v>3.47</v>
      </c>
      <c r="K123">
        <v>3.47</v>
      </c>
      <c r="L123">
        <v>7.7</v>
      </c>
      <c r="M123">
        <v>7.86</v>
      </c>
      <c r="N123">
        <v>7.61</v>
      </c>
    </row>
    <row r="124" spans="1:14" x14ac:dyDescent="0.5">
      <c r="A124" t="str">
        <f>"000529"</f>
        <v>000529</v>
      </c>
      <c r="B124" t="s">
        <v>258</v>
      </c>
      <c r="C124">
        <v>1.43</v>
      </c>
      <c r="D124">
        <v>22.56</v>
      </c>
      <c r="E124">
        <v>6.37</v>
      </c>
      <c r="F124">
        <v>0.09</v>
      </c>
      <c r="G124">
        <v>6.37</v>
      </c>
      <c r="H124">
        <v>6.38</v>
      </c>
      <c r="I124" t="s">
        <v>259</v>
      </c>
      <c r="J124">
        <v>2.96</v>
      </c>
      <c r="K124">
        <v>2.96</v>
      </c>
      <c r="L124">
        <v>6.2</v>
      </c>
      <c r="M124">
        <v>6.38</v>
      </c>
      <c r="N124">
        <v>6.18</v>
      </c>
    </row>
    <row r="125" spans="1:14" x14ac:dyDescent="0.5">
      <c r="A125" t="str">
        <f>"000530"</f>
        <v>000530</v>
      </c>
      <c r="B125" t="s">
        <v>260</v>
      </c>
      <c r="C125">
        <v>3.47</v>
      </c>
      <c r="D125">
        <v>26.17</v>
      </c>
      <c r="E125">
        <v>4.17</v>
      </c>
      <c r="F125">
        <v>0.14000000000000001</v>
      </c>
      <c r="G125">
        <v>4.17</v>
      </c>
      <c r="H125">
        <v>4.18</v>
      </c>
      <c r="I125" t="s">
        <v>261</v>
      </c>
      <c r="J125">
        <v>4.12</v>
      </c>
      <c r="K125">
        <v>4.12</v>
      </c>
      <c r="L125">
        <v>4.01</v>
      </c>
      <c r="M125">
        <v>4.24</v>
      </c>
      <c r="N125">
        <v>4</v>
      </c>
    </row>
    <row r="126" spans="1:14" x14ac:dyDescent="0.5">
      <c r="A126" t="str">
        <f>"000531"</f>
        <v>000531</v>
      </c>
      <c r="B126" t="s">
        <v>262</v>
      </c>
      <c r="C126">
        <v>5.42</v>
      </c>
      <c r="D126">
        <v>47.68</v>
      </c>
      <c r="E126">
        <v>7.98</v>
      </c>
      <c r="F126">
        <v>0.41</v>
      </c>
      <c r="G126">
        <v>7.97</v>
      </c>
      <c r="H126">
        <v>7.98</v>
      </c>
      <c r="I126" t="s">
        <v>263</v>
      </c>
      <c r="J126">
        <v>6.16</v>
      </c>
      <c r="K126">
        <v>6.16</v>
      </c>
      <c r="L126">
        <v>7.5</v>
      </c>
      <c r="M126">
        <v>7.98</v>
      </c>
      <c r="N126">
        <v>7.26</v>
      </c>
    </row>
    <row r="127" spans="1:14" x14ac:dyDescent="0.5">
      <c r="A127" t="str">
        <f>"000532"</f>
        <v>000532</v>
      </c>
      <c r="B127" t="s">
        <v>264</v>
      </c>
      <c r="C127">
        <v>4.91</v>
      </c>
      <c r="D127">
        <v>96.23</v>
      </c>
      <c r="E127">
        <v>12.39</v>
      </c>
      <c r="F127">
        <v>0.57999999999999996</v>
      </c>
      <c r="G127">
        <v>12.39</v>
      </c>
      <c r="H127">
        <v>12.4</v>
      </c>
      <c r="I127" t="s">
        <v>265</v>
      </c>
      <c r="J127">
        <v>6.57</v>
      </c>
      <c r="K127">
        <v>6.57</v>
      </c>
      <c r="L127">
        <v>11.92</v>
      </c>
      <c r="M127">
        <v>12.58</v>
      </c>
      <c r="N127">
        <v>11.84</v>
      </c>
    </row>
    <row r="128" spans="1:14" x14ac:dyDescent="0.5">
      <c r="A128" t="str">
        <f>"000533"</f>
        <v>000533</v>
      </c>
      <c r="B128" t="s">
        <v>266</v>
      </c>
      <c r="C128">
        <v>3.47</v>
      </c>
      <c r="D128" t="s">
        <v>24</v>
      </c>
      <c r="E128">
        <v>3.58</v>
      </c>
      <c r="F128">
        <v>0.12</v>
      </c>
      <c r="G128">
        <v>3.57</v>
      </c>
      <c r="H128">
        <v>3.58</v>
      </c>
      <c r="I128" t="s">
        <v>267</v>
      </c>
      <c r="J128">
        <v>7.57</v>
      </c>
      <c r="K128">
        <v>7.57</v>
      </c>
      <c r="L128">
        <v>3.44</v>
      </c>
      <c r="M128">
        <v>3.59</v>
      </c>
      <c r="N128">
        <v>3.41</v>
      </c>
    </row>
    <row r="129" spans="1:14" x14ac:dyDescent="0.5">
      <c r="A129" t="str">
        <f>"000534"</f>
        <v>000534</v>
      </c>
      <c r="B129" t="s">
        <v>268</v>
      </c>
      <c r="C129">
        <v>-0.1</v>
      </c>
      <c r="D129">
        <v>54.11</v>
      </c>
      <c r="E129">
        <v>10.19</v>
      </c>
      <c r="F129">
        <v>-0.01</v>
      </c>
      <c r="G129">
        <v>10.19</v>
      </c>
      <c r="H129">
        <v>10.199999999999999</v>
      </c>
      <c r="I129" t="s">
        <v>269</v>
      </c>
      <c r="J129">
        <v>0.73</v>
      </c>
      <c r="K129">
        <v>0.73</v>
      </c>
      <c r="L129">
        <v>10.199999999999999</v>
      </c>
      <c r="M129">
        <v>10.199999999999999</v>
      </c>
      <c r="N129">
        <v>10.06</v>
      </c>
    </row>
    <row r="130" spans="1:14" x14ac:dyDescent="0.5">
      <c r="A130" t="str">
        <f>"000536"</f>
        <v>000536</v>
      </c>
      <c r="B130" t="s">
        <v>270</v>
      </c>
      <c r="C130">
        <v>6.63</v>
      </c>
      <c r="D130" t="s">
        <v>24</v>
      </c>
      <c r="E130">
        <v>4.18</v>
      </c>
      <c r="F130">
        <v>0.26</v>
      </c>
      <c r="G130">
        <v>4.18</v>
      </c>
      <c r="H130">
        <v>4.1900000000000004</v>
      </c>
      <c r="I130" t="s">
        <v>271</v>
      </c>
      <c r="J130">
        <v>15.99</v>
      </c>
      <c r="K130">
        <v>15.99</v>
      </c>
      <c r="L130">
        <v>3.77</v>
      </c>
      <c r="M130">
        <v>4.3</v>
      </c>
      <c r="N130">
        <v>3.71</v>
      </c>
    </row>
    <row r="131" spans="1:14" x14ac:dyDescent="0.5">
      <c r="A131" t="str">
        <f>"000537"</f>
        <v>000537</v>
      </c>
      <c r="B131" t="s">
        <v>272</v>
      </c>
      <c r="C131">
        <v>0.56000000000000005</v>
      </c>
      <c r="D131">
        <v>4.32</v>
      </c>
      <c r="E131">
        <v>8.92</v>
      </c>
      <c r="F131">
        <v>0.05</v>
      </c>
      <c r="G131">
        <v>8.91</v>
      </c>
      <c r="H131">
        <v>8.92</v>
      </c>
      <c r="I131" t="s">
        <v>273</v>
      </c>
      <c r="J131">
        <v>3.46</v>
      </c>
      <c r="K131">
        <v>3.46</v>
      </c>
      <c r="L131">
        <v>8.86</v>
      </c>
      <c r="M131">
        <v>9.02</v>
      </c>
      <c r="N131">
        <v>8.74</v>
      </c>
    </row>
    <row r="132" spans="1:14" x14ac:dyDescent="0.5">
      <c r="A132" t="str">
        <f>"000538"</f>
        <v>000538</v>
      </c>
      <c r="B132" t="s">
        <v>274</v>
      </c>
      <c r="C132">
        <v>-0.02</v>
      </c>
      <c r="D132">
        <v>27.55</v>
      </c>
      <c r="E132">
        <v>89</v>
      </c>
      <c r="F132">
        <v>-0.02</v>
      </c>
      <c r="G132">
        <v>88.99</v>
      </c>
      <c r="H132">
        <v>89</v>
      </c>
      <c r="I132" t="s">
        <v>275</v>
      </c>
      <c r="J132">
        <v>0.45</v>
      </c>
      <c r="K132">
        <v>0.45</v>
      </c>
      <c r="L132">
        <v>88.95</v>
      </c>
      <c r="M132">
        <v>89</v>
      </c>
      <c r="N132">
        <v>87.8</v>
      </c>
    </row>
    <row r="133" spans="1:14" x14ac:dyDescent="0.5">
      <c r="A133" t="str">
        <f>"000539"</f>
        <v>000539</v>
      </c>
      <c r="B133" t="s">
        <v>276</v>
      </c>
      <c r="C133">
        <v>1.1200000000000001</v>
      </c>
      <c r="D133">
        <v>25.67</v>
      </c>
      <c r="E133">
        <v>4.53</v>
      </c>
      <c r="F133">
        <v>0.05</v>
      </c>
      <c r="G133">
        <v>4.5199999999999996</v>
      </c>
      <c r="H133">
        <v>4.53</v>
      </c>
      <c r="I133" t="s">
        <v>277</v>
      </c>
      <c r="J133">
        <v>0.59</v>
      </c>
      <c r="K133">
        <v>0.59</v>
      </c>
      <c r="L133">
        <v>4.46</v>
      </c>
      <c r="M133">
        <v>4.53</v>
      </c>
      <c r="N133">
        <v>4.4400000000000004</v>
      </c>
    </row>
    <row r="134" spans="1:14" x14ac:dyDescent="0.5">
      <c r="A134" t="str">
        <f>"000540"</f>
        <v>000540</v>
      </c>
      <c r="B134" t="s">
        <v>278</v>
      </c>
      <c r="C134">
        <v>0.2</v>
      </c>
      <c r="D134">
        <v>6.7</v>
      </c>
      <c r="E134">
        <v>4.9400000000000004</v>
      </c>
      <c r="F134">
        <v>0.01</v>
      </c>
      <c r="G134">
        <v>4.93</v>
      </c>
      <c r="H134">
        <v>4.9400000000000004</v>
      </c>
      <c r="I134" t="s">
        <v>279</v>
      </c>
      <c r="J134">
        <v>2.17</v>
      </c>
      <c r="K134">
        <v>2.17</v>
      </c>
      <c r="L134">
        <v>4.9000000000000004</v>
      </c>
      <c r="M134">
        <v>4.9400000000000004</v>
      </c>
      <c r="N134">
        <v>4.82</v>
      </c>
    </row>
    <row r="135" spans="1:14" x14ac:dyDescent="0.5">
      <c r="A135" t="str">
        <f>"000541"</f>
        <v>000541</v>
      </c>
      <c r="B135" t="s">
        <v>280</v>
      </c>
      <c r="C135">
        <v>2.52</v>
      </c>
      <c r="D135">
        <v>21.42</v>
      </c>
      <c r="E135">
        <v>6.1</v>
      </c>
      <c r="F135">
        <v>0.15</v>
      </c>
      <c r="G135">
        <v>6.1</v>
      </c>
      <c r="H135">
        <v>6.11</v>
      </c>
      <c r="I135" t="s">
        <v>281</v>
      </c>
      <c r="J135">
        <v>0.98</v>
      </c>
      <c r="K135">
        <v>0.98</v>
      </c>
      <c r="L135">
        <v>5.93</v>
      </c>
      <c r="M135">
        <v>6.11</v>
      </c>
      <c r="N135">
        <v>5.91</v>
      </c>
    </row>
    <row r="136" spans="1:14" x14ac:dyDescent="0.5">
      <c r="A136" t="str">
        <f>"000543"</f>
        <v>000543</v>
      </c>
      <c r="B136" t="s">
        <v>282</v>
      </c>
      <c r="C136">
        <v>2.5299999999999998</v>
      </c>
      <c r="D136">
        <v>29.17</v>
      </c>
      <c r="E136">
        <v>5.67</v>
      </c>
      <c r="F136">
        <v>0.14000000000000001</v>
      </c>
      <c r="G136">
        <v>5.66</v>
      </c>
      <c r="H136">
        <v>5.67</v>
      </c>
      <c r="I136" t="s">
        <v>283</v>
      </c>
      <c r="J136">
        <v>1.99</v>
      </c>
      <c r="K136">
        <v>1.99</v>
      </c>
      <c r="L136">
        <v>5.6</v>
      </c>
      <c r="M136">
        <v>5.72</v>
      </c>
      <c r="N136">
        <v>5.6</v>
      </c>
    </row>
    <row r="137" spans="1:14" x14ac:dyDescent="0.5">
      <c r="A137" t="str">
        <f>"000544"</f>
        <v>000544</v>
      </c>
      <c r="B137" t="s">
        <v>284</v>
      </c>
      <c r="C137">
        <v>0.64</v>
      </c>
      <c r="D137">
        <v>18.079999999999998</v>
      </c>
      <c r="E137">
        <v>6.31</v>
      </c>
      <c r="F137">
        <v>0.04</v>
      </c>
      <c r="G137">
        <v>6.31</v>
      </c>
      <c r="H137">
        <v>6.32</v>
      </c>
      <c r="I137" t="s">
        <v>285</v>
      </c>
      <c r="J137">
        <v>1.99</v>
      </c>
      <c r="K137">
        <v>1.99</v>
      </c>
      <c r="L137">
        <v>6.18</v>
      </c>
      <c r="M137">
        <v>6.31</v>
      </c>
      <c r="N137">
        <v>6.15</v>
      </c>
    </row>
    <row r="138" spans="1:14" x14ac:dyDescent="0.5">
      <c r="A138" t="str">
        <f>"000545"</f>
        <v>000545</v>
      </c>
      <c r="B138" t="s">
        <v>286</v>
      </c>
      <c r="C138">
        <v>2.38</v>
      </c>
      <c r="D138">
        <v>31.68</v>
      </c>
      <c r="E138">
        <v>3.87</v>
      </c>
      <c r="F138">
        <v>0.09</v>
      </c>
      <c r="G138">
        <v>3.86</v>
      </c>
      <c r="H138">
        <v>3.87</v>
      </c>
      <c r="I138" t="s">
        <v>287</v>
      </c>
      <c r="J138">
        <v>2.95</v>
      </c>
      <c r="K138">
        <v>2.95</v>
      </c>
      <c r="L138">
        <v>3.75</v>
      </c>
      <c r="M138">
        <v>3.88</v>
      </c>
      <c r="N138">
        <v>3.72</v>
      </c>
    </row>
    <row r="139" spans="1:14" x14ac:dyDescent="0.5">
      <c r="A139" t="str">
        <f>"000546"</f>
        <v>000546</v>
      </c>
      <c r="B139" t="s">
        <v>288</v>
      </c>
      <c r="C139">
        <v>0.39</v>
      </c>
      <c r="D139">
        <v>15.74</v>
      </c>
      <c r="E139">
        <v>10.26</v>
      </c>
      <c r="F139">
        <v>0.04</v>
      </c>
      <c r="G139">
        <v>10.25</v>
      </c>
      <c r="H139">
        <v>10.26</v>
      </c>
      <c r="I139" t="s">
        <v>289</v>
      </c>
      <c r="J139">
        <v>0.67</v>
      </c>
      <c r="K139">
        <v>0.67</v>
      </c>
      <c r="L139">
        <v>10.17</v>
      </c>
      <c r="M139">
        <v>10.27</v>
      </c>
      <c r="N139">
        <v>10.130000000000001</v>
      </c>
    </row>
    <row r="140" spans="1:14" x14ac:dyDescent="0.5">
      <c r="A140" t="str">
        <f>"000547"</f>
        <v>000547</v>
      </c>
      <c r="B140" t="s">
        <v>290</v>
      </c>
      <c r="C140">
        <v>1.51</v>
      </c>
      <c r="D140">
        <v>50.97</v>
      </c>
      <c r="E140">
        <v>10.76</v>
      </c>
      <c r="F140">
        <v>0.16</v>
      </c>
      <c r="G140">
        <v>10.76</v>
      </c>
      <c r="H140">
        <v>10.77</v>
      </c>
      <c r="I140" t="s">
        <v>291</v>
      </c>
      <c r="J140">
        <v>2.77</v>
      </c>
      <c r="K140">
        <v>2.77</v>
      </c>
      <c r="L140">
        <v>10.53</v>
      </c>
      <c r="M140">
        <v>10.78</v>
      </c>
      <c r="N140">
        <v>10.45</v>
      </c>
    </row>
    <row r="141" spans="1:14" x14ac:dyDescent="0.5">
      <c r="A141" t="str">
        <f>"000548"</f>
        <v>000548</v>
      </c>
      <c r="B141" t="s">
        <v>292</v>
      </c>
      <c r="C141">
        <v>2.17</v>
      </c>
      <c r="D141">
        <v>134.15</v>
      </c>
      <c r="E141">
        <v>5.18</v>
      </c>
      <c r="F141">
        <v>0.11</v>
      </c>
      <c r="G141">
        <v>5.17</v>
      </c>
      <c r="H141">
        <v>5.18</v>
      </c>
      <c r="I141" t="s">
        <v>293</v>
      </c>
      <c r="J141">
        <v>2.6</v>
      </c>
      <c r="K141">
        <v>2.6</v>
      </c>
      <c r="L141">
        <v>5.03</v>
      </c>
      <c r="M141">
        <v>5.19</v>
      </c>
      <c r="N141">
        <v>4.9800000000000004</v>
      </c>
    </row>
    <row r="142" spans="1:14" x14ac:dyDescent="0.5">
      <c r="A142" t="str">
        <f>"000550"</f>
        <v>000550</v>
      </c>
      <c r="B142" t="s">
        <v>294</v>
      </c>
      <c r="C142">
        <v>2.92</v>
      </c>
      <c r="D142">
        <v>65.5</v>
      </c>
      <c r="E142">
        <v>20.47</v>
      </c>
      <c r="F142">
        <v>0.57999999999999996</v>
      </c>
      <c r="G142">
        <v>20.46</v>
      </c>
      <c r="H142">
        <v>20.47</v>
      </c>
      <c r="I142" t="s">
        <v>295</v>
      </c>
      <c r="J142">
        <v>0.86</v>
      </c>
      <c r="K142">
        <v>0.86</v>
      </c>
      <c r="L142">
        <v>19.86</v>
      </c>
      <c r="M142">
        <v>20.89</v>
      </c>
      <c r="N142">
        <v>19.71</v>
      </c>
    </row>
    <row r="143" spans="1:14" x14ac:dyDescent="0.5">
      <c r="A143" t="str">
        <f>"000551"</f>
        <v>000551</v>
      </c>
      <c r="B143" t="s">
        <v>296</v>
      </c>
      <c r="C143">
        <v>2.0499999999999998</v>
      </c>
      <c r="D143">
        <v>38.1</v>
      </c>
      <c r="E143">
        <v>6.98</v>
      </c>
      <c r="F143">
        <v>0.14000000000000001</v>
      </c>
      <c r="G143">
        <v>6.98</v>
      </c>
      <c r="H143">
        <v>6.99</v>
      </c>
      <c r="I143" t="s">
        <v>297</v>
      </c>
      <c r="J143">
        <v>1.51</v>
      </c>
      <c r="K143">
        <v>1.51</v>
      </c>
      <c r="L143">
        <v>6.82</v>
      </c>
      <c r="M143">
        <v>7</v>
      </c>
      <c r="N143">
        <v>6.81</v>
      </c>
    </row>
    <row r="144" spans="1:14" x14ac:dyDescent="0.5">
      <c r="A144" t="str">
        <f>"000552"</f>
        <v>000552</v>
      </c>
      <c r="B144" t="s">
        <v>298</v>
      </c>
      <c r="C144">
        <v>1.3</v>
      </c>
      <c r="D144">
        <v>10.42</v>
      </c>
      <c r="E144">
        <v>3.12</v>
      </c>
      <c r="F144">
        <v>0.04</v>
      </c>
      <c r="G144">
        <v>3.11</v>
      </c>
      <c r="H144">
        <v>3.12</v>
      </c>
      <c r="I144" t="s">
        <v>299</v>
      </c>
      <c r="J144">
        <v>1.72</v>
      </c>
      <c r="K144">
        <v>1.72</v>
      </c>
      <c r="L144">
        <v>3.06</v>
      </c>
      <c r="M144">
        <v>3.12</v>
      </c>
      <c r="N144">
        <v>3.05</v>
      </c>
    </row>
    <row r="145" spans="1:14" x14ac:dyDescent="0.5">
      <c r="A145" t="str">
        <f>"000553"</f>
        <v>000553</v>
      </c>
      <c r="B145" t="s">
        <v>300</v>
      </c>
      <c r="C145">
        <v>0.79</v>
      </c>
      <c r="D145">
        <v>11.15</v>
      </c>
      <c r="E145">
        <v>11.53</v>
      </c>
      <c r="F145">
        <v>0.09</v>
      </c>
      <c r="G145">
        <v>11.52</v>
      </c>
      <c r="H145">
        <v>11.53</v>
      </c>
      <c r="I145" t="s">
        <v>301</v>
      </c>
      <c r="J145">
        <v>1.54</v>
      </c>
      <c r="K145">
        <v>1.54</v>
      </c>
      <c r="L145">
        <v>11.35</v>
      </c>
      <c r="M145">
        <v>11.58</v>
      </c>
      <c r="N145">
        <v>11.29</v>
      </c>
    </row>
    <row r="146" spans="1:14" x14ac:dyDescent="0.5">
      <c r="A146" t="str">
        <f>"000554"</f>
        <v>000554</v>
      </c>
      <c r="B146" t="s">
        <v>302</v>
      </c>
      <c r="C146">
        <v>1</v>
      </c>
      <c r="D146">
        <v>1289.79</v>
      </c>
      <c r="E146">
        <v>6.08</v>
      </c>
      <c r="F146">
        <v>0.06</v>
      </c>
      <c r="G146">
        <v>6.08</v>
      </c>
      <c r="H146">
        <v>6.09</v>
      </c>
      <c r="I146" t="s">
        <v>303</v>
      </c>
      <c r="J146">
        <v>4.29</v>
      </c>
      <c r="K146">
        <v>4.29</v>
      </c>
      <c r="L146">
        <v>5.94</v>
      </c>
      <c r="M146">
        <v>6.08</v>
      </c>
      <c r="N146">
        <v>5.94</v>
      </c>
    </row>
    <row r="147" spans="1:14" x14ac:dyDescent="0.5">
      <c r="A147" t="str">
        <f>"000555"</f>
        <v>000555</v>
      </c>
      <c r="B147" t="s">
        <v>304</v>
      </c>
      <c r="C147">
        <v>7.53</v>
      </c>
      <c r="D147">
        <v>23.83</v>
      </c>
      <c r="E147">
        <v>12.85</v>
      </c>
      <c r="F147">
        <v>0.9</v>
      </c>
      <c r="G147">
        <v>12.85</v>
      </c>
      <c r="H147">
        <v>12.86</v>
      </c>
      <c r="I147" t="s">
        <v>305</v>
      </c>
      <c r="J147">
        <v>5.24</v>
      </c>
      <c r="K147">
        <v>5.24</v>
      </c>
      <c r="L147">
        <v>11.77</v>
      </c>
      <c r="M147">
        <v>13.11</v>
      </c>
      <c r="N147">
        <v>11.76</v>
      </c>
    </row>
    <row r="148" spans="1:14" x14ac:dyDescent="0.5">
      <c r="A148" t="str">
        <f>"000557"</f>
        <v>000557</v>
      </c>
      <c r="B148" t="s">
        <v>306</v>
      </c>
      <c r="C148">
        <v>1.44</v>
      </c>
      <c r="D148">
        <v>45.71</v>
      </c>
      <c r="E148">
        <v>4.24</v>
      </c>
      <c r="F148">
        <v>0.06</v>
      </c>
      <c r="G148">
        <v>4.2300000000000004</v>
      </c>
      <c r="H148">
        <v>4.24</v>
      </c>
      <c r="I148" t="s">
        <v>307</v>
      </c>
      <c r="J148">
        <v>3.1</v>
      </c>
      <c r="K148">
        <v>3.1</v>
      </c>
      <c r="L148">
        <v>4.18</v>
      </c>
      <c r="M148">
        <v>4.25</v>
      </c>
      <c r="N148">
        <v>4.1399999999999997</v>
      </c>
    </row>
    <row r="149" spans="1:14" x14ac:dyDescent="0.5">
      <c r="A149" t="str">
        <f>"000558"</f>
        <v>000558</v>
      </c>
      <c r="B149" t="s">
        <v>308</v>
      </c>
      <c r="C149">
        <v>4.05</v>
      </c>
      <c r="D149">
        <v>125.89</v>
      </c>
      <c r="E149">
        <v>3.6</v>
      </c>
      <c r="F149">
        <v>0.14000000000000001</v>
      </c>
      <c r="G149">
        <v>3.59</v>
      </c>
      <c r="H149">
        <v>3.6</v>
      </c>
      <c r="I149" t="s">
        <v>309</v>
      </c>
      <c r="J149">
        <v>2.97</v>
      </c>
      <c r="K149">
        <v>2.97</v>
      </c>
      <c r="L149">
        <v>3.43</v>
      </c>
      <c r="M149">
        <v>3.6</v>
      </c>
      <c r="N149">
        <v>3.42</v>
      </c>
    </row>
    <row r="150" spans="1:14" x14ac:dyDescent="0.5">
      <c r="A150" t="str">
        <f>"000559"</f>
        <v>000559</v>
      </c>
      <c r="B150" t="s">
        <v>310</v>
      </c>
      <c r="C150">
        <v>3.19</v>
      </c>
      <c r="D150">
        <v>20.27</v>
      </c>
      <c r="E150">
        <v>6.46</v>
      </c>
      <c r="F150">
        <v>0.2</v>
      </c>
      <c r="G150">
        <v>6.46</v>
      </c>
      <c r="H150">
        <v>6.47</v>
      </c>
      <c r="I150" t="s">
        <v>311</v>
      </c>
      <c r="J150">
        <v>0.74</v>
      </c>
      <c r="K150">
        <v>0.74</v>
      </c>
      <c r="L150">
        <v>6.3</v>
      </c>
      <c r="M150">
        <v>6.47</v>
      </c>
      <c r="N150">
        <v>6.22</v>
      </c>
    </row>
    <row r="151" spans="1:14" x14ac:dyDescent="0.5">
      <c r="A151" t="str">
        <f>"000560"</f>
        <v>000560</v>
      </c>
      <c r="B151" t="s">
        <v>312</v>
      </c>
      <c r="C151">
        <v>0.34</v>
      </c>
      <c r="D151">
        <v>24.81</v>
      </c>
      <c r="E151">
        <v>5.98</v>
      </c>
      <c r="F151">
        <v>0.02</v>
      </c>
      <c r="G151">
        <v>5.97</v>
      </c>
      <c r="H151">
        <v>5.98</v>
      </c>
      <c r="I151" t="s">
        <v>313</v>
      </c>
      <c r="J151">
        <v>0.89</v>
      </c>
      <c r="K151">
        <v>0.89</v>
      </c>
      <c r="L151">
        <v>5.96</v>
      </c>
      <c r="M151">
        <v>6.08</v>
      </c>
      <c r="N151">
        <v>5.84</v>
      </c>
    </row>
    <row r="152" spans="1:14" x14ac:dyDescent="0.5">
      <c r="A152" t="str">
        <f>"000561"</f>
        <v>000561</v>
      </c>
      <c r="B152" t="s">
        <v>314</v>
      </c>
      <c r="C152">
        <v>4.09</v>
      </c>
      <c r="D152">
        <v>57.98</v>
      </c>
      <c r="E152">
        <v>7.13</v>
      </c>
      <c r="F152">
        <v>0.28000000000000003</v>
      </c>
      <c r="G152">
        <v>7.13</v>
      </c>
      <c r="H152">
        <v>7.14</v>
      </c>
      <c r="I152" t="s">
        <v>315</v>
      </c>
      <c r="J152">
        <v>3.09</v>
      </c>
      <c r="K152">
        <v>3.09</v>
      </c>
      <c r="L152">
        <v>6.84</v>
      </c>
      <c r="M152">
        <v>7.13</v>
      </c>
      <c r="N152">
        <v>6.79</v>
      </c>
    </row>
    <row r="153" spans="1:14" x14ac:dyDescent="0.5">
      <c r="A153" t="str">
        <f>"000563"</f>
        <v>000563</v>
      </c>
      <c r="B153" t="s">
        <v>316</v>
      </c>
      <c r="C153">
        <v>3.02</v>
      </c>
      <c r="D153">
        <v>115.08</v>
      </c>
      <c r="E153">
        <v>5.79</v>
      </c>
      <c r="F153">
        <v>0.17</v>
      </c>
      <c r="G153">
        <v>5.79</v>
      </c>
      <c r="H153">
        <v>5.8</v>
      </c>
      <c r="I153" t="s">
        <v>317</v>
      </c>
      <c r="J153">
        <v>15.55</v>
      </c>
      <c r="K153">
        <v>15.55</v>
      </c>
      <c r="L153">
        <v>5.4</v>
      </c>
      <c r="M153">
        <v>5.99</v>
      </c>
      <c r="N153">
        <v>5.31</v>
      </c>
    </row>
    <row r="154" spans="1:14" x14ac:dyDescent="0.5">
      <c r="A154" t="str">
        <f>"000564"</f>
        <v>000564</v>
      </c>
      <c r="B154" t="s">
        <v>318</v>
      </c>
      <c r="C154">
        <v>2.87</v>
      </c>
      <c r="D154">
        <v>17.940000000000001</v>
      </c>
      <c r="E154">
        <v>3.58</v>
      </c>
      <c r="F154">
        <v>0.1</v>
      </c>
      <c r="G154">
        <v>3.58</v>
      </c>
      <c r="H154">
        <v>3.59</v>
      </c>
      <c r="I154" t="s">
        <v>319</v>
      </c>
      <c r="J154">
        <v>5.44</v>
      </c>
      <c r="K154">
        <v>5.44</v>
      </c>
      <c r="L154">
        <v>3.4</v>
      </c>
      <c r="M154">
        <v>3.6</v>
      </c>
      <c r="N154">
        <v>3.38</v>
      </c>
    </row>
    <row r="155" spans="1:14" x14ac:dyDescent="0.5">
      <c r="A155" t="str">
        <f>"000565"</f>
        <v>000565</v>
      </c>
      <c r="B155" t="s">
        <v>320</v>
      </c>
      <c r="C155">
        <v>2.59</v>
      </c>
      <c r="D155">
        <v>38.25</v>
      </c>
      <c r="E155">
        <v>5.54</v>
      </c>
      <c r="F155">
        <v>0.14000000000000001</v>
      </c>
      <c r="G155">
        <v>5.54</v>
      </c>
      <c r="H155">
        <v>5.55</v>
      </c>
      <c r="I155" t="s">
        <v>321</v>
      </c>
      <c r="J155">
        <v>2</v>
      </c>
      <c r="K155">
        <v>2</v>
      </c>
      <c r="L155">
        <v>5.42</v>
      </c>
      <c r="M155">
        <v>5.55</v>
      </c>
      <c r="N155">
        <v>5.34</v>
      </c>
    </row>
    <row r="156" spans="1:14" x14ac:dyDescent="0.5">
      <c r="A156" t="str">
        <f>"000566"</f>
        <v>000566</v>
      </c>
      <c r="B156" t="s">
        <v>322</v>
      </c>
      <c r="C156">
        <v>0.57999999999999996</v>
      </c>
      <c r="D156">
        <v>65.77</v>
      </c>
      <c r="E156">
        <v>6.89</v>
      </c>
      <c r="F156">
        <v>0.04</v>
      </c>
      <c r="G156">
        <v>6.89</v>
      </c>
      <c r="H156">
        <v>6.9</v>
      </c>
      <c r="I156" t="s">
        <v>323</v>
      </c>
      <c r="J156">
        <v>1.88</v>
      </c>
      <c r="K156">
        <v>1.88</v>
      </c>
      <c r="L156">
        <v>6.85</v>
      </c>
      <c r="M156">
        <v>6.91</v>
      </c>
      <c r="N156">
        <v>6.76</v>
      </c>
    </row>
    <row r="157" spans="1:14" x14ac:dyDescent="0.5">
      <c r="A157" t="str">
        <f>"000567"</f>
        <v>000567</v>
      </c>
      <c r="B157" t="s">
        <v>324</v>
      </c>
      <c r="C157">
        <v>0.28999999999999998</v>
      </c>
      <c r="D157">
        <v>63.62</v>
      </c>
      <c r="E157">
        <v>13.8</v>
      </c>
      <c r="F157">
        <v>0.04</v>
      </c>
      <c r="G157">
        <v>13.8</v>
      </c>
      <c r="H157">
        <v>13.81</v>
      </c>
      <c r="I157" t="s">
        <v>325</v>
      </c>
      <c r="J157">
        <v>5.39</v>
      </c>
      <c r="K157">
        <v>5.39</v>
      </c>
      <c r="L157">
        <v>13.5</v>
      </c>
      <c r="M157">
        <v>13.84</v>
      </c>
      <c r="N157">
        <v>13.41</v>
      </c>
    </row>
    <row r="158" spans="1:14" x14ac:dyDescent="0.5">
      <c r="A158" t="str">
        <f>"000568"</f>
        <v>000568</v>
      </c>
      <c r="B158" t="s">
        <v>326</v>
      </c>
      <c r="C158">
        <v>-0.4</v>
      </c>
      <c r="D158">
        <v>23.66</v>
      </c>
      <c r="E158">
        <v>54.18</v>
      </c>
      <c r="F158">
        <v>-0.22</v>
      </c>
      <c r="G158">
        <v>54.18</v>
      </c>
      <c r="H158">
        <v>54.19</v>
      </c>
      <c r="I158" t="s">
        <v>327</v>
      </c>
      <c r="J158">
        <v>0.84</v>
      </c>
      <c r="K158">
        <v>0.84</v>
      </c>
      <c r="L158">
        <v>54.4</v>
      </c>
      <c r="M158">
        <v>55.06</v>
      </c>
      <c r="N158">
        <v>53.5</v>
      </c>
    </row>
    <row r="159" spans="1:14" x14ac:dyDescent="0.5">
      <c r="A159" t="str">
        <f>"000570"</f>
        <v>000570</v>
      </c>
      <c r="B159" t="s">
        <v>328</v>
      </c>
      <c r="C159">
        <v>2.4300000000000002</v>
      </c>
      <c r="D159">
        <v>93.81</v>
      </c>
      <c r="E159">
        <v>4.6399999999999997</v>
      </c>
      <c r="F159">
        <v>0.11</v>
      </c>
      <c r="G159">
        <v>4.6399999999999997</v>
      </c>
      <c r="H159">
        <v>4.6500000000000004</v>
      </c>
      <c r="I159" t="s">
        <v>329</v>
      </c>
      <c r="J159">
        <v>1.77</v>
      </c>
      <c r="K159">
        <v>1.77</v>
      </c>
      <c r="L159">
        <v>4.53</v>
      </c>
      <c r="M159">
        <v>4.6500000000000004</v>
      </c>
      <c r="N159">
        <v>4.5</v>
      </c>
    </row>
    <row r="160" spans="1:14" x14ac:dyDescent="0.5">
      <c r="A160" t="str">
        <f>"000571"</f>
        <v>000571</v>
      </c>
      <c r="B160" t="s">
        <v>330</v>
      </c>
      <c r="C160">
        <v>2.99</v>
      </c>
      <c r="D160" t="s">
        <v>24</v>
      </c>
      <c r="E160">
        <v>3.45</v>
      </c>
      <c r="F160">
        <v>0.1</v>
      </c>
      <c r="G160">
        <v>3.44</v>
      </c>
      <c r="H160">
        <v>3.45</v>
      </c>
      <c r="I160" t="s">
        <v>331</v>
      </c>
      <c r="J160">
        <v>5.56</v>
      </c>
      <c r="K160">
        <v>5.56</v>
      </c>
      <c r="L160">
        <v>3.33</v>
      </c>
      <c r="M160">
        <v>3.45</v>
      </c>
      <c r="N160">
        <v>3.31</v>
      </c>
    </row>
    <row r="161" spans="1:14" x14ac:dyDescent="0.5">
      <c r="A161" t="str">
        <f>"000572"</f>
        <v>000572</v>
      </c>
      <c r="B161" t="s">
        <v>332</v>
      </c>
      <c r="C161">
        <v>1.56</v>
      </c>
      <c r="D161" t="s">
        <v>24</v>
      </c>
      <c r="E161">
        <v>2.6</v>
      </c>
      <c r="F161">
        <v>0.04</v>
      </c>
      <c r="G161">
        <v>2.6</v>
      </c>
      <c r="H161">
        <v>2.61</v>
      </c>
      <c r="I161" t="s">
        <v>333</v>
      </c>
      <c r="J161">
        <v>4.07</v>
      </c>
      <c r="K161">
        <v>4.07</v>
      </c>
      <c r="L161">
        <v>2.52</v>
      </c>
      <c r="M161">
        <v>2.67</v>
      </c>
      <c r="N161">
        <v>2.4900000000000002</v>
      </c>
    </row>
    <row r="162" spans="1:14" x14ac:dyDescent="0.5">
      <c r="A162" t="str">
        <f>"000573"</f>
        <v>000573</v>
      </c>
      <c r="B162" t="s">
        <v>334</v>
      </c>
      <c r="C162">
        <v>1.69</v>
      </c>
      <c r="D162" t="s">
        <v>24</v>
      </c>
      <c r="E162">
        <v>3.6</v>
      </c>
      <c r="F162">
        <v>0.06</v>
      </c>
      <c r="G162">
        <v>3.6</v>
      </c>
      <c r="H162">
        <v>3.61</v>
      </c>
      <c r="I162" t="s">
        <v>335</v>
      </c>
      <c r="J162">
        <v>1.55</v>
      </c>
      <c r="K162">
        <v>1.55</v>
      </c>
      <c r="L162">
        <v>3.53</v>
      </c>
      <c r="M162">
        <v>3.61</v>
      </c>
      <c r="N162">
        <v>3.53</v>
      </c>
    </row>
    <row r="163" spans="1:14" x14ac:dyDescent="0.5">
      <c r="A163" t="str">
        <f>"000576"</f>
        <v>000576</v>
      </c>
      <c r="B163" t="s">
        <v>336</v>
      </c>
      <c r="C163">
        <v>10.01</v>
      </c>
      <c r="D163" t="s">
        <v>24</v>
      </c>
      <c r="E163">
        <v>10.44</v>
      </c>
      <c r="F163">
        <v>0.95</v>
      </c>
      <c r="G163">
        <v>10.44</v>
      </c>
      <c r="H163" t="s">
        <v>24</v>
      </c>
      <c r="I163" t="s">
        <v>337</v>
      </c>
      <c r="J163">
        <v>11.48</v>
      </c>
      <c r="K163">
        <v>11.48</v>
      </c>
      <c r="L163">
        <v>10.029999999999999</v>
      </c>
      <c r="M163">
        <v>10.44</v>
      </c>
      <c r="N163">
        <v>9.68</v>
      </c>
    </row>
    <row r="164" spans="1:14" x14ac:dyDescent="0.5">
      <c r="A164" t="str">
        <f>"000581"</f>
        <v>000581</v>
      </c>
      <c r="B164" t="s">
        <v>338</v>
      </c>
      <c r="C164">
        <v>1.63</v>
      </c>
      <c r="D164">
        <v>7.73</v>
      </c>
      <c r="E164">
        <v>21.78</v>
      </c>
      <c r="F164">
        <v>0.35</v>
      </c>
      <c r="G164">
        <v>21.77</v>
      </c>
      <c r="H164">
        <v>21.78</v>
      </c>
      <c r="I164" t="s">
        <v>339</v>
      </c>
      <c r="J164">
        <v>1.0900000000000001</v>
      </c>
      <c r="K164">
        <v>1.0900000000000001</v>
      </c>
      <c r="L164">
        <v>21.38</v>
      </c>
      <c r="M164">
        <v>21.81</v>
      </c>
      <c r="N164">
        <v>21.28</v>
      </c>
    </row>
    <row r="165" spans="1:14" x14ac:dyDescent="0.5">
      <c r="A165" t="str">
        <f>"000582"</f>
        <v>000582</v>
      </c>
      <c r="B165" t="s">
        <v>340</v>
      </c>
      <c r="C165">
        <v>2.4700000000000002</v>
      </c>
      <c r="D165">
        <v>23.96</v>
      </c>
      <c r="E165">
        <v>8.2899999999999991</v>
      </c>
      <c r="F165">
        <v>0.2</v>
      </c>
      <c r="G165">
        <v>8.2799999999999994</v>
      </c>
      <c r="H165">
        <v>8.2899999999999991</v>
      </c>
      <c r="I165" t="s">
        <v>341</v>
      </c>
      <c r="J165">
        <v>2.5499999999999998</v>
      </c>
      <c r="K165">
        <v>2.5499999999999998</v>
      </c>
      <c r="L165">
        <v>8.07</v>
      </c>
      <c r="M165">
        <v>8.2899999999999991</v>
      </c>
      <c r="N165">
        <v>8.0299999999999994</v>
      </c>
    </row>
    <row r="166" spans="1:14" x14ac:dyDescent="0.5">
      <c r="A166" t="str">
        <f>"000584"</f>
        <v>000584</v>
      </c>
      <c r="B166" t="s">
        <v>342</v>
      </c>
      <c r="C166">
        <v>4.62</v>
      </c>
      <c r="D166">
        <v>39.03</v>
      </c>
      <c r="E166">
        <v>8.61</v>
      </c>
      <c r="F166">
        <v>0.38</v>
      </c>
      <c r="G166">
        <v>8.61</v>
      </c>
      <c r="H166">
        <v>8.6199999999999992</v>
      </c>
      <c r="I166" t="s">
        <v>343</v>
      </c>
      <c r="J166">
        <v>3.32</v>
      </c>
      <c r="K166">
        <v>3.32</v>
      </c>
      <c r="L166">
        <v>8.1300000000000008</v>
      </c>
      <c r="M166">
        <v>8.64</v>
      </c>
      <c r="N166">
        <v>8.1300000000000008</v>
      </c>
    </row>
    <row r="167" spans="1:14" x14ac:dyDescent="0.5">
      <c r="A167" t="str">
        <f>"000585"</f>
        <v>000585</v>
      </c>
      <c r="B167" t="s">
        <v>344</v>
      </c>
      <c r="C167">
        <v>0</v>
      </c>
      <c r="D167" t="s">
        <v>24</v>
      </c>
      <c r="E167">
        <v>2.44</v>
      </c>
      <c r="F167">
        <v>0</v>
      </c>
      <c r="G167">
        <v>2.4300000000000002</v>
      </c>
      <c r="H167">
        <v>2.44</v>
      </c>
      <c r="I167" t="s">
        <v>345</v>
      </c>
      <c r="J167">
        <v>1.97</v>
      </c>
      <c r="K167">
        <v>1.97</v>
      </c>
      <c r="L167">
        <v>2.4300000000000002</v>
      </c>
      <c r="M167">
        <v>2.46</v>
      </c>
      <c r="N167">
        <v>2.4</v>
      </c>
    </row>
    <row r="168" spans="1:14" x14ac:dyDescent="0.5">
      <c r="A168" t="str">
        <f>"000586"</f>
        <v>000586</v>
      </c>
      <c r="B168" t="s">
        <v>346</v>
      </c>
      <c r="C168">
        <v>3.1</v>
      </c>
      <c r="D168" t="s">
        <v>24</v>
      </c>
      <c r="E168">
        <v>12.32</v>
      </c>
      <c r="F168">
        <v>0.37</v>
      </c>
      <c r="G168">
        <v>12.32</v>
      </c>
      <c r="H168">
        <v>12.33</v>
      </c>
      <c r="I168" t="s">
        <v>347</v>
      </c>
      <c r="J168">
        <v>12.1</v>
      </c>
      <c r="K168">
        <v>12.1</v>
      </c>
      <c r="L168">
        <v>11.82</v>
      </c>
      <c r="M168">
        <v>12.32</v>
      </c>
      <c r="N168">
        <v>11.61</v>
      </c>
    </row>
    <row r="169" spans="1:14" x14ac:dyDescent="0.5">
      <c r="A169" t="str">
        <f>"000587"</f>
        <v>000587</v>
      </c>
      <c r="B169" t="s">
        <v>348</v>
      </c>
      <c r="C169">
        <v>2.56</v>
      </c>
      <c r="D169">
        <v>52.24</v>
      </c>
      <c r="E169">
        <v>3.21</v>
      </c>
      <c r="F169">
        <v>0.08</v>
      </c>
      <c r="G169">
        <v>3.21</v>
      </c>
      <c r="H169">
        <v>3.22</v>
      </c>
      <c r="I169" t="s">
        <v>349</v>
      </c>
      <c r="J169">
        <v>8.7899999999999991</v>
      </c>
      <c r="K169">
        <v>8.7899999999999991</v>
      </c>
      <c r="L169">
        <v>3.11</v>
      </c>
      <c r="M169">
        <v>3.27</v>
      </c>
      <c r="N169">
        <v>3.09</v>
      </c>
    </row>
    <row r="170" spans="1:14" x14ac:dyDescent="0.5">
      <c r="A170" t="str">
        <f>"000589"</f>
        <v>000589</v>
      </c>
      <c r="B170" t="s">
        <v>350</v>
      </c>
      <c r="C170">
        <v>1.27</v>
      </c>
      <c r="D170" t="s">
        <v>24</v>
      </c>
      <c r="E170">
        <v>3.98</v>
      </c>
      <c r="F170">
        <v>0.05</v>
      </c>
      <c r="G170">
        <v>3.97</v>
      </c>
      <c r="H170">
        <v>3.98</v>
      </c>
      <c r="I170" t="s">
        <v>351</v>
      </c>
      <c r="J170">
        <v>1.49</v>
      </c>
      <c r="K170">
        <v>1.49</v>
      </c>
      <c r="L170">
        <v>3.92</v>
      </c>
      <c r="M170">
        <v>3.98</v>
      </c>
      <c r="N170">
        <v>3.9</v>
      </c>
    </row>
    <row r="171" spans="1:14" x14ac:dyDescent="0.5">
      <c r="A171" t="str">
        <f>"000590"</f>
        <v>000590</v>
      </c>
      <c r="B171" t="s">
        <v>352</v>
      </c>
      <c r="C171" t="s">
        <v>24</v>
      </c>
      <c r="D171" t="s">
        <v>24</v>
      </c>
      <c r="E171">
        <v>7.63</v>
      </c>
      <c r="F171" t="s">
        <v>24</v>
      </c>
      <c r="G171" t="s">
        <v>24</v>
      </c>
      <c r="H171" t="s">
        <v>24</v>
      </c>
      <c r="I171" t="s">
        <v>353</v>
      </c>
      <c r="J171">
        <v>0</v>
      </c>
      <c r="K171">
        <v>0</v>
      </c>
      <c r="L171" t="s">
        <v>24</v>
      </c>
      <c r="M171" t="s">
        <v>24</v>
      </c>
      <c r="N171" t="s">
        <v>24</v>
      </c>
    </row>
    <row r="172" spans="1:14" x14ac:dyDescent="0.5">
      <c r="A172" t="str">
        <f>"000591"</f>
        <v>000591</v>
      </c>
      <c r="B172" t="s">
        <v>354</v>
      </c>
      <c r="C172">
        <v>2.86</v>
      </c>
      <c r="D172">
        <v>13.74</v>
      </c>
      <c r="E172">
        <v>3.95</v>
      </c>
      <c r="F172">
        <v>0.11</v>
      </c>
      <c r="G172">
        <v>3.94</v>
      </c>
      <c r="H172">
        <v>3.95</v>
      </c>
      <c r="I172" t="s">
        <v>355</v>
      </c>
      <c r="J172">
        <v>2.84</v>
      </c>
      <c r="K172">
        <v>2.84</v>
      </c>
      <c r="L172">
        <v>3.81</v>
      </c>
      <c r="M172">
        <v>3.96</v>
      </c>
      <c r="N172">
        <v>3.8</v>
      </c>
    </row>
    <row r="173" spans="1:14" x14ac:dyDescent="0.5">
      <c r="A173" t="str">
        <f>"000592"</f>
        <v>000592</v>
      </c>
      <c r="B173" t="s">
        <v>356</v>
      </c>
      <c r="C173">
        <v>0</v>
      </c>
      <c r="D173">
        <v>105.41</v>
      </c>
      <c r="E173">
        <v>4.09</v>
      </c>
      <c r="F173">
        <v>0</v>
      </c>
      <c r="G173">
        <v>4.09</v>
      </c>
      <c r="H173">
        <v>4.0999999999999996</v>
      </c>
      <c r="I173" t="s">
        <v>357</v>
      </c>
      <c r="J173">
        <v>4.74</v>
      </c>
      <c r="K173">
        <v>4.74</v>
      </c>
      <c r="L173">
        <v>4.0199999999999996</v>
      </c>
      <c r="M173">
        <v>4.0999999999999996</v>
      </c>
      <c r="N173">
        <v>3.96</v>
      </c>
    </row>
    <row r="174" spans="1:14" x14ac:dyDescent="0.5">
      <c r="A174" t="str">
        <f>"000593"</f>
        <v>000593</v>
      </c>
      <c r="B174" t="s">
        <v>358</v>
      </c>
      <c r="C174">
        <v>0.56999999999999995</v>
      </c>
      <c r="D174">
        <v>67.790000000000006</v>
      </c>
      <c r="E174">
        <v>7.01</v>
      </c>
      <c r="F174">
        <v>0.04</v>
      </c>
      <c r="G174">
        <v>7.01</v>
      </c>
      <c r="H174">
        <v>7.02</v>
      </c>
      <c r="I174" t="s">
        <v>359</v>
      </c>
      <c r="J174">
        <v>4.1399999999999997</v>
      </c>
      <c r="K174">
        <v>4.1399999999999997</v>
      </c>
      <c r="L174">
        <v>6.97</v>
      </c>
      <c r="M174">
        <v>7.04</v>
      </c>
      <c r="N174">
        <v>6.89</v>
      </c>
    </row>
    <row r="175" spans="1:14" x14ac:dyDescent="0.5">
      <c r="A175" t="str">
        <f>"000595"</f>
        <v>000595</v>
      </c>
      <c r="B175" t="s">
        <v>360</v>
      </c>
      <c r="C175">
        <v>5.19</v>
      </c>
      <c r="D175" t="s">
        <v>24</v>
      </c>
      <c r="E175">
        <v>3.85</v>
      </c>
      <c r="F175">
        <v>0.19</v>
      </c>
      <c r="G175">
        <v>3.84</v>
      </c>
      <c r="H175">
        <v>3.85</v>
      </c>
      <c r="I175" t="s">
        <v>361</v>
      </c>
      <c r="J175">
        <v>6.79</v>
      </c>
      <c r="K175">
        <v>6.79</v>
      </c>
      <c r="L175">
        <v>3.63</v>
      </c>
      <c r="M175">
        <v>3.93</v>
      </c>
      <c r="N175">
        <v>3.61</v>
      </c>
    </row>
    <row r="176" spans="1:14" x14ac:dyDescent="0.5">
      <c r="A176" t="str">
        <f>"000596"</f>
        <v>000596</v>
      </c>
      <c r="B176" t="s">
        <v>362</v>
      </c>
      <c r="C176">
        <v>-0.59</v>
      </c>
      <c r="D176">
        <v>25.17</v>
      </c>
      <c r="E176">
        <v>79.06</v>
      </c>
      <c r="F176">
        <v>-0.47</v>
      </c>
      <c r="G176">
        <v>79.06</v>
      </c>
      <c r="H176">
        <v>79.069999999999993</v>
      </c>
      <c r="I176" t="s">
        <v>363</v>
      </c>
      <c r="J176">
        <v>1.1000000000000001</v>
      </c>
      <c r="K176">
        <v>1.1000000000000001</v>
      </c>
      <c r="L176">
        <v>79.53</v>
      </c>
      <c r="M176">
        <v>80.400000000000006</v>
      </c>
      <c r="N176">
        <v>77.709999999999994</v>
      </c>
    </row>
    <row r="177" spans="1:14" x14ac:dyDescent="0.5">
      <c r="A177" t="str">
        <f>"000597"</f>
        <v>000597</v>
      </c>
      <c r="B177" t="s">
        <v>364</v>
      </c>
      <c r="C177">
        <v>0.56999999999999995</v>
      </c>
      <c r="D177">
        <v>37.479999999999997</v>
      </c>
      <c r="E177">
        <v>12.4</v>
      </c>
      <c r="F177">
        <v>7.0000000000000007E-2</v>
      </c>
      <c r="G177">
        <v>12.39</v>
      </c>
      <c r="H177">
        <v>12.4</v>
      </c>
      <c r="I177" t="s">
        <v>365</v>
      </c>
      <c r="J177">
        <v>1.32</v>
      </c>
      <c r="K177">
        <v>1.32</v>
      </c>
      <c r="L177">
        <v>12.48</v>
      </c>
      <c r="M177">
        <v>12.79</v>
      </c>
      <c r="N177">
        <v>12.33</v>
      </c>
    </row>
    <row r="178" spans="1:14" x14ac:dyDescent="0.5">
      <c r="A178" t="str">
        <f>"000598"</f>
        <v>000598</v>
      </c>
      <c r="B178" t="s">
        <v>366</v>
      </c>
      <c r="C178">
        <v>1.47</v>
      </c>
      <c r="D178">
        <v>14.08</v>
      </c>
      <c r="E178">
        <v>4.84</v>
      </c>
      <c r="F178">
        <v>7.0000000000000007E-2</v>
      </c>
      <c r="G178">
        <v>4.83</v>
      </c>
      <c r="H178">
        <v>4.84</v>
      </c>
      <c r="I178" t="s">
        <v>367</v>
      </c>
      <c r="J178">
        <v>0.68</v>
      </c>
      <c r="K178">
        <v>0.68</v>
      </c>
      <c r="L178">
        <v>4.7699999999999996</v>
      </c>
      <c r="M178">
        <v>4.84</v>
      </c>
      <c r="N178">
        <v>4.74</v>
      </c>
    </row>
    <row r="179" spans="1:14" x14ac:dyDescent="0.5">
      <c r="A179" t="str">
        <f>"000599"</f>
        <v>000599</v>
      </c>
      <c r="B179" t="s">
        <v>368</v>
      </c>
      <c r="C179">
        <v>1.4</v>
      </c>
      <c r="D179">
        <v>60.95</v>
      </c>
      <c r="E179">
        <v>4.34</v>
      </c>
      <c r="F179">
        <v>0.06</v>
      </c>
      <c r="G179">
        <v>4.34</v>
      </c>
      <c r="H179">
        <v>4.3499999999999996</v>
      </c>
      <c r="I179" t="s">
        <v>369</v>
      </c>
      <c r="J179">
        <v>0.95</v>
      </c>
      <c r="K179">
        <v>0.95</v>
      </c>
      <c r="L179">
        <v>4.3</v>
      </c>
      <c r="M179">
        <v>4.3499999999999996</v>
      </c>
      <c r="N179">
        <v>4.25</v>
      </c>
    </row>
    <row r="180" spans="1:14" x14ac:dyDescent="0.5">
      <c r="A180" t="str">
        <f>"000600"</f>
        <v>000600</v>
      </c>
      <c r="B180" t="s">
        <v>370</v>
      </c>
      <c r="C180">
        <v>2.37</v>
      </c>
      <c r="D180">
        <v>55.3</v>
      </c>
      <c r="E180">
        <v>6.91</v>
      </c>
      <c r="F180">
        <v>0.16</v>
      </c>
      <c r="G180">
        <v>6.91</v>
      </c>
      <c r="H180">
        <v>6.92</v>
      </c>
      <c r="I180" t="s">
        <v>371</v>
      </c>
      <c r="J180">
        <v>1.26</v>
      </c>
      <c r="K180">
        <v>1.26</v>
      </c>
      <c r="L180">
        <v>6.77</v>
      </c>
      <c r="M180">
        <v>6.91</v>
      </c>
      <c r="N180">
        <v>6.73</v>
      </c>
    </row>
    <row r="181" spans="1:14" x14ac:dyDescent="0.5">
      <c r="A181" t="str">
        <f>"000601"</f>
        <v>000601</v>
      </c>
      <c r="B181" t="s">
        <v>372</v>
      </c>
      <c r="C181">
        <v>2</v>
      </c>
      <c r="D181">
        <v>17.18</v>
      </c>
      <c r="E181">
        <v>4.59</v>
      </c>
      <c r="F181">
        <v>0.09</v>
      </c>
      <c r="G181">
        <v>4.59</v>
      </c>
      <c r="H181">
        <v>4.5999999999999996</v>
      </c>
      <c r="I181" t="s">
        <v>373</v>
      </c>
      <c r="J181">
        <v>0.79</v>
      </c>
      <c r="K181">
        <v>0.79</v>
      </c>
      <c r="L181">
        <v>4.53</v>
      </c>
      <c r="M181">
        <v>4.5999999999999996</v>
      </c>
      <c r="N181">
        <v>4.4800000000000004</v>
      </c>
    </row>
    <row r="182" spans="1:14" x14ac:dyDescent="0.5">
      <c r="A182" t="str">
        <f>"000603"</f>
        <v>000603</v>
      </c>
      <c r="B182" t="s">
        <v>374</v>
      </c>
      <c r="C182">
        <v>0.72</v>
      </c>
      <c r="D182">
        <v>21.35</v>
      </c>
      <c r="E182">
        <v>11.21</v>
      </c>
      <c r="F182">
        <v>0.08</v>
      </c>
      <c r="G182">
        <v>11.2</v>
      </c>
      <c r="H182">
        <v>11.21</v>
      </c>
      <c r="I182" t="s">
        <v>375</v>
      </c>
      <c r="J182">
        <v>2.14</v>
      </c>
      <c r="K182">
        <v>2.14</v>
      </c>
      <c r="L182">
        <v>11.05</v>
      </c>
      <c r="M182">
        <v>11.23</v>
      </c>
      <c r="N182">
        <v>10.91</v>
      </c>
    </row>
    <row r="183" spans="1:14" x14ac:dyDescent="0.5">
      <c r="A183" t="str">
        <f>"000605"</f>
        <v>000605</v>
      </c>
      <c r="B183" t="s">
        <v>376</v>
      </c>
      <c r="C183">
        <v>1.62</v>
      </c>
      <c r="D183">
        <v>44.09</v>
      </c>
      <c r="E183">
        <v>10.69</v>
      </c>
      <c r="F183">
        <v>0.17</v>
      </c>
      <c r="G183">
        <v>10.68</v>
      </c>
      <c r="H183">
        <v>10.69</v>
      </c>
      <c r="I183" t="s">
        <v>377</v>
      </c>
      <c r="J183">
        <v>3.09</v>
      </c>
      <c r="K183">
        <v>3.09</v>
      </c>
      <c r="L183">
        <v>10.48</v>
      </c>
      <c r="M183">
        <v>10.69</v>
      </c>
      <c r="N183">
        <v>10.41</v>
      </c>
    </row>
    <row r="184" spans="1:14" x14ac:dyDescent="0.5">
      <c r="A184" t="str">
        <f>"000606"</f>
        <v>000606</v>
      </c>
      <c r="B184" t="s">
        <v>378</v>
      </c>
      <c r="C184">
        <v>4.84</v>
      </c>
      <c r="D184">
        <v>12.4</v>
      </c>
      <c r="E184">
        <v>7.58</v>
      </c>
      <c r="F184">
        <v>0.35</v>
      </c>
      <c r="G184">
        <v>7.58</v>
      </c>
      <c r="H184">
        <v>7.59</v>
      </c>
      <c r="I184" t="s">
        <v>379</v>
      </c>
      <c r="J184">
        <v>4.3099999999999996</v>
      </c>
      <c r="K184">
        <v>4.3099999999999996</v>
      </c>
      <c r="L184">
        <v>7.2</v>
      </c>
      <c r="M184">
        <v>7.88</v>
      </c>
      <c r="N184">
        <v>7.11</v>
      </c>
    </row>
    <row r="185" spans="1:14" x14ac:dyDescent="0.5">
      <c r="A185" t="str">
        <f>"000607"</f>
        <v>000607</v>
      </c>
      <c r="B185" t="s">
        <v>380</v>
      </c>
      <c r="C185">
        <v>4.62</v>
      </c>
      <c r="D185">
        <v>41.84</v>
      </c>
      <c r="E185">
        <v>5.21</v>
      </c>
      <c r="F185">
        <v>0.23</v>
      </c>
      <c r="G185">
        <v>5.21</v>
      </c>
      <c r="H185">
        <v>5.22</v>
      </c>
      <c r="I185" t="s">
        <v>381</v>
      </c>
      <c r="J185">
        <v>1.91</v>
      </c>
      <c r="K185">
        <v>1.91</v>
      </c>
      <c r="L185">
        <v>5.05</v>
      </c>
      <c r="M185">
        <v>5.42</v>
      </c>
      <c r="N185">
        <v>5.0199999999999996</v>
      </c>
    </row>
    <row r="186" spans="1:14" x14ac:dyDescent="0.5">
      <c r="A186" t="str">
        <f>"000608"</f>
        <v>000608</v>
      </c>
      <c r="B186" t="s">
        <v>382</v>
      </c>
      <c r="C186">
        <v>0.17</v>
      </c>
      <c r="D186" t="s">
        <v>24</v>
      </c>
      <c r="E186">
        <v>5.9</v>
      </c>
      <c r="F186">
        <v>0.01</v>
      </c>
      <c r="G186">
        <v>5.9</v>
      </c>
      <c r="H186">
        <v>5.91</v>
      </c>
      <c r="I186" t="s">
        <v>383</v>
      </c>
      <c r="J186">
        <v>0.41</v>
      </c>
      <c r="K186">
        <v>0.41</v>
      </c>
      <c r="L186">
        <v>5.97</v>
      </c>
      <c r="M186">
        <v>5.98</v>
      </c>
      <c r="N186">
        <v>5.82</v>
      </c>
    </row>
    <row r="187" spans="1:14" x14ac:dyDescent="0.5">
      <c r="A187" t="str">
        <f>"000609"</f>
        <v>000609</v>
      </c>
      <c r="B187" t="s">
        <v>384</v>
      </c>
      <c r="C187">
        <v>0.5</v>
      </c>
      <c r="D187">
        <v>335.88</v>
      </c>
      <c r="E187">
        <v>6.08</v>
      </c>
      <c r="F187">
        <v>0.03</v>
      </c>
      <c r="G187">
        <v>6.07</v>
      </c>
      <c r="H187">
        <v>6.08</v>
      </c>
      <c r="I187" t="s">
        <v>385</v>
      </c>
      <c r="J187">
        <v>5.08</v>
      </c>
      <c r="K187">
        <v>5.08</v>
      </c>
      <c r="L187">
        <v>5.98</v>
      </c>
      <c r="M187">
        <v>6.1</v>
      </c>
      <c r="N187">
        <v>5.92</v>
      </c>
    </row>
    <row r="188" spans="1:14" x14ac:dyDescent="0.5">
      <c r="A188" t="str">
        <f>"000610"</f>
        <v>000610</v>
      </c>
      <c r="B188" t="s">
        <v>386</v>
      </c>
      <c r="C188">
        <v>4.05</v>
      </c>
      <c r="D188" t="s">
        <v>24</v>
      </c>
      <c r="E188">
        <v>8.74</v>
      </c>
      <c r="F188">
        <v>0.34</v>
      </c>
      <c r="G188">
        <v>8.73</v>
      </c>
      <c r="H188">
        <v>8.74</v>
      </c>
      <c r="I188" t="s">
        <v>387</v>
      </c>
      <c r="J188">
        <v>13.69</v>
      </c>
      <c r="K188">
        <v>13.69</v>
      </c>
      <c r="L188">
        <v>8.32</v>
      </c>
      <c r="M188">
        <v>8.8699999999999992</v>
      </c>
      <c r="N188">
        <v>8.26</v>
      </c>
    </row>
    <row r="189" spans="1:14" x14ac:dyDescent="0.5">
      <c r="A189" t="str">
        <f>"000611"</f>
        <v>000611</v>
      </c>
      <c r="B189" t="s">
        <v>388</v>
      </c>
      <c r="C189">
        <v>0.42</v>
      </c>
      <c r="D189" t="s">
        <v>24</v>
      </c>
      <c r="E189">
        <v>4.75</v>
      </c>
      <c r="F189">
        <v>0.02</v>
      </c>
      <c r="G189">
        <v>4.75</v>
      </c>
      <c r="H189">
        <v>4.76</v>
      </c>
      <c r="I189" t="s">
        <v>389</v>
      </c>
      <c r="J189">
        <v>4.7</v>
      </c>
      <c r="K189">
        <v>4.7</v>
      </c>
      <c r="L189">
        <v>4.72</v>
      </c>
      <c r="M189">
        <v>4.75</v>
      </c>
      <c r="N189">
        <v>4.67</v>
      </c>
    </row>
    <row r="190" spans="1:14" x14ac:dyDescent="0.5">
      <c r="A190" t="str">
        <f>"000612"</f>
        <v>000612</v>
      </c>
      <c r="B190" t="s">
        <v>390</v>
      </c>
      <c r="C190">
        <v>2.4900000000000002</v>
      </c>
      <c r="D190" t="s">
        <v>24</v>
      </c>
      <c r="E190">
        <v>4.93</v>
      </c>
      <c r="F190">
        <v>0.12</v>
      </c>
      <c r="G190">
        <v>4.93</v>
      </c>
      <c r="H190">
        <v>4.9400000000000004</v>
      </c>
      <c r="I190" t="s">
        <v>391</v>
      </c>
      <c r="J190">
        <v>1.32</v>
      </c>
      <c r="K190">
        <v>1.32</v>
      </c>
      <c r="L190">
        <v>4.83</v>
      </c>
      <c r="M190">
        <v>4.9400000000000004</v>
      </c>
      <c r="N190">
        <v>4.74</v>
      </c>
    </row>
    <row r="191" spans="1:14" x14ac:dyDescent="0.5">
      <c r="A191" t="str">
        <f>"000613"</f>
        <v>000613</v>
      </c>
      <c r="B191" t="s">
        <v>392</v>
      </c>
      <c r="C191">
        <v>2.65</v>
      </c>
      <c r="D191">
        <v>3962.68</v>
      </c>
      <c r="E191">
        <v>7.37</v>
      </c>
      <c r="F191">
        <v>0.19</v>
      </c>
      <c r="G191">
        <v>7.37</v>
      </c>
      <c r="H191">
        <v>7.38</v>
      </c>
      <c r="I191" t="s">
        <v>393</v>
      </c>
      <c r="J191">
        <v>7.29</v>
      </c>
      <c r="K191">
        <v>7.29</v>
      </c>
      <c r="L191">
        <v>7.18</v>
      </c>
      <c r="M191">
        <v>7.47</v>
      </c>
      <c r="N191">
        <v>7.14</v>
      </c>
    </row>
    <row r="192" spans="1:14" x14ac:dyDescent="0.5">
      <c r="A192" t="str">
        <f>"000615"</f>
        <v>000615</v>
      </c>
      <c r="B192" t="s">
        <v>394</v>
      </c>
      <c r="C192">
        <v>3.65</v>
      </c>
      <c r="D192">
        <v>11.01</v>
      </c>
      <c r="E192">
        <v>5.97</v>
      </c>
      <c r="F192">
        <v>0.21</v>
      </c>
      <c r="G192">
        <v>5.97</v>
      </c>
      <c r="H192">
        <v>5.98</v>
      </c>
      <c r="I192" t="s">
        <v>395</v>
      </c>
      <c r="J192">
        <v>5.46</v>
      </c>
      <c r="K192">
        <v>5.46</v>
      </c>
      <c r="L192">
        <v>5.77</v>
      </c>
      <c r="M192">
        <v>6.02</v>
      </c>
      <c r="N192">
        <v>5.75</v>
      </c>
    </row>
    <row r="193" spans="1:14" x14ac:dyDescent="0.5">
      <c r="A193" t="str">
        <f>"000616"</f>
        <v>000616</v>
      </c>
      <c r="B193" t="s">
        <v>396</v>
      </c>
      <c r="C193">
        <v>5.44</v>
      </c>
      <c r="D193">
        <v>14.77</v>
      </c>
      <c r="E193">
        <v>3.68</v>
      </c>
      <c r="F193">
        <v>0.19</v>
      </c>
      <c r="G193">
        <v>3.67</v>
      </c>
      <c r="H193">
        <v>3.68</v>
      </c>
      <c r="I193" t="s">
        <v>343</v>
      </c>
      <c r="J193">
        <v>5.07</v>
      </c>
      <c r="K193">
        <v>5.07</v>
      </c>
      <c r="L193">
        <v>3.47</v>
      </c>
      <c r="M193">
        <v>3.75</v>
      </c>
      <c r="N193">
        <v>3.43</v>
      </c>
    </row>
    <row r="194" spans="1:14" x14ac:dyDescent="0.5">
      <c r="A194" t="str">
        <f>"000617"</f>
        <v>000617</v>
      </c>
      <c r="B194" t="s">
        <v>397</v>
      </c>
      <c r="C194">
        <v>-0.67</v>
      </c>
      <c r="D194">
        <v>15.75</v>
      </c>
      <c r="E194">
        <v>13.44</v>
      </c>
      <c r="F194">
        <v>-0.09</v>
      </c>
      <c r="G194">
        <v>13.43</v>
      </c>
      <c r="H194">
        <v>13.44</v>
      </c>
      <c r="I194" t="s">
        <v>398</v>
      </c>
      <c r="J194">
        <v>2.36</v>
      </c>
      <c r="K194">
        <v>2.36</v>
      </c>
      <c r="L194">
        <v>13.38</v>
      </c>
      <c r="M194">
        <v>13.53</v>
      </c>
      <c r="N194">
        <v>13.09</v>
      </c>
    </row>
    <row r="195" spans="1:14" x14ac:dyDescent="0.5">
      <c r="A195" t="str">
        <f>"000619"</f>
        <v>000619</v>
      </c>
      <c r="B195" t="s">
        <v>399</v>
      </c>
      <c r="C195">
        <v>1.1599999999999999</v>
      </c>
      <c r="D195">
        <v>249.47</v>
      </c>
      <c r="E195">
        <v>6.08</v>
      </c>
      <c r="F195">
        <v>7.0000000000000007E-2</v>
      </c>
      <c r="G195">
        <v>6.08</v>
      </c>
      <c r="H195">
        <v>6.09</v>
      </c>
      <c r="I195" t="s">
        <v>400</v>
      </c>
      <c r="J195">
        <v>1.24</v>
      </c>
      <c r="K195">
        <v>1.24</v>
      </c>
      <c r="L195">
        <v>6.02</v>
      </c>
      <c r="M195">
        <v>6.09</v>
      </c>
      <c r="N195">
        <v>5.95</v>
      </c>
    </row>
    <row r="196" spans="1:14" x14ac:dyDescent="0.5">
      <c r="A196" t="str">
        <f>"000620"</f>
        <v>000620</v>
      </c>
      <c r="B196" t="s">
        <v>401</v>
      </c>
      <c r="C196">
        <v>1.54</v>
      </c>
      <c r="D196">
        <v>9.2799999999999994</v>
      </c>
      <c r="E196">
        <v>4.62</v>
      </c>
      <c r="F196">
        <v>7.0000000000000007E-2</v>
      </c>
      <c r="G196">
        <v>4.62</v>
      </c>
      <c r="H196">
        <v>4.63</v>
      </c>
      <c r="I196" t="s">
        <v>402</v>
      </c>
      <c r="J196">
        <v>0.49</v>
      </c>
      <c r="K196">
        <v>0.49</v>
      </c>
      <c r="L196">
        <v>4.53</v>
      </c>
      <c r="M196">
        <v>4.63</v>
      </c>
      <c r="N196">
        <v>4.5199999999999996</v>
      </c>
    </row>
    <row r="197" spans="1:14" x14ac:dyDescent="0.5">
      <c r="A197" t="str">
        <f>"000622"</f>
        <v>000622</v>
      </c>
      <c r="B197" t="s">
        <v>403</v>
      </c>
      <c r="C197">
        <v>10.01</v>
      </c>
      <c r="D197" t="s">
        <v>24</v>
      </c>
      <c r="E197">
        <v>8.02</v>
      </c>
      <c r="F197">
        <v>0.73</v>
      </c>
      <c r="G197">
        <v>8.02</v>
      </c>
      <c r="H197" t="s">
        <v>24</v>
      </c>
      <c r="I197" t="s">
        <v>404</v>
      </c>
      <c r="J197">
        <v>20.11</v>
      </c>
      <c r="K197">
        <v>20.11</v>
      </c>
      <c r="L197">
        <v>7.19</v>
      </c>
      <c r="M197">
        <v>8.02</v>
      </c>
      <c r="N197">
        <v>7.08</v>
      </c>
    </row>
    <row r="198" spans="1:14" x14ac:dyDescent="0.5">
      <c r="A198" t="str">
        <f>"000623"</f>
        <v>000623</v>
      </c>
      <c r="B198" t="s">
        <v>405</v>
      </c>
      <c r="C198">
        <v>0.33</v>
      </c>
      <c r="D198">
        <v>15.3</v>
      </c>
      <c r="E198">
        <v>18.47</v>
      </c>
      <c r="F198">
        <v>0.06</v>
      </c>
      <c r="G198">
        <v>18.47</v>
      </c>
      <c r="H198">
        <v>18.48</v>
      </c>
      <c r="I198" t="s">
        <v>406</v>
      </c>
      <c r="J198">
        <v>1.61</v>
      </c>
      <c r="K198">
        <v>1.61</v>
      </c>
      <c r="L198">
        <v>18.2</v>
      </c>
      <c r="M198">
        <v>18.489999999999998</v>
      </c>
      <c r="N198">
        <v>18.16</v>
      </c>
    </row>
    <row r="199" spans="1:14" x14ac:dyDescent="0.5">
      <c r="A199" t="str">
        <f>"000625"</f>
        <v>000625</v>
      </c>
      <c r="B199" t="s">
        <v>407</v>
      </c>
      <c r="C199">
        <v>0.23</v>
      </c>
      <c r="D199">
        <v>16.88</v>
      </c>
      <c r="E199">
        <v>8.7899999999999991</v>
      </c>
      <c r="F199">
        <v>0.02</v>
      </c>
      <c r="G199">
        <v>8.7799999999999994</v>
      </c>
      <c r="H199">
        <v>8.7899999999999991</v>
      </c>
      <c r="I199" t="s">
        <v>408</v>
      </c>
      <c r="J199">
        <v>0.62</v>
      </c>
      <c r="K199">
        <v>0.62</v>
      </c>
      <c r="L199">
        <v>8.75</v>
      </c>
      <c r="M199">
        <v>8.91</v>
      </c>
      <c r="N199">
        <v>8.6999999999999993</v>
      </c>
    </row>
    <row r="200" spans="1:14" x14ac:dyDescent="0.5">
      <c r="A200" t="str">
        <f>"000626"</f>
        <v>000626</v>
      </c>
      <c r="B200" t="s">
        <v>409</v>
      </c>
      <c r="C200">
        <v>-0.12</v>
      </c>
      <c r="D200" t="s">
        <v>24</v>
      </c>
      <c r="E200">
        <v>8.44</v>
      </c>
      <c r="F200">
        <v>-0.01</v>
      </c>
      <c r="G200">
        <v>8.44</v>
      </c>
      <c r="H200">
        <v>8.4499999999999993</v>
      </c>
      <c r="I200" t="s">
        <v>410</v>
      </c>
      <c r="J200">
        <v>1.61</v>
      </c>
      <c r="K200">
        <v>1.61</v>
      </c>
      <c r="L200">
        <v>8.4499999999999993</v>
      </c>
      <c r="M200">
        <v>8.49</v>
      </c>
      <c r="N200">
        <v>8.27</v>
      </c>
    </row>
    <row r="201" spans="1:14" x14ac:dyDescent="0.5">
      <c r="A201" t="str">
        <f>"000627"</f>
        <v>000627</v>
      </c>
      <c r="B201" t="s">
        <v>411</v>
      </c>
      <c r="C201">
        <v>-1.21</v>
      </c>
      <c r="D201">
        <v>23.92</v>
      </c>
      <c r="E201">
        <v>7.36</v>
      </c>
      <c r="F201">
        <v>-0.09</v>
      </c>
      <c r="G201">
        <v>7.36</v>
      </c>
      <c r="H201">
        <v>7.37</v>
      </c>
      <c r="I201" t="s">
        <v>412</v>
      </c>
      <c r="J201">
        <v>0.81</v>
      </c>
      <c r="K201">
        <v>0.81</v>
      </c>
      <c r="L201">
        <v>7.28</v>
      </c>
      <c r="M201">
        <v>7.45</v>
      </c>
      <c r="N201">
        <v>7.21</v>
      </c>
    </row>
    <row r="202" spans="1:14" x14ac:dyDescent="0.5">
      <c r="A202" t="str">
        <f>"000628"</f>
        <v>000628</v>
      </c>
      <c r="B202" t="s">
        <v>413</v>
      </c>
      <c r="C202">
        <v>0.93</v>
      </c>
      <c r="D202">
        <v>239.6</v>
      </c>
      <c r="E202">
        <v>10.91</v>
      </c>
      <c r="F202">
        <v>0.1</v>
      </c>
      <c r="G202">
        <v>10.9</v>
      </c>
      <c r="H202">
        <v>10.91</v>
      </c>
      <c r="I202" t="s">
        <v>414</v>
      </c>
      <c r="J202">
        <v>4.0199999999999996</v>
      </c>
      <c r="K202">
        <v>4.0199999999999996</v>
      </c>
      <c r="L202">
        <v>10.8</v>
      </c>
      <c r="M202">
        <v>10.93</v>
      </c>
      <c r="N202">
        <v>10.71</v>
      </c>
    </row>
    <row r="203" spans="1:14" x14ac:dyDescent="0.5">
      <c r="A203" t="str">
        <f>"000629"</f>
        <v>000629</v>
      </c>
      <c r="B203" t="s">
        <v>415</v>
      </c>
      <c r="C203">
        <v>0</v>
      </c>
      <c r="D203">
        <v>14.07</v>
      </c>
      <c r="E203">
        <v>3.68</v>
      </c>
      <c r="F203">
        <v>0</v>
      </c>
      <c r="G203">
        <v>3.68</v>
      </c>
      <c r="H203">
        <v>3.69</v>
      </c>
      <c r="I203" t="s">
        <v>416</v>
      </c>
      <c r="J203">
        <v>3.15</v>
      </c>
      <c r="K203">
        <v>3.15</v>
      </c>
      <c r="L203">
        <v>3.64</v>
      </c>
      <c r="M203">
        <v>3.69</v>
      </c>
      <c r="N203">
        <v>3.61</v>
      </c>
    </row>
    <row r="204" spans="1:14" x14ac:dyDescent="0.5">
      <c r="A204" t="str">
        <f>"000630"</f>
        <v>000630</v>
      </c>
      <c r="B204" t="s">
        <v>417</v>
      </c>
      <c r="C204">
        <v>1.65</v>
      </c>
      <c r="D204">
        <v>30.71</v>
      </c>
      <c r="E204">
        <v>2.46</v>
      </c>
      <c r="F204">
        <v>0.04</v>
      </c>
      <c r="G204">
        <v>2.4500000000000002</v>
      </c>
      <c r="H204">
        <v>2.46</v>
      </c>
      <c r="I204" t="s">
        <v>418</v>
      </c>
      <c r="J204">
        <v>1.79</v>
      </c>
      <c r="K204">
        <v>1.79</v>
      </c>
      <c r="L204">
        <v>2.4</v>
      </c>
      <c r="M204">
        <v>2.46</v>
      </c>
      <c r="N204">
        <v>2.38</v>
      </c>
    </row>
    <row r="205" spans="1:14" x14ac:dyDescent="0.5">
      <c r="A205" t="str">
        <f>"000631"</f>
        <v>000631</v>
      </c>
      <c r="B205" t="s">
        <v>419</v>
      </c>
      <c r="C205">
        <v>1.44</v>
      </c>
      <c r="D205">
        <v>8.4</v>
      </c>
      <c r="E205">
        <v>3.52</v>
      </c>
      <c r="F205">
        <v>0.05</v>
      </c>
      <c r="G205">
        <v>3.51</v>
      </c>
      <c r="H205">
        <v>3.52</v>
      </c>
      <c r="I205" t="s">
        <v>420</v>
      </c>
      <c r="J205">
        <v>0.37</v>
      </c>
      <c r="K205">
        <v>0.37</v>
      </c>
      <c r="L205">
        <v>3.48</v>
      </c>
      <c r="M205">
        <v>3.53</v>
      </c>
      <c r="N205">
        <v>3.46</v>
      </c>
    </row>
    <row r="206" spans="1:14" x14ac:dyDescent="0.5">
      <c r="A206" t="str">
        <f>"000632"</f>
        <v>000632</v>
      </c>
      <c r="B206" t="s">
        <v>421</v>
      </c>
      <c r="C206">
        <v>2.23</v>
      </c>
      <c r="D206">
        <v>54.89</v>
      </c>
      <c r="E206">
        <v>4.58</v>
      </c>
      <c r="F206">
        <v>0.1</v>
      </c>
      <c r="G206">
        <v>4.58</v>
      </c>
      <c r="H206">
        <v>4.59</v>
      </c>
      <c r="I206" t="s">
        <v>422</v>
      </c>
      <c r="J206">
        <v>1.68</v>
      </c>
      <c r="K206">
        <v>1.68</v>
      </c>
      <c r="L206">
        <v>4.47</v>
      </c>
      <c r="M206">
        <v>4.58</v>
      </c>
      <c r="N206">
        <v>4.43</v>
      </c>
    </row>
    <row r="207" spans="1:14" x14ac:dyDescent="0.5">
      <c r="A207" t="str">
        <f>"000633"</f>
        <v>000633</v>
      </c>
      <c r="B207" t="s">
        <v>423</v>
      </c>
      <c r="C207">
        <v>0.99</v>
      </c>
      <c r="D207" t="s">
        <v>24</v>
      </c>
      <c r="E207">
        <v>6.15</v>
      </c>
      <c r="F207">
        <v>0.06</v>
      </c>
      <c r="G207">
        <v>6.15</v>
      </c>
      <c r="H207">
        <v>6.16</v>
      </c>
      <c r="I207" t="s">
        <v>424</v>
      </c>
      <c r="J207">
        <v>11.59</v>
      </c>
      <c r="K207">
        <v>11.59</v>
      </c>
      <c r="L207">
        <v>6.28</v>
      </c>
      <c r="M207">
        <v>6.3</v>
      </c>
      <c r="N207">
        <v>5.95</v>
      </c>
    </row>
    <row r="208" spans="1:14" x14ac:dyDescent="0.5">
      <c r="A208" t="str">
        <f>"000635"</f>
        <v>000635</v>
      </c>
      <c r="B208" t="s">
        <v>425</v>
      </c>
      <c r="C208">
        <v>0.86</v>
      </c>
      <c r="D208">
        <v>36.43</v>
      </c>
      <c r="E208">
        <v>9.4</v>
      </c>
      <c r="F208">
        <v>0.08</v>
      </c>
      <c r="G208">
        <v>9.4</v>
      </c>
      <c r="H208">
        <v>9.41</v>
      </c>
      <c r="I208" t="s">
        <v>426</v>
      </c>
      <c r="J208">
        <v>1.59</v>
      </c>
      <c r="K208">
        <v>1.59</v>
      </c>
      <c r="L208">
        <v>9.32</v>
      </c>
      <c r="M208">
        <v>9.41</v>
      </c>
      <c r="N208">
        <v>9.27</v>
      </c>
    </row>
    <row r="209" spans="1:14" x14ac:dyDescent="0.5">
      <c r="A209" t="str">
        <f>"000636"</f>
        <v>000636</v>
      </c>
      <c r="B209" t="s">
        <v>427</v>
      </c>
      <c r="C209">
        <v>10</v>
      </c>
      <c r="D209">
        <v>13.08</v>
      </c>
      <c r="E209">
        <v>15.51</v>
      </c>
      <c r="F209">
        <v>1.41</v>
      </c>
      <c r="G209">
        <v>15.51</v>
      </c>
      <c r="H209" t="s">
        <v>24</v>
      </c>
      <c r="I209" t="s">
        <v>428</v>
      </c>
      <c r="J209">
        <v>16.739999999999998</v>
      </c>
      <c r="K209">
        <v>16.739999999999998</v>
      </c>
      <c r="L209">
        <v>14</v>
      </c>
      <c r="M209">
        <v>15.51</v>
      </c>
      <c r="N209">
        <v>13.87</v>
      </c>
    </row>
    <row r="210" spans="1:14" x14ac:dyDescent="0.5">
      <c r="A210" t="str">
        <f>"000637"</f>
        <v>000637</v>
      </c>
      <c r="B210" t="s">
        <v>429</v>
      </c>
      <c r="C210">
        <v>1.52</v>
      </c>
      <c r="D210">
        <v>47.39</v>
      </c>
      <c r="E210">
        <v>4.67</v>
      </c>
      <c r="F210">
        <v>7.0000000000000007E-2</v>
      </c>
      <c r="G210">
        <v>4.67</v>
      </c>
      <c r="H210">
        <v>4.68</v>
      </c>
      <c r="I210" t="s">
        <v>430</v>
      </c>
      <c r="J210">
        <v>4.37</v>
      </c>
      <c r="K210">
        <v>4.37</v>
      </c>
      <c r="L210">
        <v>4.5599999999999996</v>
      </c>
      <c r="M210">
        <v>4.68</v>
      </c>
      <c r="N210">
        <v>4.5</v>
      </c>
    </row>
    <row r="211" spans="1:14" x14ac:dyDescent="0.5">
      <c r="A211" t="str">
        <f>"000638"</f>
        <v>000638</v>
      </c>
      <c r="B211" t="s">
        <v>431</v>
      </c>
      <c r="C211">
        <v>2.2599999999999998</v>
      </c>
      <c r="D211" t="s">
        <v>24</v>
      </c>
      <c r="E211">
        <v>6.34</v>
      </c>
      <c r="F211">
        <v>0.14000000000000001</v>
      </c>
      <c r="G211">
        <v>6.33</v>
      </c>
      <c r="H211">
        <v>6.34</v>
      </c>
      <c r="I211" t="s">
        <v>432</v>
      </c>
      <c r="J211">
        <v>5.29</v>
      </c>
      <c r="K211">
        <v>5.29</v>
      </c>
      <c r="L211">
        <v>6.15</v>
      </c>
      <c r="M211">
        <v>6.35</v>
      </c>
      <c r="N211">
        <v>6.1</v>
      </c>
    </row>
    <row r="212" spans="1:14" x14ac:dyDescent="0.5">
      <c r="A212" t="str">
        <f>"000639"</f>
        <v>000639</v>
      </c>
      <c r="B212" t="s">
        <v>433</v>
      </c>
      <c r="C212">
        <v>2.83</v>
      </c>
      <c r="D212">
        <v>14.95</v>
      </c>
      <c r="E212">
        <v>8.73</v>
      </c>
      <c r="F212">
        <v>0.24</v>
      </c>
      <c r="G212">
        <v>8.7200000000000006</v>
      </c>
      <c r="H212">
        <v>8.73</v>
      </c>
      <c r="I212" t="s">
        <v>434</v>
      </c>
      <c r="J212">
        <v>1.36</v>
      </c>
      <c r="K212">
        <v>1.36</v>
      </c>
      <c r="L212">
        <v>8.41</v>
      </c>
      <c r="M212">
        <v>8.74</v>
      </c>
      <c r="N212">
        <v>8.4</v>
      </c>
    </row>
    <row r="213" spans="1:14" x14ac:dyDescent="0.5">
      <c r="A213" t="str">
        <f>"000650"</f>
        <v>000650</v>
      </c>
      <c r="B213" t="s">
        <v>435</v>
      </c>
      <c r="C213">
        <v>1.29</v>
      </c>
      <c r="D213">
        <v>14.73</v>
      </c>
      <c r="E213">
        <v>6.3</v>
      </c>
      <c r="F213">
        <v>0.08</v>
      </c>
      <c r="G213">
        <v>6.3</v>
      </c>
      <c r="H213">
        <v>6.31</v>
      </c>
      <c r="I213" t="s">
        <v>436</v>
      </c>
      <c r="J213">
        <v>3.29</v>
      </c>
      <c r="K213">
        <v>3.29</v>
      </c>
      <c r="L213">
        <v>6.2</v>
      </c>
      <c r="M213">
        <v>6.3</v>
      </c>
      <c r="N213">
        <v>6.14</v>
      </c>
    </row>
    <row r="214" spans="1:14" x14ac:dyDescent="0.5">
      <c r="A214" t="str">
        <f>"000651"</f>
        <v>000651</v>
      </c>
      <c r="B214" t="s">
        <v>437</v>
      </c>
      <c r="C214">
        <v>0.92</v>
      </c>
      <c r="D214">
        <v>9.8000000000000007</v>
      </c>
      <c r="E214">
        <v>47.08</v>
      </c>
      <c r="F214">
        <v>0.43</v>
      </c>
      <c r="G214">
        <v>47.08</v>
      </c>
      <c r="H214">
        <v>47.09</v>
      </c>
      <c r="I214" t="s">
        <v>438</v>
      </c>
      <c r="J214">
        <v>0.9</v>
      </c>
      <c r="K214">
        <v>0.9</v>
      </c>
      <c r="L214">
        <v>47.05</v>
      </c>
      <c r="M214">
        <v>47.47</v>
      </c>
      <c r="N214">
        <v>46.7</v>
      </c>
    </row>
    <row r="215" spans="1:14" x14ac:dyDescent="0.5">
      <c r="A215" t="str">
        <f>"000652"</f>
        <v>000652</v>
      </c>
      <c r="B215" t="s">
        <v>439</v>
      </c>
      <c r="C215">
        <v>5.2</v>
      </c>
      <c r="D215">
        <v>19.059999999999999</v>
      </c>
      <c r="E215">
        <v>4.25</v>
      </c>
      <c r="F215">
        <v>0.21</v>
      </c>
      <c r="G215">
        <v>4.24</v>
      </c>
      <c r="H215">
        <v>4.25</v>
      </c>
      <c r="I215" t="s">
        <v>440</v>
      </c>
      <c r="J215">
        <v>4.3499999999999996</v>
      </c>
      <c r="K215">
        <v>4.3499999999999996</v>
      </c>
      <c r="L215">
        <v>3.99</v>
      </c>
      <c r="M215">
        <v>4.28</v>
      </c>
      <c r="N215">
        <v>3.95</v>
      </c>
    </row>
    <row r="216" spans="1:14" x14ac:dyDescent="0.5">
      <c r="A216" t="str">
        <f>"000655"</f>
        <v>000655</v>
      </c>
      <c r="B216" t="s">
        <v>441</v>
      </c>
      <c r="C216">
        <v>3.3</v>
      </c>
      <c r="D216" t="s">
        <v>24</v>
      </c>
      <c r="E216">
        <v>4.6900000000000004</v>
      </c>
      <c r="F216">
        <v>0.15</v>
      </c>
      <c r="G216">
        <v>4.68</v>
      </c>
      <c r="H216">
        <v>4.6900000000000004</v>
      </c>
      <c r="I216" t="s">
        <v>442</v>
      </c>
      <c r="J216">
        <v>1.26</v>
      </c>
      <c r="K216">
        <v>1.26</v>
      </c>
      <c r="L216">
        <v>4.5599999999999996</v>
      </c>
      <c r="M216">
        <v>4.6900000000000004</v>
      </c>
      <c r="N216">
        <v>4.5</v>
      </c>
    </row>
    <row r="217" spans="1:14" x14ac:dyDescent="0.5">
      <c r="A217" t="str">
        <f>"000656"</f>
        <v>000656</v>
      </c>
      <c r="B217" t="s">
        <v>443</v>
      </c>
      <c r="C217">
        <v>2.76</v>
      </c>
      <c r="D217">
        <v>10.01</v>
      </c>
      <c r="E217">
        <v>6.34</v>
      </c>
      <c r="F217">
        <v>0.17</v>
      </c>
      <c r="G217">
        <v>6.34</v>
      </c>
      <c r="H217">
        <v>6.35</v>
      </c>
      <c r="I217" t="s">
        <v>444</v>
      </c>
      <c r="J217">
        <v>0.72</v>
      </c>
      <c r="K217">
        <v>0.72</v>
      </c>
      <c r="L217">
        <v>6.19</v>
      </c>
      <c r="M217">
        <v>6.35</v>
      </c>
      <c r="N217">
        <v>6.09</v>
      </c>
    </row>
    <row r="218" spans="1:14" x14ac:dyDescent="0.5">
      <c r="A218" t="str">
        <f>"000657"</f>
        <v>000657</v>
      </c>
      <c r="B218" t="s">
        <v>445</v>
      </c>
      <c r="C218">
        <v>2.83</v>
      </c>
      <c r="D218">
        <v>52.58</v>
      </c>
      <c r="E218">
        <v>6.55</v>
      </c>
      <c r="F218">
        <v>0.18</v>
      </c>
      <c r="G218">
        <v>6.55</v>
      </c>
      <c r="H218">
        <v>6.56</v>
      </c>
      <c r="I218" t="s">
        <v>446</v>
      </c>
      <c r="J218">
        <v>2.38</v>
      </c>
      <c r="K218">
        <v>2.38</v>
      </c>
      <c r="L218">
        <v>6.35</v>
      </c>
      <c r="M218">
        <v>6.55</v>
      </c>
      <c r="N218">
        <v>6.3</v>
      </c>
    </row>
    <row r="219" spans="1:14" x14ac:dyDescent="0.5">
      <c r="A219" t="str">
        <f>"000659"</f>
        <v>000659</v>
      </c>
      <c r="B219" t="s">
        <v>447</v>
      </c>
      <c r="C219">
        <v>0.52</v>
      </c>
      <c r="D219">
        <v>64.62</v>
      </c>
      <c r="E219">
        <v>3.87</v>
      </c>
      <c r="F219">
        <v>0.02</v>
      </c>
      <c r="G219">
        <v>3.86</v>
      </c>
      <c r="H219">
        <v>3.87</v>
      </c>
      <c r="I219" t="s">
        <v>448</v>
      </c>
      <c r="J219">
        <v>1.54</v>
      </c>
      <c r="K219">
        <v>1.54</v>
      </c>
      <c r="L219">
        <v>3.85</v>
      </c>
      <c r="M219">
        <v>3.87</v>
      </c>
      <c r="N219">
        <v>3.78</v>
      </c>
    </row>
    <row r="220" spans="1:14" x14ac:dyDescent="0.5">
      <c r="A220" t="str">
        <f>"000661"</f>
        <v>000661</v>
      </c>
      <c r="B220" t="s">
        <v>449</v>
      </c>
      <c r="C220" t="s">
        <v>24</v>
      </c>
      <c r="D220">
        <v>37.94</v>
      </c>
      <c r="E220">
        <v>226.05</v>
      </c>
      <c r="F220" t="s">
        <v>24</v>
      </c>
      <c r="G220" t="s">
        <v>24</v>
      </c>
      <c r="H220" t="s">
        <v>24</v>
      </c>
      <c r="I220" t="s">
        <v>450</v>
      </c>
      <c r="J220">
        <v>0</v>
      </c>
      <c r="K220">
        <v>0</v>
      </c>
      <c r="L220" t="s">
        <v>24</v>
      </c>
      <c r="M220" t="s">
        <v>24</v>
      </c>
      <c r="N220" t="s">
        <v>24</v>
      </c>
    </row>
    <row r="221" spans="1:14" x14ac:dyDescent="0.5">
      <c r="A221" t="str">
        <f>"000662"</f>
        <v>000662</v>
      </c>
      <c r="B221" t="s">
        <v>451</v>
      </c>
      <c r="C221">
        <v>4.13</v>
      </c>
      <c r="D221">
        <v>14.11</v>
      </c>
      <c r="E221">
        <v>6.81</v>
      </c>
      <c r="F221">
        <v>0.27</v>
      </c>
      <c r="G221">
        <v>6.81</v>
      </c>
      <c r="H221">
        <v>6.82</v>
      </c>
      <c r="I221" t="s">
        <v>452</v>
      </c>
      <c r="J221">
        <v>4.6900000000000004</v>
      </c>
      <c r="K221">
        <v>4.6900000000000004</v>
      </c>
      <c r="L221">
        <v>6.51</v>
      </c>
      <c r="M221">
        <v>6.83</v>
      </c>
      <c r="N221">
        <v>6.45</v>
      </c>
    </row>
    <row r="222" spans="1:14" x14ac:dyDescent="0.5">
      <c r="A222" t="str">
        <f>"000663"</f>
        <v>000663</v>
      </c>
      <c r="B222" t="s">
        <v>453</v>
      </c>
      <c r="C222">
        <v>0.77</v>
      </c>
      <c r="D222" t="s">
        <v>24</v>
      </c>
      <c r="E222">
        <v>6.51</v>
      </c>
      <c r="F222">
        <v>0.05</v>
      </c>
      <c r="G222">
        <v>6.5</v>
      </c>
      <c r="H222">
        <v>6.51</v>
      </c>
      <c r="I222" t="s">
        <v>454</v>
      </c>
      <c r="J222">
        <v>1.87</v>
      </c>
      <c r="K222">
        <v>1.87</v>
      </c>
      <c r="L222">
        <v>6.46</v>
      </c>
      <c r="M222">
        <v>6.51</v>
      </c>
      <c r="N222">
        <v>6.39</v>
      </c>
    </row>
    <row r="223" spans="1:14" x14ac:dyDescent="0.5">
      <c r="A223" t="str">
        <f>"000665"</f>
        <v>000665</v>
      </c>
      <c r="B223" t="s">
        <v>455</v>
      </c>
      <c r="C223">
        <v>4.03</v>
      </c>
      <c r="D223">
        <v>17.940000000000001</v>
      </c>
      <c r="E223">
        <v>9.56</v>
      </c>
      <c r="F223">
        <v>0.37</v>
      </c>
      <c r="G223">
        <v>9.5500000000000007</v>
      </c>
      <c r="H223">
        <v>9.56</v>
      </c>
      <c r="I223" t="s">
        <v>456</v>
      </c>
      <c r="J223">
        <v>5.49</v>
      </c>
      <c r="K223">
        <v>5.49</v>
      </c>
      <c r="L223">
        <v>9.3800000000000008</v>
      </c>
      <c r="M223">
        <v>9.89</v>
      </c>
      <c r="N223">
        <v>9.19</v>
      </c>
    </row>
    <row r="224" spans="1:14" x14ac:dyDescent="0.5">
      <c r="A224" t="str">
        <f>"000666"</f>
        <v>000666</v>
      </c>
      <c r="B224" t="s">
        <v>457</v>
      </c>
      <c r="C224">
        <v>0.61</v>
      </c>
      <c r="D224">
        <v>11.71</v>
      </c>
      <c r="E224">
        <v>14.77</v>
      </c>
      <c r="F224">
        <v>0.09</v>
      </c>
      <c r="G224">
        <v>14.77</v>
      </c>
      <c r="H224">
        <v>14.78</v>
      </c>
      <c r="I224" t="s">
        <v>458</v>
      </c>
      <c r="J224">
        <v>6.44</v>
      </c>
      <c r="K224">
        <v>6.44</v>
      </c>
      <c r="L224">
        <v>14.51</v>
      </c>
      <c r="M224">
        <v>14.93</v>
      </c>
      <c r="N224">
        <v>14.4</v>
      </c>
    </row>
    <row r="225" spans="1:14" x14ac:dyDescent="0.5">
      <c r="A225" t="str">
        <f>"000667"</f>
        <v>000667</v>
      </c>
      <c r="B225" t="s">
        <v>459</v>
      </c>
      <c r="C225">
        <v>1.43</v>
      </c>
      <c r="D225">
        <v>28.39</v>
      </c>
      <c r="E225">
        <v>2.84</v>
      </c>
      <c r="F225">
        <v>0.04</v>
      </c>
      <c r="G225">
        <v>2.83</v>
      </c>
      <c r="H225">
        <v>2.84</v>
      </c>
      <c r="I225" t="s">
        <v>460</v>
      </c>
      <c r="J225">
        <v>1.23</v>
      </c>
      <c r="K225">
        <v>1.23</v>
      </c>
      <c r="L225">
        <v>2.78</v>
      </c>
      <c r="M225">
        <v>2.84</v>
      </c>
      <c r="N225">
        <v>2.78</v>
      </c>
    </row>
    <row r="226" spans="1:14" x14ac:dyDescent="0.5">
      <c r="A226" t="str">
        <f>"000668"</f>
        <v>000668</v>
      </c>
      <c r="B226" t="s">
        <v>461</v>
      </c>
      <c r="C226">
        <v>0.08</v>
      </c>
      <c r="D226">
        <v>51.02</v>
      </c>
      <c r="E226">
        <v>12.54</v>
      </c>
      <c r="F226">
        <v>0.01</v>
      </c>
      <c r="G226">
        <v>12.54</v>
      </c>
      <c r="H226">
        <v>12.55</v>
      </c>
      <c r="I226" t="s">
        <v>462</v>
      </c>
      <c r="J226">
        <v>1.33</v>
      </c>
      <c r="K226">
        <v>1.33</v>
      </c>
      <c r="L226">
        <v>12.54</v>
      </c>
      <c r="M226">
        <v>12.7</v>
      </c>
      <c r="N226">
        <v>12.29</v>
      </c>
    </row>
    <row r="227" spans="1:14" x14ac:dyDescent="0.5">
      <c r="A227" t="str">
        <f>"000669"</f>
        <v>000669</v>
      </c>
      <c r="B227" t="s">
        <v>463</v>
      </c>
      <c r="C227">
        <v>1.38</v>
      </c>
      <c r="D227">
        <v>17.88</v>
      </c>
      <c r="E227">
        <v>5.87</v>
      </c>
      <c r="F227">
        <v>0.08</v>
      </c>
      <c r="G227">
        <v>5.86</v>
      </c>
      <c r="H227">
        <v>5.87</v>
      </c>
      <c r="I227" t="s">
        <v>464</v>
      </c>
      <c r="J227">
        <v>4.0999999999999996</v>
      </c>
      <c r="K227">
        <v>4.0999999999999996</v>
      </c>
      <c r="L227">
        <v>5.73</v>
      </c>
      <c r="M227">
        <v>5.88</v>
      </c>
      <c r="N227">
        <v>5.69</v>
      </c>
    </row>
    <row r="228" spans="1:14" x14ac:dyDescent="0.5">
      <c r="A228" t="str">
        <f>"000670"</f>
        <v>000670</v>
      </c>
      <c r="B228" t="s">
        <v>465</v>
      </c>
      <c r="C228">
        <v>10.029999999999999</v>
      </c>
      <c r="D228" t="s">
        <v>24</v>
      </c>
      <c r="E228">
        <v>4.3899999999999997</v>
      </c>
      <c r="F228">
        <v>0.4</v>
      </c>
      <c r="G228">
        <v>4.3899999999999997</v>
      </c>
      <c r="H228" t="s">
        <v>24</v>
      </c>
      <c r="I228" t="s">
        <v>466</v>
      </c>
      <c r="J228">
        <v>17.97</v>
      </c>
      <c r="K228">
        <v>17.97</v>
      </c>
      <c r="L228">
        <v>3.94</v>
      </c>
      <c r="M228">
        <v>4.3899999999999997</v>
      </c>
      <c r="N228">
        <v>3.92</v>
      </c>
    </row>
    <row r="229" spans="1:14" x14ac:dyDescent="0.5">
      <c r="A229" t="str">
        <f>"000671"</f>
        <v>000671</v>
      </c>
      <c r="B229" t="s">
        <v>467</v>
      </c>
      <c r="C229">
        <v>7.01</v>
      </c>
      <c r="D229">
        <v>9.35</v>
      </c>
      <c r="E229">
        <v>7.79</v>
      </c>
      <c r="F229">
        <v>0.51</v>
      </c>
      <c r="G229">
        <v>7.79</v>
      </c>
      <c r="H229">
        <v>7.8</v>
      </c>
      <c r="I229" t="s">
        <v>468</v>
      </c>
      <c r="J229">
        <v>1.67</v>
      </c>
      <c r="K229">
        <v>1.67</v>
      </c>
      <c r="L229">
        <v>7.37</v>
      </c>
      <c r="M229">
        <v>7.85</v>
      </c>
      <c r="N229">
        <v>7.29</v>
      </c>
    </row>
    <row r="230" spans="1:14" x14ac:dyDescent="0.5">
      <c r="A230" t="str">
        <f>"000672"</f>
        <v>000672</v>
      </c>
      <c r="B230" t="s">
        <v>469</v>
      </c>
      <c r="C230">
        <v>-0.1</v>
      </c>
      <c r="D230">
        <v>6.52</v>
      </c>
      <c r="E230">
        <v>10.25</v>
      </c>
      <c r="F230">
        <v>-0.01</v>
      </c>
      <c r="G230">
        <v>10.25</v>
      </c>
      <c r="H230">
        <v>10.26</v>
      </c>
      <c r="I230" t="s">
        <v>470</v>
      </c>
      <c r="J230">
        <v>3.35</v>
      </c>
      <c r="K230">
        <v>3.35</v>
      </c>
      <c r="L230">
        <v>10.26</v>
      </c>
      <c r="M230">
        <v>10.31</v>
      </c>
      <c r="N230">
        <v>10.09</v>
      </c>
    </row>
    <row r="231" spans="1:14" x14ac:dyDescent="0.5">
      <c r="A231" t="str">
        <f>"000673"</f>
        <v>000673</v>
      </c>
      <c r="B231" t="s">
        <v>471</v>
      </c>
      <c r="C231">
        <v>3.94</v>
      </c>
      <c r="D231">
        <v>22.48</v>
      </c>
      <c r="E231">
        <v>5.27</v>
      </c>
      <c r="F231">
        <v>0.2</v>
      </c>
      <c r="G231">
        <v>5.27</v>
      </c>
      <c r="H231">
        <v>5.28</v>
      </c>
      <c r="I231" t="s">
        <v>472</v>
      </c>
      <c r="J231">
        <v>7.77</v>
      </c>
      <c r="K231">
        <v>7.77</v>
      </c>
      <c r="L231">
        <v>5.0199999999999996</v>
      </c>
      <c r="M231">
        <v>5.29</v>
      </c>
      <c r="N231">
        <v>4.9000000000000004</v>
      </c>
    </row>
    <row r="232" spans="1:14" x14ac:dyDescent="0.5">
      <c r="A232" t="str">
        <f>"000676"</f>
        <v>000676</v>
      </c>
      <c r="B232" t="s">
        <v>473</v>
      </c>
      <c r="C232">
        <v>5.83</v>
      </c>
      <c r="D232">
        <v>13.77</v>
      </c>
      <c r="E232">
        <v>11.25</v>
      </c>
      <c r="F232">
        <v>0.62</v>
      </c>
      <c r="G232">
        <v>11.25</v>
      </c>
      <c r="H232">
        <v>11.26</v>
      </c>
      <c r="I232" t="s">
        <v>474</v>
      </c>
      <c r="J232">
        <v>5.64</v>
      </c>
      <c r="K232">
        <v>5.64</v>
      </c>
      <c r="L232">
        <v>10.64</v>
      </c>
      <c r="M232">
        <v>11.26</v>
      </c>
      <c r="N232">
        <v>10.56</v>
      </c>
    </row>
    <row r="233" spans="1:14" x14ac:dyDescent="0.5">
      <c r="A233" t="str">
        <f>"000677"</f>
        <v>000677</v>
      </c>
      <c r="B233" t="s">
        <v>475</v>
      </c>
      <c r="C233">
        <v>10.09</v>
      </c>
      <c r="D233">
        <v>1415.87</v>
      </c>
      <c r="E233">
        <v>3.71</v>
      </c>
      <c r="F233">
        <v>0.34</v>
      </c>
      <c r="G233">
        <v>3.71</v>
      </c>
      <c r="H233" t="s">
        <v>24</v>
      </c>
      <c r="I233" t="s">
        <v>476</v>
      </c>
      <c r="J233">
        <v>7.44</v>
      </c>
      <c r="K233">
        <v>7.44</v>
      </c>
      <c r="L233">
        <v>3.39</v>
      </c>
      <c r="M233">
        <v>3.71</v>
      </c>
      <c r="N233">
        <v>3.31</v>
      </c>
    </row>
    <row r="234" spans="1:14" x14ac:dyDescent="0.5">
      <c r="A234" t="str">
        <f>"000678"</f>
        <v>000678</v>
      </c>
      <c r="B234" t="s">
        <v>477</v>
      </c>
      <c r="C234">
        <v>1.52</v>
      </c>
      <c r="D234" t="s">
        <v>24</v>
      </c>
      <c r="E234">
        <v>7.35</v>
      </c>
      <c r="F234">
        <v>0.11</v>
      </c>
      <c r="G234">
        <v>7.33</v>
      </c>
      <c r="H234">
        <v>7.35</v>
      </c>
      <c r="I234" t="s">
        <v>478</v>
      </c>
      <c r="J234">
        <v>1.34</v>
      </c>
      <c r="K234">
        <v>1.34</v>
      </c>
      <c r="L234">
        <v>7.17</v>
      </c>
      <c r="M234">
        <v>7.37</v>
      </c>
      <c r="N234">
        <v>7.17</v>
      </c>
    </row>
    <row r="235" spans="1:14" x14ac:dyDescent="0.5">
      <c r="A235" t="str">
        <f>"000679"</f>
        <v>000679</v>
      </c>
      <c r="B235" t="s">
        <v>479</v>
      </c>
      <c r="C235">
        <v>3.92</v>
      </c>
      <c r="D235" t="s">
        <v>24</v>
      </c>
      <c r="E235">
        <v>4.7699999999999996</v>
      </c>
      <c r="F235">
        <v>0.18</v>
      </c>
      <c r="G235">
        <v>4.76</v>
      </c>
      <c r="H235">
        <v>4.7699999999999996</v>
      </c>
      <c r="I235" t="s">
        <v>480</v>
      </c>
      <c r="J235">
        <v>2.62</v>
      </c>
      <c r="K235">
        <v>2.62</v>
      </c>
      <c r="L235">
        <v>4.57</v>
      </c>
      <c r="M235">
        <v>4.8099999999999996</v>
      </c>
      <c r="N235">
        <v>4.53</v>
      </c>
    </row>
    <row r="236" spans="1:14" x14ac:dyDescent="0.5">
      <c r="A236" t="str">
        <f>"000680"</f>
        <v>000680</v>
      </c>
      <c r="B236" t="s">
        <v>481</v>
      </c>
      <c r="C236">
        <v>1.25</v>
      </c>
      <c r="D236">
        <v>57.01</v>
      </c>
      <c r="E236">
        <v>4.0599999999999996</v>
      </c>
      <c r="F236">
        <v>0.05</v>
      </c>
      <c r="G236">
        <v>4.0599999999999996</v>
      </c>
      <c r="H236">
        <v>4.07</v>
      </c>
      <c r="I236" t="s">
        <v>482</v>
      </c>
      <c r="J236">
        <v>2.72</v>
      </c>
      <c r="K236">
        <v>2.72</v>
      </c>
      <c r="L236">
        <v>4.03</v>
      </c>
      <c r="M236">
        <v>4.07</v>
      </c>
      <c r="N236">
        <v>3.96</v>
      </c>
    </row>
    <row r="237" spans="1:14" x14ac:dyDescent="0.5">
      <c r="A237" t="str">
        <f>"000681"</f>
        <v>000681</v>
      </c>
      <c r="B237" t="s">
        <v>483</v>
      </c>
      <c r="C237">
        <v>1.54</v>
      </c>
      <c r="D237">
        <v>53.71</v>
      </c>
      <c r="E237">
        <v>28.32</v>
      </c>
      <c r="F237">
        <v>0.43</v>
      </c>
      <c r="G237">
        <v>28.31</v>
      </c>
      <c r="H237">
        <v>28.32</v>
      </c>
      <c r="I237" t="s">
        <v>484</v>
      </c>
      <c r="J237">
        <v>2.8</v>
      </c>
      <c r="K237">
        <v>2.8</v>
      </c>
      <c r="L237">
        <v>27.65</v>
      </c>
      <c r="M237">
        <v>28.44</v>
      </c>
      <c r="N237">
        <v>27.49</v>
      </c>
    </row>
    <row r="238" spans="1:14" x14ac:dyDescent="0.5">
      <c r="A238" t="str">
        <f>"000682"</f>
        <v>000682</v>
      </c>
      <c r="B238" t="s">
        <v>485</v>
      </c>
      <c r="C238">
        <v>6.82</v>
      </c>
      <c r="D238">
        <v>46.98</v>
      </c>
      <c r="E238">
        <v>4.54</v>
      </c>
      <c r="F238">
        <v>0.28999999999999998</v>
      </c>
      <c r="G238">
        <v>4.54</v>
      </c>
      <c r="H238">
        <v>4.55</v>
      </c>
      <c r="I238" t="s">
        <v>486</v>
      </c>
      <c r="J238">
        <v>3.19</v>
      </c>
      <c r="K238">
        <v>3.19</v>
      </c>
      <c r="L238">
        <v>4.2300000000000004</v>
      </c>
      <c r="M238">
        <v>4.68</v>
      </c>
      <c r="N238">
        <v>4.21</v>
      </c>
    </row>
    <row r="239" spans="1:14" x14ac:dyDescent="0.5">
      <c r="A239" t="str">
        <f>"000683"</f>
        <v>000683</v>
      </c>
      <c r="B239" t="s">
        <v>487</v>
      </c>
      <c r="C239">
        <v>0.35</v>
      </c>
      <c r="D239">
        <v>9.9600000000000009</v>
      </c>
      <c r="E239">
        <v>2.85</v>
      </c>
      <c r="F239">
        <v>0.01</v>
      </c>
      <c r="G239">
        <v>2.85</v>
      </c>
      <c r="H239">
        <v>2.86</v>
      </c>
      <c r="I239" t="s">
        <v>488</v>
      </c>
      <c r="J239">
        <v>2.35</v>
      </c>
      <c r="K239">
        <v>2.35</v>
      </c>
      <c r="L239">
        <v>2.82</v>
      </c>
      <c r="M239">
        <v>2.86</v>
      </c>
      <c r="N239">
        <v>2.81</v>
      </c>
    </row>
    <row r="240" spans="1:14" x14ac:dyDescent="0.5">
      <c r="A240" t="str">
        <f>"000685"</f>
        <v>000685</v>
      </c>
      <c r="B240" t="s">
        <v>489</v>
      </c>
      <c r="C240">
        <v>1.1599999999999999</v>
      </c>
      <c r="D240">
        <v>15.36</v>
      </c>
      <c r="E240">
        <v>8.69</v>
      </c>
      <c r="F240">
        <v>0.1</v>
      </c>
      <c r="G240">
        <v>8.68</v>
      </c>
      <c r="H240">
        <v>8.69</v>
      </c>
      <c r="I240" t="s">
        <v>490</v>
      </c>
      <c r="J240">
        <v>1.1599999999999999</v>
      </c>
      <c r="K240">
        <v>1.1599999999999999</v>
      </c>
      <c r="L240">
        <v>8.5299999999999994</v>
      </c>
      <c r="M240">
        <v>8.7100000000000009</v>
      </c>
      <c r="N240">
        <v>8.49</v>
      </c>
    </row>
    <row r="241" spans="1:14" x14ac:dyDescent="0.5">
      <c r="A241" t="str">
        <f>"000686"</f>
        <v>000686</v>
      </c>
      <c r="B241" t="s">
        <v>491</v>
      </c>
      <c r="C241">
        <v>0.45</v>
      </c>
      <c r="D241">
        <v>70.61</v>
      </c>
      <c r="E241">
        <v>9.01</v>
      </c>
      <c r="F241">
        <v>0.04</v>
      </c>
      <c r="G241">
        <v>9.01</v>
      </c>
      <c r="H241">
        <v>9.02</v>
      </c>
      <c r="I241" t="s">
        <v>492</v>
      </c>
      <c r="J241">
        <v>1.52</v>
      </c>
      <c r="K241">
        <v>1.52</v>
      </c>
      <c r="L241">
        <v>8.91</v>
      </c>
      <c r="M241">
        <v>9.06</v>
      </c>
      <c r="N241">
        <v>8.83</v>
      </c>
    </row>
    <row r="242" spans="1:14" x14ac:dyDescent="0.5">
      <c r="A242" t="str">
        <f>"000687"</f>
        <v>000687</v>
      </c>
      <c r="B242" t="s">
        <v>493</v>
      </c>
      <c r="C242">
        <v>7.3</v>
      </c>
      <c r="D242">
        <v>45.73</v>
      </c>
      <c r="E242">
        <v>8.3800000000000008</v>
      </c>
      <c r="F242">
        <v>0.56999999999999995</v>
      </c>
      <c r="G242">
        <v>8.3699999999999992</v>
      </c>
      <c r="H242">
        <v>8.3800000000000008</v>
      </c>
      <c r="I242" t="s">
        <v>494</v>
      </c>
      <c r="J242">
        <v>3.58</v>
      </c>
      <c r="K242">
        <v>3.58</v>
      </c>
      <c r="L242">
        <v>7.72</v>
      </c>
      <c r="M242">
        <v>8.58</v>
      </c>
      <c r="N242">
        <v>7.72</v>
      </c>
    </row>
    <row r="243" spans="1:14" x14ac:dyDescent="0.5">
      <c r="A243" t="str">
        <f>"000688"</f>
        <v>000688</v>
      </c>
      <c r="B243" t="s">
        <v>495</v>
      </c>
      <c r="C243">
        <v>-0.91</v>
      </c>
      <c r="D243">
        <v>38.82</v>
      </c>
      <c r="E243">
        <v>13.11</v>
      </c>
      <c r="F243">
        <v>-0.12</v>
      </c>
      <c r="G243">
        <v>13.06</v>
      </c>
      <c r="H243">
        <v>13.11</v>
      </c>
      <c r="I243" t="s">
        <v>496</v>
      </c>
      <c r="J243">
        <v>0.35</v>
      </c>
      <c r="K243">
        <v>0.35</v>
      </c>
      <c r="L243">
        <v>13.22</v>
      </c>
      <c r="M243">
        <v>13.22</v>
      </c>
      <c r="N243">
        <v>12.9</v>
      </c>
    </row>
    <row r="244" spans="1:14" x14ac:dyDescent="0.5">
      <c r="A244" t="str">
        <f>"000690"</f>
        <v>000690</v>
      </c>
      <c r="B244" t="s">
        <v>497</v>
      </c>
      <c r="C244">
        <v>1.74</v>
      </c>
      <c r="D244">
        <v>40.32</v>
      </c>
      <c r="E244">
        <v>7.59</v>
      </c>
      <c r="F244">
        <v>0.13</v>
      </c>
      <c r="G244">
        <v>7.58</v>
      </c>
      <c r="H244">
        <v>7.59</v>
      </c>
      <c r="I244" t="s">
        <v>498</v>
      </c>
      <c r="J244">
        <v>0.83</v>
      </c>
      <c r="K244">
        <v>0.83</v>
      </c>
      <c r="L244">
        <v>7.43</v>
      </c>
      <c r="M244">
        <v>7.6</v>
      </c>
      <c r="N244">
        <v>7.43</v>
      </c>
    </row>
    <row r="245" spans="1:14" x14ac:dyDescent="0.5">
      <c r="A245" t="str">
        <f>"000691"</f>
        <v>000691</v>
      </c>
      <c r="B245" t="s">
        <v>499</v>
      </c>
      <c r="C245">
        <v>2.97</v>
      </c>
      <c r="D245">
        <v>153.51</v>
      </c>
      <c r="E245">
        <v>4.8499999999999996</v>
      </c>
      <c r="F245">
        <v>0.14000000000000001</v>
      </c>
      <c r="G245">
        <v>4.84</v>
      </c>
      <c r="H245">
        <v>4.8499999999999996</v>
      </c>
      <c r="I245" t="s">
        <v>500</v>
      </c>
      <c r="J245">
        <v>3.19</v>
      </c>
      <c r="K245">
        <v>3.19</v>
      </c>
      <c r="L245">
        <v>4.7300000000000004</v>
      </c>
      <c r="M245">
        <v>4.8600000000000003</v>
      </c>
      <c r="N245">
        <v>4.7</v>
      </c>
    </row>
    <row r="246" spans="1:14" x14ac:dyDescent="0.5">
      <c r="A246" t="str">
        <f>"000692"</f>
        <v>000692</v>
      </c>
      <c r="B246" t="s">
        <v>501</v>
      </c>
      <c r="C246">
        <v>1.56</v>
      </c>
      <c r="D246" t="s">
        <v>24</v>
      </c>
      <c r="E246">
        <v>3.25</v>
      </c>
      <c r="F246">
        <v>0.05</v>
      </c>
      <c r="G246">
        <v>3.25</v>
      </c>
      <c r="H246">
        <v>3.26</v>
      </c>
      <c r="I246" t="s">
        <v>502</v>
      </c>
      <c r="J246">
        <v>1.32</v>
      </c>
      <c r="K246">
        <v>1.32</v>
      </c>
      <c r="L246">
        <v>3.2</v>
      </c>
      <c r="M246">
        <v>3.27</v>
      </c>
      <c r="N246">
        <v>3.16</v>
      </c>
    </row>
    <row r="247" spans="1:14" x14ac:dyDescent="0.5">
      <c r="A247" t="str">
        <f>"000695"</f>
        <v>000695</v>
      </c>
      <c r="B247" t="s">
        <v>503</v>
      </c>
      <c r="C247">
        <v>5.5</v>
      </c>
      <c r="D247">
        <v>42.89</v>
      </c>
      <c r="E247">
        <v>11.9</v>
      </c>
      <c r="F247">
        <v>0.62</v>
      </c>
      <c r="G247">
        <v>11.89</v>
      </c>
      <c r="H247">
        <v>11.9</v>
      </c>
      <c r="I247" t="s">
        <v>504</v>
      </c>
      <c r="J247">
        <v>2.41</v>
      </c>
      <c r="K247">
        <v>2.41</v>
      </c>
      <c r="L247">
        <v>11.28</v>
      </c>
      <c r="M247">
        <v>12.3</v>
      </c>
      <c r="N247">
        <v>10.85</v>
      </c>
    </row>
    <row r="248" spans="1:14" x14ac:dyDescent="0.5">
      <c r="A248" t="str">
        <f>"000697"</f>
        <v>000697</v>
      </c>
      <c r="B248" t="s">
        <v>505</v>
      </c>
      <c r="C248">
        <v>7.72</v>
      </c>
      <c r="D248">
        <v>228.29</v>
      </c>
      <c r="E248">
        <v>13.67</v>
      </c>
      <c r="F248">
        <v>0.98</v>
      </c>
      <c r="G248">
        <v>13.66</v>
      </c>
      <c r="H248">
        <v>13.67</v>
      </c>
      <c r="I248" t="s">
        <v>506</v>
      </c>
      <c r="J248">
        <v>3.01</v>
      </c>
      <c r="K248">
        <v>3.01</v>
      </c>
      <c r="L248">
        <v>12.6</v>
      </c>
      <c r="M248">
        <v>13.86</v>
      </c>
      <c r="N248">
        <v>12.56</v>
      </c>
    </row>
    <row r="249" spans="1:14" x14ac:dyDescent="0.5">
      <c r="A249" t="str">
        <f>"000698"</f>
        <v>000698</v>
      </c>
      <c r="B249" t="s">
        <v>507</v>
      </c>
      <c r="C249">
        <v>1.66</v>
      </c>
      <c r="D249">
        <v>22.94</v>
      </c>
      <c r="E249">
        <v>4.29</v>
      </c>
      <c r="F249">
        <v>7.0000000000000007E-2</v>
      </c>
      <c r="G249">
        <v>4.28</v>
      </c>
      <c r="H249">
        <v>4.29</v>
      </c>
      <c r="I249" t="s">
        <v>508</v>
      </c>
      <c r="J249">
        <v>1.58</v>
      </c>
      <c r="K249">
        <v>1.58</v>
      </c>
      <c r="L249">
        <v>4.21</v>
      </c>
      <c r="M249">
        <v>4.29</v>
      </c>
      <c r="N249">
        <v>4.18</v>
      </c>
    </row>
    <row r="250" spans="1:14" x14ac:dyDescent="0.5">
      <c r="A250" t="str">
        <f>"000700"</f>
        <v>000700</v>
      </c>
      <c r="B250" t="s">
        <v>509</v>
      </c>
      <c r="C250">
        <v>2.77</v>
      </c>
      <c r="D250" t="s">
        <v>24</v>
      </c>
      <c r="E250">
        <v>3.71</v>
      </c>
      <c r="F250">
        <v>0.1</v>
      </c>
      <c r="G250">
        <v>3.71</v>
      </c>
      <c r="H250">
        <v>3.72</v>
      </c>
      <c r="I250" t="s">
        <v>510</v>
      </c>
      <c r="J250">
        <v>2.2200000000000002</v>
      </c>
      <c r="K250">
        <v>2.2200000000000002</v>
      </c>
      <c r="L250">
        <v>3.6</v>
      </c>
      <c r="M250">
        <v>3.74</v>
      </c>
      <c r="N250">
        <v>3.58</v>
      </c>
    </row>
    <row r="251" spans="1:14" x14ac:dyDescent="0.5">
      <c r="A251" t="str">
        <f>"000701"</f>
        <v>000701</v>
      </c>
      <c r="B251" t="s">
        <v>511</v>
      </c>
      <c r="C251">
        <v>0.98</v>
      </c>
      <c r="D251">
        <v>79.61</v>
      </c>
      <c r="E251">
        <v>7.21</v>
      </c>
      <c r="F251">
        <v>7.0000000000000007E-2</v>
      </c>
      <c r="G251">
        <v>7.2</v>
      </c>
      <c r="H251">
        <v>7.21</v>
      </c>
      <c r="I251" t="s">
        <v>512</v>
      </c>
      <c r="J251">
        <v>2.94</v>
      </c>
      <c r="K251">
        <v>2.94</v>
      </c>
      <c r="L251">
        <v>7</v>
      </c>
      <c r="M251">
        <v>7.23</v>
      </c>
      <c r="N251">
        <v>6.97</v>
      </c>
    </row>
    <row r="252" spans="1:14" x14ac:dyDescent="0.5">
      <c r="A252" t="str">
        <f>"000702"</f>
        <v>000702</v>
      </c>
      <c r="B252" t="s">
        <v>513</v>
      </c>
      <c r="C252">
        <v>2.5299999999999998</v>
      </c>
      <c r="D252">
        <v>34.909999999999997</v>
      </c>
      <c r="E252">
        <v>6.49</v>
      </c>
      <c r="F252">
        <v>0.16</v>
      </c>
      <c r="G252">
        <v>6.49</v>
      </c>
      <c r="H252">
        <v>6.5</v>
      </c>
      <c r="I252" t="s">
        <v>514</v>
      </c>
      <c r="J252">
        <v>3.96</v>
      </c>
      <c r="K252">
        <v>3.96</v>
      </c>
      <c r="L252">
        <v>6.32</v>
      </c>
      <c r="M252">
        <v>6.52</v>
      </c>
      <c r="N252">
        <v>6.28</v>
      </c>
    </row>
    <row r="253" spans="1:14" x14ac:dyDescent="0.5">
      <c r="A253" t="str">
        <f>"000703"</f>
        <v>000703</v>
      </c>
      <c r="B253" t="s">
        <v>515</v>
      </c>
      <c r="C253">
        <v>1.1599999999999999</v>
      </c>
      <c r="D253">
        <v>15.78</v>
      </c>
      <c r="E253">
        <v>13.98</v>
      </c>
      <c r="F253">
        <v>0.16</v>
      </c>
      <c r="G253">
        <v>13.97</v>
      </c>
      <c r="H253">
        <v>13.98</v>
      </c>
      <c r="I253" t="s">
        <v>516</v>
      </c>
      <c r="J253">
        <v>0.46</v>
      </c>
      <c r="K253">
        <v>0.46</v>
      </c>
      <c r="L253">
        <v>13.85</v>
      </c>
      <c r="M253">
        <v>14.07</v>
      </c>
      <c r="N253">
        <v>13.81</v>
      </c>
    </row>
    <row r="254" spans="1:14" x14ac:dyDescent="0.5">
      <c r="A254" t="str">
        <f>"000705"</f>
        <v>000705</v>
      </c>
      <c r="B254" t="s">
        <v>517</v>
      </c>
      <c r="C254">
        <v>1.27</v>
      </c>
      <c r="D254">
        <v>33.159999999999997</v>
      </c>
      <c r="E254">
        <v>7.16</v>
      </c>
      <c r="F254">
        <v>0.09</v>
      </c>
      <c r="G254">
        <v>7.16</v>
      </c>
      <c r="H254">
        <v>7.17</v>
      </c>
      <c r="I254" t="s">
        <v>518</v>
      </c>
      <c r="J254">
        <v>1.33</v>
      </c>
      <c r="K254">
        <v>1.33</v>
      </c>
      <c r="L254">
        <v>7.12</v>
      </c>
      <c r="M254">
        <v>7.18</v>
      </c>
      <c r="N254">
        <v>7.06</v>
      </c>
    </row>
    <row r="255" spans="1:14" x14ac:dyDescent="0.5">
      <c r="A255" t="str">
        <f>"000707"</f>
        <v>000707</v>
      </c>
      <c r="B255" t="s">
        <v>519</v>
      </c>
      <c r="C255">
        <v>1.98</v>
      </c>
      <c r="D255" t="s">
        <v>24</v>
      </c>
      <c r="E255">
        <v>3.6</v>
      </c>
      <c r="F255">
        <v>7.0000000000000007E-2</v>
      </c>
      <c r="G255">
        <v>3.6</v>
      </c>
      <c r="H255">
        <v>3.61</v>
      </c>
      <c r="I255" t="s">
        <v>520</v>
      </c>
      <c r="J255">
        <v>2.0499999999999998</v>
      </c>
      <c r="K255">
        <v>2.0499999999999998</v>
      </c>
      <c r="L255">
        <v>3.52</v>
      </c>
      <c r="M255">
        <v>3.6</v>
      </c>
      <c r="N255">
        <v>3.51</v>
      </c>
    </row>
    <row r="256" spans="1:14" x14ac:dyDescent="0.5">
      <c r="A256" t="str">
        <f>"000708"</f>
        <v>000708</v>
      </c>
      <c r="B256" t="s">
        <v>521</v>
      </c>
      <c r="C256">
        <v>-0.35</v>
      </c>
      <c r="D256">
        <v>10.02</v>
      </c>
      <c r="E256">
        <v>11.34</v>
      </c>
      <c r="F256">
        <v>-0.04</v>
      </c>
      <c r="G256">
        <v>11.34</v>
      </c>
      <c r="H256">
        <v>11.35</v>
      </c>
      <c r="I256" t="s">
        <v>522</v>
      </c>
      <c r="J256">
        <v>1.61</v>
      </c>
      <c r="K256">
        <v>1.61</v>
      </c>
      <c r="L256">
        <v>11.31</v>
      </c>
      <c r="M256">
        <v>11.35</v>
      </c>
      <c r="N256">
        <v>11.16</v>
      </c>
    </row>
    <row r="257" spans="1:14" x14ac:dyDescent="0.5">
      <c r="A257" t="str">
        <f>"000709"</f>
        <v>000709</v>
      </c>
      <c r="B257" t="s">
        <v>523</v>
      </c>
      <c r="C257">
        <v>0.57999999999999996</v>
      </c>
      <c r="D257">
        <v>12.1</v>
      </c>
      <c r="E257">
        <v>3.47</v>
      </c>
      <c r="F257">
        <v>0.02</v>
      </c>
      <c r="G257">
        <v>3.46</v>
      </c>
      <c r="H257">
        <v>3.47</v>
      </c>
      <c r="I257" t="s">
        <v>524</v>
      </c>
      <c r="J257">
        <v>0.63</v>
      </c>
      <c r="K257">
        <v>0.63</v>
      </c>
      <c r="L257">
        <v>3.45</v>
      </c>
      <c r="M257">
        <v>3.47</v>
      </c>
      <c r="N257">
        <v>3.42</v>
      </c>
    </row>
    <row r="258" spans="1:14" x14ac:dyDescent="0.5">
      <c r="A258" t="str">
        <f>"000710"</f>
        <v>000710</v>
      </c>
      <c r="B258" t="s">
        <v>525</v>
      </c>
      <c r="C258">
        <v>1.89</v>
      </c>
      <c r="D258">
        <v>48.95</v>
      </c>
      <c r="E258">
        <v>45.2</v>
      </c>
      <c r="F258">
        <v>0.84</v>
      </c>
      <c r="G258">
        <v>45.19</v>
      </c>
      <c r="H258">
        <v>45.2</v>
      </c>
      <c r="I258" t="s">
        <v>526</v>
      </c>
      <c r="J258">
        <v>2.93</v>
      </c>
      <c r="K258">
        <v>2.93</v>
      </c>
      <c r="L258">
        <v>44</v>
      </c>
      <c r="M258">
        <v>45.37</v>
      </c>
      <c r="N258">
        <v>43.9</v>
      </c>
    </row>
    <row r="259" spans="1:14" x14ac:dyDescent="0.5">
      <c r="A259" t="str">
        <f>"000711"</f>
        <v>000711</v>
      </c>
      <c r="B259" t="s">
        <v>527</v>
      </c>
      <c r="C259">
        <v>9.98</v>
      </c>
      <c r="D259">
        <v>20.62</v>
      </c>
      <c r="E259">
        <v>7.27</v>
      </c>
      <c r="F259">
        <v>0.66</v>
      </c>
      <c r="G259">
        <v>7.27</v>
      </c>
      <c r="H259" t="s">
        <v>24</v>
      </c>
      <c r="I259" t="s">
        <v>528</v>
      </c>
      <c r="J259">
        <v>5.28</v>
      </c>
      <c r="K259">
        <v>5.28</v>
      </c>
      <c r="L259">
        <v>7.27</v>
      </c>
      <c r="M259">
        <v>7.27</v>
      </c>
      <c r="N259">
        <v>7.27</v>
      </c>
    </row>
    <row r="260" spans="1:14" x14ac:dyDescent="0.5">
      <c r="A260" t="str">
        <f>"000712"</f>
        <v>000712</v>
      </c>
      <c r="B260" t="s">
        <v>529</v>
      </c>
      <c r="C260">
        <v>0.38</v>
      </c>
      <c r="D260" t="s">
        <v>24</v>
      </c>
      <c r="E260">
        <v>13.3</v>
      </c>
      <c r="F260">
        <v>0.05</v>
      </c>
      <c r="G260">
        <v>13.3</v>
      </c>
      <c r="H260">
        <v>13.31</v>
      </c>
      <c r="I260" t="s">
        <v>530</v>
      </c>
      <c r="J260">
        <v>2.84</v>
      </c>
      <c r="K260">
        <v>2.84</v>
      </c>
      <c r="L260">
        <v>13.01</v>
      </c>
      <c r="M260">
        <v>13.39</v>
      </c>
      <c r="N260">
        <v>12.86</v>
      </c>
    </row>
    <row r="261" spans="1:14" x14ac:dyDescent="0.5">
      <c r="A261" t="str">
        <f>"000713"</f>
        <v>000713</v>
      </c>
      <c r="B261" t="s">
        <v>531</v>
      </c>
      <c r="C261">
        <v>2.94</v>
      </c>
      <c r="D261">
        <v>61.06</v>
      </c>
      <c r="E261">
        <v>5.96</v>
      </c>
      <c r="F261">
        <v>0.17</v>
      </c>
      <c r="G261">
        <v>5.96</v>
      </c>
      <c r="H261">
        <v>5.97</v>
      </c>
      <c r="I261" t="s">
        <v>532</v>
      </c>
      <c r="J261">
        <v>4.7699999999999996</v>
      </c>
      <c r="K261">
        <v>4.7699999999999996</v>
      </c>
      <c r="L261">
        <v>5.74</v>
      </c>
      <c r="M261">
        <v>5.98</v>
      </c>
      <c r="N261">
        <v>5.73</v>
      </c>
    </row>
    <row r="262" spans="1:14" x14ac:dyDescent="0.5">
      <c r="A262" t="str">
        <f>"000715"</f>
        <v>000715</v>
      </c>
      <c r="B262" t="s">
        <v>533</v>
      </c>
      <c r="C262" t="s">
        <v>24</v>
      </c>
      <c r="D262">
        <v>21.1</v>
      </c>
      <c r="E262">
        <v>7.11</v>
      </c>
      <c r="F262" t="s">
        <v>24</v>
      </c>
      <c r="G262" t="s">
        <v>24</v>
      </c>
      <c r="H262" t="s">
        <v>24</v>
      </c>
      <c r="I262" t="s">
        <v>534</v>
      </c>
      <c r="J262">
        <v>0</v>
      </c>
      <c r="K262">
        <v>0</v>
      </c>
      <c r="L262" t="s">
        <v>24</v>
      </c>
      <c r="M262" t="s">
        <v>24</v>
      </c>
      <c r="N262" t="s">
        <v>24</v>
      </c>
    </row>
    <row r="263" spans="1:14" x14ac:dyDescent="0.5">
      <c r="A263" t="str">
        <f>"000716"</f>
        <v>000716</v>
      </c>
      <c r="B263" t="s">
        <v>535</v>
      </c>
      <c r="C263">
        <v>2.0299999999999998</v>
      </c>
      <c r="D263">
        <v>36.89</v>
      </c>
      <c r="E263">
        <v>3.51</v>
      </c>
      <c r="F263">
        <v>7.0000000000000007E-2</v>
      </c>
      <c r="G263">
        <v>3.5</v>
      </c>
      <c r="H263">
        <v>3.51</v>
      </c>
      <c r="I263" t="s">
        <v>536</v>
      </c>
      <c r="J263">
        <v>1.54</v>
      </c>
      <c r="K263">
        <v>1.54</v>
      </c>
      <c r="L263">
        <v>3.43</v>
      </c>
      <c r="M263">
        <v>3.52</v>
      </c>
      <c r="N263">
        <v>3.41</v>
      </c>
    </row>
    <row r="264" spans="1:14" x14ac:dyDescent="0.5">
      <c r="A264" t="str">
        <f>"000717"</f>
        <v>000717</v>
      </c>
      <c r="B264" t="s">
        <v>537</v>
      </c>
      <c r="C264">
        <v>-0.83</v>
      </c>
      <c r="D264">
        <v>4.1399999999999997</v>
      </c>
      <c r="E264">
        <v>6</v>
      </c>
      <c r="F264">
        <v>-0.05</v>
      </c>
      <c r="G264">
        <v>6</v>
      </c>
      <c r="H264">
        <v>6.01</v>
      </c>
      <c r="I264" t="s">
        <v>538</v>
      </c>
      <c r="J264">
        <v>2.63</v>
      </c>
      <c r="K264">
        <v>2.63</v>
      </c>
      <c r="L264">
        <v>5.99</v>
      </c>
      <c r="M264">
        <v>6.02</v>
      </c>
      <c r="N264">
        <v>5.9</v>
      </c>
    </row>
    <row r="265" spans="1:14" x14ac:dyDescent="0.5">
      <c r="A265" t="str">
        <f>"000718"</f>
        <v>000718</v>
      </c>
      <c r="B265" t="s">
        <v>539</v>
      </c>
      <c r="C265">
        <v>2.4300000000000002</v>
      </c>
      <c r="D265">
        <v>9.3699999999999992</v>
      </c>
      <c r="E265">
        <v>3.79</v>
      </c>
      <c r="F265">
        <v>0.09</v>
      </c>
      <c r="G265">
        <v>3.78</v>
      </c>
      <c r="H265">
        <v>3.79</v>
      </c>
      <c r="I265" t="s">
        <v>540</v>
      </c>
      <c r="J265">
        <v>0.74</v>
      </c>
      <c r="K265">
        <v>0.74</v>
      </c>
      <c r="L265">
        <v>3.69</v>
      </c>
      <c r="M265">
        <v>3.79</v>
      </c>
      <c r="N265">
        <v>3.68</v>
      </c>
    </row>
    <row r="266" spans="1:14" x14ac:dyDescent="0.5">
      <c r="A266" t="str">
        <f>"000719"</f>
        <v>000719</v>
      </c>
      <c r="B266" t="s">
        <v>541</v>
      </c>
      <c r="C266">
        <v>1.82</v>
      </c>
      <c r="D266">
        <v>12.4</v>
      </c>
      <c r="E266">
        <v>8.9499999999999993</v>
      </c>
      <c r="F266">
        <v>0.16</v>
      </c>
      <c r="G266">
        <v>8.94</v>
      </c>
      <c r="H266">
        <v>8.9499999999999993</v>
      </c>
      <c r="I266" t="s">
        <v>542</v>
      </c>
      <c r="J266">
        <v>0.55000000000000004</v>
      </c>
      <c r="K266">
        <v>0.55000000000000004</v>
      </c>
      <c r="L266">
        <v>8.76</v>
      </c>
      <c r="M266">
        <v>8.9600000000000009</v>
      </c>
      <c r="N266">
        <v>8.76</v>
      </c>
    </row>
    <row r="267" spans="1:14" x14ac:dyDescent="0.5">
      <c r="A267" t="str">
        <f>"000720"</f>
        <v>000720</v>
      </c>
      <c r="B267" t="s">
        <v>543</v>
      </c>
      <c r="C267">
        <v>1.52</v>
      </c>
      <c r="D267">
        <v>10.28</v>
      </c>
      <c r="E267">
        <v>4.6900000000000004</v>
      </c>
      <c r="F267">
        <v>7.0000000000000007E-2</v>
      </c>
      <c r="G267">
        <v>4.6900000000000004</v>
      </c>
      <c r="H267">
        <v>4.7</v>
      </c>
      <c r="I267" t="s">
        <v>544</v>
      </c>
      <c r="J267">
        <v>1</v>
      </c>
      <c r="K267">
        <v>1</v>
      </c>
      <c r="L267">
        <v>4.6399999999999997</v>
      </c>
      <c r="M267">
        <v>4.6900000000000004</v>
      </c>
      <c r="N267">
        <v>4.62</v>
      </c>
    </row>
    <row r="268" spans="1:14" x14ac:dyDescent="0.5">
      <c r="A268" t="str">
        <f>"000721"</f>
        <v>000721</v>
      </c>
      <c r="B268" t="s">
        <v>545</v>
      </c>
      <c r="C268">
        <v>2.69</v>
      </c>
      <c r="D268" t="s">
        <v>24</v>
      </c>
      <c r="E268">
        <v>4.58</v>
      </c>
      <c r="F268">
        <v>0.12</v>
      </c>
      <c r="G268">
        <v>4.58</v>
      </c>
      <c r="H268">
        <v>4.59</v>
      </c>
      <c r="I268" t="s">
        <v>175</v>
      </c>
      <c r="J268">
        <v>3.96</v>
      </c>
      <c r="K268">
        <v>3.96</v>
      </c>
      <c r="L268">
        <v>4.4400000000000004</v>
      </c>
      <c r="M268">
        <v>4.62</v>
      </c>
      <c r="N268">
        <v>4.42</v>
      </c>
    </row>
    <row r="269" spans="1:14" x14ac:dyDescent="0.5">
      <c r="A269" t="str">
        <f>"000722"</f>
        <v>000722</v>
      </c>
      <c r="B269" t="s">
        <v>546</v>
      </c>
      <c r="C269">
        <v>-1.77</v>
      </c>
      <c r="D269">
        <v>45.7</v>
      </c>
      <c r="E269">
        <v>7.78</v>
      </c>
      <c r="F269">
        <v>-0.14000000000000001</v>
      </c>
      <c r="G269">
        <v>7.78</v>
      </c>
      <c r="H269">
        <v>7.79</v>
      </c>
      <c r="I269" t="s">
        <v>547</v>
      </c>
      <c r="J269">
        <v>5.21</v>
      </c>
      <c r="K269">
        <v>5.21</v>
      </c>
      <c r="L269">
        <v>7.8</v>
      </c>
      <c r="M269">
        <v>7.87</v>
      </c>
      <c r="N269">
        <v>7.6</v>
      </c>
    </row>
    <row r="270" spans="1:14" x14ac:dyDescent="0.5">
      <c r="A270" t="str">
        <f>"000723"</f>
        <v>000723</v>
      </c>
      <c r="B270" t="s">
        <v>548</v>
      </c>
      <c r="C270">
        <v>1.28</v>
      </c>
      <c r="D270">
        <v>15.97</v>
      </c>
      <c r="E270">
        <v>5.54</v>
      </c>
      <c r="F270">
        <v>7.0000000000000007E-2</v>
      </c>
      <c r="G270">
        <v>5.53</v>
      </c>
      <c r="H270">
        <v>5.54</v>
      </c>
      <c r="I270" t="s">
        <v>549</v>
      </c>
      <c r="J270">
        <v>4.8</v>
      </c>
      <c r="K270">
        <v>4.8</v>
      </c>
      <c r="L270">
        <v>5.4</v>
      </c>
      <c r="M270">
        <v>5.55</v>
      </c>
      <c r="N270">
        <v>5.31</v>
      </c>
    </row>
    <row r="271" spans="1:14" x14ac:dyDescent="0.5">
      <c r="A271" t="str">
        <f>"000725"</f>
        <v>000725</v>
      </c>
      <c r="B271" t="s">
        <v>550</v>
      </c>
      <c r="C271">
        <v>2.31</v>
      </c>
      <c r="D271">
        <v>33.31</v>
      </c>
      <c r="E271">
        <v>4.42</v>
      </c>
      <c r="F271">
        <v>0.1</v>
      </c>
      <c r="G271">
        <v>4.42</v>
      </c>
      <c r="H271">
        <v>4.43</v>
      </c>
      <c r="I271" t="s">
        <v>551</v>
      </c>
      <c r="J271">
        <v>5.5</v>
      </c>
      <c r="K271">
        <v>5.5</v>
      </c>
      <c r="L271">
        <v>4.28</v>
      </c>
      <c r="M271">
        <v>4.45</v>
      </c>
      <c r="N271">
        <v>4.21</v>
      </c>
    </row>
    <row r="272" spans="1:14" x14ac:dyDescent="0.5">
      <c r="A272" t="str">
        <f>"000726"</f>
        <v>000726</v>
      </c>
      <c r="B272" t="s">
        <v>552</v>
      </c>
      <c r="C272">
        <v>0</v>
      </c>
      <c r="D272">
        <v>11.07</v>
      </c>
      <c r="E272">
        <v>10.17</v>
      </c>
      <c r="F272">
        <v>0</v>
      </c>
      <c r="G272">
        <v>10.16</v>
      </c>
      <c r="H272">
        <v>10.17</v>
      </c>
      <c r="I272" t="s">
        <v>553</v>
      </c>
      <c r="J272">
        <v>1.43</v>
      </c>
      <c r="K272">
        <v>1.43</v>
      </c>
      <c r="L272">
        <v>10.210000000000001</v>
      </c>
      <c r="M272">
        <v>10.23</v>
      </c>
      <c r="N272">
        <v>10.06</v>
      </c>
    </row>
    <row r="273" spans="1:14" x14ac:dyDescent="0.5">
      <c r="A273" t="str">
        <f>"000727"</f>
        <v>000727</v>
      </c>
      <c r="B273" t="s">
        <v>554</v>
      </c>
      <c r="C273">
        <v>10.19</v>
      </c>
      <c r="D273" t="s">
        <v>24</v>
      </c>
      <c r="E273">
        <v>2.92</v>
      </c>
      <c r="F273">
        <v>0.27</v>
      </c>
      <c r="G273">
        <v>2.92</v>
      </c>
      <c r="H273" t="s">
        <v>24</v>
      </c>
      <c r="I273" t="s">
        <v>555</v>
      </c>
      <c r="J273">
        <v>12.81</v>
      </c>
      <c r="K273">
        <v>12.81</v>
      </c>
      <c r="L273">
        <v>2.76</v>
      </c>
      <c r="M273">
        <v>2.92</v>
      </c>
      <c r="N273">
        <v>2.66</v>
      </c>
    </row>
    <row r="274" spans="1:14" x14ac:dyDescent="0.5">
      <c r="A274" t="str">
        <f>"000728"</f>
        <v>000728</v>
      </c>
      <c r="B274" t="s">
        <v>556</v>
      </c>
      <c r="C274">
        <v>-0.2</v>
      </c>
      <c r="D274">
        <v>51.88</v>
      </c>
      <c r="E274">
        <v>9.89</v>
      </c>
      <c r="F274">
        <v>-0.02</v>
      </c>
      <c r="G274">
        <v>9.89</v>
      </c>
      <c r="H274">
        <v>9.9</v>
      </c>
      <c r="I274" t="s">
        <v>557</v>
      </c>
      <c r="J274">
        <v>1.52</v>
      </c>
      <c r="K274">
        <v>1.52</v>
      </c>
      <c r="L274">
        <v>9.77</v>
      </c>
      <c r="M274">
        <v>9.94</v>
      </c>
      <c r="N274">
        <v>9.7100000000000009</v>
      </c>
    </row>
    <row r="275" spans="1:14" x14ac:dyDescent="0.5">
      <c r="A275" t="str">
        <f>"000729"</f>
        <v>000729</v>
      </c>
      <c r="B275" t="s">
        <v>558</v>
      </c>
      <c r="C275">
        <v>1.55</v>
      </c>
      <c r="D275">
        <v>112.47</v>
      </c>
      <c r="E275">
        <v>6.57</v>
      </c>
      <c r="F275">
        <v>0.1</v>
      </c>
      <c r="G275">
        <v>6.56</v>
      </c>
      <c r="H275">
        <v>6.57</v>
      </c>
      <c r="I275" t="s">
        <v>559</v>
      </c>
      <c r="J275">
        <v>0.92</v>
      </c>
      <c r="K275">
        <v>0.92</v>
      </c>
      <c r="L275">
        <v>6.48</v>
      </c>
      <c r="M275">
        <v>6.66</v>
      </c>
      <c r="N275">
        <v>6.46</v>
      </c>
    </row>
    <row r="276" spans="1:14" x14ac:dyDescent="0.5">
      <c r="A276" t="str">
        <f>"000731"</f>
        <v>000731</v>
      </c>
      <c r="B276" t="s">
        <v>560</v>
      </c>
      <c r="C276">
        <v>0.81</v>
      </c>
      <c r="D276">
        <v>15.5</v>
      </c>
      <c r="E276">
        <v>6.23</v>
      </c>
      <c r="F276">
        <v>0.05</v>
      </c>
      <c r="G276">
        <v>6.22</v>
      </c>
      <c r="H276">
        <v>6.23</v>
      </c>
      <c r="I276" t="s">
        <v>561</v>
      </c>
      <c r="J276">
        <v>2.29</v>
      </c>
      <c r="K276">
        <v>2.29</v>
      </c>
      <c r="L276">
        <v>6.15</v>
      </c>
      <c r="M276">
        <v>6.23</v>
      </c>
      <c r="N276">
        <v>6.13</v>
      </c>
    </row>
    <row r="277" spans="1:14" x14ac:dyDescent="0.5">
      <c r="A277" t="str">
        <f>"000732"</f>
        <v>000732</v>
      </c>
      <c r="B277" t="s">
        <v>562</v>
      </c>
      <c r="C277">
        <v>1.94</v>
      </c>
      <c r="D277">
        <v>8.17</v>
      </c>
      <c r="E277">
        <v>16.25</v>
      </c>
      <c r="F277">
        <v>0.31</v>
      </c>
      <c r="G277">
        <v>16.25</v>
      </c>
      <c r="H277">
        <v>16.260000000000002</v>
      </c>
      <c r="I277" t="s">
        <v>563</v>
      </c>
      <c r="J277">
        <v>3.53</v>
      </c>
      <c r="K277">
        <v>3.53</v>
      </c>
      <c r="L277">
        <v>16.149999999999999</v>
      </c>
      <c r="M277">
        <v>16.579999999999998</v>
      </c>
      <c r="N277">
        <v>15.95</v>
      </c>
    </row>
    <row r="278" spans="1:14" x14ac:dyDescent="0.5">
      <c r="A278" t="str">
        <f>"000733"</f>
        <v>000733</v>
      </c>
      <c r="B278" t="s">
        <v>564</v>
      </c>
      <c r="C278">
        <v>2.4700000000000002</v>
      </c>
      <c r="D278">
        <v>28.79</v>
      </c>
      <c r="E278">
        <v>14.11</v>
      </c>
      <c r="F278">
        <v>0.34</v>
      </c>
      <c r="G278">
        <v>14.11</v>
      </c>
      <c r="H278">
        <v>14.12</v>
      </c>
      <c r="I278" t="s">
        <v>565</v>
      </c>
      <c r="J278">
        <v>2.2400000000000002</v>
      </c>
      <c r="K278">
        <v>2.2400000000000002</v>
      </c>
      <c r="L278">
        <v>13.71</v>
      </c>
      <c r="M278">
        <v>14.16</v>
      </c>
      <c r="N278">
        <v>13.66</v>
      </c>
    </row>
    <row r="279" spans="1:14" x14ac:dyDescent="0.5">
      <c r="A279" t="str">
        <f>"000735"</f>
        <v>000735</v>
      </c>
      <c r="B279" t="s">
        <v>566</v>
      </c>
      <c r="C279">
        <v>-0.52</v>
      </c>
      <c r="D279">
        <v>38.71</v>
      </c>
      <c r="E279">
        <v>13.5</v>
      </c>
      <c r="F279">
        <v>-7.0000000000000007E-2</v>
      </c>
      <c r="G279">
        <v>13.5</v>
      </c>
      <c r="H279">
        <v>13.51</v>
      </c>
      <c r="I279" t="s">
        <v>567</v>
      </c>
      <c r="J279">
        <v>11.56</v>
      </c>
      <c r="K279">
        <v>11.56</v>
      </c>
      <c r="L279">
        <v>13.4</v>
      </c>
      <c r="M279">
        <v>13.7</v>
      </c>
      <c r="N279">
        <v>13.26</v>
      </c>
    </row>
    <row r="280" spans="1:14" x14ac:dyDescent="0.5">
      <c r="A280" t="str">
        <f>"000736"</f>
        <v>000736</v>
      </c>
      <c r="B280" t="s">
        <v>568</v>
      </c>
      <c r="C280">
        <v>0.43</v>
      </c>
      <c r="D280">
        <v>5.28</v>
      </c>
      <c r="E280">
        <v>9.3699999999999992</v>
      </c>
      <c r="F280">
        <v>0.04</v>
      </c>
      <c r="G280">
        <v>9.3699999999999992</v>
      </c>
      <c r="H280">
        <v>9.3800000000000008</v>
      </c>
      <c r="I280" t="s">
        <v>569</v>
      </c>
      <c r="J280">
        <v>1.89</v>
      </c>
      <c r="K280">
        <v>1.89</v>
      </c>
      <c r="L280">
        <v>9.31</v>
      </c>
      <c r="M280">
        <v>9.5299999999999994</v>
      </c>
      <c r="N280">
        <v>9.1999999999999993</v>
      </c>
    </row>
    <row r="281" spans="1:14" x14ac:dyDescent="0.5">
      <c r="A281" t="str">
        <f>"000737"</f>
        <v>000737</v>
      </c>
      <c r="B281" t="s">
        <v>570</v>
      </c>
      <c r="C281">
        <v>2.69</v>
      </c>
      <c r="D281" t="s">
        <v>24</v>
      </c>
      <c r="E281">
        <v>4.2</v>
      </c>
      <c r="F281">
        <v>0.11</v>
      </c>
      <c r="G281">
        <v>4.1900000000000004</v>
      </c>
      <c r="H281">
        <v>4.2</v>
      </c>
      <c r="I281" t="s">
        <v>571</v>
      </c>
      <c r="J281">
        <v>3.61</v>
      </c>
      <c r="K281">
        <v>3.61</v>
      </c>
      <c r="L281">
        <v>4.0999999999999996</v>
      </c>
      <c r="M281">
        <v>4.2</v>
      </c>
      <c r="N281">
        <v>3.9</v>
      </c>
    </row>
    <row r="282" spans="1:14" x14ac:dyDescent="0.5">
      <c r="A282" t="str">
        <f>"000738"</f>
        <v>000738</v>
      </c>
      <c r="B282" t="s">
        <v>572</v>
      </c>
      <c r="C282">
        <v>2.36</v>
      </c>
      <c r="D282">
        <v>62.55</v>
      </c>
      <c r="E282">
        <v>15.18</v>
      </c>
      <c r="F282">
        <v>0.35</v>
      </c>
      <c r="G282">
        <v>15.17</v>
      </c>
      <c r="H282">
        <v>15.18</v>
      </c>
      <c r="I282" t="s">
        <v>573</v>
      </c>
      <c r="J282">
        <v>1.64</v>
      </c>
      <c r="K282">
        <v>1.64</v>
      </c>
      <c r="L282">
        <v>14.82</v>
      </c>
      <c r="M282">
        <v>15.25</v>
      </c>
      <c r="N282">
        <v>14.7</v>
      </c>
    </row>
    <row r="283" spans="1:14" x14ac:dyDescent="0.5">
      <c r="A283" t="str">
        <f>"000739"</f>
        <v>000739</v>
      </c>
      <c r="B283" t="s">
        <v>574</v>
      </c>
      <c r="C283">
        <v>2.73</v>
      </c>
      <c r="D283">
        <v>29.55</v>
      </c>
      <c r="E283">
        <v>9.4</v>
      </c>
      <c r="F283">
        <v>0.25</v>
      </c>
      <c r="G283">
        <v>9.4</v>
      </c>
      <c r="H283">
        <v>9.42</v>
      </c>
      <c r="I283" t="s">
        <v>575</v>
      </c>
      <c r="J283">
        <v>1.43</v>
      </c>
      <c r="K283">
        <v>1.43</v>
      </c>
      <c r="L283">
        <v>9.15</v>
      </c>
      <c r="M283">
        <v>9.5299999999999994</v>
      </c>
      <c r="N283">
        <v>9.0500000000000007</v>
      </c>
    </row>
    <row r="284" spans="1:14" x14ac:dyDescent="0.5">
      <c r="A284" t="str">
        <f>"000750"</f>
        <v>000750</v>
      </c>
      <c r="B284" t="s">
        <v>576</v>
      </c>
      <c r="C284">
        <v>0.68</v>
      </c>
      <c r="D284" t="s">
        <v>24</v>
      </c>
      <c r="E284">
        <v>5.91</v>
      </c>
      <c r="F284">
        <v>0.04</v>
      </c>
      <c r="G284">
        <v>5.91</v>
      </c>
      <c r="H284">
        <v>5.92</v>
      </c>
      <c r="I284" t="s">
        <v>577</v>
      </c>
      <c r="J284">
        <v>4.49</v>
      </c>
      <c r="K284">
        <v>4.49</v>
      </c>
      <c r="L284">
        <v>5.78</v>
      </c>
      <c r="M284">
        <v>5.92</v>
      </c>
      <c r="N284">
        <v>5.71</v>
      </c>
    </row>
    <row r="285" spans="1:14" x14ac:dyDescent="0.5">
      <c r="A285" t="str">
        <f>"000751"</f>
        <v>000751</v>
      </c>
      <c r="B285" t="s">
        <v>578</v>
      </c>
      <c r="C285">
        <v>-0.51</v>
      </c>
      <c r="D285">
        <v>36.31</v>
      </c>
      <c r="E285">
        <v>3.88</v>
      </c>
      <c r="F285">
        <v>-0.02</v>
      </c>
      <c r="G285">
        <v>3.88</v>
      </c>
      <c r="H285">
        <v>3.89</v>
      </c>
      <c r="I285" t="s">
        <v>579</v>
      </c>
      <c r="J285">
        <v>3.82</v>
      </c>
      <c r="K285">
        <v>3.82</v>
      </c>
      <c r="L285">
        <v>3.85</v>
      </c>
      <c r="M285">
        <v>3.88</v>
      </c>
      <c r="N285">
        <v>3.8</v>
      </c>
    </row>
    <row r="286" spans="1:14" x14ac:dyDescent="0.5">
      <c r="A286" t="str">
        <f>"000752"</f>
        <v>000752</v>
      </c>
      <c r="B286" t="s">
        <v>580</v>
      </c>
      <c r="C286">
        <v>1.98</v>
      </c>
      <c r="D286" t="s">
        <v>24</v>
      </c>
      <c r="E286">
        <v>7.74</v>
      </c>
      <c r="F286">
        <v>0.15</v>
      </c>
      <c r="G286">
        <v>7.74</v>
      </c>
      <c r="H286">
        <v>7.75</v>
      </c>
      <c r="I286" t="s">
        <v>581</v>
      </c>
      <c r="J286">
        <v>5.0999999999999996</v>
      </c>
      <c r="K286">
        <v>5.0999999999999996</v>
      </c>
      <c r="L286">
        <v>7.56</v>
      </c>
      <c r="M286">
        <v>7.75</v>
      </c>
      <c r="N286">
        <v>7.48</v>
      </c>
    </row>
    <row r="287" spans="1:14" x14ac:dyDescent="0.5">
      <c r="A287" t="str">
        <f>"000753"</f>
        <v>000753</v>
      </c>
      <c r="B287" t="s">
        <v>582</v>
      </c>
      <c r="C287">
        <v>1.42</v>
      </c>
      <c r="D287">
        <v>28.48</v>
      </c>
      <c r="E287">
        <v>3.58</v>
      </c>
      <c r="F287">
        <v>0.05</v>
      </c>
      <c r="G287">
        <v>3.58</v>
      </c>
      <c r="H287">
        <v>3.59</v>
      </c>
      <c r="I287" t="s">
        <v>583</v>
      </c>
      <c r="J287">
        <v>3.14</v>
      </c>
      <c r="K287">
        <v>3.14</v>
      </c>
      <c r="L287">
        <v>3.52</v>
      </c>
      <c r="M287">
        <v>3.59</v>
      </c>
      <c r="N287">
        <v>3.46</v>
      </c>
    </row>
    <row r="288" spans="1:14" x14ac:dyDescent="0.5">
      <c r="A288" t="str">
        <f>"000755"</f>
        <v>000755</v>
      </c>
      <c r="B288" t="s">
        <v>584</v>
      </c>
      <c r="C288">
        <v>0.83</v>
      </c>
      <c r="D288">
        <v>13.11</v>
      </c>
      <c r="E288">
        <v>4.87</v>
      </c>
      <c r="F288">
        <v>0.04</v>
      </c>
      <c r="G288">
        <v>4.8600000000000003</v>
      </c>
      <c r="H288">
        <v>4.87</v>
      </c>
      <c r="I288" t="s">
        <v>585</v>
      </c>
      <c r="J288">
        <v>3.13</v>
      </c>
      <c r="K288">
        <v>3.13</v>
      </c>
      <c r="L288">
        <v>4.7699999999999996</v>
      </c>
      <c r="M288">
        <v>4.9800000000000004</v>
      </c>
      <c r="N288">
        <v>4.7300000000000004</v>
      </c>
    </row>
    <row r="289" spans="1:14" x14ac:dyDescent="0.5">
      <c r="A289" t="str">
        <f>"000756"</f>
        <v>000756</v>
      </c>
      <c r="B289" t="s">
        <v>586</v>
      </c>
      <c r="C289">
        <v>0.42</v>
      </c>
      <c r="D289">
        <v>19.149999999999999</v>
      </c>
      <c r="E289">
        <v>7.12</v>
      </c>
      <c r="F289">
        <v>0.03</v>
      </c>
      <c r="G289">
        <v>7.12</v>
      </c>
      <c r="H289">
        <v>7.13</v>
      </c>
      <c r="I289" t="s">
        <v>587</v>
      </c>
      <c r="J289">
        <v>1.55</v>
      </c>
      <c r="K289">
        <v>1.55</v>
      </c>
      <c r="L289">
        <v>7.07</v>
      </c>
      <c r="M289">
        <v>7.12</v>
      </c>
      <c r="N289">
        <v>7.01</v>
      </c>
    </row>
    <row r="290" spans="1:14" x14ac:dyDescent="0.5">
      <c r="A290" t="str">
        <f>"000757"</f>
        <v>000757</v>
      </c>
      <c r="B290" t="s">
        <v>588</v>
      </c>
      <c r="C290">
        <v>2.71</v>
      </c>
      <c r="D290">
        <v>25.81</v>
      </c>
      <c r="E290">
        <v>5.69</v>
      </c>
      <c r="F290">
        <v>0.15</v>
      </c>
      <c r="G290">
        <v>5.69</v>
      </c>
      <c r="H290">
        <v>5.7</v>
      </c>
      <c r="I290" t="s">
        <v>77</v>
      </c>
      <c r="J290">
        <v>2.1</v>
      </c>
      <c r="K290">
        <v>2.1</v>
      </c>
      <c r="L290">
        <v>5.55</v>
      </c>
      <c r="M290">
        <v>5.7</v>
      </c>
      <c r="N290">
        <v>5.52</v>
      </c>
    </row>
    <row r="291" spans="1:14" x14ac:dyDescent="0.5">
      <c r="A291" t="str">
        <f>"000758"</f>
        <v>000758</v>
      </c>
      <c r="B291" t="s">
        <v>589</v>
      </c>
      <c r="C291">
        <v>0.4</v>
      </c>
      <c r="D291">
        <v>60.49</v>
      </c>
      <c r="E291">
        <v>5.03</v>
      </c>
      <c r="F291">
        <v>0.02</v>
      </c>
      <c r="G291">
        <v>5.0199999999999996</v>
      </c>
      <c r="H291">
        <v>5.03</v>
      </c>
      <c r="I291" t="s">
        <v>590</v>
      </c>
      <c r="J291">
        <v>3.06</v>
      </c>
      <c r="K291">
        <v>3.06</v>
      </c>
      <c r="L291">
        <v>4.99</v>
      </c>
      <c r="M291">
        <v>5.08</v>
      </c>
      <c r="N291">
        <v>4.93</v>
      </c>
    </row>
    <row r="292" spans="1:14" x14ac:dyDescent="0.5">
      <c r="A292" t="str">
        <f>"000759"</f>
        <v>000759</v>
      </c>
      <c r="B292" t="s">
        <v>591</v>
      </c>
      <c r="C292">
        <v>2.17</v>
      </c>
      <c r="D292">
        <v>10.6</v>
      </c>
      <c r="E292">
        <v>6.59</v>
      </c>
      <c r="F292">
        <v>0.14000000000000001</v>
      </c>
      <c r="G292">
        <v>6.59</v>
      </c>
      <c r="H292">
        <v>6.6</v>
      </c>
      <c r="I292" t="s">
        <v>592</v>
      </c>
      <c r="J292">
        <v>1.08</v>
      </c>
      <c r="K292">
        <v>1.08</v>
      </c>
      <c r="L292">
        <v>6.38</v>
      </c>
      <c r="M292">
        <v>6.6</v>
      </c>
      <c r="N292">
        <v>6.38</v>
      </c>
    </row>
    <row r="293" spans="1:14" x14ac:dyDescent="0.5">
      <c r="A293" t="str">
        <f>"000760"</f>
        <v>000760</v>
      </c>
      <c r="B293" t="s">
        <v>593</v>
      </c>
      <c r="C293">
        <v>0.26</v>
      </c>
      <c r="D293" t="s">
        <v>24</v>
      </c>
      <c r="E293">
        <v>3.79</v>
      </c>
      <c r="F293">
        <v>0.01</v>
      </c>
      <c r="G293">
        <v>3.79</v>
      </c>
      <c r="H293">
        <v>3.8</v>
      </c>
      <c r="I293" t="s">
        <v>594</v>
      </c>
      <c r="J293">
        <v>9.08</v>
      </c>
      <c r="K293">
        <v>9.08</v>
      </c>
      <c r="L293">
        <v>3.7</v>
      </c>
      <c r="M293">
        <v>3.8</v>
      </c>
      <c r="N293">
        <v>3.67</v>
      </c>
    </row>
    <row r="294" spans="1:14" x14ac:dyDescent="0.5">
      <c r="A294" t="str">
        <f>"000761"</f>
        <v>000761</v>
      </c>
      <c r="B294" t="s">
        <v>595</v>
      </c>
      <c r="C294">
        <v>1.04</v>
      </c>
      <c r="D294">
        <v>13.57</v>
      </c>
      <c r="E294">
        <v>3.89</v>
      </c>
      <c r="F294">
        <v>0.04</v>
      </c>
      <c r="G294">
        <v>3.89</v>
      </c>
      <c r="H294">
        <v>3.9</v>
      </c>
      <c r="I294" t="s">
        <v>596</v>
      </c>
      <c r="J294">
        <v>0.43</v>
      </c>
      <c r="K294">
        <v>0.43</v>
      </c>
      <c r="L294">
        <v>3.87</v>
      </c>
      <c r="M294">
        <v>3.89</v>
      </c>
      <c r="N294">
        <v>3.82</v>
      </c>
    </row>
    <row r="295" spans="1:14" x14ac:dyDescent="0.5">
      <c r="A295" t="str">
        <f>"000762"</f>
        <v>000762</v>
      </c>
      <c r="B295" t="s">
        <v>597</v>
      </c>
      <c r="C295">
        <v>1.94</v>
      </c>
      <c r="D295" t="s">
        <v>24</v>
      </c>
      <c r="E295">
        <v>8.4</v>
      </c>
      <c r="F295">
        <v>0.16</v>
      </c>
      <c r="G295">
        <v>8.39</v>
      </c>
      <c r="H295">
        <v>8.4</v>
      </c>
      <c r="I295" t="s">
        <v>598</v>
      </c>
      <c r="J295">
        <v>2.75</v>
      </c>
      <c r="K295">
        <v>2.75</v>
      </c>
      <c r="L295">
        <v>8.23</v>
      </c>
      <c r="M295">
        <v>8.4</v>
      </c>
      <c r="N295">
        <v>8.1</v>
      </c>
    </row>
    <row r="296" spans="1:14" x14ac:dyDescent="0.5">
      <c r="A296" t="str">
        <f>"000766"</f>
        <v>000766</v>
      </c>
      <c r="B296" t="s">
        <v>599</v>
      </c>
      <c r="C296">
        <v>5.89</v>
      </c>
      <c r="D296">
        <v>27.58</v>
      </c>
      <c r="E296">
        <v>8.09</v>
      </c>
      <c r="F296">
        <v>0.45</v>
      </c>
      <c r="G296">
        <v>8.08</v>
      </c>
      <c r="H296">
        <v>8.09</v>
      </c>
      <c r="I296" t="s">
        <v>600</v>
      </c>
      <c r="J296">
        <v>2.73</v>
      </c>
      <c r="K296">
        <v>2.73</v>
      </c>
      <c r="L296">
        <v>7.64</v>
      </c>
      <c r="M296">
        <v>8.09</v>
      </c>
      <c r="N296">
        <v>7.61</v>
      </c>
    </row>
    <row r="297" spans="1:14" x14ac:dyDescent="0.5">
      <c r="A297" t="str">
        <f>"000767"</f>
        <v>000767</v>
      </c>
      <c r="B297" t="s">
        <v>601</v>
      </c>
      <c r="C297">
        <v>1.08</v>
      </c>
      <c r="D297" t="s">
        <v>24</v>
      </c>
      <c r="E297">
        <v>2.82</v>
      </c>
      <c r="F297">
        <v>0.03</v>
      </c>
      <c r="G297">
        <v>2.81</v>
      </c>
      <c r="H297">
        <v>2.82</v>
      </c>
      <c r="I297" t="s">
        <v>602</v>
      </c>
      <c r="J297">
        <v>0.6</v>
      </c>
      <c r="K297">
        <v>0.6</v>
      </c>
      <c r="L297">
        <v>2.78</v>
      </c>
      <c r="M297">
        <v>2.82</v>
      </c>
      <c r="N297">
        <v>2.76</v>
      </c>
    </row>
    <row r="298" spans="1:14" x14ac:dyDescent="0.5">
      <c r="A298" t="str">
        <f>"000768"</f>
        <v>000768</v>
      </c>
      <c r="B298" t="s">
        <v>603</v>
      </c>
      <c r="C298">
        <v>1.0900000000000001</v>
      </c>
      <c r="D298">
        <v>77.97</v>
      </c>
      <c r="E298">
        <v>16.739999999999998</v>
      </c>
      <c r="F298">
        <v>0.18</v>
      </c>
      <c r="G298">
        <v>16.73</v>
      </c>
      <c r="H298">
        <v>16.739999999999998</v>
      </c>
      <c r="I298" t="s">
        <v>604</v>
      </c>
      <c r="J298">
        <v>1.1399999999999999</v>
      </c>
      <c r="K298">
        <v>1.1399999999999999</v>
      </c>
      <c r="L298">
        <v>16.5</v>
      </c>
      <c r="M298">
        <v>16.8</v>
      </c>
      <c r="N298">
        <v>16.37</v>
      </c>
    </row>
    <row r="299" spans="1:14" x14ac:dyDescent="0.5">
      <c r="A299" t="str">
        <f>"000776"</f>
        <v>000776</v>
      </c>
      <c r="B299" t="s">
        <v>605</v>
      </c>
      <c r="C299">
        <v>0.06</v>
      </c>
      <c r="D299">
        <v>20.309999999999999</v>
      </c>
      <c r="E299">
        <v>17.07</v>
      </c>
      <c r="F299">
        <v>0.01</v>
      </c>
      <c r="G299">
        <v>17.059999999999999</v>
      </c>
      <c r="H299">
        <v>17.07</v>
      </c>
      <c r="I299" t="s">
        <v>606</v>
      </c>
      <c r="J299">
        <v>1.26</v>
      </c>
      <c r="K299">
        <v>1.26</v>
      </c>
      <c r="L299">
        <v>16.899999999999999</v>
      </c>
      <c r="M299">
        <v>17.07</v>
      </c>
      <c r="N299">
        <v>16.77</v>
      </c>
    </row>
    <row r="300" spans="1:14" x14ac:dyDescent="0.5">
      <c r="A300" t="str">
        <f>"000777"</f>
        <v>000777</v>
      </c>
      <c r="B300" t="s">
        <v>607</v>
      </c>
      <c r="C300">
        <v>1.32</v>
      </c>
      <c r="D300">
        <v>58.9</v>
      </c>
      <c r="E300">
        <v>14.58</v>
      </c>
      <c r="F300">
        <v>0.19</v>
      </c>
      <c r="G300">
        <v>14.58</v>
      </c>
      <c r="H300">
        <v>14.59</v>
      </c>
      <c r="I300" t="s">
        <v>608</v>
      </c>
      <c r="J300">
        <v>4.03</v>
      </c>
      <c r="K300">
        <v>4.03</v>
      </c>
      <c r="L300">
        <v>14.36</v>
      </c>
      <c r="M300">
        <v>14.62</v>
      </c>
      <c r="N300">
        <v>14.1</v>
      </c>
    </row>
    <row r="301" spans="1:14" x14ac:dyDescent="0.5">
      <c r="A301" t="str">
        <f>"000778"</f>
        <v>000778</v>
      </c>
      <c r="B301" t="s">
        <v>609</v>
      </c>
      <c r="C301">
        <v>0.6</v>
      </c>
      <c r="D301">
        <v>9.39</v>
      </c>
      <c r="E301">
        <v>5</v>
      </c>
      <c r="F301">
        <v>0.03</v>
      </c>
      <c r="G301">
        <v>4.99</v>
      </c>
      <c r="H301">
        <v>5</v>
      </c>
      <c r="I301" t="s">
        <v>610</v>
      </c>
      <c r="J301">
        <v>1.23</v>
      </c>
      <c r="K301">
        <v>1.23</v>
      </c>
      <c r="L301">
        <v>4.96</v>
      </c>
      <c r="M301">
        <v>5.01</v>
      </c>
      <c r="N301">
        <v>4.92</v>
      </c>
    </row>
    <row r="302" spans="1:14" x14ac:dyDescent="0.5">
      <c r="A302" t="str">
        <f>"000779"</f>
        <v>000779</v>
      </c>
      <c r="B302" t="s">
        <v>611</v>
      </c>
      <c r="C302">
        <v>0.72</v>
      </c>
      <c r="D302" t="s">
        <v>24</v>
      </c>
      <c r="E302">
        <v>9.83</v>
      </c>
      <c r="F302">
        <v>7.0000000000000007E-2</v>
      </c>
      <c r="G302">
        <v>9.83</v>
      </c>
      <c r="H302">
        <v>9.84</v>
      </c>
      <c r="I302" t="s">
        <v>612</v>
      </c>
      <c r="J302">
        <v>2.14</v>
      </c>
      <c r="K302">
        <v>2.14</v>
      </c>
      <c r="L302">
        <v>9.7100000000000009</v>
      </c>
      <c r="M302">
        <v>9.85</v>
      </c>
      <c r="N302">
        <v>9.64</v>
      </c>
    </row>
    <row r="303" spans="1:14" x14ac:dyDescent="0.5">
      <c r="A303" t="str">
        <f>"000780"</f>
        <v>000780</v>
      </c>
      <c r="B303" t="s">
        <v>613</v>
      </c>
      <c r="C303">
        <v>1.88</v>
      </c>
      <c r="D303">
        <v>18.670000000000002</v>
      </c>
      <c r="E303">
        <v>3.79</v>
      </c>
      <c r="F303">
        <v>7.0000000000000007E-2</v>
      </c>
      <c r="G303">
        <v>3.79</v>
      </c>
      <c r="H303">
        <v>3.8</v>
      </c>
      <c r="I303" t="s">
        <v>614</v>
      </c>
      <c r="J303">
        <v>1.76</v>
      </c>
      <c r="K303">
        <v>1.76</v>
      </c>
      <c r="L303">
        <v>3.67</v>
      </c>
      <c r="M303">
        <v>3.82</v>
      </c>
      <c r="N303">
        <v>3.67</v>
      </c>
    </row>
    <row r="304" spans="1:14" x14ac:dyDescent="0.5">
      <c r="A304" t="str">
        <f>"000782"</f>
        <v>000782</v>
      </c>
      <c r="B304" t="s">
        <v>615</v>
      </c>
      <c r="C304">
        <v>2.4700000000000002</v>
      </c>
      <c r="D304">
        <v>46.67</v>
      </c>
      <c r="E304">
        <v>4.9800000000000004</v>
      </c>
      <c r="F304">
        <v>0.12</v>
      </c>
      <c r="G304">
        <v>4.97</v>
      </c>
      <c r="H304">
        <v>4.9800000000000004</v>
      </c>
      <c r="I304" t="s">
        <v>616</v>
      </c>
      <c r="J304">
        <v>2.2000000000000002</v>
      </c>
      <c r="K304">
        <v>2.2000000000000002</v>
      </c>
      <c r="L304">
        <v>4.8099999999999996</v>
      </c>
      <c r="M304">
        <v>4.9800000000000004</v>
      </c>
      <c r="N304">
        <v>4.8</v>
      </c>
    </row>
    <row r="305" spans="1:14" x14ac:dyDescent="0.5">
      <c r="A305" t="str">
        <f>"000783"</f>
        <v>000783</v>
      </c>
      <c r="B305" t="s">
        <v>617</v>
      </c>
      <c r="C305">
        <v>-0.14000000000000001</v>
      </c>
      <c r="D305">
        <v>63.43</v>
      </c>
      <c r="E305">
        <v>7.34</v>
      </c>
      <c r="F305">
        <v>-0.01</v>
      </c>
      <c r="G305">
        <v>7.34</v>
      </c>
      <c r="H305">
        <v>7.35</v>
      </c>
      <c r="I305" t="s">
        <v>618</v>
      </c>
      <c r="J305">
        <v>1.18</v>
      </c>
      <c r="K305">
        <v>1.18</v>
      </c>
      <c r="L305">
        <v>7.25</v>
      </c>
      <c r="M305">
        <v>7.37</v>
      </c>
      <c r="N305">
        <v>7.2</v>
      </c>
    </row>
    <row r="306" spans="1:14" x14ac:dyDescent="0.5">
      <c r="A306" t="str">
        <f>"000785"</f>
        <v>000785</v>
      </c>
      <c r="B306" t="s">
        <v>619</v>
      </c>
      <c r="C306">
        <v>10.01</v>
      </c>
      <c r="D306">
        <v>6.98</v>
      </c>
      <c r="E306">
        <v>12.86</v>
      </c>
      <c r="F306">
        <v>1.17</v>
      </c>
      <c r="G306">
        <v>12.86</v>
      </c>
      <c r="H306" t="s">
        <v>24</v>
      </c>
      <c r="I306" t="s">
        <v>620</v>
      </c>
      <c r="J306">
        <v>15.37</v>
      </c>
      <c r="K306">
        <v>15.37</v>
      </c>
      <c r="L306">
        <v>11.66</v>
      </c>
      <c r="M306">
        <v>12.86</v>
      </c>
      <c r="N306">
        <v>11.65</v>
      </c>
    </row>
    <row r="307" spans="1:14" x14ac:dyDescent="0.5">
      <c r="A307" t="str">
        <f>"000786"</f>
        <v>000786</v>
      </c>
      <c r="B307" t="s">
        <v>621</v>
      </c>
      <c r="C307">
        <v>-0.6</v>
      </c>
      <c r="D307">
        <v>11.4</v>
      </c>
      <c r="E307">
        <v>19.77</v>
      </c>
      <c r="F307">
        <v>-0.12</v>
      </c>
      <c r="G307">
        <v>19.77</v>
      </c>
      <c r="H307">
        <v>19.78</v>
      </c>
      <c r="I307" t="s">
        <v>622</v>
      </c>
      <c r="J307">
        <v>1.99</v>
      </c>
      <c r="K307">
        <v>1.99</v>
      </c>
      <c r="L307">
        <v>19.75</v>
      </c>
      <c r="M307">
        <v>20.170000000000002</v>
      </c>
      <c r="N307">
        <v>19.57</v>
      </c>
    </row>
    <row r="308" spans="1:14" x14ac:dyDescent="0.5">
      <c r="A308" t="str">
        <f>"000788"</f>
        <v>000788</v>
      </c>
      <c r="B308" t="s">
        <v>623</v>
      </c>
      <c r="C308">
        <v>2.31</v>
      </c>
      <c r="D308">
        <v>83.37</v>
      </c>
      <c r="E308">
        <v>6.21</v>
      </c>
      <c r="F308">
        <v>0.14000000000000001</v>
      </c>
      <c r="G308">
        <v>6.2</v>
      </c>
      <c r="H308">
        <v>6.21</v>
      </c>
      <c r="I308" t="s">
        <v>624</v>
      </c>
      <c r="J308">
        <v>1.53</v>
      </c>
      <c r="K308">
        <v>1.53</v>
      </c>
      <c r="L308">
        <v>6.05</v>
      </c>
      <c r="M308">
        <v>6.21</v>
      </c>
      <c r="N308">
        <v>6.03</v>
      </c>
    </row>
    <row r="309" spans="1:14" x14ac:dyDescent="0.5">
      <c r="A309" t="str">
        <f>"000789"</f>
        <v>000789</v>
      </c>
      <c r="B309" t="s">
        <v>625</v>
      </c>
      <c r="C309">
        <v>-0.31</v>
      </c>
      <c r="D309">
        <v>7.22</v>
      </c>
      <c r="E309">
        <v>13.04</v>
      </c>
      <c r="F309">
        <v>-0.04</v>
      </c>
      <c r="G309">
        <v>13.03</v>
      </c>
      <c r="H309">
        <v>13.04</v>
      </c>
      <c r="I309" t="s">
        <v>626</v>
      </c>
      <c r="J309">
        <v>3.43</v>
      </c>
      <c r="K309">
        <v>3.43</v>
      </c>
      <c r="L309">
        <v>13</v>
      </c>
      <c r="M309">
        <v>13.04</v>
      </c>
      <c r="N309">
        <v>12.83</v>
      </c>
    </row>
    <row r="310" spans="1:14" x14ac:dyDescent="0.5">
      <c r="A310" t="str">
        <f>"000790"</f>
        <v>000790</v>
      </c>
      <c r="B310" t="s">
        <v>627</v>
      </c>
      <c r="C310">
        <v>2.15</v>
      </c>
      <c r="D310">
        <v>11.96</v>
      </c>
      <c r="E310">
        <v>5.22</v>
      </c>
      <c r="F310">
        <v>0.11</v>
      </c>
      <c r="G310">
        <v>5.22</v>
      </c>
      <c r="H310">
        <v>5.23</v>
      </c>
      <c r="I310" t="s">
        <v>628</v>
      </c>
      <c r="J310">
        <v>3.82</v>
      </c>
      <c r="K310">
        <v>3.82</v>
      </c>
      <c r="L310">
        <v>5.0999999999999996</v>
      </c>
      <c r="M310">
        <v>5.27</v>
      </c>
      <c r="N310">
        <v>5.0599999999999996</v>
      </c>
    </row>
    <row r="311" spans="1:14" x14ac:dyDescent="0.5">
      <c r="A311" t="str">
        <f>"000791"</f>
        <v>000791</v>
      </c>
      <c r="B311" t="s">
        <v>629</v>
      </c>
      <c r="C311">
        <v>2.41</v>
      </c>
      <c r="D311">
        <v>11.07</v>
      </c>
      <c r="E311">
        <v>5.94</v>
      </c>
      <c r="F311">
        <v>0.14000000000000001</v>
      </c>
      <c r="G311">
        <v>5.93</v>
      </c>
      <c r="H311">
        <v>5.94</v>
      </c>
      <c r="I311" t="s">
        <v>630</v>
      </c>
      <c r="J311">
        <v>1.51</v>
      </c>
      <c r="K311">
        <v>1.51</v>
      </c>
      <c r="L311">
        <v>5.77</v>
      </c>
      <c r="M311">
        <v>5.94</v>
      </c>
      <c r="N311">
        <v>5.74</v>
      </c>
    </row>
    <row r="312" spans="1:14" x14ac:dyDescent="0.5">
      <c r="A312" t="str">
        <f>"000792"</f>
        <v>000792</v>
      </c>
      <c r="B312" t="s">
        <v>631</v>
      </c>
      <c r="C312">
        <v>0.4</v>
      </c>
      <c r="D312" t="s">
        <v>24</v>
      </c>
      <c r="E312">
        <v>7.44</v>
      </c>
      <c r="F312">
        <v>0.03</v>
      </c>
      <c r="G312">
        <v>7.44</v>
      </c>
      <c r="H312">
        <v>7.45</v>
      </c>
      <c r="I312" t="s">
        <v>632</v>
      </c>
      <c r="J312">
        <v>1.5</v>
      </c>
      <c r="K312">
        <v>1.5</v>
      </c>
      <c r="L312">
        <v>7.37</v>
      </c>
      <c r="M312">
        <v>7.44</v>
      </c>
      <c r="N312">
        <v>7.28</v>
      </c>
    </row>
    <row r="313" spans="1:14" x14ac:dyDescent="0.5">
      <c r="A313" t="str">
        <f>"000793"</f>
        <v>000793</v>
      </c>
      <c r="B313" t="s">
        <v>633</v>
      </c>
      <c r="C313">
        <v>4.07</v>
      </c>
      <c r="D313" t="s">
        <v>24</v>
      </c>
      <c r="E313">
        <v>4.09</v>
      </c>
      <c r="F313">
        <v>0.16</v>
      </c>
      <c r="G313">
        <v>4.09</v>
      </c>
      <c r="H313">
        <v>4.0999999999999996</v>
      </c>
      <c r="I313" t="s">
        <v>634</v>
      </c>
      <c r="J313">
        <v>8.64</v>
      </c>
      <c r="K313">
        <v>8.64</v>
      </c>
      <c r="L313">
        <v>3.87</v>
      </c>
      <c r="M313">
        <v>4.2699999999999996</v>
      </c>
      <c r="N313">
        <v>3.81</v>
      </c>
    </row>
    <row r="314" spans="1:14" x14ac:dyDescent="0.5">
      <c r="A314" t="str">
        <f>"000795"</f>
        <v>000795</v>
      </c>
      <c r="B314" t="s">
        <v>635</v>
      </c>
      <c r="C314">
        <v>2.78</v>
      </c>
      <c r="D314">
        <v>61.57</v>
      </c>
      <c r="E314">
        <v>4.43</v>
      </c>
      <c r="F314">
        <v>0.12</v>
      </c>
      <c r="G314">
        <v>4.43</v>
      </c>
      <c r="H314">
        <v>4.4400000000000004</v>
      </c>
      <c r="I314" t="s">
        <v>636</v>
      </c>
      <c r="J314">
        <v>3.26</v>
      </c>
      <c r="K314">
        <v>3.26</v>
      </c>
      <c r="L314">
        <v>4.2699999999999996</v>
      </c>
      <c r="M314">
        <v>4.47</v>
      </c>
      <c r="N314">
        <v>4.2699999999999996</v>
      </c>
    </row>
    <row r="315" spans="1:14" x14ac:dyDescent="0.5">
      <c r="A315" t="str">
        <f>"000796"</f>
        <v>000796</v>
      </c>
      <c r="B315" t="s">
        <v>637</v>
      </c>
      <c r="C315">
        <v>0.13</v>
      </c>
      <c r="D315">
        <v>32.950000000000003</v>
      </c>
      <c r="E315">
        <v>7.9</v>
      </c>
      <c r="F315">
        <v>0.01</v>
      </c>
      <c r="G315">
        <v>7.89</v>
      </c>
      <c r="H315">
        <v>7.9</v>
      </c>
      <c r="I315" t="s">
        <v>638</v>
      </c>
      <c r="J315">
        <v>1.18</v>
      </c>
      <c r="K315">
        <v>1.18</v>
      </c>
      <c r="L315">
        <v>7.75</v>
      </c>
      <c r="M315">
        <v>7.9</v>
      </c>
      <c r="N315">
        <v>7.66</v>
      </c>
    </row>
    <row r="316" spans="1:14" x14ac:dyDescent="0.5">
      <c r="A316" t="str">
        <f>"000797"</f>
        <v>000797</v>
      </c>
      <c r="B316" t="s">
        <v>639</v>
      </c>
      <c r="C316">
        <v>0</v>
      </c>
      <c r="D316">
        <v>24.16</v>
      </c>
      <c r="E316">
        <v>6</v>
      </c>
      <c r="F316">
        <v>0</v>
      </c>
      <c r="G316">
        <v>5.99</v>
      </c>
      <c r="H316">
        <v>6</v>
      </c>
      <c r="I316" t="s">
        <v>640</v>
      </c>
      <c r="J316">
        <v>1.05</v>
      </c>
      <c r="K316">
        <v>1.05</v>
      </c>
      <c r="L316">
        <v>5.94</v>
      </c>
      <c r="M316">
        <v>6.02</v>
      </c>
      <c r="N316">
        <v>5.9</v>
      </c>
    </row>
    <row r="317" spans="1:14" x14ac:dyDescent="0.5">
      <c r="A317" t="str">
        <f>"000798"</f>
        <v>000798</v>
      </c>
      <c r="B317" t="s">
        <v>641</v>
      </c>
      <c r="C317">
        <v>6.61</v>
      </c>
      <c r="D317">
        <v>70.16</v>
      </c>
      <c r="E317">
        <v>6.94</v>
      </c>
      <c r="F317">
        <v>0.43</v>
      </c>
      <c r="G317">
        <v>6.91</v>
      </c>
      <c r="H317">
        <v>6.94</v>
      </c>
      <c r="I317" t="s">
        <v>642</v>
      </c>
      <c r="J317">
        <v>3.15</v>
      </c>
      <c r="K317">
        <v>3.15</v>
      </c>
      <c r="L317">
        <v>6.51</v>
      </c>
      <c r="M317">
        <v>7.07</v>
      </c>
      <c r="N317">
        <v>6.33</v>
      </c>
    </row>
    <row r="318" spans="1:14" x14ac:dyDescent="0.5">
      <c r="A318" t="str">
        <f>"000799"</f>
        <v>000799</v>
      </c>
      <c r="B318" t="s">
        <v>643</v>
      </c>
      <c r="C318">
        <v>0.2</v>
      </c>
      <c r="D318">
        <v>29.69</v>
      </c>
      <c r="E318">
        <v>20.16</v>
      </c>
      <c r="F318">
        <v>0.04</v>
      </c>
      <c r="G318">
        <v>20.16</v>
      </c>
      <c r="H318">
        <v>20.170000000000002</v>
      </c>
      <c r="I318" t="s">
        <v>644</v>
      </c>
      <c r="J318">
        <v>3.64</v>
      </c>
      <c r="K318">
        <v>3.64</v>
      </c>
      <c r="L318">
        <v>20.079999999999998</v>
      </c>
      <c r="M318">
        <v>20.2</v>
      </c>
      <c r="N318">
        <v>19.84</v>
      </c>
    </row>
    <row r="319" spans="1:14" x14ac:dyDescent="0.5">
      <c r="A319" t="str">
        <f>"000800"</f>
        <v>000800</v>
      </c>
      <c r="B319" t="s">
        <v>645</v>
      </c>
      <c r="C319">
        <v>1.07</v>
      </c>
      <c r="D319">
        <v>109.39</v>
      </c>
      <c r="E319">
        <v>8.49</v>
      </c>
      <c r="F319">
        <v>0.09</v>
      </c>
      <c r="G319">
        <v>8.48</v>
      </c>
      <c r="H319">
        <v>8.49</v>
      </c>
      <c r="I319" t="s">
        <v>646</v>
      </c>
      <c r="J319">
        <v>1.3</v>
      </c>
      <c r="K319">
        <v>1.3</v>
      </c>
      <c r="L319">
        <v>8.3699999999999992</v>
      </c>
      <c r="M319">
        <v>8.5500000000000007</v>
      </c>
      <c r="N319">
        <v>8.34</v>
      </c>
    </row>
    <row r="320" spans="1:14" x14ac:dyDescent="0.5">
      <c r="A320" t="str">
        <f>"000801"</f>
        <v>000801</v>
      </c>
      <c r="B320" t="s">
        <v>647</v>
      </c>
      <c r="C320">
        <v>10.050000000000001</v>
      </c>
      <c r="D320">
        <v>130.44999999999999</v>
      </c>
      <c r="E320">
        <v>6.79</v>
      </c>
      <c r="F320">
        <v>0.62</v>
      </c>
      <c r="G320">
        <v>6.79</v>
      </c>
      <c r="H320" t="s">
        <v>24</v>
      </c>
      <c r="I320" t="s">
        <v>648</v>
      </c>
      <c r="J320">
        <v>6.9</v>
      </c>
      <c r="K320">
        <v>6.9</v>
      </c>
      <c r="L320">
        <v>6.15</v>
      </c>
      <c r="M320">
        <v>6.79</v>
      </c>
      <c r="N320">
        <v>6.04</v>
      </c>
    </row>
    <row r="321" spans="1:14" x14ac:dyDescent="0.5">
      <c r="A321" t="str">
        <f>"000802"</f>
        <v>000802</v>
      </c>
      <c r="B321" t="s">
        <v>649</v>
      </c>
      <c r="C321">
        <v>2.0299999999999998</v>
      </c>
      <c r="D321">
        <v>27.75</v>
      </c>
      <c r="E321">
        <v>13.54</v>
      </c>
      <c r="F321">
        <v>0.27</v>
      </c>
      <c r="G321">
        <v>13.53</v>
      </c>
      <c r="H321">
        <v>13.54</v>
      </c>
      <c r="I321" t="s">
        <v>650</v>
      </c>
      <c r="J321">
        <v>6.09</v>
      </c>
      <c r="K321">
        <v>6.09</v>
      </c>
      <c r="L321">
        <v>13.27</v>
      </c>
      <c r="M321">
        <v>13.57</v>
      </c>
      <c r="N321">
        <v>13.23</v>
      </c>
    </row>
    <row r="322" spans="1:14" x14ac:dyDescent="0.5">
      <c r="A322" t="str">
        <f>"000803"</f>
        <v>000803</v>
      </c>
      <c r="B322" t="s">
        <v>651</v>
      </c>
      <c r="C322">
        <v>1.52</v>
      </c>
      <c r="D322">
        <v>37.9</v>
      </c>
      <c r="E322">
        <v>14.06</v>
      </c>
      <c r="F322">
        <v>0.21</v>
      </c>
      <c r="G322">
        <v>14.05</v>
      </c>
      <c r="H322">
        <v>14.06</v>
      </c>
      <c r="I322" t="s">
        <v>652</v>
      </c>
      <c r="J322">
        <v>0.56999999999999995</v>
      </c>
      <c r="K322">
        <v>0.56999999999999995</v>
      </c>
      <c r="L322">
        <v>13.85</v>
      </c>
      <c r="M322">
        <v>14.27</v>
      </c>
      <c r="N322">
        <v>13.66</v>
      </c>
    </row>
    <row r="323" spans="1:14" x14ac:dyDescent="0.5">
      <c r="A323" t="str">
        <f>"000806"</f>
        <v>000806</v>
      </c>
      <c r="B323" t="s">
        <v>653</v>
      </c>
      <c r="C323">
        <v>2.16</v>
      </c>
      <c r="D323" t="s">
        <v>24</v>
      </c>
      <c r="E323">
        <v>4.74</v>
      </c>
      <c r="F323">
        <v>0.1</v>
      </c>
      <c r="G323">
        <v>4.74</v>
      </c>
      <c r="H323">
        <v>4.75</v>
      </c>
      <c r="I323" t="s">
        <v>654</v>
      </c>
      <c r="J323">
        <v>11.36</v>
      </c>
      <c r="K323">
        <v>11.36</v>
      </c>
      <c r="L323">
        <v>4.49</v>
      </c>
      <c r="M323">
        <v>4.83</v>
      </c>
      <c r="N323">
        <v>4.47</v>
      </c>
    </row>
    <row r="324" spans="1:14" x14ac:dyDescent="0.5">
      <c r="A324" t="str">
        <f>"000807"</f>
        <v>000807</v>
      </c>
      <c r="B324" t="s">
        <v>655</v>
      </c>
      <c r="C324">
        <v>7.13</v>
      </c>
      <c r="D324">
        <v>34.71</v>
      </c>
      <c r="E324">
        <v>5.1100000000000003</v>
      </c>
      <c r="F324">
        <v>0.34</v>
      </c>
      <c r="G324">
        <v>5.0999999999999996</v>
      </c>
      <c r="H324">
        <v>5.1100000000000003</v>
      </c>
      <c r="I324" t="s">
        <v>656</v>
      </c>
      <c r="J324">
        <v>6.8</v>
      </c>
      <c r="K324">
        <v>6.8</v>
      </c>
      <c r="L324">
        <v>4.7300000000000004</v>
      </c>
      <c r="M324">
        <v>5.16</v>
      </c>
      <c r="N324">
        <v>4.6900000000000004</v>
      </c>
    </row>
    <row r="325" spans="1:14" x14ac:dyDescent="0.5">
      <c r="A325" t="str">
        <f>"000809"</f>
        <v>000809</v>
      </c>
      <c r="B325" t="s">
        <v>657</v>
      </c>
      <c r="C325">
        <v>3.18</v>
      </c>
      <c r="D325">
        <v>30.49</v>
      </c>
      <c r="E325">
        <v>2.92</v>
      </c>
      <c r="F325">
        <v>0.09</v>
      </c>
      <c r="G325">
        <v>2.92</v>
      </c>
      <c r="H325">
        <v>2.93</v>
      </c>
      <c r="I325" t="s">
        <v>658</v>
      </c>
      <c r="J325">
        <v>1.63</v>
      </c>
      <c r="K325">
        <v>1.63</v>
      </c>
      <c r="L325">
        <v>2.82</v>
      </c>
      <c r="M325">
        <v>2.95</v>
      </c>
      <c r="N325">
        <v>2.81</v>
      </c>
    </row>
    <row r="326" spans="1:14" x14ac:dyDescent="0.5">
      <c r="A326" t="str">
        <f>"000810"</f>
        <v>000810</v>
      </c>
      <c r="B326" t="s">
        <v>659</v>
      </c>
      <c r="C326">
        <v>10.01</v>
      </c>
      <c r="D326">
        <v>29.74</v>
      </c>
      <c r="E326">
        <v>9.23</v>
      </c>
      <c r="F326">
        <v>0.84</v>
      </c>
      <c r="G326">
        <v>9.23</v>
      </c>
      <c r="H326" t="s">
        <v>24</v>
      </c>
      <c r="I326" t="s">
        <v>660</v>
      </c>
      <c r="J326">
        <v>0.8</v>
      </c>
      <c r="K326">
        <v>0.8</v>
      </c>
      <c r="L326">
        <v>9.23</v>
      </c>
      <c r="M326">
        <v>9.23</v>
      </c>
      <c r="N326">
        <v>9.23</v>
      </c>
    </row>
    <row r="327" spans="1:14" x14ac:dyDescent="0.5">
      <c r="A327" t="str">
        <f>"000811"</f>
        <v>000811</v>
      </c>
      <c r="B327" t="s">
        <v>661</v>
      </c>
      <c r="C327">
        <v>3.82</v>
      </c>
      <c r="D327">
        <v>14.08</v>
      </c>
      <c r="E327">
        <v>6.52</v>
      </c>
      <c r="F327">
        <v>0.24</v>
      </c>
      <c r="G327">
        <v>6.51</v>
      </c>
      <c r="H327">
        <v>6.52</v>
      </c>
      <c r="I327" t="s">
        <v>662</v>
      </c>
      <c r="J327">
        <v>3.87</v>
      </c>
      <c r="K327">
        <v>3.87</v>
      </c>
      <c r="L327">
        <v>6.32</v>
      </c>
      <c r="M327">
        <v>6.54</v>
      </c>
      <c r="N327">
        <v>6.21</v>
      </c>
    </row>
    <row r="328" spans="1:14" x14ac:dyDescent="0.5">
      <c r="A328" t="str">
        <f>"000812"</f>
        <v>000812</v>
      </c>
      <c r="B328" t="s">
        <v>663</v>
      </c>
      <c r="C328">
        <v>3.39</v>
      </c>
      <c r="D328">
        <v>80.42</v>
      </c>
      <c r="E328">
        <v>5.18</v>
      </c>
      <c r="F328">
        <v>0.17</v>
      </c>
      <c r="G328">
        <v>5.17</v>
      </c>
      <c r="H328">
        <v>5.18</v>
      </c>
      <c r="I328" t="s">
        <v>664</v>
      </c>
      <c r="J328">
        <v>12.36</v>
      </c>
      <c r="K328">
        <v>12.36</v>
      </c>
      <c r="L328">
        <v>4.8499999999999996</v>
      </c>
      <c r="M328">
        <v>5.3</v>
      </c>
      <c r="N328">
        <v>4.79</v>
      </c>
    </row>
    <row r="329" spans="1:14" x14ac:dyDescent="0.5">
      <c r="A329" t="str">
        <f>"000813"</f>
        <v>000813</v>
      </c>
      <c r="B329" t="s">
        <v>665</v>
      </c>
      <c r="C329">
        <v>8.3000000000000007</v>
      </c>
      <c r="D329">
        <v>21.24</v>
      </c>
      <c r="E329">
        <v>9.26</v>
      </c>
      <c r="F329">
        <v>0.71</v>
      </c>
      <c r="G329">
        <v>9.26</v>
      </c>
      <c r="H329">
        <v>9.27</v>
      </c>
      <c r="I329" t="s">
        <v>666</v>
      </c>
      <c r="J329">
        <v>1.94</v>
      </c>
      <c r="K329">
        <v>1.94</v>
      </c>
      <c r="L329">
        <v>8.5500000000000007</v>
      </c>
      <c r="M329">
        <v>9.3000000000000007</v>
      </c>
      <c r="N329">
        <v>8.52</v>
      </c>
    </row>
    <row r="330" spans="1:14" x14ac:dyDescent="0.5">
      <c r="A330" t="str">
        <f>"000815"</f>
        <v>000815</v>
      </c>
      <c r="B330" t="s">
        <v>667</v>
      </c>
      <c r="C330">
        <v>9.0399999999999991</v>
      </c>
      <c r="D330">
        <v>107.35</v>
      </c>
      <c r="E330">
        <v>9.41</v>
      </c>
      <c r="F330">
        <v>0.78</v>
      </c>
      <c r="G330">
        <v>9.41</v>
      </c>
      <c r="H330">
        <v>9.42</v>
      </c>
      <c r="I330" t="s">
        <v>668</v>
      </c>
      <c r="J330">
        <v>4.5599999999999996</v>
      </c>
      <c r="K330">
        <v>4.5599999999999996</v>
      </c>
      <c r="L330">
        <v>8.5500000000000007</v>
      </c>
      <c r="M330">
        <v>9.49</v>
      </c>
      <c r="N330">
        <v>8.52</v>
      </c>
    </row>
    <row r="331" spans="1:14" x14ac:dyDescent="0.5">
      <c r="A331" t="str">
        <f>"000816"</f>
        <v>000816</v>
      </c>
      <c r="B331" t="s">
        <v>669</v>
      </c>
      <c r="C331">
        <v>0.96</v>
      </c>
      <c r="D331" t="s">
        <v>24</v>
      </c>
      <c r="E331">
        <v>2.11</v>
      </c>
      <c r="F331">
        <v>0.02</v>
      </c>
      <c r="G331">
        <v>2.1</v>
      </c>
      <c r="H331">
        <v>2.11</v>
      </c>
      <c r="I331" t="s">
        <v>670</v>
      </c>
      <c r="J331">
        <v>2.72</v>
      </c>
      <c r="K331">
        <v>2.72</v>
      </c>
      <c r="L331">
        <v>2.0699999999999998</v>
      </c>
      <c r="M331">
        <v>2.11</v>
      </c>
      <c r="N331">
        <v>2.06</v>
      </c>
    </row>
    <row r="332" spans="1:14" x14ac:dyDescent="0.5">
      <c r="A332" t="str">
        <f>"000818"</f>
        <v>000818</v>
      </c>
      <c r="B332" t="s">
        <v>671</v>
      </c>
      <c r="C332">
        <v>2.56</v>
      </c>
      <c r="D332">
        <v>15.02</v>
      </c>
      <c r="E332">
        <v>11.2</v>
      </c>
      <c r="F332">
        <v>0.28000000000000003</v>
      </c>
      <c r="G332">
        <v>11.2</v>
      </c>
      <c r="H332">
        <v>11.21</v>
      </c>
      <c r="I332" t="s">
        <v>672</v>
      </c>
      <c r="J332">
        <v>4.25</v>
      </c>
      <c r="K332">
        <v>4.25</v>
      </c>
      <c r="L332">
        <v>10.99</v>
      </c>
      <c r="M332">
        <v>11.53</v>
      </c>
      <c r="N332">
        <v>10.93</v>
      </c>
    </row>
    <row r="333" spans="1:14" x14ac:dyDescent="0.5">
      <c r="A333" t="str">
        <f>"000819"</f>
        <v>000819</v>
      </c>
      <c r="B333" t="s">
        <v>673</v>
      </c>
      <c r="C333">
        <v>3.34</v>
      </c>
      <c r="D333">
        <v>106.15</v>
      </c>
      <c r="E333">
        <v>11.14</v>
      </c>
      <c r="F333">
        <v>0.36</v>
      </c>
      <c r="G333">
        <v>11.14</v>
      </c>
      <c r="H333">
        <v>11.15</v>
      </c>
      <c r="I333" t="s">
        <v>674</v>
      </c>
      <c r="J333">
        <v>4.91</v>
      </c>
      <c r="K333">
        <v>4.91</v>
      </c>
      <c r="L333">
        <v>10.61</v>
      </c>
      <c r="M333">
        <v>11.4</v>
      </c>
      <c r="N333">
        <v>10.55</v>
      </c>
    </row>
    <row r="334" spans="1:14" x14ac:dyDescent="0.5">
      <c r="A334" t="str">
        <f>"000820"</f>
        <v>000820</v>
      </c>
      <c r="B334" t="s">
        <v>675</v>
      </c>
      <c r="C334">
        <v>0.17</v>
      </c>
      <c r="D334" t="s">
        <v>24</v>
      </c>
      <c r="E334">
        <v>5.92</v>
      </c>
      <c r="F334">
        <v>0.01</v>
      </c>
      <c r="G334">
        <v>5.91</v>
      </c>
      <c r="H334">
        <v>5.92</v>
      </c>
      <c r="I334" t="s">
        <v>353</v>
      </c>
      <c r="J334">
        <v>8.81</v>
      </c>
      <c r="K334">
        <v>8.81</v>
      </c>
      <c r="L334">
        <v>5.85</v>
      </c>
      <c r="M334">
        <v>5.93</v>
      </c>
      <c r="N334">
        <v>5.75</v>
      </c>
    </row>
    <row r="335" spans="1:14" x14ac:dyDescent="0.5">
      <c r="A335" t="str">
        <f>"000821"</f>
        <v>000821</v>
      </c>
      <c r="B335" t="s">
        <v>676</v>
      </c>
      <c r="C335">
        <v>1.6</v>
      </c>
      <c r="D335">
        <v>17.28</v>
      </c>
      <c r="E335">
        <v>10.17</v>
      </c>
      <c r="F335">
        <v>0.16</v>
      </c>
      <c r="G335">
        <v>10.16</v>
      </c>
      <c r="H335">
        <v>10.17</v>
      </c>
      <c r="I335" t="s">
        <v>677</v>
      </c>
      <c r="J335">
        <v>4.5999999999999996</v>
      </c>
      <c r="K335">
        <v>4.5999999999999996</v>
      </c>
      <c r="L335">
        <v>10</v>
      </c>
      <c r="M335">
        <v>10.199999999999999</v>
      </c>
      <c r="N335">
        <v>9.73</v>
      </c>
    </row>
    <row r="336" spans="1:14" x14ac:dyDescent="0.5">
      <c r="A336" t="str">
        <f>"000822"</f>
        <v>000822</v>
      </c>
      <c r="B336" t="s">
        <v>678</v>
      </c>
      <c r="C336">
        <v>2.3199999999999998</v>
      </c>
      <c r="D336">
        <v>7.89</v>
      </c>
      <c r="E336">
        <v>5.74</v>
      </c>
      <c r="F336">
        <v>0.13</v>
      </c>
      <c r="G336">
        <v>5.73</v>
      </c>
      <c r="H336">
        <v>5.74</v>
      </c>
      <c r="I336" t="s">
        <v>679</v>
      </c>
      <c r="J336">
        <v>2.2799999999999998</v>
      </c>
      <c r="K336">
        <v>2.2799999999999998</v>
      </c>
      <c r="L336">
        <v>5.6</v>
      </c>
      <c r="M336">
        <v>5.74</v>
      </c>
      <c r="N336">
        <v>5.53</v>
      </c>
    </row>
    <row r="337" spans="1:14" x14ac:dyDescent="0.5">
      <c r="A337" t="str">
        <f>"000823"</f>
        <v>000823</v>
      </c>
      <c r="B337" t="s">
        <v>680</v>
      </c>
      <c r="C337">
        <v>3.62</v>
      </c>
      <c r="D337">
        <v>21.79</v>
      </c>
      <c r="E337">
        <v>10.31</v>
      </c>
      <c r="F337">
        <v>0.36</v>
      </c>
      <c r="G337">
        <v>10.3</v>
      </c>
      <c r="H337">
        <v>10.31</v>
      </c>
      <c r="I337" t="s">
        <v>681</v>
      </c>
      <c r="J337">
        <v>8.35</v>
      </c>
      <c r="K337">
        <v>8.35</v>
      </c>
      <c r="L337">
        <v>9.85</v>
      </c>
      <c r="M337">
        <v>10.32</v>
      </c>
      <c r="N337">
        <v>9.74</v>
      </c>
    </row>
    <row r="338" spans="1:14" x14ac:dyDescent="0.5">
      <c r="A338" t="str">
        <f>"000825"</f>
        <v>000825</v>
      </c>
      <c r="B338" t="s">
        <v>682</v>
      </c>
      <c r="C338">
        <v>0</v>
      </c>
      <c r="D338">
        <v>4.54</v>
      </c>
      <c r="E338">
        <v>5.23</v>
      </c>
      <c r="F338">
        <v>0</v>
      </c>
      <c r="G338">
        <v>5.23</v>
      </c>
      <c r="H338">
        <v>5.24</v>
      </c>
      <c r="I338" t="s">
        <v>683</v>
      </c>
      <c r="J338">
        <v>1.05</v>
      </c>
      <c r="K338">
        <v>1.05</v>
      </c>
      <c r="L338">
        <v>5.21</v>
      </c>
      <c r="M338">
        <v>5.25</v>
      </c>
      <c r="N338">
        <v>5.14</v>
      </c>
    </row>
    <row r="339" spans="1:14" x14ac:dyDescent="0.5">
      <c r="A339" t="str">
        <f>"000826"</f>
        <v>000826</v>
      </c>
      <c r="B339" t="s">
        <v>684</v>
      </c>
      <c r="C339">
        <v>0.99</v>
      </c>
      <c r="D339">
        <v>13.25</v>
      </c>
      <c r="E339">
        <v>12.27</v>
      </c>
      <c r="F339">
        <v>0.12</v>
      </c>
      <c r="G339">
        <v>12.26</v>
      </c>
      <c r="H339">
        <v>12.27</v>
      </c>
      <c r="I339" t="s">
        <v>685</v>
      </c>
      <c r="J339">
        <v>1.74</v>
      </c>
      <c r="K339">
        <v>1.74</v>
      </c>
      <c r="L339">
        <v>12.04</v>
      </c>
      <c r="M339">
        <v>12.29</v>
      </c>
      <c r="N339">
        <v>11.96</v>
      </c>
    </row>
    <row r="340" spans="1:14" x14ac:dyDescent="0.5">
      <c r="A340" t="str">
        <f>"000828"</f>
        <v>000828</v>
      </c>
      <c r="B340" t="s">
        <v>686</v>
      </c>
      <c r="C340">
        <v>-0.4</v>
      </c>
      <c r="D340">
        <v>11.62</v>
      </c>
      <c r="E340">
        <v>10.01</v>
      </c>
      <c r="F340">
        <v>-0.04</v>
      </c>
      <c r="G340">
        <v>10</v>
      </c>
      <c r="H340">
        <v>10.01</v>
      </c>
      <c r="I340" t="s">
        <v>687</v>
      </c>
      <c r="J340">
        <v>0.78</v>
      </c>
      <c r="K340">
        <v>0.78</v>
      </c>
      <c r="L340">
        <v>10.039999999999999</v>
      </c>
      <c r="M340">
        <v>10.08</v>
      </c>
      <c r="N340">
        <v>9.82</v>
      </c>
    </row>
    <row r="341" spans="1:14" x14ac:dyDescent="0.5">
      <c r="A341" t="str">
        <f>"000829"</f>
        <v>000829</v>
      </c>
      <c r="B341" t="s">
        <v>688</v>
      </c>
      <c r="C341">
        <v>4.0599999999999996</v>
      </c>
      <c r="D341">
        <v>29.89</v>
      </c>
      <c r="E341">
        <v>6.41</v>
      </c>
      <c r="F341">
        <v>0.25</v>
      </c>
      <c r="G341">
        <v>6.4</v>
      </c>
      <c r="H341">
        <v>6.41</v>
      </c>
      <c r="I341" t="s">
        <v>689</v>
      </c>
      <c r="J341">
        <v>1.85</v>
      </c>
      <c r="K341">
        <v>1.85</v>
      </c>
      <c r="L341">
        <v>6.17</v>
      </c>
      <c r="M341">
        <v>6.42</v>
      </c>
      <c r="N341">
        <v>6.17</v>
      </c>
    </row>
    <row r="342" spans="1:14" x14ac:dyDescent="0.5">
      <c r="A342" t="str">
        <f>"000830"</f>
        <v>000830</v>
      </c>
      <c r="B342" t="s">
        <v>690</v>
      </c>
      <c r="C342">
        <v>-1.52</v>
      </c>
      <c r="D342">
        <v>6.02</v>
      </c>
      <c r="E342">
        <v>12.95</v>
      </c>
      <c r="F342">
        <v>-0.2</v>
      </c>
      <c r="G342">
        <v>12.95</v>
      </c>
      <c r="H342">
        <v>12.96</v>
      </c>
      <c r="I342" t="s">
        <v>691</v>
      </c>
      <c r="J342">
        <v>6.74</v>
      </c>
      <c r="K342">
        <v>6.74</v>
      </c>
      <c r="L342">
        <v>13.04</v>
      </c>
      <c r="M342">
        <v>13.04</v>
      </c>
      <c r="N342">
        <v>12.63</v>
      </c>
    </row>
    <row r="343" spans="1:14" x14ac:dyDescent="0.5">
      <c r="A343" t="str">
        <f>"000831"</f>
        <v>000831</v>
      </c>
      <c r="B343" t="s">
        <v>692</v>
      </c>
      <c r="C343">
        <v>2.4900000000000002</v>
      </c>
      <c r="D343">
        <v>132.22999999999999</v>
      </c>
      <c r="E343">
        <v>10.28</v>
      </c>
      <c r="F343">
        <v>0.25</v>
      </c>
      <c r="G343">
        <v>10.27</v>
      </c>
      <c r="H343">
        <v>10.28</v>
      </c>
      <c r="I343" t="s">
        <v>693</v>
      </c>
      <c r="J343">
        <v>2.67</v>
      </c>
      <c r="K343">
        <v>2.67</v>
      </c>
      <c r="L343">
        <v>10.02</v>
      </c>
      <c r="M343">
        <v>10.28</v>
      </c>
      <c r="N343">
        <v>9.9499999999999993</v>
      </c>
    </row>
    <row r="344" spans="1:14" x14ac:dyDescent="0.5">
      <c r="A344" t="str">
        <f>"000833"</f>
        <v>000833</v>
      </c>
      <c r="B344" t="s">
        <v>694</v>
      </c>
      <c r="C344">
        <v>0.18</v>
      </c>
      <c r="D344">
        <v>31.64</v>
      </c>
      <c r="E344">
        <v>5.64</v>
      </c>
      <c r="F344">
        <v>0.01</v>
      </c>
      <c r="G344">
        <v>5.64</v>
      </c>
      <c r="H344">
        <v>5.65</v>
      </c>
      <c r="I344" t="s">
        <v>422</v>
      </c>
      <c r="J344">
        <v>2.8</v>
      </c>
      <c r="K344">
        <v>2.8</v>
      </c>
      <c r="L344">
        <v>5.64</v>
      </c>
      <c r="M344">
        <v>5.71</v>
      </c>
      <c r="N344">
        <v>5.53</v>
      </c>
    </row>
    <row r="345" spans="1:14" x14ac:dyDescent="0.5">
      <c r="A345" t="str">
        <f>"000835"</f>
        <v>000835</v>
      </c>
      <c r="B345" t="s">
        <v>695</v>
      </c>
      <c r="C345">
        <v>10.06</v>
      </c>
      <c r="D345">
        <v>20.61</v>
      </c>
      <c r="E345">
        <v>5.14</v>
      </c>
      <c r="F345">
        <v>0.47</v>
      </c>
      <c r="G345">
        <v>5.14</v>
      </c>
      <c r="H345" t="s">
        <v>24</v>
      </c>
      <c r="I345" t="s">
        <v>696</v>
      </c>
      <c r="J345">
        <v>2.21</v>
      </c>
      <c r="K345">
        <v>2.21</v>
      </c>
      <c r="L345">
        <v>4.6100000000000003</v>
      </c>
      <c r="M345">
        <v>5.14</v>
      </c>
      <c r="N345">
        <v>4.5999999999999996</v>
      </c>
    </row>
    <row r="346" spans="1:14" x14ac:dyDescent="0.5">
      <c r="A346" t="str">
        <f>"000836"</f>
        <v>000836</v>
      </c>
      <c r="B346" t="s">
        <v>697</v>
      </c>
      <c r="C346">
        <v>4.5999999999999996</v>
      </c>
      <c r="D346">
        <v>54.41</v>
      </c>
      <c r="E346">
        <v>4.78</v>
      </c>
      <c r="F346">
        <v>0.21</v>
      </c>
      <c r="G346">
        <v>4.78</v>
      </c>
      <c r="H346">
        <v>4.79</v>
      </c>
      <c r="I346" t="s">
        <v>698</v>
      </c>
      <c r="J346">
        <v>5.7</v>
      </c>
      <c r="K346">
        <v>5.7</v>
      </c>
      <c r="L346">
        <v>4.53</v>
      </c>
      <c r="M346">
        <v>4.83</v>
      </c>
      <c r="N346">
        <v>4.46</v>
      </c>
    </row>
    <row r="347" spans="1:14" x14ac:dyDescent="0.5">
      <c r="A347" t="str">
        <f>"000837"</f>
        <v>000837</v>
      </c>
      <c r="B347" t="s">
        <v>699</v>
      </c>
      <c r="C347">
        <v>-0.38</v>
      </c>
      <c r="D347" t="s">
        <v>24</v>
      </c>
      <c r="E347">
        <v>5.22</v>
      </c>
      <c r="F347">
        <v>-0.02</v>
      </c>
      <c r="G347">
        <v>5.21</v>
      </c>
      <c r="H347">
        <v>5.22</v>
      </c>
      <c r="I347" t="s">
        <v>249</v>
      </c>
      <c r="J347">
        <v>5.69</v>
      </c>
      <c r="K347">
        <v>5.69</v>
      </c>
      <c r="L347">
        <v>5.25</v>
      </c>
      <c r="M347">
        <v>5.35</v>
      </c>
      <c r="N347">
        <v>5.0999999999999996</v>
      </c>
    </row>
    <row r="348" spans="1:14" x14ac:dyDescent="0.5">
      <c r="A348" t="str">
        <f>"000838"</f>
        <v>000838</v>
      </c>
      <c r="B348" t="s">
        <v>700</v>
      </c>
      <c r="C348">
        <v>7.32</v>
      </c>
      <c r="D348">
        <v>30.74</v>
      </c>
      <c r="E348">
        <v>4.4000000000000004</v>
      </c>
      <c r="F348">
        <v>0.3</v>
      </c>
      <c r="G348">
        <v>4.3899999999999997</v>
      </c>
      <c r="H348">
        <v>4.4000000000000004</v>
      </c>
      <c r="I348" t="s">
        <v>331</v>
      </c>
      <c r="J348">
        <v>11.21</v>
      </c>
      <c r="K348">
        <v>11.21</v>
      </c>
      <c r="L348">
        <v>4.18</v>
      </c>
      <c r="M348">
        <v>4.51</v>
      </c>
      <c r="N348">
        <v>4.13</v>
      </c>
    </row>
    <row r="349" spans="1:14" x14ac:dyDescent="0.5">
      <c r="A349" t="str">
        <f>"000839"</f>
        <v>000839</v>
      </c>
      <c r="B349" t="s">
        <v>701</v>
      </c>
      <c r="C349">
        <v>10.08</v>
      </c>
      <c r="D349">
        <v>1068.06</v>
      </c>
      <c r="E349">
        <v>5.24</v>
      </c>
      <c r="F349">
        <v>0.48</v>
      </c>
      <c r="G349">
        <v>5.24</v>
      </c>
      <c r="H349" t="s">
        <v>24</v>
      </c>
      <c r="I349" t="s">
        <v>702</v>
      </c>
      <c r="J349">
        <v>5.66</v>
      </c>
      <c r="K349">
        <v>5.66</v>
      </c>
      <c r="L349">
        <v>4.76</v>
      </c>
      <c r="M349">
        <v>5.24</v>
      </c>
      <c r="N349">
        <v>4.68</v>
      </c>
    </row>
    <row r="350" spans="1:14" x14ac:dyDescent="0.5">
      <c r="A350" t="str">
        <f>"000848"</f>
        <v>000848</v>
      </c>
      <c r="B350" t="s">
        <v>703</v>
      </c>
      <c r="C350">
        <v>1.1499999999999999</v>
      </c>
      <c r="D350">
        <v>19.23</v>
      </c>
      <c r="E350">
        <v>8.8000000000000007</v>
      </c>
      <c r="F350">
        <v>0.1</v>
      </c>
      <c r="G350">
        <v>8.8000000000000007</v>
      </c>
      <c r="H350">
        <v>8.81</v>
      </c>
      <c r="I350" t="s">
        <v>704</v>
      </c>
      <c r="J350">
        <v>1.1299999999999999</v>
      </c>
      <c r="K350">
        <v>1.1299999999999999</v>
      </c>
      <c r="L350">
        <v>8.6999999999999993</v>
      </c>
      <c r="M350">
        <v>8.83</v>
      </c>
      <c r="N350">
        <v>8.65</v>
      </c>
    </row>
    <row r="351" spans="1:14" x14ac:dyDescent="0.5">
      <c r="A351" t="str">
        <f>"000850"</f>
        <v>000850</v>
      </c>
      <c r="B351" t="s">
        <v>705</v>
      </c>
      <c r="C351">
        <v>0.99</v>
      </c>
      <c r="D351">
        <v>17.72</v>
      </c>
      <c r="E351">
        <v>4.07</v>
      </c>
      <c r="F351">
        <v>0.04</v>
      </c>
      <c r="G351">
        <v>4.07</v>
      </c>
      <c r="H351">
        <v>4.08</v>
      </c>
      <c r="I351" t="s">
        <v>706</v>
      </c>
      <c r="J351">
        <v>1.43</v>
      </c>
      <c r="K351">
        <v>1.43</v>
      </c>
      <c r="L351">
        <v>4.01</v>
      </c>
      <c r="M351">
        <v>4.09</v>
      </c>
      <c r="N351">
        <v>3.97</v>
      </c>
    </row>
    <row r="352" spans="1:14" x14ac:dyDescent="0.5">
      <c r="A352" t="str">
        <f>"000851"</f>
        <v>000851</v>
      </c>
      <c r="B352" t="s">
        <v>707</v>
      </c>
      <c r="C352">
        <v>10.07</v>
      </c>
      <c r="D352">
        <v>31.84</v>
      </c>
      <c r="E352">
        <v>6.56</v>
      </c>
      <c r="F352">
        <v>0.6</v>
      </c>
      <c r="G352">
        <v>6.56</v>
      </c>
      <c r="H352" t="s">
        <v>24</v>
      </c>
      <c r="I352" t="s">
        <v>708</v>
      </c>
      <c r="J352">
        <v>8.81</v>
      </c>
      <c r="K352">
        <v>8.81</v>
      </c>
      <c r="L352">
        <v>6.03</v>
      </c>
      <c r="M352">
        <v>6.56</v>
      </c>
      <c r="N352">
        <v>5.95</v>
      </c>
    </row>
    <row r="353" spans="1:14" x14ac:dyDescent="0.5">
      <c r="A353" t="str">
        <f>"000852"</f>
        <v>000852</v>
      </c>
      <c r="B353" t="s">
        <v>709</v>
      </c>
      <c r="C353">
        <v>3.91</v>
      </c>
      <c r="D353">
        <v>50.53</v>
      </c>
      <c r="E353">
        <v>8.76</v>
      </c>
      <c r="F353">
        <v>0.33</v>
      </c>
      <c r="G353">
        <v>8.75</v>
      </c>
      <c r="H353">
        <v>8.76</v>
      </c>
      <c r="I353" t="s">
        <v>710</v>
      </c>
      <c r="J353">
        <v>4.4800000000000004</v>
      </c>
      <c r="K353">
        <v>4.4800000000000004</v>
      </c>
      <c r="L353">
        <v>8.51</v>
      </c>
      <c r="M353">
        <v>8.8000000000000007</v>
      </c>
      <c r="N353">
        <v>8.51</v>
      </c>
    </row>
    <row r="354" spans="1:14" x14ac:dyDescent="0.5">
      <c r="A354" t="str">
        <f>"000856"</f>
        <v>000856</v>
      </c>
      <c r="B354" t="s">
        <v>711</v>
      </c>
      <c r="C354">
        <v>2.5</v>
      </c>
      <c r="D354">
        <v>114.36</v>
      </c>
      <c r="E354">
        <v>16.38</v>
      </c>
      <c r="F354">
        <v>0.4</v>
      </c>
      <c r="G354">
        <v>16.38</v>
      </c>
      <c r="H354">
        <v>16.39</v>
      </c>
      <c r="I354" t="s">
        <v>712</v>
      </c>
      <c r="J354">
        <v>13.2</v>
      </c>
      <c r="K354">
        <v>13.2</v>
      </c>
      <c r="L354">
        <v>16.190000000000001</v>
      </c>
      <c r="M354">
        <v>16.7</v>
      </c>
      <c r="N354">
        <v>15.93</v>
      </c>
    </row>
    <row r="355" spans="1:14" x14ac:dyDescent="0.5">
      <c r="A355" t="str">
        <f>"000858"</f>
        <v>000858</v>
      </c>
      <c r="B355" t="s">
        <v>713</v>
      </c>
      <c r="C355">
        <v>0.67</v>
      </c>
      <c r="D355">
        <v>24.14</v>
      </c>
      <c r="E355">
        <v>77.77</v>
      </c>
      <c r="F355">
        <v>0.52</v>
      </c>
      <c r="G355">
        <v>77.77</v>
      </c>
      <c r="H355">
        <v>77.78</v>
      </c>
      <c r="I355" t="s">
        <v>714</v>
      </c>
      <c r="J355">
        <v>0.88</v>
      </c>
      <c r="K355">
        <v>0.88</v>
      </c>
      <c r="L355">
        <v>77.239999999999995</v>
      </c>
      <c r="M355">
        <v>78.56</v>
      </c>
      <c r="N355">
        <v>76.77</v>
      </c>
    </row>
    <row r="356" spans="1:14" x14ac:dyDescent="0.5">
      <c r="A356" t="str">
        <f>"000859"</f>
        <v>000859</v>
      </c>
      <c r="B356" t="s">
        <v>715</v>
      </c>
      <c r="C356">
        <v>10</v>
      </c>
      <c r="D356">
        <v>47.16</v>
      </c>
      <c r="E356">
        <v>8.25</v>
      </c>
      <c r="F356">
        <v>0.75</v>
      </c>
      <c r="G356">
        <v>8.25</v>
      </c>
      <c r="H356" t="s">
        <v>24</v>
      </c>
      <c r="I356" t="s">
        <v>716</v>
      </c>
      <c r="J356">
        <v>28.42</v>
      </c>
      <c r="K356">
        <v>28.42</v>
      </c>
      <c r="L356">
        <v>7.23</v>
      </c>
      <c r="M356">
        <v>8.25</v>
      </c>
      <c r="N356">
        <v>7.16</v>
      </c>
    </row>
    <row r="357" spans="1:14" x14ac:dyDescent="0.5">
      <c r="A357" t="str">
        <f>"000860"</f>
        <v>000860</v>
      </c>
      <c r="B357" t="s">
        <v>717</v>
      </c>
      <c r="C357">
        <v>4.8499999999999996</v>
      </c>
      <c r="D357">
        <v>35.15</v>
      </c>
      <c r="E357">
        <v>45.4</v>
      </c>
      <c r="F357">
        <v>2.1</v>
      </c>
      <c r="G357">
        <v>45.39</v>
      </c>
      <c r="H357">
        <v>45.4</v>
      </c>
      <c r="I357" t="s">
        <v>718</v>
      </c>
      <c r="J357">
        <v>2.25</v>
      </c>
      <c r="K357">
        <v>2.25</v>
      </c>
      <c r="L357">
        <v>43.42</v>
      </c>
      <c r="M357">
        <v>45.4</v>
      </c>
      <c r="N357">
        <v>43.3</v>
      </c>
    </row>
    <row r="358" spans="1:14" x14ac:dyDescent="0.5">
      <c r="A358" t="str">
        <f>"000861"</f>
        <v>000861</v>
      </c>
      <c r="B358" t="s">
        <v>719</v>
      </c>
      <c r="C358">
        <v>1.68</v>
      </c>
      <c r="D358">
        <v>26.29</v>
      </c>
      <c r="E358">
        <v>3.02</v>
      </c>
      <c r="F358">
        <v>0.05</v>
      </c>
      <c r="G358">
        <v>3.01</v>
      </c>
      <c r="H358">
        <v>3.02</v>
      </c>
      <c r="I358" t="s">
        <v>720</v>
      </c>
      <c r="J358">
        <v>1.46</v>
      </c>
      <c r="K358">
        <v>1.46</v>
      </c>
      <c r="L358">
        <v>2.96</v>
      </c>
      <c r="M358">
        <v>3.03</v>
      </c>
      <c r="N358">
        <v>2.93</v>
      </c>
    </row>
    <row r="359" spans="1:14" x14ac:dyDescent="0.5">
      <c r="A359" t="str">
        <f>"000862"</f>
        <v>000862</v>
      </c>
      <c r="B359" t="s">
        <v>721</v>
      </c>
      <c r="C359">
        <v>6.64</v>
      </c>
      <c r="D359" t="s">
        <v>24</v>
      </c>
      <c r="E359">
        <v>7.39</v>
      </c>
      <c r="F359">
        <v>0.46</v>
      </c>
      <c r="G359">
        <v>7.39</v>
      </c>
      <c r="H359">
        <v>7.4</v>
      </c>
      <c r="I359" t="s">
        <v>722</v>
      </c>
      <c r="J359">
        <v>28.36</v>
      </c>
      <c r="K359">
        <v>28.36</v>
      </c>
      <c r="L359">
        <v>6.86</v>
      </c>
      <c r="M359">
        <v>7.6</v>
      </c>
      <c r="N359">
        <v>6.75</v>
      </c>
    </row>
    <row r="360" spans="1:14" x14ac:dyDescent="0.5">
      <c r="A360" t="str">
        <f>"000863"</f>
        <v>000863</v>
      </c>
      <c r="B360" t="s">
        <v>723</v>
      </c>
      <c r="C360">
        <v>1.97</v>
      </c>
      <c r="D360">
        <v>19.59</v>
      </c>
      <c r="E360">
        <v>4.6500000000000004</v>
      </c>
      <c r="F360">
        <v>0.09</v>
      </c>
      <c r="G360">
        <v>4.6500000000000004</v>
      </c>
      <c r="H360">
        <v>4.66</v>
      </c>
      <c r="I360" t="s">
        <v>724</v>
      </c>
      <c r="J360">
        <v>0.43</v>
      </c>
      <c r="K360">
        <v>0.43</v>
      </c>
      <c r="L360">
        <v>4.53</v>
      </c>
      <c r="M360">
        <v>4.67</v>
      </c>
      <c r="N360">
        <v>4.53</v>
      </c>
    </row>
    <row r="361" spans="1:14" x14ac:dyDescent="0.5">
      <c r="A361" t="str">
        <f>"000868"</f>
        <v>000868</v>
      </c>
      <c r="B361" t="s">
        <v>725</v>
      </c>
      <c r="C361">
        <v>0.25</v>
      </c>
      <c r="D361" t="s">
        <v>24</v>
      </c>
      <c r="E361">
        <v>4.04</v>
      </c>
      <c r="F361">
        <v>0.01</v>
      </c>
      <c r="G361">
        <v>4.03</v>
      </c>
      <c r="H361">
        <v>4.04</v>
      </c>
      <c r="I361" t="s">
        <v>726</v>
      </c>
      <c r="J361">
        <v>4.29</v>
      </c>
      <c r="K361">
        <v>4.29</v>
      </c>
      <c r="L361">
        <v>3.98</v>
      </c>
      <c r="M361">
        <v>4.05</v>
      </c>
      <c r="N361">
        <v>3.96</v>
      </c>
    </row>
    <row r="362" spans="1:14" x14ac:dyDescent="0.5">
      <c r="A362" t="str">
        <f>"000869"</f>
        <v>000869</v>
      </c>
      <c r="B362" t="s">
        <v>727</v>
      </c>
      <c r="C362">
        <v>1.71</v>
      </c>
      <c r="D362">
        <v>20.74</v>
      </c>
      <c r="E362">
        <v>30.41</v>
      </c>
      <c r="F362">
        <v>0.51</v>
      </c>
      <c r="G362">
        <v>30.41</v>
      </c>
      <c r="H362">
        <v>30.42</v>
      </c>
      <c r="I362" t="s">
        <v>728</v>
      </c>
      <c r="J362">
        <v>0.77</v>
      </c>
      <c r="K362">
        <v>0.77</v>
      </c>
      <c r="L362">
        <v>30</v>
      </c>
      <c r="M362">
        <v>30.44</v>
      </c>
      <c r="N362">
        <v>29.81</v>
      </c>
    </row>
    <row r="363" spans="1:14" x14ac:dyDescent="0.5">
      <c r="A363" t="str">
        <f>"000875"</f>
        <v>000875</v>
      </c>
      <c r="B363" t="s">
        <v>729</v>
      </c>
      <c r="C363">
        <v>1.74</v>
      </c>
      <c r="D363" t="s">
        <v>24</v>
      </c>
      <c r="E363">
        <v>2.93</v>
      </c>
      <c r="F363">
        <v>0.05</v>
      </c>
      <c r="G363">
        <v>2.93</v>
      </c>
      <c r="H363">
        <v>2.94</v>
      </c>
      <c r="I363" t="s">
        <v>730</v>
      </c>
      <c r="J363">
        <v>2.34</v>
      </c>
      <c r="K363">
        <v>2.34</v>
      </c>
      <c r="L363">
        <v>2.89</v>
      </c>
      <c r="M363">
        <v>2.93</v>
      </c>
      <c r="N363">
        <v>2.86</v>
      </c>
    </row>
    <row r="364" spans="1:14" x14ac:dyDescent="0.5">
      <c r="A364" t="str">
        <f>"000876"</f>
        <v>000876</v>
      </c>
      <c r="B364" t="s">
        <v>731</v>
      </c>
      <c r="C364">
        <v>2.88</v>
      </c>
      <c r="D364">
        <v>26.76</v>
      </c>
      <c r="E364">
        <v>12.87</v>
      </c>
      <c r="F364">
        <v>0.36</v>
      </c>
      <c r="G364">
        <v>12.86</v>
      </c>
      <c r="H364">
        <v>12.87</v>
      </c>
      <c r="I364" t="s">
        <v>732</v>
      </c>
      <c r="J364">
        <v>3.74</v>
      </c>
      <c r="K364">
        <v>3.74</v>
      </c>
      <c r="L364">
        <v>12.68</v>
      </c>
      <c r="M364">
        <v>13.56</v>
      </c>
      <c r="N364">
        <v>12.3</v>
      </c>
    </row>
    <row r="365" spans="1:14" x14ac:dyDescent="0.5">
      <c r="A365" t="str">
        <f>"000877"</f>
        <v>000877</v>
      </c>
      <c r="B365" t="s">
        <v>733</v>
      </c>
      <c r="C365">
        <v>1.25</v>
      </c>
      <c r="D365">
        <v>14.64</v>
      </c>
      <c r="E365">
        <v>10.57</v>
      </c>
      <c r="F365">
        <v>0.13</v>
      </c>
      <c r="G365">
        <v>10.57</v>
      </c>
      <c r="H365">
        <v>10.58</v>
      </c>
      <c r="I365" t="s">
        <v>734</v>
      </c>
      <c r="J365">
        <v>8.85</v>
      </c>
      <c r="K365">
        <v>8.85</v>
      </c>
      <c r="L365">
        <v>10.4</v>
      </c>
      <c r="M365">
        <v>10.69</v>
      </c>
      <c r="N365">
        <v>10.18</v>
      </c>
    </row>
    <row r="366" spans="1:14" x14ac:dyDescent="0.5">
      <c r="A366" t="str">
        <f>"000878"</f>
        <v>000878</v>
      </c>
      <c r="B366" t="s">
        <v>735</v>
      </c>
      <c r="C366">
        <v>2.12</v>
      </c>
      <c r="D366">
        <v>44.08</v>
      </c>
      <c r="E366">
        <v>10.6</v>
      </c>
      <c r="F366">
        <v>0.22</v>
      </c>
      <c r="G366">
        <v>10.6</v>
      </c>
      <c r="H366">
        <v>10.61</v>
      </c>
      <c r="I366" t="s">
        <v>736</v>
      </c>
      <c r="J366">
        <v>2.8</v>
      </c>
      <c r="K366">
        <v>2.8</v>
      </c>
      <c r="L366">
        <v>10.28</v>
      </c>
      <c r="M366">
        <v>10.61</v>
      </c>
      <c r="N366">
        <v>10.19</v>
      </c>
    </row>
    <row r="367" spans="1:14" x14ac:dyDescent="0.5">
      <c r="A367" t="str">
        <f>"000880"</f>
        <v>000880</v>
      </c>
      <c r="B367" t="s">
        <v>737</v>
      </c>
      <c r="C367">
        <v>0</v>
      </c>
      <c r="D367">
        <v>43.57</v>
      </c>
      <c r="E367">
        <v>8.99</v>
      </c>
      <c r="F367">
        <v>0</v>
      </c>
      <c r="G367">
        <v>8.99</v>
      </c>
      <c r="H367">
        <v>9</v>
      </c>
      <c r="I367" t="s">
        <v>738</v>
      </c>
      <c r="J367">
        <v>3.3</v>
      </c>
      <c r="K367">
        <v>3.3</v>
      </c>
      <c r="L367">
        <v>8.99</v>
      </c>
      <c r="M367">
        <v>9.01</v>
      </c>
      <c r="N367">
        <v>8.84</v>
      </c>
    </row>
    <row r="368" spans="1:14" x14ac:dyDescent="0.5">
      <c r="A368" t="str">
        <f>"000881"</f>
        <v>000881</v>
      </c>
      <c r="B368" t="s">
        <v>739</v>
      </c>
      <c r="C368">
        <v>4.3</v>
      </c>
      <c r="D368">
        <v>24.81</v>
      </c>
      <c r="E368">
        <v>8.73</v>
      </c>
      <c r="F368">
        <v>0.36</v>
      </c>
      <c r="G368">
        <v>8.73</v>
      </c>
      <c r="H368">
        <v>8.74</v>
      </c>
      <c r="I368" t="s">
        <v>740</v>
      </c>
      <c r="J368">
        <v>3.88</v>
      </c>
      <c r="K368">
        <v>3.88</v>
      </c>
      <c r="L368">
        <v>8.31</v>
      </c>
      <c r="M368">
        <v>8.73</v>
      </c>
      <c r="N368">
        <v>8.25</v>
      </c>
    </row>
    <row r="369" spans="1:14" x14ac:dyDescent="0.5">
      <c r="A369" t="str">
        <f>"000882"</f>
        <v>000882</v>
      </c>
      <c r="B369" t="s">
        <v>741</v>
      </c>
      <c r="C369">
        <v>6.55</v>
      </c>
      <c r="D369">
        <v>25.93</v>
      </c>
      <c r="E369">
        <v>3.09</v>
      </c>
      <c r="F369">
        <v>0.19</v>
      </c>
      <c r="G369">
        <v>3.09</v>
      </c>
      <c r="H369">
        <v>3.1</v>
      </c>
      <c r="I369" t="s">
        <v>742</v>
      </c>
      <c r="J369">
        <v>4.04</v>
      </c>
      <c r="K369">
        <v>4.04</v>
      </c>
      <c r="L369">
        <v>2.85</v>
      </c>
      <c r="M369">
        <v>3.18</v>
      </c>
      <c r="N369">
        <v>2.84</v>
      </c>
    </row>
    <row r="370" spans="1:14" x14ac:dyDescent="0.5">
      <c r="A370" t="str">
        <f>"000883"</f>
        <v>000883</v>
      </c>
      <c r="B370" t="s">
        <v>743</v>
      </c>
      <c r="C370">
        <v>0.48</v>
      </c>
      <c r="D370">
        <v>14.29</v>
      </c>
      <c r="E370">
        <v>4.1900000000000004</v>
      </c>
      <c r="F370">
        <v>0.02</v>
      </c>
      <c r="G370">
        <v>4.1900000000000004</v>
      </c>
      <c r="H370">
        <v>4.2</v>
      </c>
      <c r="I370" t="s">
        <v>744</v>
      </c>
      <c r="J370">
        <v>0.25</v>
      </c>
      <c r="K370">
        <v>0.25</v>
      </c>
      <c r="L370">
        <v>4.17</v>
      </c>
      <c r="M370">
        <v>4.2</v>
      </c>
      <c r="N370">
        <v>4.13</v>
      </c>
    </row>
    <row r="371" spans="1:14" x14ac:dyDescent="0.5">
      <c r="A371" t="str">
        <f>"000885"</f>
        <v>000885</v>
      </c>
      <c r="B371" t="s">
        <v>745</v>
      </c>
      <c r="C371">
        <v>0.69</v>
      </c>
      <c r="D371">
        <v>9.65</v>
      </c>
      <c r="E371">
        <v>8.74</v>
      </c>
      <c r="F371">
        <v>0.06</v>
      </c>
      <c r="G371">
        <v>8.74</v>
      </c>
      <c r="H371">
        <v>8.75</v>
      </c>
      <c r="I371" t="s">
        <v>746</v>
      </c>
      <c r="J371">
        <v>1.88</v>
      </c>
      <c r="K371">
        <v>1.88</v>
      </c>
      <c r="L371">
        <v>8.66</v>
      </c>
      <c r="M371">
        <v>8.74</v>
      </c>
      <c r="N371">
        <v>8.56</v>
      </c>
    </row>
    <row r="372" spans="1:14" x14ac:dyDescent="0.5">
      <c r="A372" t="str">
        <f>"000886"</f>
        <v>000886</v>
      </c>
      <c r="B372" t="s">
        <v>747</v>
      </c>
      <c r="C372">
        <v>1.33</v>
      </c>
      <c r="D372">
        <v>31.24</v>
      </c>
      <c r="E372">
        <v>4.57</v>
      </c>
      <c r="F372">
        <v>0.06</v>
      </c>
      <c r="G372">
        <v>4.5599999999999996</v>
      </c>
      <c r="H372">
        <v>4.57</v>
      </c>
      <c r="I372" t="s">
        <v>748</v>
      </c>
      <c r="J372">
        <v>2.44</v>
      </c>
      <c r="K372">
        <v>2.44</v>
      </c>
      <c r="L372">
        <v>4.49</v>
      </c>
      <c r="M372">
        <v>4.57</v>
      </c>
      <c r="N372">
        <v>4.4400000000000004</v>
      </c>
    </row>
    <row r="373" spans="1:14" x14ac:dyDescent="0.5">
      <c r="A373" t="str">
        <f>"000887"</f>
        <v>000887</v>
      </c>
      <c r="B373" t="s">
        <v>749</v>
      </c>
      <c r="C373">
        <v>4.1900000000000004</v>
      </c>
      <c r="D373">
        <v>11.57</v>
      </c>
      <c r="E373">
        <v>12.19</v>
      </c>
      <c r="F373">
        <v>0.49</v>
      </c>
      <c r="G373">
        <v>12.19</v>
      </c>
      <c r="H373">
        <v>12.2</v>
      </c>
      <c r="I373" t="s">
        <v>750</v>
      </c>
      <c r="J373">
        <v>1.92</v>
      </c>
      <c r="K373">
        <v>1.92</v>
      </c>
      <c r="L373">
        <v>11.45</v>
      </c>
      <c r="M373">
        <v>12.22</v>
      </c>
      <c r="N373">
        <v>11.45</v>
      </c>
    </row>
    <row r="374" spans="1:14" x14ac:dyDescent="0.5">
      <c r="A374" t="str">
        <f>"000888"</f>
        <v>000888</v>
      </c>
      <c r="B374" t="s">
        <v>751</v>
      </c>
      <c r="C374">
        <v>0.89</v>
      </c>
      <c r="D374">
        <v>16.329999999999998</v>
      </c>
      <c r="E374">
        <v>6.77</v>
      </c>
      <c r="F374">
        <v>0.06</v>
      </c>
      <c r="G374">
        <v>6.76</v>
      </c>
      <c r="H374">
        <v>6.77</v>
      </c>
      <c r="I374" t="s">
        <v>752</v>
      </c>
      <c r="J374">
        <v>1.27</v>
      </c>
      <c r="K374">
        <v>1.27</v>
      </c>
      <c r="L374">
        <v>6.68</v>
      </c>
      <c r="M374">
        <v>6.77</v>
      </c>
      <c r="N374">
        <v>6.64</v>
      </c>
    </row>
    <row r="375" spans="1:14" x14ac:dyDescent="0.5">
      <c r="A375" t="str">
        <f>"000889"</f>
        <v>000889</v>
      </c>
      <c r="B375" t="s">
        <v>753</v>
      </c>
      <c r="C375">
        <v>2.36</v>
      </c>
      <c r="D375">
        <v>38.32</v>
      </c>
      <c r="E375">
        <v>13</v>
      </c>
      <c r="F375">
        <v>0.3</v>
      </c>
      <c r="G375">
        <v>12.99</v>
      </c>
      <c r="H375">
        <v>13</v>
      </c>
      <c r="I375" t="s">
        <v>754</v>
      </c>
      <c r="J375">
        <v>0.97</v>
      </c>
      <c r="K375">
        <v>0.97</v>
      </c>
      <c r="L375">
        <v>12.95</v>
      </c>
      <c r="M375">
        <v>13.25</v>
      </c>
      <c r="N375">
        <v>12.73</v>
      </c>
    </row>
    <row r="376" spans="1:14" x14ac:dyDescent="0.5">
      <c r="A376" t="str">
        <f>"000890"</f>
        <v>000890</v>
      </c>
      <c r="B376" t="s">
        <v>755</v>
      </c>
      <c r="C376">
        <v>6.68</v>
      </c>
      <c r="D376">
        <v>14.18</v>
      </c>
      <c r="E376">
        <v>6.71</v>
      </c>
      <c r="F376">
        <v>0.42</v>
      </c>
      <c r="G376">
        <v>6.71</v>
      </c>
      <c r="H376">
        <v>6.72</v>
      </c>
      <c r="I376" t="s">
        <v>756</v>
      </c>
      <c r="J376">
        <v>7.8</v>
      </c>
      <c r="K376">
        <v>7.8</v>
      </c>
      <c r="L376">
        <v>6.25</v>
      </c>
      <c r="M376">
        <v>6.88</v>
      </c>
      <c r="N376">
        <v>6.14</v>
      </c>
    </row>
    <row r="377" spans="1:14" x14ac:dyDescent="0.5">
      <c r="A377" t="str">
        <f>"000892"</f>
        <v>000892</v>
      </c>
      <c r="B377" t="s">
        <v>757</v>
      </c>
      <c r="C377">
        <v>1.9</v>
      </c>
      <c r="D377">
        <v>8.23</v>
      </c>
      <c r="E377">
        <v>5.35</v>
      </c>
      <c r="F377">
        <v>0.1</v>
      </c>
      <c r="G377">
        <v>5.34</v>
      </c>
      <c r="H377">
        <v>5.35</v>
      </c>
      <c r="I377" t="s">
        <v>758</v>
      </c>
      <c r="J377">
        <v>1.63</v>
      </c>
      <c r="K377">
        <v>1.63</v>
      </c>
      <c r="L377">
        <v>5.22</v>
      </c>
      <c r="M377">
        <v>5.35</v>
      </c>
      <c r="N377">
        <v>5.14</v>
      </c>
    </row>
    <row r="378" spans="1:14" x14ac:dyDescent="0.5">
      <c r="A378" t="str">
        <f>"000893"</f>
        <v>000893</v>
      </c>
      <c r="B378" t="s">
        <v>759</v>
      </c>
      <c r="C378">
        <v>1.05</v>
      </c>
      <c r="D378" t="s">
        <v>24</v>
      </c>
      <c r="E378">
        <v>4.79</v>
      </c>
      <c r="F378">
        <v>0.05</v>
      </c>
      <c r="G378">
        <v>4.78</v>
      </c>
      <c r="H378">
        <v>4.79</v>
      </c>
      <c r="I378" t="s">
        <v>760</v>
      </c>
      <c r="J378">
        <v>0.77</v>
      </c>
      <c r="K378">
        <v>0.77</v>
      </c>
      <c r="L378">
        <v>4.74</v>
      </c>
      <c r="M378">
        <v>4.82</v>
      </c>
      <c r="N378">
        <v>4.7300000000000004</v>
      </c>
    </row>
    <row r="379" spans="1:14" x14ac:dyDescent="0.5">
      <c r="A379" t="str">
        <f>"000895"</f>
        <v>000895</v>
      </c>
      <c r="B379" t="s">
        <v>761</v>
      </c>
      <c r="C379">
        <v>-0.52</v>
      </c>
      <c r="D379">
        <v>16.63</v>
      </c>
      <c r="E379">
        <v>24.94</v>
      </c>
      <c r="F379">
        <v>-0.13</v>
      </c>
      <c r="G379">
        <v>24.94</v>
      </c>
      <c r="H379">
        <v>24.95</v>
      </c>
      <c r="I379" t="s">
        <v>762</v>
      </c>
      <c r="J379">
        <v>0.86</v>
      </c>
      <c r="K379">
        <v>0.86</v>
      </c>
      <c r="L379">
        <v>25.04</v>
      </c>
      <c r="M379">
        <v>25.48</v>
      </c>
      <c r="N379">
        <v>24.56</v>
      </c>
    </row>
    <row r="380" spans="1:14" x14ac:dyDescent="0.5">
      <c r="A380" t="str">
        <f>"000897"</f>
        <v>000897</v>
      </c>
      <c r="B380" t="s">
        <v>763</v>
      </c>
      <c r="C380">
        <v>10.18</v>
      </c>
      <c r="D380" t="s">
        <v>24</v>
      </c>
      <c r="E380">
        <v>3.03</v>
      </c>
      <c r="F380">
        <v>0.28000000000000003</v>
      </c>
      <c r="G380">
        <v>3.03</v>
      </c>
      <c r="H380" t="s">
        <v>24</v>
      </c>
      <c r="I380" t="s">
        <v>764</v>
      </c>
      <c r="J380">
        <v>4.7</v>
      </c>
      <c r="K380">
        <v>4.7</v>
      </c>
      <c r="L380">
        <v>2.76</v>
      </c>
      <c r="M380">
        <v>3.03</v>
      </c>
      <c r="N380">
        <v>2.73</v>
      </c>
    </row>
    <row r="381" spans="1:14" x14ac:dyDescent="0.5">
      <c r="A381" t="str">
        <f>"000898"</f>
        <v>000898</v>
      </c>
      <c r="B381" t="s">
        <v>765</v>
      </c>
      <c r="C381">
        <v>0.51</v>
      </c>
      <c r="D381">
        <v>4.79</v>
      </c>
      <c r="E381">
        <v>5.87</v>
      </c>
      <c r="F381">
        <v>0.03</v>
      </c>
      <c r="G381">
        <v>5.86</v>
      </c>
      <c r="H381">
        <v>5.87</v>
      </c>
      <c r="I381" t="s">
        <v>766</v>
      </c>
      <c r="J381">
        <v>0.76</v>
      </c>
      <c r="K381">
        <v>0.76</v>
      </c>
      <c r="L381">
        <v>5.8</v>
      </c>
      <c r="M381">
        <v>5.91</v>
      </c>
      <c r="N381">
        <v>5.78</v>
      </c>
    </row>
    <row r="382" spans="1:14" x14ac:dyDescent="0.5">
      <c r="A382" t="str">
        <f>"000899"</f>
        <v>000899</v>
      </c>
      <c r="B382" t="s">
        <v>767</v>
      </c>
      <c r="C382">
        <v>-0.54</v>
      </c>
      <c r="D382">
        <v>132.05000000000001</v>
      </c>
      <c r="E382">
        <v>5.54</v>
      </c>
      <c r="F382">
        <v>-0.03</v>
      </c>
      <c r="G382">
        <v>5.53</v>
      </c>
      <c r="H382">
        <v>5.54</v>
      </c>
      <c r="I382" t="s">
        <v>768</v>
      </c>
      <c r="J382">
        <v>1.18</v>
      </c>
      <c r="K382">
        <v>1.18</v>
      </c>
      <c r="L382">
        <v>5.57</v>
      </c>
      <c r="M382">
        <v>5.59</v>
      </c>
      <c r="N382">
        <v>5.42</v>
      </c>
    </row>
    <row r="383" spans="1:14" x14ac:dyDescent="0.5">
      <c r="A383" t="str">
        <f>"000900"</f>
        <v>000900</v>
      </c>
      <c r="B383" t="s">
        <v>769</v>
      </c>
      <c r="C383">
        <v>0.2</v>
      </c>
      <c r="D383">
        <v>7.32</v>
      </c>
      <c r="E383">
        <v>4.92</v>
      </c>
      <c r="F383">
        <v>0.01</v>
      </c>
      <c r="G383">
        <v>4.92</v>
      </c>
      <c r="H383">
        <v>4.93</v>
      </c>
      <c r="I383" t="s">
        <v>770</v>
      </c>
      <c r="J383">
        <v>1.53</v>
      </c>
      <c r="K383">
        <v>1.53</v>
      </c>
      <c r="L383">
        <v>4.88</v>
      </c>
      <c r="M383">
        <v>4.9400000000000004</v>
      </c>
      <c r="N383">
        <v>4.84</v>
      </c>
    </row>
    <row r="384" spans="1:14" x14ac:dyDescent="0.5">
      <c r="A384" t="str">
        <f>"000901"</f>
        <v>000901</v>
      </c>
      <c r="B384" t="s">
        <v>771</v>
      </c>
      <c r="C384">
        <v>4.0599999999999996</v>
      </c>
      <c r="D384">
        <v>53.61</v>
      </c>
      <c r="E384">
        <v>13.06</v>
      </c>
      <c r="F384">
        <v>0.51</v>
      </c>
      <c r="G384">
        <v>13.06</v>
      </c>
      <c r="H384">
        <v>13.07</v>
      </c>
      <c r="I384" t="s">
        <v>772</v>
      </c>
      <c r="J384">
        <v>6.55</v>
      </c>
      <c r="K384">
        <v>6.55</v>
      </c>
      <c r="L384">
        <v>12.55</v>
      </c>
      <c r="M384">
        <v>13.08</v>
      </c>
      <c r="N384">
        <v>12.37</v>
      </c>
    </row>
    <row r="385" spans="1:14" x14ac:dyDescent="0.5">
      <c r="A385" t="str">
        <f>"000902"</f>
        <v>000902</v>
      </c>
      <c r="B385" t="s">
        <v>773</v>
      </c>
      <c r="C385">
        <v>3.22</v>
      </c>
      <c r="D385">
        <v>15.06</v>
      </c>
      <c r="E385">
        <v>9.93</v>
      </c>
      <c r="F385">
        <v>0.31</v>
      </c>
      <c r="G385">
        <v>9.93</v>
      </c>
      <c r="H385">
        <v>9.94</v>
      </c>
      <c r="I385" t="s">
        <v>774</v>
      </c>
      <c r="J385">
        <v>2.02</v>
      </c>
      <c r="K385">
        <v>2.02</v>
      </c>
      <c r="L385">
        <v>9.5399999999999991</v>
      </c>
      <c r="M385">
        <v>10.039999999999999</v>
      </c>
      <c r="N385">
        <v>9.52</v>
      </c>
    </row>
    <row r="386" spans="1:14" x14ac:dyDescent="0.5">
      <c r="A386" t="str">
        <f>"000903"</f>
        <v>000903</v>
      </c>
      <c r="B386" t="s">
        <v>775</v>
      </c>
      <c r="C386">
        <v>2.0299999999999998</v>
      </c>
      <c r="D386">
        <v>21.04</v>
      </c>
      <c r="E386">
        <v>3.01</v>
      </c>
      <c r="F386">
        <v>0.06</v>
      </c>
      <c r="G386">
        <v>3.01</v>
      </c>
      <c r="H386">
        <v>3.02</v>
      </c>
      <c r="I386" t="s">
        <v>776</v>
      </c>
      <c r="J386">
        <v>1.68</v>
      </c>
      <c r="K386">
        <v>1.68</v>
      </c>
      <c r="L386">
        <v>2.93</v>
      </c>
      <c r="M386">
        <v>3.01</v>
      </c>
      <c r="N386">
        <v>2.91</v>
      </c>
    </row>
    <row r="387" spans="1:14" x14ac:dyDescent="0.5">
      <c r="A387" t="str">
        <f>"000905"</f>
        <v>000905</v>
      </c>
      <c r="B387" t="s">
        <v>777</v>
      </c>
      <c r="C387">
        <v>1.26</v>
      </c>
      <c r="D387">
        <v>99.26</v>
      </c>
      <c r="E387">
        <v>7.24</v>
      </c>
      <c r="F387">
        <v>0.09</v>
      </c>
      <c r="G387">
        <v>7.23</v>
      </c>
      <c r="H387">
        <v>7.24</v>
      </c>
      <c r="I387" t="s">
        <v>614</v>
      </c>
      <c r="J387">
        <v>1.81</v>
      </c>
      <c r="K387">
        <v>1.81</v>
      </c>
      <c r="L387">
        <v>7.15</v>
      </c>
      <c r="M387">
        <v>7.24</v>
      </c>
      <c r="N387">
        <v>7.1</v>
      </c>
    </row>
    <row r="388" spans="1:14" x14ac:dyDescent="0.5">
      <c r="A388" t="str">
        <f>"000906"</f>
        <v>000906</v>
      </c>
      <c r="B388" t="s">
        <v>778</v>
      </c>
      <c r="C388">
        <v>1.56</v>
      </c>
      <c r="D388">
        <v>14.73</v>
      </c>
      <c r="E388">
        <v>5.85</v>
      </c>
      <c r="F388">
        <v>0.09</v>
      </c>
      <c r="G388">
        <v>5.85</v>
      </c>
      <c r="H388">
        <v>5.86</v>
      </c>
      <c r="I388" t="s">
        <v>398</v>
      </c>
      <c r="J388">
        <v>1.0900000000000001</v>
      </c>
      <c r="K388">
        <v>1.0900000000000001</v>
      </c>
      <c r="L388">
        <v>5.75</v>
      </c>
      <c r="M388">
        <v>5.98</v>
      </c>
      <c r="N388">
        <v>5.69</v>
      </c>
    </row>
    <row r="389" spans="1:14" x14ac:dyDescent="0.5">
      <c r="A389" t="str">
        <f>"000908"</f>
        <v>000908</v>
      </c>
      <c r="B389" t="s">
        <v>779</v>
      </c>
      <c r="C389">
        <v>1.88</v>
      </c>
      <c r="D389">
        <v>25.02</v>
      </c>
      <c r="E389">
        <v>5.42</v>
      </c>
      <c r="F389">
        <v>0.1</v>
      </c>
      <c r="G389">
        <v>5.41</v>
      </c>
      <c r="H389">
        <v>5.42</v>
      </c>
      <c r="I389" t="s">
        <v>780</v>
      </c>
      <c r="J389">
        <v>2.81</v>
      </c>
      <c r="K389">
        <v>2.81</v>
      </c>
      <c r="L389">
        <v>5.31</v>
      </c>
      <c r="M389">
        <v>5.43</v>
      </c>
      <c r="N389">
        <v>5.21</v>
      </c>
    </row>
    <row r="390" spans="1:14" x14ac:dyDescent="0.5">
      <c r="A390" t="str">
        <f>"000909"</f>
        <v>000909</v>
      </c>
      <c r="B390" t="s">
        <v>781</v>
      </c>
      <c r="C390">
        <v>5.14</v>
      </c>
      <c r="D390">
        <v>77.58</v>
      </c>
      <c r="E390">
        <v>8.39</v>
      </c>
      <c r="F390">
        <v>0.41</v>
      </c>
      <c r="G390">
        <v>8.39</v>
      </c>
      <c r="H390">
        <v>8.4</v>
      </c>
      <c r="I390" t="s">
        <v>782</v>
      </c>
      <c r="J390">
        <v>3.48</v>
      </c>
      <c r="K390">
        <v>3.48</v>
      </c>
      <c r="L390">
        <v>7.91</v>
      </c>
      <c r="M390">
        <v>8.4499999999999993</v>
      </c>
      <c r="N390">
        <v>7.9</v>
      </c>
    </row>
    <row r="391" spans="1:14" x14ac:dyDescent="0.5">
      <c r="A391" t="str">
        <f>"000910"</f>
        <v>000910</v>
      </c>
      <c r="B391" t="s">
        <v>783</v>
      </c>
      <c r="C391">
        <v>0.89</v>
      </c>
      <c r="D391">
        <v>10.039999999999999</v>
      </c>
      <c r="E391">
        <v>13.65</v>
      </c>
      <c r="F391">
        <v>0.12</v>
      </c>
      <c r="G391">
        <v>13.65</v>
      </c>
      <c r="H391">
        <v>13.66</v>
      </c>
      <c r="I391" t="s">
        <v>784</v>
      </c>
      <c r="J391">
        <v>0.74</v>
      </c>
      <c r="K391">
        <v>0.74</v>
      </c>
      <c r="L391">
        <v>13.53</v>
      </c>
      <c r="M391">
        <v>13.68</v>
      </c>
      <c r="N391">
        <v>13.39</v>
      </c>
    </row>
    <row r="392" spans="1:14" x14ac:dyDescent="0.5">
      <c r="A392" t="str">
        <f>"000911"</f>
        <v>000911</v>
      </c>
      <c r="B392" t="s">
        <v>785</v>
      </c>
      <c r="C392">
        <v>3.04</v>
      </c>
      <c r="D392" t="s">
        <v>24</v>
      </c>
      <c r="E392">
        <v>7.8</v>
      </c>
      <c r="F392">
        <v>0.23</v>
      </c>
      <c r="G392">
        <v>7.8</v>
      </c>
      <c r="H392">
        <v>7.81</v>
      </c>
      <c r="I392" t="s">
        <v>786</v>
      </c>
      <c r="J392">
        <v>9.0299999999999994</v>
      </c>
      <c r="K392">
        <v>9.0299999999999994</v>
      </c>
      <c r="L392">
        <v>7.8</v>
      </c>
      <c r="M392">
        <v>8.32</v>
      </c>
      <c r="N392">
        <v>7.61</v>
      </c>
    </row>
    <row r="393" spans="1:14" x14ac:dyDescent="0.5">
      <c r="A393" t="str">
        <f>"000912"</f>
        <v>000912</v>
      </c>
      <c r="B393" t="s">
        <v>787</v>
      </c>
      <c r="C393">
        <v>0.18</v>
      </c>
      <c r="D393" t="s">
        <v>24</v>
      </c>
      <c r="E393">
        <v>5.64</v>
      </c>
      <c r="F393">
        <v>0.01</v>
      </c>
      <c r="G393">
        <v>5.63</v>
      </c>
      <c r="H393">
        <v>5.64</v>
      </c>
      <c r="I393" t="s">
        <v>788</v>
      </c>
      <c r="J393">
        <v>1.08</v>
      </c>
      <c r="K393">
        <v>1.08</v>
      </c>
      <c r="L393">
        <v>5.65</v>
      </c>
      <c r="M393">
        <v>5.73</v>
      </c>
      <c r="N393">
        <v>5.54</v>
      </c>
    </row>
    <row r="394" spans="1:14" x14ac:dyDescent="0.5">
      <c r="A394" t="str">
        <f>"000913"</f>
        <v>000913</v>
      </c>
      <c r="B394" t="s">
        <v>789</v>
      </c>
      <c r="C394">
        <v>2.15</v>
      </c>
      <c r="D394">
        <v>43.89</v>
      </c>
      <c r="E394">
        <v>10.47</v>
      </c>
      <c r="F394">
        <v>0.22</v>
      </c>
      <c r="G394">
        <v>10.47</v>
      </c>
      <c r="H394">
        <v>10.48</v>
      </c>
      <c r="I394" t="s">
        <v>790</v>
      </c>
      <c r="J394">
        <v>1.01</v>
      </c>
      <c r="K394">
        <v>1.01</v>
      </c>
      <c r="L394">
        <v>10.130000000000001</v>
      </c>
      <c r="M394">
        <v>10.49</v>
      </c>
      <c r="N394">
        <v>10.130000000000001</v>
      </c>
    </row>
    <row r="395" spans="1:14" x14ac:dyDescent="0.5">
      <c r="A395" t="str">
        <f>"000915"</f>
        <v>000915</v>
      </c>
      <c r="B395" t="s">
        <v>791</v>
      </c>
      <c r="C395">
        <v>0.73</v>
      </c>
      <c r="D395">
        <v>25.58</v>
      </c>
      <c r="E395">
        <v>19.28</v>
      </c>
      <c r="F395">
        <v>0.14000000000000001</v>
      </c>
      <c r="G395">
        <v>19.28</v>
      </c>
      <c r="H395">
        <v>19.29</v>
      </c>
      <c r="I395" t="s">
        <v>792</v>
      </c>
      <c r="J395">
        <v>2.65</v>
      </c>
      <c r="K395">
        <v>2.65</v>
      </c>
      <c r="L395">
        <v>19.14</v>
      </c>
      <c r="M395">
        <v>19.350000000000001</v>
      </c>
      <c r="N395">
        <v>18.96</v>
      </c>
    </row>
    <row r="396" spans="1:14" x14ac:dyDescent="0.5">
      <c r="A396" t="str">
        <f>"000917"</f>
        <v>000917</v>
      </c>
      <c r="B396" t="s">
        <v>793</v>
      </c>
      <c r="C396">
        <v>4.45</v>
      </c>
      <c r="D396" t="s">
        <v>24</v>
      </c>
      <c r="E396">
        <v>9.6300000000000008</v>
      </c>
      <c r="F396">
        <v>0.41</v>
      </c>
      <c r="G396">
        <v>9.6300000000000008</v>
      </c>
      <c r="H396">
        <v>9.64</v>
      </c>
      <c r="I396" t="s">
        <v>794</v>
      </c>
      <c r="J396">
        <v>17.510000000000002</v>
      </c>
      <c r="K396">
        <v>17.510000000000002</v>
      </c>
      <c r="L396">
        <v>9.49</v>
      </c>
      <c r="M396">
        <v>10.1</v>
      </c>
      <c r="N396">
        <v>9.1999999999999993</v>
      </c>
    </row>
    <row r="397" spans="1:14" x14ac:dyDescent="0.5">
      <c r="A397" t="str">
        <f>"000918"</f>
        <v>000918</v>
      </c>
      <c r="B397" t="s">
        <v>795</v>
      </c>
      <c r="C397">
        <v>0.54</v>
      </c>
      <c r="D397">
        <v>5.48</v>
      </c>
      <c r="E397">
        <v>7.45</v>
      </c>
      <c r="F397">
        <v>0.04</v>
      </c>
      <c r="G397">
        <v>7.44</v>
      </c>
      <c r="H397">
        <v>7.45</v>
      </c>
      <c r="I397" t="s">
        <v>796</v>
      </c>
      <c r="J397">
        <v>0.56000000000000005</v>
      </c>
      <c r="K397">
        <v>0.56000000000000005</v>
      </c>
      <c r="L397">
        <v>7.35</v>
      </c>
      <c r="M397">
        <v>7.48</v>
      </c>
      <c r="N397">
        <v>7.31</v>
      </c>
    </row>
    <row r="398" spans="1:14" x14ac:dyDescent="0.5">
      <c r="A398" t="str">
        <f>"000919"</f>
        <v>000919</v>
      </c>
      <c r="B398" t="s">
        <v>797</v>
      </c>
      <c r="C398">
        <v>1.39</v>
      </c>
      <c r="D398">
        <v>31.48</v>
      </c>
      <c r="E398">
        <v>7.27</v>
      </c>
      <c r="F398">
        <v>0.1</v>
      </c>
      <c r="G398">
        <v>7.26</v>
      </c>
      <c r="H398">
        <v>7.27</v>
      </c>
      <c r="I398" t="s">
        <v>798</v>
      </c>
      <c r="J398">
        <v>0.93</v>
      </c>
      <c r="K398">
        <v>0.93</v>
      </c>
      <c r="L398">
        <v>7.17</v>
      </c>
      <c r="M398">
        <v>7.27</v>
      </c>
      <c r="N398">
        <v>7.14</v>
      </c>
    </row>
    <row r="399" spans="1:14" x14ac:dyDescent="0.5">
      <c r="A399" t="str">
        <f>"000920"</f>
        <v>000920</v>
      </c>
      <c r="B399" t="s">
        <v>799</v>
      </c>
      <c r="C399">
        <v>5.6</v>
      </c>
      <c r="D399">
        <v>30.75</v>
      </c>
      <c r="E399">
        <v>6.98</v>
      </c>
      <c r="F399">
        <v>0.37</v>
      </c>
      <c r="G399">
        <v>6.98</v>
      </c>
      <c r="H399">
        <v>6.99</v>
      </c>
      <c r="I399" t="s">
        <v>800</v>
      </c>
      <c r="J399">
        <v>3.12</v>
      </c>
      <c r="K399">
        <v>3.12</v>
      </c>
      <c r="L399">
        <v>6.57</v>
      </c>
      <c r="M399">
        <v>7.08</v>
      </c>
      <c r="N399">
        <v>6.56</v>
      </c>
    </row>
    <row r="400" spans="1:14" x14ac:dyDescent="0.5">
      <c r="A400" t="str">
        <f>"000921"</f>
        <v>000921</v>
      </c>
      <c r="B400" t="s">
        <v>801</v>
      </c>
      <c r="C400">
        <v>4.76</v>
      </c>
      <c r="D400">
        <v>9.0299999999999994</v>
      </c>
      <c r="E400">
        <v>10.34</v>
      </c>
      <c r="F400">
        <v>0.47</v>
      </c>
      <c r="G400">
        <v>10.33</v>
      </c>
      <c r="H400">
        <v>10.34</v>
      </c>
      <c r="I400" t="s">
        <v>802</v>
      </c>
      <c r="J400">
        <v>1.99</v>
      </c>
      <c r="K400">
        <v>1.99</v>
      </c>
      <c r="L400">
        <v>9.86</v>
      </c>
      <c r="M400">
        <v>10.35</v>
      </c>
      <c r="N400">
        <v>9.81</v>
      </c>
    </row>
    <row r="401" spans="1:14" x14ac:dyDescent="0.5">
      <c r="A401" t="str">
        <f>"000922"</f>
        <v>000922</v>
      </c>
      <c r="B401" t="s">
        <v>803</v>
      </c>
      <c r="C401">
        <v>2.41</v>
      </c>
      <c r="D401">
        <v>11.81</v>
      </c>
      <c r="E401">
        <v>8.07</v>
      </c>
      <c r="F401">
        <v>0.19</v>
      </c>
      <c r="G401">
        <v>8.06</v>
      </c>
      <c r="H401">
        <v>8.07</v>
      </c>
      <c r="I401" t="s">
        <v>804</v>
      </c>
      <c r="J401">
        <v>2.5499999999999998</v>
      </c>
      <c r="K401">
        <v>2.5499999999999998</v>
      </c>
      <c r="L401">
        <v>7.88</v>
      </c>
      <c r="M401">
        <v>8.1</v>
      </c>
      <c r="N401">
        <v>7.83</v>
      </c>
    </row>
    <row r="402" spans="1:14" x14ac:dyDescent="0.5">
      <c r="A402" t="str">
        <f>"000923"</f>
        <v>000923</v>
      </c>
      <c r="B402" t="s">
        <v>805</v>
      </c>
      <c r="C402">
        <v>1.46</v>
      </c>
      <c r="D402">
        <v>750.31</v>
      </c>
      <c r="E402">
        <v>15.31</v>
      </c>
      <c r="F402">
        <v>0.22</v>
      </c>
      <c r="G402">
        <v>15.31</v>
      </c>
      <c r="H402">
        <v>15.32</v>
      </c>
      <c r="I402" t="s">
        <v>806</v>
      </c>
      <c r="J402">
        <v>3.41</v>
      </c>
      <c r="K402">
        <v>3.41</v>
      </c>
      <c r="L402">
        <v>15.17</v>
      </c>
      <c r="M402">
        <v>15.5</v>
      </c>
      <c r="N402">
        <v>15.06</v>
      </c>
    </row>
    <row r="403" spans="1:14" x14ac:dyDescent="0.5">
      <c r="A403" t="str">
        <f>"000925"</f>
        <v>000925</v>
      </c>
      <c r="B403" t="s">
        <v>807</v>
      </c>
      <c r="C403">
        <v>3.7</v>
      </c>
      <c r="D403">
        <v>56.09</v>
      </c>
      <c r="E403">
        <v>7.56</v>
      </c>
      <c r="F403">
        <v>0.27</v>
      </c>
      <c r="G403">
        <v>7.56</v>
      </c>
      <c r="H403">
        <v>7.57</v>
      </c>
      <c r="I403" t="s">
        <v>808</v>
      </c>
      <c r="J403">
        <v>4.5999999999999996</v>
      </c>
      <c r="K403">
        <v>4.5999999999999996</v>
      </c>
      <c r="L403">
        <v>7.29</v>
      </c>
      <c r="M403">
        <v>7.56</v>
      </c>
      <c r="N403">
        <v>7.17</v>
      </c>
    </row>
    <row r="404" spans="1:14" x14ac:dyDescent="0.5">
      <c r="A404" t="str">
        <f>"000926"</f>
        <v>000926</v>
      </c>
      <c r="B404" t="s">
        <v>809</v>
      </c>
      <c r="C404">
        <v>1.51</v>
      </c>
      <c r="D404">
        <v>9.86</v>
      </c>
      <c r="E404">
        <v>7.38</v>
      </c>
      <c r="F404">
        <v>0.11</v>
      </c>
      <c r="G404">
        <v>7.37</v>
      </c>
      <c r="H404">
        <v>7.38</v>
      </c>
      <c r="I404" t="s">
        <v>810</v>
      </c>
      <c r="J404">
        <v>2.68</v>
      </c>
      <c r="K404">
        <v>2.68</v>
      </c>
      <c r="L404">
        <v>7.25</v>
      </c>
      <c r="M404">
        <v>7.38</v>
      </c>
      <c r="N404">
        <v>7.24</v>
      </c>
    </row>
    <row r="405" spans="1:14" x14ac:dyDescent="0.5">
      <c r="A405" t="str">
        <f>"000927"</f>
        <v>000927</v>
      </c>
      <c r="B405" t="s">
        <v>811</v>
      </c>
      <c r="C405">
        <v>0.79</v>
      </c>
      <c r="D405" t="s">
        <v>24</v>
      </c>
      <c r="E405">
        <v>3.83</v>
      </c>
      <c r="F405">
        <v>0.03</v>
      </c>
      <c r="G405">
        <v>3.82</v>
      </c>
      <c r="H405">
        <v>3.83</v>
      </c>
      <c r="I405" t="s">
        <v>812</v>
      </c>
      <c r="J405">
        <v>1.06</v>
      </c>
      <c r="K405">
        <v>1.06</v>
      </c>
      <c r="L405">
        <v>3.78</v>
      </c>
      <c r="M405">
        <v>3.83</v>
      </c>
      <c r="N405">
        <v>3.73</v>
      </c>
    </row>
    <row r="406" spans="1:14" x14ac:dyDescent="0.5">
      <c r="A406" t="str">
        <f>"000928"</f>
        <v>000928</v>
      </c>
      <c r="B406" t="s">
        <v>813</v>
      </c>
      <c r="C406">
        <v>4.76</v>
      </c>
      <c r="D406">
        <v>16.61</v>
      </c>
      <c r="E406">
        <v>5.28</v>
      </c>
      <c r="F406">
        <v>0.24</v>
      </c>
      <c r="G406">
        <v>5.28</v>
      </c>
      <c r="H406">
        <v>5.29</v>
      </c>
      <c r="I406" t="s">
        <v>814</v>
      </c>
      <c r="J406">
        <v>4.59</v>
      </c>
      <c r="K406">
        <v>4.59</v>
      </c>
      <c r="L406">
        <v>5.07</v>
      </c>
      <c r="M406">
        <v>5.35</v>
      </c>
      <c r="N406">
        <v>4.99</v>
      </c>
    </row>
    <row r="407" spans="1:14" x14ac:dyDescent="0.5">
      <c r="A407" t="str">
        <f>"000929"</f>
        <v>000929</v>
      </c>
      <c r="B407" t="s">
        <v>815</v>
      </c>
      <c r="C407">
        <v>2.88</v>
      </c>
      <c r="D407" t="s">
        <v>24</v>
      </c>
      <c r="E407">
        <v>7.49</v>
      </c>
      <c r="F407">
        <v>0.21</v>
      </c>
      <c r="G407">
        <v>7.48</v>
      </c>
      <c r="H407">
        <v>7.49</v>
      </c>
      <c r="I407" t="s">
        <v>816</v>
      </c>
      <c r="J407">
        <v>2.09</v>
      </c>
      <c r="K407">
        <v>2.09</v>
      </c>
      <c r="L407">
        <v>7.28</v>
      </c>
      <c r="M407">
        <v>7.53</v>
      </c>
      <c r="N407">
        <v>7.24</v>
      </c>
    </row>
    <row r="408" spans="1:14" x14ac:dyDescent="0.5">
      <c r="A408" t="str">
        <f>"000930"</f>
        <v>000930</v>
      </c>
      <c r="B408" t="s">
        <v>817</v>
      </c>
      <c r="C408">
        <v>8.7799999999999994</v>
      </c>
      <c r="D408">
        <v>41.87</v>
      </c>
      <c r="E408">
        <v>9.17</v>
      </c>
      <c r="F408">
        <v>0.74</v>
      </c>
      <c r="G408">
        <v>9.16</v>
      </c>
      <c r="H408">
        <v>9.17</v>
      </c>
      <c r="I408" t="s">
        <v>818</v>
      </c>
      <c r="J408">
        <v>7.85</v>
      </c>
      <c r="K408">
        <v>7.85</v>
      </c>
      <c r="L408">
        <v>8.3699999999999992</v>
      </c>
      <c r="M408">
        <v>9.27</v>
      </c>
      <c r="N408">
        <v>8.33</v>
      </c>
    </row>
    <row r="409" spans="1:14" x14ac:dyDescent="0.5">
      <c r="A409" t="str">
        <f>"000931"</f>
        <v>000931</v>
      </c>
      <c r="B409" t="s">
        <v>819</v>
      </c>
      <c r="C409">
        <v>4.05</v>
      </c>
      <c r="D409">
        <v>43.92</v>
      </c>
      <c r="E409">
        <v>8.74</v>
      </c>
      <c r="F409">
        <v>0.34</v>
      </c>
      <c r="G409">
        <v>8.73</v>
      </c>
      <c r="H409">
        <v>8.74</v>
      </c>
      <c r="I409" t="s">
        <v>820</v>
      </c>
      <c r="J409">
        <v>5.1100000000000003</v>
      </c>
      <c r="K409">
        <v>5.1100000000000003</v>
      </c>
      <c r="L409">
        <v>8.35</v>
      </c>
      <c r="M409">
        <v>8.7899999999999991</v>
      </c>
      <c r="N409">
        <v>8.26</v>
      </c>
    </row>
    <row r="410" spans="1:14" x14ac:dyDescent="0.5">
      <c r="A410" t="str">
        <f>"000932"</f>
        <v>000932</v>
      </c>
      <c r="B410" t="s">
        <v>821</v>
      </c>
      <c r="C410">
        <v>-1</v>
      </c>
      <c r="D410">
        <v>3.38</v>
      </c>
      <c r="E410">
        <v>7.9</v>
      </c>
      <c r="F410">
        <v>-0.08</v>
      </c>
      <c r="G410">
        <v>7.89</v>
      </c>
      <c r="H410">
        <v>7.9</v>
      </c>
      <c r="I410" t="s">
        <v>822</v>
      </c>
      <c r="J410">
        <v>2.4900000000000002</v>
      </c>
      <c r="K410">
        <v>2.4900000000000002</v>
      </c>
      <c r="L410">
        <v>7.9</v>
      </c>
      <c r="M410">
        <v>7.92</v>
      </c>
      <c r="N410">
        <v>7.81</v>
      </c>
    </row>
    <row r="411" spans="1:14" x14ac:dyDescent="0.5">
      <c r="A411" t="str">
        <f>"000933"</f>
        <v>000933</v>
      </c>
      <c r="B411" t="s">
        <v>823</v>
      </c>
      <c r="C411">
        <v>3.76</v>
      </c>
      <c r="D411" t="s">
        <v>24</v>
      </c>
      <c r="E411">
        <v>5.24</v>
      </c>
      <c r="F411">
        <v>0.19</v>
      </c>
      <c r="G411">
        <v>5.24</v>
      </c>
      <c r="H411">
        <v>5.25</v>
      </c>
      <c r="I411" t="s">
        <v>824</v>
      </c>
      <c r="J411">
        <v>5.91</v>
      </c>
      <c r="K411">
        <v>5.91</v>
      </c>
      <c r="L411">
        <v>4.99</v>
      </c>
      <c r="M411">
        <v>5.26</v>
      </c>
      <c r="N411">
        <v>4.95</v>
      </c>
    </row>
    <row r="412" spans="1:14" x14ac:dyDescent="0.5">
      <c r="A412" t="str">
        <f>"000935"</f>
        <v>000935</v>
      </c>
      <c r="B412" t="s">
        <v>825</v>
      </c>
      <c r="C412">
        <v>1.37</v>
      </c>
      <c r="D412">
        <v>21.94</v>
      </c>
      <c r="E412">
        <v>17.760000000000002</v>
      </c>
      <c r="F412">
        <v>0.24</v>
      </c>
      <c r="G412">
        <v>17.760000000000002</v>
      </c>
      <c r="H412">
        <v>17.77</v>
      </c>
      <c r="I412" t="s">
        <v>826</v>
      </c>
      <c r="J412">
        <v>2.56</v>
      </c>
      <c r="K412">
        <v>2.56</v>
      </c>
      <c r="L412">
        <v>17.38</v>
      </c>
      <c r="M412">
        <v>17.86</v>
      </c>
      <c r="N412">
        <v>17.170000000000002</v>
      </c>
    </row>
    <row r="413" spans="1:14" x14ac:dyDescent="0.5">
      <c r="A413" t="str">
        <f>"000936"</f>
        <v>000936</v>
      </c>
      <c r="B413" t="s">
        <v>827</v>
      </c>
      <c r="C413">
        <v>9.9499999999999993</v>
      </c>
      <c r="D413">
        <v>20.05</v>
      </c>
      <c r="E413">
        <v>9.06</v>
      </c>
      <c r="F413">
        <v>0.82</v>
      </c>
      <c r="G413">
        <v>9.06</v>
      </c>
      <c r="H413" t="s">
        <v>24</v>
      </c>
      <c r="I413" t="s">
        <v>828</v>
      </c>
      <c r="J413">
        <v>11.28</v>
      </c>
      <c r="K413">
        <v>11.28</v>
      </c>
      <c r="L413">
        <v>8.1</v>
      </c>
      <c r="M413">
        <v>9.06</v>
      </c>
      <c r="N413">
        <v>8.0299999999999994</v>
      </c>
    </row>
    <row r="414" spans="1:14" x14ac:dyDescent="0.5">
      <c r="A414" t="str">
        <f>"000937"</f>
        <v>000937</v>
      </c>
      <c r="B414" t="s">
        <v>829</v>
      </c>
      <c r="C414">
        <v>1.17</v>
      </c>
      <c r="D414">
        <v>13.98</v>
      </c>
      <c r="E414">
        <v>4.32</v>
      </c>
      <c r="F414">
        <v>0.05</v>
      </c>
      <c r="G414">
        <v>4.3099999999999996</v>
      </c>
      <c r="H414">
        <v>4.32</v>
      </c>
      <c r="I414" t="s">
        <v>830</v>
      </c>
      <c r="J414">
        <v>0.69</v>
      </c>
      <c r="K414">
        <v>0.69</v>
      </c>
      <c r="L414">
        <v>4.25</v>
      </c>
      <c r="M414">
        <v>4.32</v>
      </c>
      <c r="N414">
        <v>4.2300000000000004</v>
      </c>
    </row>
    <row r="415" spans="1:14" x14ac:dyDescent="0.5">
      <c r="A415" t="str">
        <f>"000938"</f>
        <v>000938</v>
      </c>
      <c r="B415" t="s">
        <v>831</v>
      </c>
      <c r="C415">
        <v>7.73</v>
      </c>
      <c r="D415">
        <v>35.11</v>
      </c>
      <c r="E415">
        <v>42.94</v>
      </c>
      <c r="F415">
        <v>3.08</v>
      </c>
      <c r="G415">
        <v>42.94</v>
      </c>
      <c r="H415">
        <v>42.95</v>
      </c>
      <c r="I415" t="s">
        <v>832</v>
      </c>
      <c r="J415">
        <v>6.71</v>
      </c>
      <c r="K415">
        <v>6.71</v>
      </c>
      <c r="L415">
        <v>39.869999999999997</v>
      </c>
      <c r="M415">
        <v>43.23</v>
      </c>
      <c r="N415">
        <v>39.57</v>
      </c>
    </row>
    <row r="416" spans="1:14" x14ac:dyDescent="0.5">
      <c r="A416" t="str">
        <f>"000939"</f>
        <v>000939</v>
      </c>
      <c r="B416" t="s">
        <v>833</v>
      </c>
      <c r="C416">
        <v>-0.86</v>
      </c>
      <c r="D416" t="s">
        <v>24</v>
      </c>
      <c r="E416">
        <v>1.1499999999999999</v>
      </c>
      <c r="F416">
        <v>-0.01</v>
      </c>
      <c r="G416">
        <v>1.1499999999999999</v>
      </c>
      <c r="H416">
        <v>1.1599999999999999</v>
      </c>
      <c r="I416" t="s">
        <v>834</v>
      </c>
      <c r="J416">
        <v>1.83</v>
      </c>
      <c r="K416">
        <v>1.83</v>
      </c>
      <c r="L416">
        <v>1.1499999999999999</v>
      </c>
      <c r="M416">
        <v>1.1599999999999999</v>
      </c>
      <c r="N416">
        <v>1.1299999999999999</v>
      </c>
    </row>
    <row r="417" spans="1:14" x14ac:dyDescent="0.5">
      <c r="A417" t="str">
        <f>"000948"</f>
        <v>000948</v>
      </c>
      <c r="B417" t="s">
        <v>835</v>
      </c>
      <c r="C417">
        <v>3.27</v>
      </c>
      <c r="D417">
        <v>35.4</v>
      </c>
      <c r="E417">
        <v>13.9</v>
      </c>
      <c r="F417">
        <v>0.44</v>
      </c>
      <c r="G417">
        <v>13.89</v>
      </c>
      <c r="H417">
        <v>13.9</v>
      </c>
      <c r="I417" t="s">
        <v>836</v>
      </c>
      <c r="J417">
        <v>5.13</v>
      </c>
      <c r="K417">
        <v>5.13</v>
      </c>
      <c r="L417">
        <v>13.32</v>
      </c>
      <c r="M417">
        <v>13.9</v>
      </c>
      <c r="N417">
        <v>13.1</v>
      </c>
    </row>
    <row r="418" spans="1:14" x14ac:dyDescent="0.5">
      <c r="A418" t="str">
        <f>"000949"</f>
        <v>000949</v>
      </c>
      <c r="B418" t="s">
        <v>837</v>
      </c>
      <c r="C418">
        <v>6.17</v>
      </c>
      <c r="D418">
        <v>70.61</v>
      </c>
      <c r="E418">
        <v>3.44</v>
      </c>
      <c r="F418">
        <v>0.2</v>
      </c>
      <c r="G418">
        <v>3.43</v>
      </c>
      <c r="H418">
        <v>3.44</v>
      </c>
      <c r="I418" t="s">
        <v>838</v>
      </c>
      <c r="J418">
        <v>2.08</v>
      </c>
      <c r="K418">
        <v>2.08</v>
      </c>
      <c r="L418">
        <v>3.25</v>
      </c>
      <c r="M418">
        <v>3.52</v>
      </c>
      <c r="N418">
        <v>3.21</v>
      </c>
    </row>
    <row r="419" spans="1:14" x14ac:dyDescent="0.5">
      <c r="A419" t="str">
        <f>"000950"</f>
        <v>000950</v>
      </c>
      <c r="B419" t="s">
        <v>839</v>
      </c>
      <c r="C419">
        <v>1.22</v>
      </c>
      <c r="D419">
        <v>15.36</v>
      </c>
      <c r="E419">
        <v>5.82</v>
      </c>
      <c r="F419">
        <v>7.0000000000000007E-2</v>
      </c>
      <c r="G419">
        <v>5.81</v>
      </c>
      <c r="H419">
        <v>5.82</v>
      </c>
      <c r="I419" t="s">
        <v>840</v>
      </c>
      <c r="J419">
        <v>2.0699999999999998</v>
      </c>
      <c r="K419">
        <v>2.0699999999999998</v>
      </c>
      <c r="L419">
        <v>5.72</v>
      </c>
      <c r="M419">
        <v>5.84</v>
      </c>
      <c r="N419">
        <v>5.68</v>
      </c>
    </row>
    <row r="420" spans="1:14" x14ac:dyDescent="0.5">
      <c r="A420" t="str">
        <f>"000951"</f>
        <v>000951</v>
      </c>
      <c r="B420" t="s">
        <v>841</v>
      </c>
      <c r="C420">
        <v>5.08</v>
      </c>
      <c r="D420">
        <v>10.48</v>
      </c>
      <c r="E420">
        <v>15.32</v>
      </c>
      <c r="F420">
        <v>0.74</v>
      </c>
      <c r="G420">
        <v>15.32</v>
      </c>
      <c r="H420">
        <v>15.33</v>
      </c>
      <c r="I420" t="s">
        <v>842</v>
      </c>
      <c r="J420">
        <v>1.07</v>
      </c>
      <c r="K420">
        <v>1.07</v>
      </c>
      <c r="L420">
        <v>14.8</v>
      </c>
      <c r="M420">
        <v>15.48</v>
      </c>
      <c r="N420">
        <v>14.62</v>
      </c>
    </row>
    <row r="421" spans="1:14" x14ac:dyDescent="0.5">
      <c r="A421" t="str">
        <f>"000952"</f>
        <v>000952</v>
      </c>
      <c r="B421" t="s">
        <v>843</v>
      </c>
      <c r="C421">
        <v>1.92</v>
      </c>
      <c r="D421">
        <v>17.54</v>
      </c>
      <c r="E421">
        <v>11.12</v>
      </c>
      <c r="F421">
        <v>0.21</v>
      </c>
      <c r="G421">
        <v>11.12</v>
      </c>
      <c r="H421">
        <v>11.13</v>
      </c>
      <c r="I421" t="s">
        <v>844</v>
      </c>
      <c r="J421">
        <v>2.89</v>
      </c>
      <c r="K421">
        <v>2.89</v>
      </c>
      <c r="L421">
        <v>10.9</v>
      </c>
      <c r="M421">
        <v>11.14</v>
      </c>
      <c r="N421">
        <v>10.84</v>
      </c>
    </row>
    <row r="422" spans="1:14" x14ac:dyDescent="0.5">
      <c r="A422" t="str">
        <f>"000953"</f>
        <v>000953</v>
      </c>
      <c r="B422" t="s">
        <v>845</v>
      </c>
      <c r="C422">
        <v>0.5</v>
      </c>
      <c r="D422" t="s">
        <v>24</v>
      </c>
      <c r="E422">
        <v>4.03</v>
      </c>
      <c r="F422">
        <v>0.02</v>
      </c>
      <c r="G422">
        <v>4.0199999999999996</v>
      </c>
      <c r="H422">
        <v>4.03</v>
      </c>
      <c r="I422" t="s">
        <v>846</v>
      </c>
      <c r="J422">
        <v>1.39</v>
      </c>
      <c r="K422">
        <v>1.39</v>
      </c>
      <c r="L422">
        <v>4.01</v>
      </c>
      <c r="M422">
        <v>4.05</v>
      </c>
      <c r="N422">
        <v>3.94</v>
      </c>
    </row>
    <row r="423" spans="1:14" x14ac:dyDescent="0.5">
      <c r="A423" t="str">
        <f>"000955"</f>
        <v>000955</v>
      </c>
      <c r="B423" t="s">
        <v>847</v>
      </c>
      <c r="C423">
        <v>1.95</v>
      </c>
      <c r="D423">
        <v>43.49</v>
      </c>
      <c r="E423">
        <v>4.7</v>
      </c>
      <c r="F423">
        <v>0.09</v>
      </c>
      <c r="G423">
        <v>4.6900000000000004</v>
      </c>
      <c r="H423">
        <v>4.7</v>
      </c>
      <c r="I423" t="s">
        <v>848</v>
      </c>
      <c r="J423">
        <v>4.49</v>
      </c>
      <c r="K423">
        <v>4.49</v>
      </c>
      <c r="L423">
        <v>4.5999999999999996</v>
      </c>
      <c r="M423">
        <v>4.7300000000000004</v>
      </c>
      <c r="N423">
        <v>4.58</v>
      </c>
    </row>
    <row r="424" spans="1:14" x14ac:dyDescent="0.5">
      <c r="A424" t="str">
        <f>"000957"</f>
        <v>000957</v>
      </c>
      <c r="B424" t="s">
        <v>849</v>
      </c>
      <c r="C424">
        <v>-1.31</v>
      </c>
      <c r="D424">
        <v>48.25</v>
      </c>
      <c r="E424">
        <v>8.2899999999999991</v>
      </c>
      <c r="F424">
        <v>-0.11</v>
      </c>
      <c r="G424">
        <v>8.2799999999999994</v>
      </c>
      <c r="H424">
        <v>8.2899999999999991</v>
      </c>
      <c r="I424" t="s">
        <v>850</v>
      </c>
      <c r="J424">
        <v>6.16</v>
      </c>
      <c r="K424">
        <v>6.16</v>
      </c>
      <c r="L424">
        <v>8.25</v>
      </c>
      <c r="M424">
        <v>8.3800000000000008</v>
      </c>
      <c r="N424">
        <v>8.02</v>
      </c>
    </row>
    <row r="425" spans="1:14" x14ac:dyDescent="0.5">
      <c r="A425" t="str">
        <f>"000958"</f>
        <v>000958</v>
      </c>
      <c r="B425" t="s">
        <v>851</v>
      </c>
      <c r="C425">
        <v>0.94</v>
      </c>
      <c r="D425">
        <v>47.1</v>
      </c>
      <c r="E425">
        <v>4.29</v>
      </c>
      <c r="F425">
        <v>0.04</v>
      </c>
      <c r="G425">
        <v>4.28</v>
      </c>
      <c r="H425">
        <v>4.29</v>
      </c>
      <c r="I425" t="s">
        <v>852</v>
      </c>
      <c r="J425">
        <v>2.2400000000000002</v>
      </c>
      <c r="K425">
        <v>2.2400000000000002</v>
      </c>
      <c r="L425">
        <v>4.24</v>
      </c>
      <c r="M425">
        <v>4.29</v>
      </c>
      <c r="N425">
        <v>4.1900000000000004</v>
      </c>
    </row>
    <row r="426" spans="1:14" x14ac:dyDescent="0.5">
      <c r="A426" t="str">
        <f>"000959"</f>
        <v>000959</v>
      </c>
      <c r="B426" t="s">
        <v>853</v>
      </c>
      <c r="C426">
        <v>0.46</v>
      </c>
      <c r="D426">
        <v>8.83</v>
      </c>
      <c r="E426">
        <v>4.37</v>
      </c>
      <c r="F426">
        <v>0.02</v>
      </c>
      <c r="G426">
        <v>4.3600000000000003</v>
      </c>
      <c r="H426">
        <v>4.37</v>
      </c>
      <c r="I426" t="s">
        <v>854</v>
      </c>
      <c r="J426">
        <v>0.48</v>
      </c>
      <c r="K426">
        <v>0.48</v>
      </c>
      <c r="L426">
        <v>4.34</v>
      </c>
      <c r="M426">
        <v>4.37</v>
      </c>
      <c r="N426">
        <v>4.3</v>
      </c>
    </row>
    <row r="427" spans="1:14" x14ac:dyDescent="0.5">
      <c r="A427" t="str">
        <f>"000960"</f>
        <v>000960</v>
      </c>
      <c r="B427" t="s">
        <v>855</v>
      </c>
      <c r="C427">
        <v>1.51</v>
      </c>
      <c r="D427">
        <v>23.2</v>
      </c>
      <c r="E427">
        <v>12.74</v>
      </c>
      <c r="F427">
        <v>0.19</v>
      </c>
      <c r="G427">
        <v>12.74</v>
      </c>
      <c r="H427">
        <v>12.75</v>
      </c>
      <c r="I427" t="s">
        <v>856</v>
      </c>
      <c r="J427">
        <v>2.4</v>
      </c>
      <c r="K427">
        <v>2.4</v>
      </c>
      <c r="L427">
        <v>12.42</v>
      </c>
      <c r="M427">
        <v>12.76</v>
      </c>
      <c r="N427">
        <v>12.33</v>
      </c>
    </row>
    <row r="428" spans="1:14" x14ac:dyDescent="0.5">
      <c r="A428" t="str">
        <f>"000961"</f>
        <v>000961</v>
      </c>
      <c r="B428" t="s">
        <v>857</v>
      </c>
      <c r="C428">
        <v>1.0900000000000001</v>
      </c>
      <c r="D428">
        <v>19.760000000000002</v>
      </c>
      <c r="E428">
        <v>8.3699999999999992</v>
      </c>
      <c r="F428">
        <v>0.09</v>
      </c>
      <c r="G428">
        <v>8.36</v>
      </c>
      <c r="H428">
        <v>8.3699999999999992</v>
      </c>
      <c r="I428" t="s">
        <v>858</v>
      </c>
      <c r="J428">
        <v>1.62</v>
      </c>
      <c r="K428">
        <v>1.62</v>
      </c>
      <c r="L428">
        <v>8.2200000000000006</v>
      </c>
      <c r="M428">
        <v>8.6199999999999992</v>
      </c>
      <c r="N428">
        <v>8.16</v>
      </c>
    </row>
    <row r="429" spans="1:14" x14ac:dyDescent="0.5">
      <c r="A429" t="str">
        <f>"000962"</f>
        <v>000962</v>
      </c>
      <c r="B429" t="s">
        <v>859</v>
      </c>
      <c r="C429">
        <v>2.2200000000000002</v>
      </c>
      <c r="D429" t="s">
        <v>24</v>
      </c>
      <c r="E429">
        <v>7.83</v>
      </c>
      <c r="F429">
        <v>0.17</v>
      </c>
      <c r="G429">
        <v>7.82</v>
      </c>
      <c r="H429">
        <v>7.83</v>
      </c>
      <c r="I429" t="s">
        <v>860</v>
      </c>
      <c r="J429">
        <v>3.38</v>
      </c>
      <c r="K429">
        <v>3.38</v>
      </c>
      <c r="L429">
        <v>7.64</v>
      </c>
      <c r="M429">
        <v>7.88</v>
      </c>
      <c r="N429">
        <v>7.56</v>
      </c>
    </row>
    <row r="430" spans="1:14" x14ac:dyDescent="0.5">
      <c r="A430" t="str">
        <f>"000963"</f>
        <v>000963</v>
      </c>
      <c r="B430" t="s">
        <v>861</v>
      </c>
      <c r="C430">
        <v>-1.44</v>
      </c>
      <c r="D430">
        <v>22.18</v>
      </c>
      <c r="E430">
        <v>31.46</v>
      </c>
      <c r="F430">
        <v>-0.46</v>
      </c>
      <c r="G430">
        <v>31.45</v>
      </c>
      <c r="H430">
        <v>31.46</v>
      </c>
      <c r="I430" t="s">
        <v>862</v>
      </c>
      <c r="J430">
        <v>2.13</v>
      </c>
      <c r="K430">
        <v>2.13</v>
      </c>
      <c r="L430">
        <v>31.6</v>
      </c>
      <c r="M430">
        <v>31.76</v>
      </c>
      <c r="N430">
        <v>30.78</v>
      </c>
    </row>
    <row r="431" spans="1:14" x14ac:dyDescent="0.5">
      <c r="A431" t="str">
        <f>"000965"</f>
        <v>000965</v>
      </c>
      <c r="B431" t="s">
        <v>863</v>
      </c>
      <c r="C431">
        <v>2.13</v>
      </c>
      <c r="D431">
        <v>7.44</v>
      </c>
      <c r="E431">
        <v>4.3099999999999996</v>
      </c>
      <c r="F431">
        <v>0.09</v>
      </c>
      <c r="G431">
        <v>4.3099999999999996</v>
      </c>
      <c r="H431">
        <v>4.32</v>
      </c>
      <c r="I431" t="s">
        <v>864</v>
      </c>
      <c r="J431">
        <v>2.1800000000000002</v>
      </c>
      <c r="K431">
        <v>2.1800000000000002</v>
      </c>
      <c r="L431">
        <v>4.21</v>
      </c>
      <c r="M431">
        <v>4.42</v>
      </c>
      <c r="N431">
        <v>4.1900000000000004</v>
      </c>
    </row>
    <row r="432" spans="1:14" x14ac:dyDescent="0.5">
      <c r="A432" t="str">
        <f>"000966"</f>
        <v>000966</v>
      </c>
      <c r="B432" t="s">
        <v>865</v>
      </c>
      <c r="C432">
        <v>1.2</v>
      </c>
      <c r="D432" t="s">
        <v>24</v>
      </c>
      <c r="E432">
        <v>4.21</v>
      </c>
      <c r="F432">
        <v>0.05</v>
      </c>
      <c r="G432">
        <v>4.21</v>
      </c>
      <c r="H432">
        <v>4.22</v>
      </c>
      <c r="I432" t="s">
        <v>866</v>
      </c>
      <c r="J432">
        <v>1.76</v>
      </c>
      <c r="K432">
        <v>1.76</v>
      </c>
      <c r="L432">
        <v>4.1900000000000004</v>
      </c>
      <c r="M432">
        <v>4.2300000000000004</v>
      </c>
      <c r="N432">
        <v>4.1399999999999997</v>
      </c>
    </row>
    <row r="433" spans="1:14" x14ac:dyDescent="0.5">
      <c r="A433" t="str">
        <f>"000967"</f>
        <v>000967</v>
      </c>
      <c r="B433" t="s">
        <v>867</v>
      </c>
      <c r="C433">
        <v>1.19</v>
      </c>
      <c r="D433">
        <v>55.72</v>
      </c>
      <c r="E433">
        <v>6.83</v>
      </c>
      <c r="F433">
        <v>0.08</v>
      </c>
      <c r="G433">
        <v>6.83</v>
      </c>
      <c r="H433">
        <v>6.84</v>
      </c>
      <c r="I433" t="s">
        <v>868</v>
      </c>
      <c r="J433">
        <v>0.4</v>
      </c>
      <c r="K433">
        <v>0.4</v>
      </c>
      <c r="L433">
        <v>6.75</v>
      </c>
      <c r="M433">
        <v>6.87</v>
      </c>
      <c r="N433">
        <v>6.7</v>
      </c>
    </row>
    <row r="434" spans="1:14" x14ac:dyDescent="0.5">
      <c r="A434" t="str">
        <f>"000968"</f>
        <v>000968</v>
      </c>
      <c r="B434" t="s">
        <v>869</v>
      </c>
      <c r="C434">
        <v>7.0000000000000007E-2</v>
      </c>
      <c r="D434">
        <v>20.02</v>
      </c>
      <c r="E434">
        <v>13.4</v>
      </c>
      <c r="F434">
        <v>0.01</v>
      </c>
      <c r="G434">
        <v>13.39</v>
      </c>
      <c r="H434">
        <v>13.4</v>
      </c>
      <c r="I434" t="s">
        <v>870</v>
      </c>
      <c r="J434">
        <v>1.19</v>
      </c>
      <c r="K434">
        <v>1.19</v>
      </c>
      <c r="L434">
        <v>13.3</v>
      </c>
      <c r="M434">
        <v>13.45</v>
      </c>
      <c r="N434">
        <v>13.1</v>
      </c>
    </row>
    <row r="435" spans="1:14" x14ac:dyDescent="0.5">
      <c r="A435" t="str">
        <f>"000969"</f>
        <v>000969</v>
      </c>
      <c r="B435" t="s">
        <v>871</v>
      </c>
      <c r="C435">
        <v>1.95</v>
      </c>
      <c r="D435" t="s">
        <v>24</v>
      </c>
      <c r="E435">
        <v>6.28</v>
      </c>
      <c r="F435">
        <v>0.12</v>
      </c>
      <c r="G435">
        <v>6.27</v>
      </c>
      <c r="H435">
        <v>6.28</v>
      </c>
      <c r="I435" t="s">
        <v>872</v>
      </c>
      <c r="J435">
        <v>1.66</v>
      </c>
      <c r="K435">
        <v>1.66</v>
      </c>
      <c r="L435">
        <v>6.14</v>
      </c>
      <c r="M435">
        <v>6.29</v>
      </c>
      <c r="N435">
        <v>6.08</v>
      </c>
    </row>
    <row r="436" spans="1:14" x14ac:dyDescent="0.5">
      <c r="A436" t="str">
        <f>"000970"</f>
        <v>000970</v>
      </c>
      <c r="B436" t="s">
        <v>873</v>
      </c>
      <c r="C436">
        <v>3.46</v>
      </c>
      <c r="D436">
        <v>36.47</v>
      </c>
      <c r="E436">
        <v>9.57</v>
      </c>
      <c r="F436">
        <v>0.32</v>
      </c>
      <c r="G436">
        <v>9.56</v>
      </c>
      <c r="H436">
        <v>9.57</v>
      </c>
      <c r="I436" t="s">
        <v>874</v>
      </c>
      <c r="J436">
        <v>2.75</v>
      </c>
      <c r="K436">
        <v>2.75</v>
      </c>
      <c r="L436">
        <v>9.18</v>
      </c>
      <c r="M436">
        <v>9.58</v>
      </c>
      <c r="N436">
        <v>9.15</v>
      </c>
    </row>
    <row r="437" spans="1:14" x14ac:dyDescent="0.5">
      <c r="A437" t="str">
        <f>"000971"</f>
        <v>000971</v>
      </c>
      <c r="B437" t="s">
        <v>875</v>
      </c>
      <c r="C437">
        <v>9.9</v>
      </c>
      <c r="D437">
        <v>75.09</v>
      </c>
      <c r="E437">
        <v>4.55</v>
      </c>
      <c r="F437">
        <v>0.41</v>
      </c>
      <c r="G437">
        <v>4.55</v>
      </c>
      <c r="H437" t="s">
        <v>24</v>
      </c>
      <c r="I437" t="s">
        <v>876</v>
      </c>
      <c r="J437">
        <v>1.24</v>
      </c>
      <c r="K437">
        <v>1.24</v>
      </c>
      <c r="L437">
        <v>4.55</v>
      </c>
      <c r="M437">
        <v>4.55</v>
      </c>
      <c r="N437">
        <v>4.55</v>
      </c>
    </row>
    <row r="438" spans="1:14" x14ac:dyDescent="0.5">
      <c r="A438" t="str">
        <f>"000972"</f>
        <v>000972</v>
      </c>
      <c r="B438" t="s">
        <v>877</v>
      </c>
      <c r="C438">
        <v>2.12</v>
      </c>
      <c r="D438" t="s">
        <v>24</v>
      </c>
      <c r="E438">
        <v>3.37</v>
      </c>
      <c r="F438">
        <v>7.0000000000000007E-2</v>
      </c>
      <c r="G438">
        <v>3.37</v>
      </c>
      <c r="H438">
        <v>3.38</v>
      </c>
      <c r="I438" t="s">
        <v>878</v>
      </c>
      <c r="J438">
        <v>0.85</v>
      </c>
      <c r="K438">
        <v>0.85</v>
      </c>
      <c r="L438">
        <v>3.32</v>
      </c>
      <c r="M438">
        <v>3.42</v>
      </c>
      <c r="N438">
        <v>3.28</v>
      </c>
    </row>
    <row r="439" spans="1:14" x14ac:dyDescent="0.5">
      <c r="A439" t="str">
        <f>"000973"</f>
        <v>000973</v>
      </c>
      <c r="B439" t="s">
        <v>879</v>
      </c>
      <c r="C439">
        <v>5.81</v>
      </c>
      <c r="D439">
        <v>52.65</v>
      </c>
      <c r="E439">
        <v>4.92</v>
      </c>
      <c r="F439">
        <v>0.27</v>
      </c>
      <c r="G439">
        <v>4.92</v>
      </c>
      <c r="H439">
        <v>4.93</v>
      </c>
      <c r="I439" t="s">
        <v>880</v>
      </c>
      <c r="J439">
        <v>7.27</v>
      </c>
      <c r="K439">
        <v>7.27</v>
      </c>
      <c r="L439">
        <v>4.6500000000000004</v>
      </c>
      <c r="M439">
        <v>5.05</v>
      </c>
      <c r="N439">
        <v>4.57</v>
      </c>
    </row>
    <row r="440" spans="1:14" x14ac:dyDescent="0.5">
      <c r="A440" t="str">
        <f>"000975"</f>
        <v>000975</v>
      </c>
      <c r="B440" t="s">
        <v>881</v>
      </c>
      <c r="C440">
        <v>-1.73</v>
      </c>
      <c r="D440">
        <v>37.630000000000003</v>
      </c>
      <c r="E440">
        <v>10.79</v>
      </c>
      <c r="F440">
        <v>-0.19</v>
      </c>
      <c r="G440">
        <v>10.79</v>
      </c>
      <c r="H440">
        <v>10.8</v>
      </c>
      <c r="I440" t="s">
        <v>882</v>
      </c>
      <c r="J440">
        <v>1.98</v>
      </c>
      <c r="K440">
        <v>1.98</v>
      </c>
      <c r="L440">
        <v>10.86</v>
      </c>
      <c r="M440">
        <v>10.97</v>
      </c>
      <c r="N440">
        <v>10.62</v>
      </c>
    </row>
    <row r="441" spans="1:14" x14ac:dyDescent="0.5">
      <c r="A441" t="str">
        <f>"000976"</f>
        <v>000976</v>
      </c>
      <c r="B441" t="s">
        <v>883</v>
      </c>
      <c r="C441">
        <v>-0.79</v>
      </c>
      <c r="D441">
        <v>16.72</v>
      </c>
      <c r="E441">
        <v>5.04</v>
      </c>
      <c r="F441">
        <v>-0.04</v>
      </c>
      <c r="G441">
        <v>5.04</v>
      </c>
      <c r="H441">
        <v>5.05</v>
      </c>
      <c r="I441" t="s">
        <v>884</v>
      </c>
      <c r="J441">
        <v>1.3</v>
      </c>
      <c r="K441">
        <v>1.3</v>
      </c>
      <c r="L441">
        <v>5.07</v>
      </c>
      <c r="M441">
        <v>5.08</v>
      </c>
      <c r="N441">
        <v>4.97</v>
      </c>
    </row>
    <row r="442" spans="1:14" x14ac:dyDescent="0.5">
      <c r="A442" t="str">
        <f>"000977"</f>
        <v>000977</v>
      </c>
      <c r="B442" t="s">
        <v>885</v>
      </c>
      <c r="C442">
        <v>5.82</v>
      </c>
      <c r="D442">
        <v>50.56</v>
      </c>
      <c r="E442">
        <v>25.09</v>
      </c>
      <c r="F442">
        <v>1.38</v>
      </c>
      <c r="G442">
        <v>25.09</v>
      </c>
      <c r="H442">
        <v>25.1</v>
      </c>
      <c r="I442" t="s">
        <v>886</v>
      </c>
      <c r="J442">
        <v>10.24</v>
      </c>
      <c r="K442">
        <v>10.24</v>
      </c>
      <c r="L442">
        <v>23.72</v>
      </c>
      <c r="M442">
        <v>25.5</v>
      </c>
      <c r="N442">
        <v>23.41</v>
      </c>
    </row>
    <row r="443" spans="1:14" x14ac:dyDescent="0.5">
      <c r="A443" t="str">
        <f>"000978"</f>
        <v>000978</v>
      </c>
      <c r="B443" t="s">
        <v>887</v>
      </c>
      <c r="C443">
        <v>1.79</v>
      </c>
      <c r="D443">
        <v>35.229999999999997</v>
      </c>
      <c r="E443">
        <v>6.26</v>
      </c>
      <c r="F443">
        <v>0.11</v>
      </c>
      <c r="G443">
        <v>6.25</v>
      </c>
      <c r="H443">
        <v>6.26</v>
      </c>
      <c r="I443" t="s">
        <v>888</v>
      </c>
      <c r="J443">
        <v>1.02</v>
      </c>
      <c r="K443">
        <v>1.02</v>
      </c>
      <c r="L443">
        <v>6.13</v>
      </c>
      <c r="M443">
        <v>6.27</v>
      </c>
      <c r="N443">
        <v>6.12</v>
      </c>
    </row>
    <row r="444" spans="1:14" x14ac:dyDescent="0.5">
      <c r="A444" t="str">
        <f>"000980"</f>
        <v>000980</v>
      </c>
      <c r="B444" t="s">
        <v>889</v>
      </c>
      <c r="C444">
        <v>1.54</v>
      </c>
      <c r="D444">
        <v>9.7100000000000009</v>
      </c>
      <c r="E444">
        <v>5.29</v>
      </c>
      <c r="F444">
        <v>0.08</v>
      </c>
      <c r="G444">
        <v>5.28</v>
      </c>
      <c r="H444">
        <v>5.29</v>
      </c>
      <c r="I444" t="s">
        <v>890</v>
      </c>
      <c r="J444">
        <v>2.0299999999999998</v>
      </c>
      <c r="K444">
        <v>2.0299999999999998</v>
      </c>
      <c r="L444">
        <v>5.18</v>
      </c>
      <c r="M444">
        <v>5.29</v>
      </c>
      <c r="N444">
        <v>5.12</v>
      </c>
    </row>
    <row r="445" spans="1:14" x14ac:dyDescent="0.5">
      <c r="A445" t="str">
        <f>"000981"</f>
        <v>000981</v>
      </c>
      <c r="B445" t="s">
        <v>891</v>
      </c>
      <c r="C445">
        <v>4.3499999999999996</v>
      </c>
      <c r="D445">
        <v>9.24</v>
      </c>
      <c r="E445">
        <v>3.84</v>
      </c>
      <c r="F445">
        <v>0.16</v>
      </c>
      <c r="G445">
        <v>3.84</v>
      </c>
      <c r="H445">
        <v>3.85</v>
      </c>
      <c r="I445" t="s">
        <v>892</v>
      </c>
      <c r="J445">
        <v>3.95</v>
      </c>
      <c r="K445">
        <v>3.95</v>
      </c>
      <c r="L445">
        <v>3.66</v>
      </c>
      <c r="M445">
        <v>3.87</v>
      </c>
      <c r="N445">
        <v>3.62</v>
      </c>
    </row>
    <row r="446" spans="1:14" x14ac:dyDescent="0.5">
      <c r="A446" t="str">
        <f>"000982"</f>
        <v>000982</v>
      </c>
      <c r="B446" t="s">
        <v>893</v>
      </c>
      <c r="C446">
        <v>-0.74</v>
      </c>
      <c r="D446" t="s">
        <v>24</v>
      </c>
      <c r="E446">
        <v>1.34</v>
      </c>
      <c r="F446">
        <v>-0.01</v>
      </c>
      <c r="G446">
        <v>1.34</v>
      </c>
      <c r="H446">
        <v>1.35</v>
      </c>
      <c r="I446" t="s">
        <v>894</v>
      </c>
      <c r="J446">
        <v>0.71</v>
      </c>
      <c r="K446">
        <v>0.71</v>
      </c>
      <c r="L446">
        <v>1.34</v>
      </c>
      <c r="M446">
        <v>1.35</v>
      </c>
      <c r="N446">
        <v>1.33</v>
      </c>
    </row>
    <row r="447" spans="1:14" x14ac:dyDescent="0.5">
      <c r="A447" t="str">
        <f>"000983"</f>
        <v>000983</v>
      </c>
      <c r="B447" t="s">
        <v>895</v>
      </c>
      <c r="C447">
        <v>1.1000000000000001</v>
      </c>
      <c r="D447">
        <v>11.63</v>
      </c>
      <c r="E447">
        <v>6.44</v>
      </c>
      <c r="F447">
        <v>7.0000000000000007E-2</v>
      </c>
      <c r="G447">
        <v>6.44</v>
      </c>
      <c r="H447">
        <v>6.45</v>
      </c>
      <c r="I447" t="s">
        <v>896</v>
      </c>
      <c r="J447">
        <v>1.57</v>
      </c>
      <c r="K447">
        <v>1.57</v>
      </c>
      <c r="L447">
        <v>6.34</v>
      </c>
      <c r="M447">
        <v>6.45</v>
      </c>
      <c r="N447">
        <v>6.3</v>
      </c>
    </row>
    <row r="448" spans="1:14" x14ac:dyDescent="0.5">
      <c r="A448" t="str">
        <f>"000985"</f>
        <v>000985</v>
      </c>
      <c r="B448" t="s">
        <v>897</v>
      </c>
      <c r="C448">
        <v>0.79</v>
      </c>
      <c r="D448">
        <v>972.98</v>
      </c>
      <c r="E448">
        <v>14.06</v>
      </c>
      <c r="F448">
        <v>0.11</v>
      </c>
      <c r="G448">
        <v>14.06</v>
      </c>
      <c r="H448">
        <v>14.07</v>
      </c>
      <c r="I448" t="s">
        <v>898</v>
      </c>
      <c r="J448">
        <v>1.1599999999999999</v>
      </c>
      <c r="K448">
        <v>1.1599999999999999</v>
      </c>
      <c r="L448">
        <v>13.82</v>
      </c>
      <c r="M448">
        <v>14.1</v>
      </c>
      <c r="N448">
        <v>13.8</v>
      </c>
    </row>
    <row r="449" spans="1:14" x14ac:dyDescent="0.5">
      <c r="A449" t="str">
        <f>"000987"</f>
        <v>000987</v>
      </c>
      <c r="B449" t="s">
        <v>899</v>
      </c>
      <c r="C449">
        <v>1.4</v>
      </c>
      <c r="D449">
        <v>64.87</v>
      </c>
      <c r="E449">
        <v>10.87</v>
      </c>
      <c r="F449">
        <v>0.15</v>
      </c>
      <c r="G449">
        <v>10.86</v>
      </c>
      <c r="H449">
        <v>10.87</v>
      </c>
      <c r="I449" t="s">
        <v>900</v>
      </c>
      <c r="J449">
        <v>2.67</v>
      </c>
      <c r="K449">
        <v>2.67</v>
      </c>
      <c r="L449">
        <v>10.71</v>
      </c>
      <c r="M449">
        <v>11</v>
      </c>
      <c r="N449">
        <v>10.4</v>
      </c>
    </row>
    <row r="450" spans="1:14" x14ac:dyDescent="0.5">
      <c r="A450" t="str">
        <f>"000988"</f>
        <v>000988</v>
      </c>
      <c r="B450" t="s">
        <v>901</v>
      </c>
      <c r="C450">
        <v>2.41</v>
      </c>
      <c r="D450">
        <v>46.31</v>
      </c>
      <c r="E450">
        <v>15.3</v>
      </c>
      <c r="F450">
        <v>0.36</v>
      </c>
      <c r="G450">
        <v>15.29</v>
      </c>
      <c r="H450">
        <v>15.3</v>
      </c>
      <c r="I450" t="s">
        <v>902</v>
      </c>
      <c r="J450">
        <v>3.72</v>
      </c>
      <c r="K450">
        <v>3.72</v>
      </c>
      <c r="L450">
        <v>14.9</v>
      </c>
      <c r="M450">
        <v>15.32</v>
      </c>
      <c r="N450">
        <v>14.78</v>
      </c>
    </row>
    <row r="451" spans="1:14" x14ac:dyDescent="0.5">
      <c r="A451" t="str">
        <f>"000989"</f>
        <v>000989</v>
      </c>
      <c r="B451" t="s">
        <v>903</v>
      </c>
      <c r="C451">
        <v>4.3</v>
      </c>
      <c r="D451">
        <v>18.63</v>
      </c>
      <c r="E451">
        <v>12.85</v>
      </c>
      <c r="F451">
        <v>0.53</v>
      </c>
      <c r="G451">
        <v>12.84</v>
      </c>
      <c r="H451">
        <v>12.85</v>
      </c>
      <c r="I451" t="s">
        <v>904</v>
      </c>
      <c r="J451">
        <v>4.05</v>
      </c>
      <c r="K451">
        <v>4.05</v>
      </c>
      <c r="L451">
        <v>12.2</v>
      </c>
      <c r="M451">
        <v>13</v>
      </c>
      <c r="N451">
        <v>12.07</v>
      </c>
    </row>
    <row r="452" spans="1:14" x14ac:dyDescent="0.5">
      <c r="A452" t="str">
        <f>"000990"</f>
        <v>000990</v>
      </c>
      <c r="B452" t="s">
        <v>905</v>
      </c>
      <c r="C452">
        <v>1.76</v>
      </c>
      <c r="D452">
        <v>20.68</v>
      </c>
      <c r="E452">
        <v>13.3</v>
      </c>
      <c r="F452">
        <v>0.23</v>
      </c>
      <c r="G452">
        <v>13.3</v>
      </c>
      <c r="H452">
        <v>13.31</v>
      </c>
      <c r="I452" t="s">
        <v>906</v>
      </c>
      <c r="J452">
        <v>1.71</v>
      </c>
      <c r="K452">
        <v>1.71</v>
      </c>
      <c r="L452">
        <v>13.07</v>
      </c>
      <c r="M452">
        <v>13.3</v>
      </c>
      <c r="N452">
        <v>13.01</v>
      </c>
    </row>
    <row r="453" spans="1:14" x14ac:dyDescent="0.5">
      <c r="A453" t="str">
        <f>"000993"</f>
        <v>000993</v>
      </c>
      <c r="B453" t="s">
        <v>907</v>
      </c>
      <c r="C453">
        <v>0.52</v>
      </c>
      <c r="D453" t="s">
        <v>24</v>
      </c>
      <c r="E453">
        <v>5.81</v>
      </c>
      <c r="F453">
        <v>0.03</v>
      </c>
      <c r="G453">
        <v>5.8</v>
      </c>
      <c r="H453">
        <v>5.81</v>
      </c>
      <c r="I453" t="s">
        <v>908</v>
      </c>
      <c r="J453">
        <v>2.9</v>
      </c>
      <c r="K453">
        <v>2.9</v>
      </c>
      <c r="L453">
        <v>5.72</v>
      </c>
      <c r="M453">
        <v>5.85</v>
      </c>
      <c r="N453">
        <v>5.65</v>
      </c>
    </row>
    <row r="454" spans="1:14" x14ac:dyDescent="0.5">
      <c r="A454" t="str">
        <f>"000995"</f>
        <v>000995</v>
      </c>
      <c r="B454" t="s">
        <v>909</v>
      </c>
      <c r="C454">
        <v>-0.67</v>
      </c>
      <c r="D454" t="s">
        <v>24</v>
      </c>
      <c r="E454">
        <v>4.45</v>
      </c>
      <c r="F454">
        <v>-0.03</v>
      </c>
      <c r="G454">
        <v>4.4400000000000004</v>
      </c>
      <c r="H454">
        <v>4.45</v>
      </c>
      <c r="I454" t="s">
        <v>910</v>
      </c>
      <c r="J454">
        <v>3.75</v>
      </c>
      <c r="K454">
        <v>3.75</v>
      </c>
      <c r="L454">
        <v>4.4400000000000004</v>
      </c>
      <c r="M454">
        <v>4.46</v>
      </c>
      <c r="N454">
        <v>4.3600000000000003</v>
      </c>
    </row>
    <row r="455" spans="1:14" x14ac:dyDescent="0.5">
      <c r="A455" t="str">
        <f>"000996"</f>
        <v>000996</v>
      </c>
      <c r="B455" t="s">
        <v>911</v>
      </c>
      <c r="C455">
        <v>0.08</v>
      </c>
      <c r="D455">
        <v>421.77</v>
      </c>
      <c r="E455">
        <v>13</v>
      </c>
      <c r="F455">
        <v>0.01</v>
      </c>
      <c r="G455">
        <v>12.99</v>
      </c>
      <c r="H455">
        <v>13</v>
      </c>
      <c r="I455" t="s">
        <v>592</v>
      </c>
      <c r="J455">
        <v>6.36</v>
      </c>
      <c r="K455">
        <v>6.36</v>
      </c>
      <c r="L455">
        <v>12.74</v>
      </c>
      <c r="M455">
        <v>13.08</v>
      </c>
      <c r="N455">
        <v>12.65</v>
      </c>
    </row>
    <row r="456" spans="1:14" x14ac:dyDescent="0.5">
      <c r="A456" t="str">
        <f>"000997"</f>
        <v>000997</v>
      </c>
      <c r="B456" t="s">
        <v>912</v>
      </c>
      <c r="C456">
        <v>2.39</v>
      </c>
      <c r="D456">
        <v>31.73</v>
      </c>
      <c r="E456">
        <v>17.96</v>
      </c>
      <c r="F456">
        <v>0.42</v>
      </c>
      <c r="G456">
        <v>17.96</v>
      </c>
      <c r="H456">
        <v>17.97</v>
      </c>
      <c r="I456" t="s">
        <v>913</v>
      </c>
      <c r="J456">
        <v>1.71</v>
      </c>
      <c r="K456">
        <v>1.71</v>
      </c>
      <c r="L456">
        <v>17.3</v>
      </c>
      <c r="M456">
        <v>17.97</v>
      </c>
      <c r="N456">
        <v>17.3</v>
      </c>
    </row>
    <row r="457" spans="1:14" x14ac:dyDescent="0.5">
      <c r="A457" t="str">
        <f>"000998"</f>
        <v>000998</v>
      </c>
      <c r="B457" t="s">
        <v>914</v>
      </c>
      <c r="C457">
        <v>0.25</v>
      </c>
      <c r="D457">
        <v>30.03</v>
      </c>
      <c r="E457">
        <v>15.83</v>
      </c>
      <c r="F457">
        <v>0.04</v>
      </c>
      <c r="G457">
        <v>15.83</v>
      </c>
      <c r="H457">
        <v>15.84</v>
      </c>
      <c r="I457" t="s">
        <v>915</v>
      </c>
      <c r="J457">
        <v>1.75</v>
      </c>
      <c r="K457">
        <v>1.75</v>
      </c>
      <c r="L457">
        <v>15.81</v>
      </c>
      <c r="M457">
        <v>15.89</v>
      </c>
      <c r="N457">
        <v>15.6</v>
      </c>
    </row>
    <row r="458" spans="1:14" x14ac:dyDescent="0.5">
      <c r="A458" t="str">
        <f>"000999"</f>
        <v>000999</v>
      </c>
      <c r="B458" t="s">
        <v>916</v>
      </c>
      <c r="C458">
        <v>2.91</v>
      </c>
      <c r="D458">
        <v>16.93</v>
      </c>
      <c r="E458">
        <v>26.86</v>
      </c>
      <c r="F458">
        <v>0.76</v>
      </c>
      <c r="G458">
        <v>26.82</v>
      </c>
      <c r="H458">
        <v>26.86</v>
      </c>
      <c r="I458" t="s">
        <v>917</v>
      </c>
      <c r="J458">
        <v>0.61</v>
      </c>
      <c r="K458">
        <v>0.61</v>
      </c>
      <c r="L458">
        <v>26.09</v>
      </c>
      <c r="M458">
        <v>26.94</v>
      </c>
      <c r="N458">
        <v>25.89</v>
      </c>
    </row>
    <row r="459" spans="1:14" x14ac:dyDescent="0.5">
      <c r="A459" t="str">
        <f>"001696"</f>
        <v>001696</v>
      </c>
      <c r="B459" t="s">
        <v>918</v>
      </c>
      <c r="C459">
        <v>1.89</v>
      </c>
      <c r="D459">
        <v>19.32</v>
      </c>
      <c r="E459">
        <v>5.94</v>
      </c>
      <c r="F459">
        <v>0.11</v>
      </c>
      <c r="G459">
        <v>5.93</v>
      </c>
      <c r="H459">
        <v>5.94</v>
      </c>
      <c r="I459" t="s">
        <v>919</v>
      </c>
      <c r="J459">
        <v>2.3199999999999998</v>
      </c>
      <c r="K459">
        <v>2.3199999999999998</v>
      </c>
      <c r="L459">
        <v>5.78</v>
      </c>
      <c r="M459">
        <v>5.94</v>
      </c>
      <c r="N459">
        <v>5.75</v>
      </c>
    </row>
    <row r="460" spans="1:14" x14ac:dyDescent="0.5">
      <c r="A460" t="str">
        <f>"001872"</f>
        <v>001872</v>
      </c>
      <c r="B460" t="s">
        <v>920</v>
      </c>
      <c r="C460">
        <v>0.52</v>
      </c>
      <c r="D460">
        <v>59.53</v>
      </c>
      <c r="E460">
        <v>17.47</v>
      </c>
      <c r="F460">
        <v>0.09</v>
      </c>
      <c r="G460">
        <v>17.47</v>
      </c>
      <c r="H460">
        <v>17.48</v>
      </c>
      <c r="I460" t="s">
        <v>921</v>
      </c>
      <c r="J460">
        <v>0.89</v>
      </c>
      <c r="K460">
        <v>0.89</v>
      </c>
      <c r="L460">
        <v>17.3</v>
      </c>
      <c r="M460">
        <v>17.5</v>
      </c>
      <c r="N460">
        <v>17.2</v>
      </c>
    </row>
    <row r="461" spans="1:14" x14ac:dyDescent="0.5">
      <c r="A461" t="str">
        <f>"001896"</f>
        <v>001896</v>
      </c>
      <c r="B461" t="s">
        <v>922</v>
      </c>
      <c r="C461">
        <v>6.03</v>
      </c>
      <c r="D461" t="s">
        <v>24</v>
      </c>
      <c r="E461">
        <v>3.87</v>
      </c>
      <c r="F461">
        <v>0.22</v>
      </c>
      <c r="G461">
        <v>3.87</v>
      </c>
      <c r="H461">
        <v>3.88</v>
      </c>
      <c r="I461" t="s">
        <v>923</v>
      </c>
      <c r="J461">
        <v>2.71</v>
      </c>
      <c r="K461">
        <v>2.71</v>
      </c>
      <c r="L461">
        <v>3.66</v>
      </c>
      <c r="M461">
        <v>3.99</v>
      </c>
      <c r="N461">
        <v>3.64</v>
      </c>
    </row>
    <row r="462" spans="1:14" x14ac:dyDescent="0.5">
      <c r="A462" t="str">
        <f>"001965"</f>
        <v>001965</v>
      </c>
      <c r="B462" t="s">
        <v>924</v>
      </c>
      <c r="C462">
        <v>0.99</v>
      </c>
      <c r="D462">
        <v>15.41</v>
      </c>
      <c r="E462">
        <v>9.15</v>
      </c>
      <c r="F462">
        <v>0.09</v>
      </c>
      <c r="G462">
        <v>9.15</v>
      </c>
      <c r="H462">
        <v>9.16</v>
      </c>
      <c r="I462" t="s">
        <v>925</v>
      </c>
      <c r="J462">
        <v>0.97</v>
      </c>
      <c r="K462">
        <v>0.97</v>
      </c>
      <c r="L462">
        <v>9.07</v>
      </c>
      <c r="M462">
        <v>9.23</v>
      </c>
      <c r="N462">
        <v>9.0399999999999991</v>
      </c>
    </row>
    <row r="463" spans="1:14" x14ac:dyDescent="0.5">
      <c r="A463" t="str">
        <f>"001979"</f>
        <v>001979</v>
      </c>
      <c r="B463" t="s">
        <v>926</v>
      </c>
      <c r="C463">
        <v>-0.59</v>
      </c>
      <c r="D463">
        <v>10.08</v>
      </c>
      <c r="E463">
        <v>21.82</v>
      </c>
      <c r="F463">
        <v>-0.13</v>
      </c>
      <c r="G463">
        <v>21.82</v>
      </c>
      <c r="H463">
        <v>21.83</v>
      </c>
      <c r="I463" t="s">
        <v>927</v>
      </c>
      <c r="J463">
        <v>2.27</v>
      </c>
      <c r="K463">
        <v>2.27</v>
      </c>
      <c r="L463">
        <v>22.16</v>
      </c>
      <c r="M463">
        <v>22.58</v>
      </c>
      <c r="N463">
        <v>21.64</v>
      </c>
    </row>
    <row r="464" spans="1:14" x14ac:dyDescent="0.5">
      <c r="A464" t="str">
        <f>"002001"</f>
        <v>002001</v>
      </c>
      <c r="B464" t="s">
        <v>928</v>
      </c>
      <c r="C464">
        <v>1.59</v>
      </c>
      <c r="D464">
        <v>11.36</v>
      </c>
      <c r="E464">
        <v>17.93</v>
      </c>
      <c r="F464">
        <v>0.28000000000000003</v>
      </c>
      <c r="G464">
        <v>17.920000000000002</v>
      </c>
      <c r="H464">
        <v>17.93</v>
      </c>
      <c r="I464" t="s">
        <v>929</v>
      </c>
      <c r="J464">
        <v>1.62</v>
      </c>
      <c r="K464">
        <v>1.62</v>
      </c>
      <c r="L464">
        <v>17.600000000000001</v>
      </c>
      <c r="M464">
        <v>17.96</v>
      </c>
      <c r="N464">
        <v>17.48</v>
      </c>
    </row>
    <row r="465" spans="1:14" x14ac:dyDescent="0.5">
      <c r="A465" t="str">
        <f>"002002"</f>
        <v>002002</v>
      </c>
      <c r="B465" t="s">
        <v>930</v>
      </c>
      <c r="C465">
        <v>1.44</v>
      </c>
      <c r="D465">
        <v>15.25</v>
      </c>
      <c r="E465">
        <v>4.9400000000000004</v>
      </c>
      <c r="F465">
        <v>7.0000000000000007E-2</v>
      </c>
      <c r="G465">
        <v>4.9400000000000004</v>
      </c>
      <c r="H465">
        <v>4.95</v>
      </c>
      <c r="I465" t="s">
        <v>931</v>
      </c>
      <c r="J465">
        <v>3.26</v>
      </c>
      <c r="K465">
        <v>3.26</v>
      </c>
      <c r="L465">
        <v>4.79</v>
      </c>
      <c r="M465">
        <v>4.95</v>
      </c>
      <c r="N465">
        <v>4.74</v>
      </c>
    </row>
    <row r="466" spans="1:14" x14ac:dyDescent="0.5">
      <c r="A466" t="str">
        <f>"002003"</f>
        <v>002003</v>
      </c>
      <c r="B466" t="s">
        <v>932</v>
      </c>
      <c r="C466">
        <v>-0.13</v>
      </c>
      <c r="D466">
        <v>14.56</v>
      </c>
      <c r="E466">
        <v>7.54</v>
      </c>
      <c r="F466">
        <v>-0.01</v>
      </c>
      <c r="G466">
        <v>7.54</v>
      </c>
      <c r="H466">
        <v>7.55</v>
      </c>
      <c r="I466" t="s">
        <v>790</v>
      </c>
      <c r="J466">
        <v>1.6</v>
      </c>
      <c r="K466">
        <v>1.6</v>
      </c>
      <c r="L466">
        <v>7.53</v>
      </c>
      <c r="M466">
        <v>7.57</v>
      </c>
      <c r="N466">
        <v>7.45</v>
      </c>
    </row>
    <row r="467" spans="1:14" x14ac:dyDescent="0.5">
      <c r="A467" t="str">
        <f>"002004"</f>
        <v>002004</v>
      </c>
      <c r="B467" t="s">
        <v>933</v>
      </c>
      <c r="C467">
        <v>1.65</v>
      </c>
      <c r="D467">
        <v>20.64</v>
      </c>
      <c r="E467">
        <v>5.54</v>
      </c>
      <c r="F467">
        <v>0.09</v>
      </c>
      <c r="G467">
        <v>5.54</v>
      </c>
      <c r="H467">
        <v>5.55</v>
      </c>
      <c r="I467" t="s">
        <v>934</v>
      </c>
      <c r="J467">
        <v>0.99</v>
      </c>
      <c r="K467">
        <v>0.99</v>
      </c>
      <c r="L467">
        <v>5.44</v>
      </c>
      <c r="M467">
        <v>5.56</v>
      </c>
      <c r="N467">
        <v>5.42</v>
      </c>
    </row>
    <row r="468" spans="1:14" x14ac:dyDescent="0.5">
      <c r="A468" t="str">
        <f>"002005"</f>
        <v>002005</v>
      </c>
      <c r="B468" t="s">
        <v>935</v>
      </c>
      <c r="C468">
        <v>5.67</v>
      </c>
      <c r="D468" t="s">
        <v>24</v>
      </c>
      <c r="E468">
        <v>2.98</v>
      </c>
      <c r="F468">
        <v>0.16</v>
      </c>
      <c r="G468">
        <v>2.98</v>
      </c>
      <c r="H468">
        <v>2.99</v>
      </c>
      <c r="I468" t="s">
        <v>936</v>
      </c>
      <c r="J468">
        <v>4.5</v>
      </c>
      <c r="K468">
        <v>4.5</v>
      </c>
      <c r="L468">
        <v>2.81</v>
      </c>
      <c r="M468">
        <v>2.99</v>
      </c>
      <c r="N468">
        <v>2.77</v>
      </c>
    </row>
    <row r="469" spans="1:14" x14ac:dyDescent="0.5">
      <c r="A469" t="str">
        <f>"002006"</f>
        <v>002006</v>
      </c>
      <c r="B469" t="s">
        <v>937</v>
      </c>
      <c r="C469">
        <v>3.23</v>
      </c>
      <c r="D469">
        <v>26.02</v>
      </c>
      <c r="E469">
        <v>6.07</v>
      </c>
      <c r="F469">
        <v>0.19</v>
      </c>
      <c r="G469">
        <v>6.07</v>
      </c>
      <c r="H469">
        <v>6.08</v>
      </c>
      <c r="I469" t="s">
        <v>938</v>
      </c>
      <c r="J469">
        <v>3.43</v>
      </c>
      <c r="K469">
        <v>3.43</v>
      </c>
      <c r="L469">
        <v>5.83</v>
      </c>
      <c r="M469">
        <v>6.08</v>
      </c>
      <c r="N469">
        <v>5.8</v>
      </c>
    </row>
    <row r="470" spans="1:14" x14ac:dyDescent="0.5">
      <c r="A470" t="str">
        <f>"002007"</f>
        <v>002007</v>
      </c>
      <c r="B470" t="s">
        <v>939</v>
      </c>
      <c r="C470">
        <v>0.8</v>
      </c>
      <c r="D470">
        <v>37.78</v>
      </c>
      <c r="E470">
        <v>39.21</v>
      </c>
      <c r="F470">
        <v>0.31</v>
      </c>
      <c r="G470">
        <v>39.21</v>
      </c>
      <c r="H470">
        <v>39.22</v>
      </c>
      <c r="I470" t="s">
        <v>940</v>
      </c>
      <c r="J470">
        <v>1.17</v>
      </c>
      <c r="K470">
        <v>1.17</v>
      </c>
      <c r="L470">
        <v>38.72</v>
      </c>
      <c r="M470">
        <v>39.299999999999997</v>
      </c>
      <c r="N470">
        <v>38.6</v>
      </c>
    </row>
    <row r="471" spans="1:14" x14ac:dyDescent="0.5">
      <c r="A471" t="str">
        <f>"002008"</f>
        <v>002008</v>
      </c>
      <c r="B471" t="s">
        <v>941</v>
      </c>
      <c r="C471">
        <v>0.62</v>
      </c>
      <c r="D471">
        <v>23.46</v>
      </c>
      <c r="E471">
        <v>42.26</v>
      </c>
      <c r="F471">
        <v>0.26</v>
      </c>
      <c r="G471">
        <v>42.26</v>
      </c>
      <c r="H471">
        <v>42.27</v>
      </c>
      <c r="I471" t="s">
        <v>942</v>
      </c>
      <c r="J471">
        <v>2.23</v>
      </c>
      <c r="K471">
        <v>2.23</v>
      </c>
      <c r="L471">
        <v>41.61</v>
      </c>
      <c r="M471">
        <v>42.28</v>
      </c>
      <c r="N471">
        <v>40.840000000000003</v>
      </c>
    </row>
    <row r="472" spans="1:14" x14ac:dyDescent="0.5">
      <c r="A472" t="str">
        <f>"002009"</f>
        <v>002009</v>
      </c>
      <c r="B472" t="s">
        <v>943</v>
      </c>
      <c r="C472">
        <v>3.88</v>
      </c>
      <c r="D472">
        <v>27.8</v>
      </c>
      <c r="E472">
        <v>11.24</v>
      </c>
      <c r="F472">
        <v>0.42</v>
      </c>
      <c r="G472">
        <v>11.23</v>
      </c>
      <c r="H472">
        <v>11.24</v>
      </c>
      <c r="I472" t="s">
        <v>944</v>
      </c>
      <c r="J472">
        <v>4.92</v>
      </c>
      <c r="K472">
        <v>4.92</v>
      </c>
      <c r="L472">
        <v>10.79</v>
      </c>
      <c r="M472">
        <v>11.27</v>
      </c>
      <c r="N472">
        <v>10.75</v>
      </c>
    </row>
    <row r="473" spans="1:14" x14ac:dyDescent="0.5">
      <c r="A473" t="str">
        <f>"002010"</f>
        <v>002010</v>
      </c>
      <c r="B473" t="s">
        <v>945</v>
      </c>
      <c r="C473">
        <v>-0.12</v>
      </c>
      <c r="D473">
        <v>41.93</v>
      </c>
      <c r="E473">
        <v>8.24</v>
      </c>
      <c r="F473">
        <v>-0.01</v>
      </c>
      <c r="G473">
        <v>8.24</v>
      </c>
      <c r="H473">
        <v>8.25</v>
      </c>
      <c r="I473" t="s">
        <v>946</v>
      </c>
      <c r="J473">
        <v>0.59</v>
      </c>
      <c r="K473">
        <v>0.59</v>
      </c>
      <c r="L473">
        <v>8.25</v>
      </c>
      <c r="M473">
        <v>8.25</v>
      </c>
      <c r="N473">
        <v>8.06</v>
      </c>
    </row>
    <row r="474" spans="1:14" x14ac:dyDescent="0.5">
      <c r="A474" t="str">
        <f>"002011"</f>
        <v>002011</v>
      </c>
      <c r="B474" t="s">
        <v>947</v>
      </c>
      <c r="C474">
        <v>3.04</v>
      </c>
      <c r="D474">
        <v>67.319999999999993</v>
      </c>
      <c r="E474">
        <v>5.76</v>
      </c>
      <c r="F474">
        <v>0.17</v>
      </c>
      <c r="G474">
        <v>5.76</v>
      </c>
      <c r="H474">
        <v>5.77</v>
      </c>
      <c r="I474" t="s">
        <v>948</v>
      </c>
      <c r="J474">
        <v>4.8600000000000003</v>
      </c>
      <c r="K474">
        <v>4.8600000000000003</v>
      </c>
      <c r="L474">
        <v>5.54</v>
      </c>
      <c r="M474">
        <v>5.76</v>
      </c>
      <c r="N474">
        <v>5.49</v>
      </c>
    </row>
    <row r="475" spans="1:14" x14ac:dyDescent="0.5">
      <c r="A475" t="str">
        <f>"002012"</f>
        <v>002012</v>
      </c>
      <c r="B475" t="s">
        <v>949</v>
      </c>
      <c r="C475">
        <v>6.39</v>
      </c>
      <c r="D475">
        <v>87.52</v>
      </c>
      <c r="E475">
        <v>5.16</v>
      </c>
      <c r="F475">
        <v>0.31</v>
      </c>
      <c r="G475">
        <v>5.15</v>
      </c>
      <c r="H475">
        <v>5.16</v>
      </c>
      <c r="I475" t="s">
        <v>950</v>
      </c>
      <c r="J475">
        <v>11.16</v>
      </c>
      <c r="K475">
        <v>11.16</v>
      </c>
      <c r="L475">
        <v>4.79</v>
      </c>
      <c r="M475">
        <v>5.18</v>
      </c>
      <c r="N475">
        <v>4.7699999999999996</v>
      </c>
    </row>
    <row r="476" spans="1:14" x14ac:dyDescent="0.5">
      <c r="A476" t="str">
        <f>"002013"</f>
        <v>002013</v>
      </c>
      <c r="B476" t="s">
        <v>951</v>
      </c>
      <c r="C476">
        <v>2.2200000000000002</v>
      </c>
      <c r="D476">
        <v>39.53</v>
      </c>
      <c r="E476">
        <v>7.83</v>
      </c>
      <c r="F476">
        <v>0.17</v>
      </c>
      <c r="G476">
        <v>7.82</v>
      </c>
      <c r="H476">
        <v>7.83</v>
      </c>
      <c r="I476" t="s">
        <v>952</v>
      </c>
      <c r="J476">
        <v>1.75</v>
      </c>
      <c r="K476">
        <v>1.75</v>
      </c>
      <c r="L476">
        <v>7.64</v>
      </c>
      <c r="M476">
        <v>7.84</v>
      </c>
      <c r="N476">
        <v>7.56</v>
      </c>
    </row>
    <row r="477" spans="1:14" x14ac:dyDescent="0.5">
      <c r="A477" t="str">
        <f>"002014"</f>
        <v>002014</v>
      </c>
      <c r="B477" t="s">
        <v>953</v>
      </c>
      <c r="C477">
        <v>0.54</v>
      </c>
      <c r="D477">
        <v>16.32</v>
      </c>
      <c r="E477">
        <v>7.38</v>
      </c>
      <c r="F477">
        <v>0.04</v>
      </c>
      <c r="G477">
        <v>7.37</v>
      </c>
      <c r="H477">
        <v>7.38</v>
      </c>
      <c r="I477" t="s">
        <v>954</v>
      </c>
      <c r="J477">
        <v>0.67</v>
      </c>
      <c r="K477">
        <v>0.67</v>
      </c>
      <c r="L477">
        <v>7.35</v>
      </c>
      <c r="M477">
        <v>7.4</v>
      </c>
      <c r="N477">
        <v>7.28</v>
      </c>
    </row>
    <row r="478" spans="1:14" x14ac:dyDescent="0.5">
      <c r="A478" t="str">
        <f>"002015"</f>
        <v>002015</v>
      </c>
      <c r="B478" t="s">
        <v>955</v>
      </c>
      <c r="C478">
        <v>1.33</v>
      </c>
      <c r="D478">
        <v>171.75</v>
      </c>
      <c r="E478">
        <v>5.33</v>
      </c>
      <c r="F478">
        <v>7.0000000000000007E-2</v>
      </c>
      <c r="G478">
        <v>5.33</v>
      </c>
      <c r="H478">
        <v>5.34</v>
      </c>
      <c r="I478" t="s">
        <v>956</v>
      </c>
      <c r="J478">
        <v>1.22</v>
      </c>
      <c r="K478">
        <v>1.22</v>
      </c>
      <c r="L478">
        <v>5.28</v>
      </c>
      <c r="M478">
        <v>5.35</v>
      </c>
      <c r="N478">
        <v>5.25</v>
      </c>
    </row>
    <row r="479" spans="1:14" x14ac:dyDescent="0.5">
      <c r="A479" t="str">
        <f>"002016"</f>
        <v>002016</v>
      </c>
      <c r="B479" t="s">
        <v>957</v>
      </c>
      <c r="C479">
        <v>1.29</v>
      </c>
      <c r="D479">
        <v>7.84</v>
      </c>
      <c r="E479">
        <v>10.99</v>
      </c>
      <c r="F479">
        <v>0.14000000000000001</v>
      </c>
      <c r="G479">
        <v>10.99</v>
      </c>
      <c r="H479">
        <v>11</v>
      </c>
      <c r="I479" t="s">
        <v>958</v>
      </c>
      <c r="J479">
        <v>3.52</v>
      </c>
      <c r="K479">
        <v>3.52</v>
      </c>
      <c r="L479">
        <v>10.78</v>
      </c>
      <c r="M479">
        <v>11.17</v>
      </c>
      <c r="N479">
        <v>10.75</v>
      </c>
    </row>
    <row r="480" spans="1:14" x14ac:dyDescent="0.5">
      <c r="A480" t="str">
        <f>"002017"</f>
        <v>002017</v>
      </c>
      <c r="B480" t="s">
        <v>959</v>
      </c>
      <c r="C480">
        <v>10.01</v>
      </c>
      <c r="D480">
        <v>161.35</v>
      </c>
      <c r="E480">
        <v>17.04</v>
      </c>
      <c r="F480">
        <v>1.55</v>
      </c>
      <c r="G480">
        <v>17.04</v>
      </c>
      <c r="H480" t="s">
        <v>24</v>
      </c>
      <c r="I480" t="s">
        <v>960</v>
      </c>
      <c r="J480">
        <v>0.69</v>
      </c>
      <c r="K480">
        <v>0.69</v>
      </c>
      <c r="L480">
        <v>17.04</v>
      </c>
      <c r="M480">
        <v>17.04</v>
      </c>
      <c r="N480">
        <v>17.04</v>
      </c>
    </row>
    <row r="481" spans="1:14" x14ac:dyDescent="0.5">
      <c r="A481" t="str">
        <f>"002018"</f>
        <v>002018</v>
      </c>
      <c r="B481" t="s">
        <v>961</v>
      </c>
      <c r="C481">
        <v>0.8</v>
      </c>
      <c r="D481" t="s">
        <v>24</v>
      </c>
      <c r="E481">
        <v>1.26</v>
      </c>
      <c r="F481">
        <v>0.01</v>
      </c>
      <c r="G481">
        <v>1.25</v>
      </c>
      <c r="H481">
        <v>1.26</v>
      </c>
      <c r="I481" t="s">
        <v>962</v>
      </c>
      <c r="J481">
        <v>0.98</v>
      </c>
      <c r="K481">
        <v>0.98</v>
      </c>
      <c r="L481">
        <v>1.25</v>
      </c>
      <c r="M481">
        <v>1.26</v>
      </c>
      <c r="N481">
        <v>1.23</v>
      </c>
    </row>
    <row r="482" spans="1:14" x14ac:dyDescent="0.5">
      <c r="A482" t="str">
        <f>"002019"</f>
        <v>002019</v>
      </c>
      <c r="B482" t="s">
        <v>963</v>
      </c>
      <c r="C482">
        <v>8.31</v>
      </c>
      <c r="D482">
        <v>12.03</v>
      </c>
      <c r="E482">
        <v>12.78</v>
      </c>
      <c r="F482">
        <v>0.98</v>
      </c>
      <c r="G482">
        <v>12.78</v>
      </c>
      <c r="H482">
        <v>12.79</v>
      </c>
      <c r="I482" t="s">
        <v>964</v>
      </c>
      <c r="J482">
        <v>4.3899999999999997</v>
      </c>
      <c r="K482">
        <v>4.3899999999999997</v>
      </c>
      <c r="L482">
        <v>11.87</v>
      </c>
      <c r="M482">
        <v>12.85</v>
      </c>
      <c r="N482">
        <v>11.87</v>
      </c>
    </row>
    <row r="483" spans="1:14" x14ac:dyDescent="0.5">
      <c r="A483" t="str">
        <f>"002020"</f>
        <v>002020</v>
      </c>
      <c r="B483" t="s">
        <v>965</v>
      </c>
      <c r="C483">
        <v>0.8</v>
      </c>
      <c r="D483">
        <v>20</v>
      </c>
      <c r="E483">
        <v>10.1</v>
      </c>
      <c r="F483">
        <v>0.08</v>
      </c>
      <c r="G483">
        <v>10.09</v>
      </c>
      <c r="H483">
        <v>10.1</v>
      </c>
      <c r="I483" t="s">
        <v>966</v>
      </c>
      <c r="J483">
        <v>1.72</v>
      </c>
      <c r="K483">
        <v>1.72</v>
      </c>
      <c r="L483">
        <v>10</v>
      </c>
      <c r="M483">
        <v>10.1</v>
      </c>
      <c r="N483">
        <v>9.85</v>
      </c>
    </row>
    <row r="484" spans="1:14" x14ac:dyDescent="0.5">
      <c r="A484" t="str">
        <f>"002021"</f>
        <v>002021</v>
      </c>
      <c r="B484" t="s">
        <v>967</v>
      </c>
      <c r="C484">
        <v>3.11</v>
      </c>
      <c r="D484" t="s">
        <v>24</v>
      </c>
      <c r="E484">
        <v>3.32</v>
      </c>
      <c r="F484">
        <v>0.1</v>
      </c>
      <c r="G484">
        <v>3.31</v>
      </c>
      <c r="H484">
        <v>3.32</v>
      </c>
      <c r="I484" t="s">
        <v>968</v>
      </c>
      <c r="J484">
        <v>4.0999999999999996</v>
      </c>
      <c r="K484">
        <v>4.0999999999999996</v>
      </c>
      <c r="L484">
        <v>3.26</v>
      </c>
      <c r="M484">
        <v>3.38</v>
      </c>
      <c r="N484">
        <v>3.22</v>
      </c>
    </row>
    <row r="485" spans="1:14" x14ac:dyDescent="0.5">
      <c r="A485" t="str">
        <f>"002022"</f>
        <v>002022</v>
      </c>
      <c r="B485" t="s">
        <v>969</v>
      </c>
      <c r="C485">
        <v>3.08</v>
      </c>
      <c r="D485">
        <v>24.42</v>
      </c>
      <c r="E485">
        <v>11.39</v>
      </c>
      <c r="F485">
        <v>0.34</v>
      </c>
      <c r="G485">
        <v>11.38</v>
      </c>
      <c r="H485">
        <v>11.39</v>
      </c>
      <c r="I485" t="s">
        <v>970</v>
      </c>
      <c r="J485">
        <v>2.7</v>
      </c>
      <c r="K485">
        <v>2.7</v>
      </c>
      <c r="L485">
        <v>10.98</v>
      </c>
      <c r="M485">
        <v>11.43</v>
      </c>
      <c r="N485">
        <v>10.94</v>
      </c>
    </row>
    <row r="486" spans="1:14" x14ac:dyDescent="0.5">
      <c r="A486" t="str">
        <f>"002023"</f>
        <v>002023</v>
      </c>
      <c r="B486" t="s">
        <v>971</v>
      </c>
      <c r="C486">
        <v>7.24</v>
      </c>
      <c r="D486">
        <v>226.56</v>
      </c>
      <c r="E486">
        <v>12.59</v>
      </c>
      <c r="F486">
        <v>0.85</v>
      </c>
      <c r="G486">
        <v>12.58</v>
      </c>
      <c r="H486">
        <v>12.59</v>
      </c>
      <c r="I486" t="s">
        <v>972</v>
      </c>
      <c r="J486">
        <v>10.16</v>
      </c>
      <c r="K486">
        <v>10.16</v>
      </c>
      <c r="L486">
        <v>11.62</v>
      </c>
      <c r="M486">
        <v>12.87</v>
      </c>
      <c r="N486">
        <v>11.51</v>
      </c>
    </row>
    <row r="487" spans="1:14" x14ac:dyDescent="0.5">
      <c r="A487" t="str">
        <f>"002024"</f>
        <v>002024</v>
      </c>
      <c r="B487" t="s">
        <v>973</v>
      </c>
      <c r="C487">
        <v>0.95</v>
      </c>
      <c r="D487">
        <v>11.86</v>
      </c>
      <c r="E487">
        <v>12.77</v>
      </c>
      <c r="F487">
        <v>0.12</v>
      </c>
      <c r="G487">
        <v>12.76</v>
      </c>
      <c r="H487">
        <v>12.77</v>
      </c>
      <c r="I487" t="s">
        <v>974</v>
      </c>
      <c r="J487">
        <v>1.38</v>
      </c>
      <c r="K487">
        <v>1.38</v>
      </c>
      <c r="L487">
        <v>12.57</v>
      </c>
      <c r="M487">
        <v>12.97</v>
      </c>
      <c r="N487">
        <v>12.53</v>
      </c>
    </row>
    <row r="488" spans="1:14" x14ac:dyDescent="0.5">
      <c r="A488" t="str">
        <f>"002025"</f>
        <v>002025</v>
      </c>
      <c r="B488" t="s">
        <v>975</v>
      </c>
      <c r="C488">
        <v>2.2000000000000002</v>
      </c>
      <c r="D488">
        <v>33.880000000000003</v>
      </c>
      <c r="E488">
        <v>28.3</v>
      </c>
      <c r="F488">
        <v>0.61</v>
      </c>
      <c r="G488">
        <v>28.29</v>
      </c>
      <c r="H488">
        <v>28.3</v>
      </c>
      <c r="I488" t="s">
        <v>976</v>
      </c>
      <c r="J488">
        <v>1.66</v>
      </c>
      <c r="K488">
        <v>1.66</v>
      </c>
      <c r="L488">
        <v>27.55</v>
      </c>
      <c r="M488">
        <v>28.3</v>
      </c>
      <c r="N488">
        <v>27.36</v>
      </c>
    </row>
    <row r="489" spans="1:14" x14ac:dyDescent="0.5">
      <c r="A489" t="str">
        <f>"002026"</f>
        <v>002026</v>
      </c>
      <c r="B489" t="s">
        <v>977</v>
      </c>
      <c r="C489">
        <v>3.79</v>
      </c>
      <c r="D489">
        <v>16.22</v>
      </c>
      <c r="E489">
        <v>6.58</v>
      </c>
      <c r="F489">
        <v>0.24</v>
      </c>
      <c r="G489">
        <v>6.57</v>
      </c>
      <c r="H489">
        <v>6.58</v>
      </c>
      <c r="I489" t="s">
        <v>978</v>
      </c>
      <c r="J489">
        <v>3.18</v>
      </c>
      <c r="K489">
        <v>3.18</v>
      </c>
      <c r="L489">
        <v>6.34</v>
      </c>
      <c r="M489">
        <v>6.59</v>
      </c>
      <c r="N489">
        <v>6.31</v>
      </c>
    </row>
    <row r="490" spans="1:14" x14ac:dyDescent="0.5">
      <c r="A490" t="str">
        <f>"002027"</f>
        <v>002027</v>
      </c>
      <c r="B490" t="s">
        <v>979</v>
      </c>
      <c r="C490">
        <v>1.3</v>
      </c>
      <c r="D490">
        <v>14.64</v>
      </c>
      <c r="E490">
        <v>6.99</v>
      </c>
      <c r="F490">
        <v>0.09</v>
      </c>
      <c r="G490">
        <v>6.98</v>
      </c>
      <c r="H490">
        <v>6.99</v>
      </c>
      <c r="I490" t="s">
        <v>980</v>
      </c>
      <c r="J490">
        <v>1.37</v>
      </c>
      <c r="K490">
        <v>1.37</v>
      </c>
      <c r="L490">
        <v>6.89</v>
      </c>
      <c r="M490">
        <v>6.99</v>
      </c>
      <c r="N490">
        <v>6.75</v>
      </c>
    </row>
    <row r="491" spans="1:14" x14ac:dyDescent="0.5">
      <c r="A491" t="str">
        <f>"002028"</f>
        <v>002028</v>
      </c>
      <c r="B491" t="s">
        <v>981</v>
      </c>
      <c r="C491">
        <v>1.58</v>
      </c>
      <c r="D491">
        <v>28.93</v>
      </c>
      <c r="E491">
        <v>12.25</v>
      </c>
      <c r="F491">
        <v>0.19</v>
      </c>
      <c r="G491">
        <v>12.24</v>
      </c>
      <c r="H491">
        <v>12.25</v>
      </c>
      <c r="I491" t="s">
        <v>982</v>
      </c>
      <c r="J491">
        <v>4.7</v>
      </c>
      <c r="K491">
        <v>4.7</v>
      </c>
      <c r="L491">
        <v>12</v>
      </c>
      <c r="M491">
        <v>12.25</v>
      </c>
      <c r="N491">
        <v>11.84</v>
      </c>
    </row>
    <row r="492" spans="1:14" x14ac:dyDescent="0.5">
      <c r="A492" t="str">
        <f>"002029"</f>
        <v>002029</v>
      </c>
      <c r="B492" t="s">
        <v>983</v>
      </c>
      <c r="C492">
        <v>1.4</v>
      </c>
      <c r="D492">
        <v>15.81</v>
      </c>
      <c r="E492">
        <v>7.25</v>
      </c>
      <c r="F492">
        <v>0.1</v>
      </c>
      <c r="G492">
        <v>7.24</v>
      </c>
      <c r="H492">
        <v>7.25</v>
      </c>
      <c r="I492" t="s">
        <v>984</v>
      </c>
      <c r="J492">
        <v>1.75</v>
      </c>
      <c r="K492">
        <v>1.75</v>
      </c>
      <c r="L492">
        <v>7.1</v>
      </c>
      <c r="M492">
        <v>7.26</v>
      </c>
      <c r="N492">
        <v>7.06</v>
      </c>
    </row>
    <row r="493" spans="1:14" x14ac:dyDescent="0.5">
      <c r="A493" t="str">
        <f>"002030"</f>
        <v>002030</v>
      </c>
      <c r="B493" t="s">
        <v>985</v>
      </c>
      <c r="C493">
        <v>2.4</v>
      </c>
      <c r="D493">
        <v>105.61</v>
      </c>
      <c r="E493">
        <v>12.8</v>
      </c>
      <c r="F493">
        <v>0.3</v>
      </c>
      <c r="G493">
        <v>12.79</v>
      </c>
      <c r="H493">
        <v>12.8</v>
      </c>
      <c r="I493" t="s">
        <v>986</v>
      </c>
      <c r="J493">
        <v>3.84</v>
      </c>
      <c r="K493">
        <v>3.84</v>
      </c>
      <c r="L493">
        <v>12.6</v>
      </c>
      <c r="M493">
        <v>12.93</v>
      </c>
      <c r="N493">
        <v>12.28</v>
      </c>
    </row>
    <row r="494" spans="1:14" x14ac:dyDescent="0.5">
      <c r="A494" t="str">
        <f>"002031"</f>
        <v>002031</v>
      </c>
      <c r="B494" t="s">
        <v>987</v>
      </c>
      <c r="C494">
        <v>10.16</v>
      </c>
      <c r="D494">
        <v>77.180000000000007</v>
      </c>
      <c r="E494">
        <v>2.71</v>
      </c>
      <c r="F494">
        <v>0.25</v>
      </c>
      <c r="G494">
        <v>2.71</v>
      </c>
      <c r="H494" t="s">
        <v>24</v>
      </c>
      <c r="I494" t="s">
        <v>988</v>
      </c>
      <c r="J494">
        <v>5.6</v>
      </c>
      <c r="K494">
        <v>5.6</v>
      </c>
      <c r="L494">
        <v>2.46</v>
      </c>
      <c r="M494">
        <v>2.71</v>
      </c>
      <c r="N494">
        <v>2.42</v>
      </c>
    </row>
    <row r="495" spans="1:14" x14ac:dyDescent="0.5">
      <c r="A495" t="str">
        <f>"002032"</f>
        <v>002032</v>
      </c>
      <c r="B495" t="s">
        <v>989</v>
      </c>
      <c r="C495">
        <v>-0.23</v>
      </c>
      <c r="D495">
        <v>35.22</v>
      </c>
      <c r="E495">
        <v>65.92</v>
      </c>
      <c r="F495">
        <v>-0.15</v>
      </c>
      <c r="G495">
        <v>65.92</v>
      </c>
      <c r="H495">
        <v>65.94</v>
      </c>
      <c r="I495" t="s">
        <v>990</v>
      </c>
      <c r="J495">
        <v>0.27</v>
      </c>
      <c r="K495">
        <v>0.27</v>
      </c>
      <c r="L495">
        <v>65.489999999999995</v>
      </c>
      <c r="M495">
        <v>66.900000000000006</v>
      </c>
      <c r="N495">
        <v>65</v>
      </c>
    </row>
    <row r="496" spans="1:14" x14ac:dyDescent="0.5">
      <c r="A496" t="str">
        <f>"002033"</f>
        <v>002033</v>
      </c>
      <c r="B496" t="s">
        <v>991</v>
      </c>
      <c r="C496">
        <v>0.61</v>
      </c>
      <c r="D496">
        <v>15.84</v>
      </c>
      <c r="E496">
        <v>6.56</v>
      </c>
      <c r="F496">
        <v>0.04</v>
      </c>
      <c r="G496">
        <v>6.55</v>
      </c>
      <c r="H496">
        <v>6.56</v>
      </c>
      <c r="I496" t="s">
        <v>992</v>
      </c>
      <c r="J496">
        <v>1.3</v>
      </c>
      <c r="K496">
        <v>1.3</v>
      </c>
      <c r="L496">
        <v>6.44</v>
      </c>
      <c r="M496">
        <v>6.57</v>
      </c>
      <c r="N496">
        <v>6.43</v>
      </c>
    </row>
    <row r="497" spans="1:14" x14ac:dyDescent="0.5">
      <c r="A497" t="str">
        <f>"002034"</f>
        <v>002034</v>
      </c>
      <c r="B497" t="s">
        <v>993</v>
      </c>
      <c r="C497">
        <v>-0.46</v>
      </c>
      <c r="D497">
        <v>24.48</v>
      </c>
      <c r="E497">
        <v>17.23</v>
      </c>
      <c r="F497">
        <v>-0.08</v>
      </c>
      <c r="G497">
        <v>17.23</v>
      </c>
      <c r="H497">
        <v>17.239999999999998</v>
      </c>
      <c r="I497" t="s">
        <v>994</v>
      </c>
      <c r="J497">
        <v>2.42</v>
      </c>
      <c r="K497">
        <v>2.42</v>
      </c>
      <c r="L497">
        <v>17.2</v>
      </c>
      <c r="M497">
        <v>17.3</v>
      </c>
      <c r="N497">
        <v>16.8</v>
      </c>
    </row>
    <row r="498" spans="1:14" x14ac:dyDescent="0.5">
      <c r="A498" t="str">
        <f>"002035"</f>
        <v>002035</v>
      </c>
      <c r="B498" t="s">
        <v>995</v>
      </c>
      <c r="C498">
        <v>4.3099999999999996</v>
      </c>
      <c r="D498">
        <v>15.05</v>
      </c>
      <c r="E498">
        <v>12.11</v>
      </c>
      <c r="F498">
        <v>0.5</v>
      </c>
      <c r="G498">
        <v>12.11</v>
      </c>
      <c r="H498">
        <v>12.12</v>
      </c>
      <c r="I498" t="s">
        <v>996</v>
      </c>
      <c r="J498">
        <v>6.41</v>
      </c>
      <c r="K498">
        <v>6.41</v>
      </c>
      <c r="L498">
        <v>11.75</v>
      </c>
      <c r="M498">
        <v>12.34</v>
      </c>
      <c r="N498">
        <v>11.52</v>
      </c>
    </row>
    <row r="499" spans="1:14" x14ac:dyDescent="0.5">
      <c r="A499" t="str">
        <f>"002036"</f>
        <v>002036</v>
      </c>
      <c r="B499" t="s">
        <v>997</v>
      </c>
      <c r="C499">
        <v>6.95</v>
      </c>
      <c r="D499">
        <v>20.49</v>
      </c>
      <c r="E499">
        <v>12.78</v>
      </c>
      <c r="F499">
        <v>0.83</v>
      </c>
      <c r="G499">
        <v>12.78</v>
      </c>
      <c r="H499">
        <v>12.79</v>
      </c>
      <c r="I499" t="s">
        <v>998</v>
      </c>
      <c r="J499">
        <v>5.37</v>
      </c>
      <c r="K499">
        <v>5.37</v>
      </c>
      <c r="L499">
        <v>11.86</v>
      </c>
      <c r="M499">
        <v>13.09</v>
      </c>
      <c r="N499">
        <v>11.78</v>
      </c>
    </row>
    <row r="500" spans="1:14" x14ac:dyDescent="0.5">
      <c r="A500" t="str">
        <f>"002037"</f>
        <v>002037</v>
      </c>
      <c r="B500" t="s">
        <v>999</v>
      </c>
      <c r="C500">
        <v>5.21</v>
      </c>
      <c r="D500">
        <v>51.83</v>
      </c>
      <c r="E500">
        <v>10.1</v>
      </c>
      <c r="F500">
        <v>0.5</v>
      </c>
      <c r="G500">
        <v>10.1</v>
      </c>
      <c r="H500">
        <v>10.11</v>
      </c>
      <c r="I500" t="s">
        <v>1000</v>
      </c>
      <c r="J500">
        <v>5.61</v>
      </c>
      <c r="K500">
        <v>5.61</v>
      </c>
      <c r="L500">
        <v>9.6999999999999993</v>
      </c>
      <c r="M500">
        <v>10.37</v>
      </c>
      <c r="N500">
        <v>9.6999999999999993</v>
      </c>
    </row>
    <row r="501" spans="1:14" x14ac:dyDescent="0.5">
      <c r="A501" t="str">
        <f>"002038"</f>
        <v>002038</v>
      </c>
      <c r="B501" t="s">
        <v>1001</v>
      </c>
      <c r="C501">
        <v>0.59</v>
      </c>
      <c r="D501">
        <v>27.45</v>
      </c>
      <c r="E501">
        <v>27.39</v>
      </c>
      <c r="F501">
        <v>0.16</v>
      </c>
      <c r="G501">
        <v>27.39</v>
      </c>
      <c r="H501">
        <v>27.4</v>
      </c>
      <c r="I501" t="s">
        <v>1002</v>
      </c>
      <c r="J501">
        <v>2.2599999999999998</v>
      </c>
      <c r="K501">
        <v>2.2599999999999998</v>
      </c>
      <c r="L501">
        <v>27.15</v>
      </c>
      <c r="M501">
        <v>27.4</v>
      </c>
      <c r="N501">
        <v>26.9</v>
      </c>
    </row>
    <row r="502" spans="1:14" x14ac:dyDescent="0.5">
      <c r="A502" t="str">
        <f>"002039"</f>
        <v>002039</v>
      </c>
      <c r="B502" t="s">
        <v>1003</v>
      </c>
      <c r="C502">
        <v>0</v>
      </c>
      <c r="D502">
        <v>16.100000000000001</v>
      </c>
      <c r="E502">
        <v>14.28</v>
      </c>
      <c r="F502">
        <v>0</v>
      </c>
      <c r="G502">
        <v>14.28</v>
      </c>
      <c r="H502">
        <v>14.29</v>
      </c>
      <c r="I502" t="s">
        <v>1004</v>
      </c>
      <c r="J502">
        <v>0.53</v>
      </c>
      <c r="K502">
        <v>0.53</v>
      </c>
      <c r="L502">
        <v>14.28</v>
      </c>
      <c r="M502">
        <v>14.32</v>
      </c>
      <c r="N502">
        <v>14.23</v>
      </c>
    </row>
    <row r="503" spans="1:14" x14ac:dyDescent="0.5">
      <c r="A503" t="str">
        <f>"002040"</f>
        <v>002040</v>
      </c>
      <c r="B503" t="s">
        <v>1005</v>
      </c>
      <c r="C503">
        <v>2.59</v>
      </c>
      <c r="D503">
        <v>23.78</v>
      </c>
      <c r="E503">
        <v>10.69</v>
      </c>
      <c r="F503">
        <v>0.27</v>
      </c>
      <c r="G503">
        <v>10.69</v>
      </c>
      <c r="H503">
        <v>10.7</v>
      </c>
      <c r="I503" t="s">
        <v>1006</v>
      </c>
      <c r="J503">
        <v>4.41</v>
      </c>
      <c r="K503">
        <v>4.41</v>
      </c>
      <c r="L503">
        <v>10.42</v>
      </c>
      <c r="M503">
        <v>10.85</v>
      </c>
      <c r="N503">
        <v>10.199999999999999</v>
      </c>
    </row>
    <row r="504" spans="1:14" x14ac:dyDescent="0.5">
      <c r="A504" t="str">
        <f>"002041"</f>
        <v>002041</v>
      </c>
      <c r="B504" t="s">
        <v>1007</v>
      </c>
      <c r="C504">
        <v>3.67</v>
      </c>
      <c r="D504">
        <v>93.87</v>
      </c>
      <c r="E504">
        <v>6.5</v>
      </c>
      <c r="F504">
        <v>0.23</v>
      </c>
      <c r="G504">
        <v>6.49</v>
      </c>
      <c r="H504">
        <v>6.5</v>
      </c>
      <c r="I504" t="s">
        <v>1008</v>
      </c>
      <c r="J504">
        <v>1.72</v>
      </c>
      <c r="K504">
        <v>1.72</v>
      </c>
      <c r="L504">
        <v>6.3</v>
      </c>
      <c r="M504">
        <v>6.5</v>
      </c>
      <c r="N504">
        <v>6.22</v>
      </c>
    </row>
    <row r="505" spans="1:14" x14ac:dyDescent="0.5">
      <c r="A505" t="str">
        <f>"002042"</f>
        <v>002042</v>
      </c>
      <c r="B505" t="s">
        <v>1009</v>
      </c>
      <c r="C505">
        <v>0.31</v>
      </c>
      <c r="D505">
        <v>12.22</v>
      </c>
      <c r="E505">
        <v>6.52</v>
      </c>
      <c r="F505">
        <v>0.02</v>
      </c>
      <c r="G505">
        <v>6.51</v>
      </c>
      <c r="H505">
        <v>6.52</v>
      </c>
      <c r="I505" t="s">
        <v>1010</v>
      </c>
      <c r="J505">
        <v>0.87</v>
      </c>
      <c r="K505">
        <v>0.87</v>
      </c>
      <c r="L505">
        <v>6.46</v>
      </c>
      <c r="M505">
        <v>6.53</v>
      </c>
      <c r="N505">
        <v>6.37</v>
      </c>
    </row>
    <row r="506" spans="1:14" x14ac:dyDescent="0.5">
      <c r="A506" t="str">
        <f>"002043"</f>
        <v>002043</v>
      </c>
      <c r="B506" t="s">
        <v>1011</v>
      </c>
      <c r="C506">
        <v>1.79</v>
      </c>
      <c r="D506">
        <v>12.89</v>
      </c>
      <c r="E506">
        <v>6.27</v>
      </c>
      <c r="F506">
        <v>0.11</v>
      </c>
      <c r="G506">
        <v>6.27</v>
      </c>
      <c r="H506">
        <v>6.28</v>
      </c>
      <c r="I506" t="s">
        <v>1012</v>
      </c>
      <c r="J506">
        <v>2.52</v>
      </c>
      <c r="K506">
        <v>2.52</v>
      </c>
      <c r="L506">
        <v>6.12</v>
      </c>
      <c r="M506">
        <v>6.28</v>
      </c>
      <c r="N506">
        <v>6.1</v>
      </c>
    </row>
    <row r="507" spans="1:14" x14ac:dyDescent="0.5">
      <c r="A507" t="str">
        <f>"002044"</f>
        <v>002044</v>
      </c>
      <c r="B507" t="s">
        <v>1013</v>
      </c>
      <c r="C507">
        <v>0.28000000000000003</v>
      </c>
      <c r="D507">
        <v>68.650000000000006</v>
      </c>
      <c r="E507">
        <v>17.600000000000001</v>
      </c>
      <c r="F507">
        <v>0.05</v>
      </c>
      <c r="G507">
        <v>17.59</v>
      </c>
      <c r="H507">
        <v>17.600000000000001</v>
      </c>
      <c r="I507" t="s">
        <v>1014</v>
      </c>
      <c r="J507">
        <v>0.56000000000000005</v>
      </c>
      <c r="K507">
        <v>0.56000000000000005</v>
      </c>
      <c r="L507">
        <v>17.600000000000001</v>
      </c>
      <c r="M507">
        <v>17.690000000000001</v>
      </c>
      <c r="N507">
        <v>17.440000000000001</v>
      </c>
    </row>
    <row r="508" spans="1:14" x14ac:dyDescent="0.5">
      <c r="A508" t="str">
        <f>"002045"</f>
        <v>002045</v>
      </c>
      <c r="B508" t="s">
        <v>1015</v>
      </c>
      <c r="C508">
        <v>5.05</v>
      </c>
      <c r="D508" t="s">
        <v>24</v>
      </c>
      <c r="E508">
        <v>6.24</v>
      </c>
      <c r="F508">
        <v>0.3</v>
      </c>
      <c r="G508">
        <v>6.23</v>
      </c>
      <c r="H508">
        <v>6.24</v>
      </c>
      <c r="I508" t="s">
        <v>1016</v>
      </c>
      <c r="J508">
        <v>9.9600000000000009</v>
      </c>
      <c r="K508">
        <v>9.9600000000000009</v>
      </c>
      <c r="L508">
        <v>5.9</v>
      </c>
      <c r="M508">
        <v>6.3</v>
      </c>
      <c r="N508">
        <v>5.81</v>
      </c>
    </row>
    <row r="509" spans="1:14" x14ac:dyDescent="0.5">
      <c r="A509" t="str">
        <f>"002046"</f>
        <v>002046</v>
      </c>
      <c r="B509" t="s">
        <v>1017</v>
      </c>
      <c r="C509">
        <v>9.9499999999999993</v>
      </c>
      <c r="D509">
        <v>134.15</v>
      </c>
      <c r="E509">
        <v>8.2899999999999991</v>
      </c>
      <c r="F509">
        <v>0.75</v>
      </c>
      <c r="G509">
        <v>8.2899999999999991</v>
      </c>
      <c r="H509" t="s">
        <v>24</v>
      </c>
      <c r="I509" t="s">
        <v>1018</v>
      </c>
      <c r="J509">
        <v>3.65</v>
      </c>
      <c r="K509">
        <v>3.65</v>
      </c>
      <c r="L509">
        <v>7.55</v>
      </c>
      <c r="M509">
        <v>8.2899999999999991</v>
      </c>
      <c r="N509">
        <v>7.47</v>
      </c>
    </row>
    <row r="510" spans="1:14" x14ac:dyDescent="0.5">
      <c r="A510" t="str">
        <f>"002047"</f>
        <v>002047</v>
      </c>
      <c r="B510" t="s">
        <v>1019</v>
      </c>
      <c r="C510">
        <v>-0.56999999999999995</v>
      </c>
      <c r="D510">
        <v>24.14</v>
      </c>
      <c r="E510">
        <v>6.92</v>
      </c>
      <c r="F510">
        <v>-0.04</v>
      </c>
      <c r="G510">
        <v>6.91</v>
      </c>
      <c r="H510">
        <v>6.92</v>
      </c>
      <c r="I510" t="s">
        <v>1020</v>
      </c>
      <c r="J510">
        <v>1.64</v>
      </c>
      <c r="K510">
        <v>1.64</v>
      </c>
      <c r="L510">
        <v>6.95</v>
      </c>
      <c r="M510">
        <v>6.97</v>
      </c>
      <c r="N510">
        <v>6.87</v>
      </c>
    </row>
    <row r="511" spans="1:14" x14ac:dyDescent="0.5">
      <c r="A511" t="str">
        <f>"002048"</f>
        <v>002048</v>
      </c>
      <c r="B511" t="s">
        <v>1021</v>
      </c>
      <c r="C511">
        <v>1.1100000000000001</v>
      </c>
      <c r="D511">
        <v>11.72</v>
      </c>
      <c r="E511">
        <v>12.76</v>
      </c>
      <c r="F511">
        <v>0.14000000000000001</v>
      </c>
      <c r="G511">
        <v>12.76</v>
      </c>
      <c r="H511">
        <v>12.77</v>
      </c>
      <c r="I511" t="s">
        <v>1022</v>
      </c>
      <c r="J511">
        <v>2.69</v>
      </c>
      <c r="K511">
        <v>2.69</v>
      </c>
      <c r="L511">
        <v>12.57</v>
      </c>
      <c r="M511">
        <v>12.78</v>
      </c>
      <c r="N511">
        <v>12.46</v>
      </c>
    </row>
    <row r="512" spans="1:14" x14ac:dyDescent="0.5">
      <c r="A512" t="str">
        <f>"002049"</f>
        <v>002049</v>
      </c>
      <c r="B512" t="s">
        <v>1023</v>
      </c>
      <c r="C512">
        <v>8.27</v>
      </c>
      <c r="D512">
        <v>64.349999999999994</v>
      </c>
      <c r="E512">
        <v>41.37</v>
      </c>
      <c r="F512">
        <v>3.16</v>
      </c>
      <c r="G512">
        <v>41.37</v>
      </c>
      <c r="H512">
        <v>41.38</v>
      </c>
      <c r="I512" t="s">
        <v>1024</v>
      </c>
      <c r="J512">
        <v>8.02</v>
      </c>
      <c r="K512">
        <v>8.02</v>
      </c>
      <c r="L512">
        <v>37.700000000000003</v>
      </c>
      <c r="M512">
        <v>41.76</v>
      </c>
      <c r="N512">
        <v>37.5</v>
      </c>
    </row>
    <row r="513" spans="1:14" x14ac:dyDescent="0.5">
      <c r="A513" t="str">
        <f>"002050"</f>
        <v>002050</v>
      </c>
      <c r="B513" t="s">
        <v>1025</v>
      </c>
      <c r="C513">
        <v>0.32</v>
      </c>
      <c r="D513">
        <v>24.48</v>
      </c>
      <c r="E513">
        <v>15.92</v>
      </c>
      <c r="F513">
        <v>0.05</v>
      </c>
      <c r="G513">
        <v>15.92</v>
      </c>
      <c r="H513">
        <v>15.93</v>
      </c>
      <c r="I513" t="s">
        <v>1026</v>
      </c>
      <c r="J513">
        <v>1.17</v>
      </c>
      <c r="K513">
        <v>1.17</v>
      </c>
      <c r="L513">
        <v>15.86</v>
      </c>
      <c r="M513">
        <v>16.05</v>
      </c>
      <c r="N513">
        <v>15.6</v>
      </c>
    </row>
    <row r="514" spans="1:14" x14ac:dyDescent="0.5">
      <c r="A514" t="str">
        <f>"002051"</f>
        <v>002051</v>
      </c>
      <c r="B514" t="s">
        <v>1027</v>
      </c>
      <c r="C514">
        <v>2.14</v>
      </c>
      <c r="D514">
        <v>9.6199999999999992</v>
      </c>
      <c r="E514">
        <v>13.83</v>
      </c>
      <c r="F514">
        <v>0.28999999999999998</v>
      </c>
      <c r="G514">
        <v>13.83</v>
      </c>
      <c r="H514">
        <v>13.84</v>
      </c>
      <c r="I514" t="s">
        <v>1028</v>
      </c>
      <c r="J514">
        <v>2.0299999999999998</v>
      </c>
      <c r="K514">
        <v>2.0299999999999998</v>
      </c>
      <c r="L514">
        <v>13.58</v>
      </c>
      <c r="M514">
        <v>13.87</v>
      </c>
      <c r="N514">
        <v>13.4</v>
      </c>
    </row>
    <row r="515" spans="1:14" x14ac:dyDescent="0.5">
      <c r="A515" t="str">
        <f>"002052"</f>
        <v>002052</v>
      </c>
      <c r="B515" t="s">
        <v>1029</v>
      </c>
      <c r="C515">
        <v>10.11</v>
      </c>
      <c r="D515" t="s">
        <v>24</v>
      </c>
      <c r="E515">
        <v>5.23</v>
      </c>
      <c r="F515">
        <v>0.48</v>
      </c>
      <c r="G515">
        <v>5.23</v>
      </c>
      <c r="H515" t="s">
        <v>24</v>
      </c>
      <c r="I515" t="s">
        <v>1030</v>
      </c>
      <c r="J515">
        <v>12.11</v>
      </c>
      <c r="K515">
        <v>12.11</v>
      </c>
      <c r="L515">
        <v>4.6100000000000003</v>
      </c>
      <c r="M515">
        <v>5.23</v>
      </c>
      <c r="N515">
        <v>4.58</v>
      </c>
    </row>
    <row r="516" spans="1:14" x14ac:dyDescent="0.5">
      <c r="A516" t="str">
        <f>"002053"</f>
        <v>002053</v>
      </c>
      <c r="B516" t="s">
        <v>1031</v>
      </c>
      <c r="C516">
        <v>5.15</v>
      </c>
      <c r="D516">
        <v>37.159999999999997</v>
      </c>
      <c r="E516">
        <v>8.16</v>
      </c>
      <c r="F516">
        <v>0.4</v>
      </c>
      <c r="G516">
        <v>8.15</v>
      </c>
      <c r="H516">
        <v>8.16</v>
      </c>
      <c r="I516" t="s">
        <v>1032</v>
      </c>
      <c r="J516">
        <v>1.35</v>
      </c>
      <c r="K516">
        <v>1.35</v>
      </c>
      <c r="L516">
        <v>7.76</v>
      </c>
      <c r="M516">
        <v>8.49</v>
      </c>
      <c r="N516">
        <v>7.71</v>
      </c>
    </row>
    <row r="517" spans="1:14" x14ac:dyDescent="0.5">
      <c r="A517" t="str">
        <f>"002054"</f>
        <v>002054</v>
      </c>
      <c r="B517" t="s">
        <v>1033</v>
      </c>
      <c r="C517">
        <v>3.02</v>
      </c>
      <c r="D517">
        <v>89.58</v>
      </c>
      <c r="E517">
        <v>7.16</v>
      </c>
      <c r="F517">
        <v>0.21</v>
      </c>
      <c r="G517">
        <v>7.15</v>
      </c>
      <c r="H517">
        <v>7.16</v>
      </c>
      <c r="I517" t="s">
        <v>1034</v>
      </c>
      <c r="J517">
        <v>12.98</v>
      </c>
      <c r="K517">
        <v>12.98</v>
      </c>
      <c r="L517">
        <v>6.88</v>
      </c>
      <c r="M517">
        <v>7.27</v>
      </c>
      <c r="N517">
        <v>6.83</v>
      </c>
    </row>
    <row r="518" spans="1:14" x14ac:dyDescent="0.5">
      <c r="A518" t="str">
        <f>"002055"</f>
        <v>002055</v>
      </c>
      <c r="B518" t="s">
        <v>1035</v>
      </c>
      <c r="C518">
        <v>8.6999999999999993</v>
      </c>
      <c r="D518">
        <v>46.19</v>
      </c>
      <c r="E518">
        <v>15.12</v>
      </c>
      <c r="F518">
        <v>1.21</v>
      </c>
      <c r="G518">
        <v>15.12</v>
      </c>
      <c r="H518">
        <v>15.13</v>
      </c>
      <c r="I518" t="s">
        <v>1036</v>
      </c>
      <c r="J518">
        <v>5.36</v>
      </c>
      <c r="K518">
        <v>5.36</v>
      </c>
      <c r="L518">
        <v>13.92</v>
      </c>
      <c r="M518">
        <v>15.25</v>
      </c>
      <c r="N518">
        <v>13.83</v>
      </c>
    </row>
    <row r="519" spans="1:14" x14ac:dyDescent="0.5">
      <c r="A519" t="str">
        <f>"002056"</f>
        <v>002056</v>
      </c>
      <c r="B519" t="s">
        <v>1037</v>
      </c>
      <c r="C519">
        <v>3.87</v>
      </c>
      <c r="D519">
        <v>16.86</v>
      </c>
      <c r="E519">
        <v>7.25</v>
      </c>
      <c r="F519">
        <v>0.27</v>
      </c>
      <c r="G519">
        <v>7.24</v>
      </c>
      <c r="H519">
        <v>7.25</v>
      </c>
      <c r="I519" t="s">
        <v>1038</v>
      </c>
      <c r="J519">
        <v>2.69</v>
      </c>
      <c r="K519">
        <v>2.69</v>
      </c>
      <c r="L519">
        <v>6.93</v>
      </c>
      <c r="M519">
        <v>7.25</v>
      </c>
      <c r="N519">
        <v>6.9</v>
      </c>
    </row>
    <row r="520" spans="1:14" x14ac:dyDescent="0.5">
      <c r="A520" t="str">
        <f>"002057"</f>
        <v>002057</v>
      </c>
      <c r="B520" t="s">
        <v>1039</v>
      </c>
      <c r="C520">
        <v>2.9</v>
      </c>
      <c r="D520">
        <v>16.63</v>
      </c>
      <c r="E520">
        <v>7.09</v>
      </c>
      <c r="F520">
        <v>0.2</v>
      </c>
      <c r="G520">
        <v>7.08</v>
      </c>
      <c r="H520">
        <v>7.09</v>
      </c>
      <c r="I520" t="s">
        <v>1040</v>
      </c>
      <c r="J520">
        <v>2.39</v>
      </c>
      <c r="K520">
        <v>2.39</v>
      </c>
      <c r="L520">
        <v>6.89</v>
      </c>
      <c r="M520">
        <v>7.1</v>
      </c>
      <c r="N520">
        <v>6.85</v>
      </c>
    </row>
    <row r="521" spans="1:14" x14ac:dyDescent="0.5">
      <c r="A521" t="str">
        <f>"002058"</f>
        <v>002058</v>
      </c>
      <c r="B521" t="s">
        <v>1041</v>
      </c>
      <c r="C521">
        <v>6.29</v>
      </c>
      <c r="D521">
        <v>303.07</v>
      </c>
      <c r="E521">
        <v>14.03</v>
      </c>
      <c r="F521">
        <v>0.83</v>
      </c>
      <c r="G521">
        <v>14.02</v>
      </c>
      <c r="H521">
        <v>14.03</v>
      </c>
      <c r="I521" t="s">
        <v>1042</v>
      </c>
      <c r="J521">
        <v>3.62</v>
      </c>
      <c r="K521">
        <v>3.62</v>
      </c>
      <c r="L521">
        <v>13.26</v>
      </c>
      <c r="M521">
        <v>14.42</v>
      </c>
      <c r="N521">
        <v>13.09</v>
      </c>
    </row>
    <row r="522" spans="1:14" x14ac:dyDescent="0.5">
      <c r="A522" t="str">
        <f>"002059"</f>
        <v>002059</v>
      </c>
      <c r="B522" t="s">
        <v>1043</v>
      </c>
      <c r="C522">
        <v>1.81</v>
      </c>
      <c r="D522">
        <v>115.19</v>
      </c>
      <c r="E522">
        <v>6.2</v>
      </c>
      <c r="F522">
        <v>0.11</v>
      </c>
      <c r="G522">
        <v>6.19</v>
      </c>
      <c r="H522">
        <v>6.2</v>
      </c>
      <c r="I522" t="s">
        <v>1044</v>
      </c>
      <c r="J522">
        <v>0.56000000000000005</v>
      </c>
      <c r="K522">
        <v>0.56000000000000005</v>
      </c>
      <c r="L522">
        <v>6.09</v>
      </c>
      <c r="M522">
        <v>6.2</v>
      </c>
      <c r="N522">
        <v>6.05</v>
      </c>
    </row>
    <row r="523" spans="1:14" x14ac:dyDescent="0.5">
      <c r="A523" t="str">
        <f>"002060"</f>
        <v>002060</v>
      </c>
      <c r="B523" t="s">
        <v>1045</v>
      </c>
      <c r="C523">
        <v>1.74</v>
      </c>
      <c r="D523">
        <v>23.18</v>
      </c>
      <c r="E523">
        <v>3.5</v>
      </c>
      <c r="F523">
        <v>0.06</v>
      </c>
      <c r="G523">
        <v>3.49</v>
      </c>
      <c r="H523">
        <v>3.5</v>
      </c>
      <c r="I523" t="s">
        <v>1046</v>
      </c>
      <c r="J523">
        <v>1.96</v>
      </c>
      <c r="K523">
        <v>1.96</v>
      </c>
      <c r="L523">
        <v>3.44</v>
      </c>
      <c r="M523">
        <v>3.5</v>
      </c>
      <c r="N523">
        <v>3.41</v>
      </c>
    </row>
    <row r="524" spans="1:14" x14ac:dyDescent="0.5">
      <c r="A524" t="str">
        <f>"002061"</f>
        <v>002061</v>
      </c>
      <c r="B524" t="s">
        <v>1047</v>
      </c>
      <c r="C524">
        <v>1.2</v>
      </c>
      <c r="D524">
        <v>8.68</v>
      </c>
      <c r="E524">
        <v>9.25</v>
      </c>
      <c r="F524">
        <v>0.11</v>
      </c>
      <c r="G524">
        <v>9.24</v>
      </c>
      <c r="H524">
        <v>9.25</v>
      </c>
      <c r="I524" t="s">
        <v>1048</v>
      </c>
      <c r="J524">
        <v>2.19</v>
      </c>
      <c r="K524">
        <v>2.19</v>
      </c>
      <c r="L524">
        <v>9.16</v>
      </c>
      <c r="M524">
        <v>9.25</v>
      </c>
      <c r="N524">
        <v>9.07</v>
      </c>
    </row>
    <row r="525" spans="1:14" x14ac:dyDescent="0.5">
      <c r="A525" t="str">
        <f>"002062"</f>
        <v>002062</v>
      </c>
      <c r="B525" t="s">
        <v>1049</v>
      </c>
      <c r="C525">
        <v>0.93</v>
      </c>
      <c r="D525">
        <v>15.14</v>
      </c>
      <c r="E525">
        <v>4.34</v>
      </c>
      <c r="F525">
        <v>0.04</v>
      </c>
      <c r="G525">
        <v>4.33</v>
      </c>
      <c r="H525">
        <v>4.34</v>
      </c>
      <c r="I525" t="s">
        <v>1050</v>
      </c>
      <c r="J525">
        <v>0.69</v>
      </c>
      <c r="K525">
        <v>0.69</v>
      </c>
      <c r="L525">
        <v>4.3</v>
      </c>
      <c r="M525">
        <v>4.3499999999999996</v>
      </c>
      <c r="N525">
        <v>4.25</v>
      </c>
    </row>
    <row r="526" spans="1:14" x14ac:dyDescent="0.5">
      <c r="A526" t="str">
        <f>"002063"</f>
        <v>002063</v>
      </c>
      <c r="B526" t="s">
        <v>1051</v>
      </c>
      <c r="C526">
        <v>7.73</v>
      </c>
      <c r="D526">
        <v>38.78</v>
      </c>
      <c r="E526">
        <v>8.7799999999999994</v>
      </c>
      <c r="F526">
        <v>0.63</v>
      </c>
      <c r="G526">
        <v>8.7799999999999994</v>
      </c>
      <c r="H526">
        <v>8.7899999999999991</v>
      </c>
      <c r="I526" t="s">
        <v>1052</v>
      </c>
      <c r="J526">
        <v>5.39</v>
      </c>
      <c r="K526">
        <v>5.39</v>
      </c>
      <c r="L526">
        <v>8.08</v>
      </c>
      <c r="M526">
        <v>8.7899999999999991</v>
      </c>
      <c r="N526">
        <v>8.08</v>
      </c>
    </row>
    <row r="527" spans="1:14" x14ac:dyDescent="0.5">
      <c r="A527" t="str">
        <f>"002064"</f>
        <v>002064</v>
      </c>
      <c r="B527" t="s">
        <v>1053</v>
      </c>
      <c r="C527">
        <v>1.8</v>
      </c>
      <c r="D527">
        <v>18.12</v>
      </c>
      <c r="E527">
        <v>5.0999999999999996</v>
      </c>
      <c r="F527">
        <v>0.09</v>
      </c>
      <c r="G527">
        <v>5.09</v>
      </c>
      <c r="H527">
        <v>5.0999999999999996</v>
      </c>
      <c r="I527" t="s">
        <v>1054</v>
      </c>
      <c r="J527">
        <v>1.03</v>
      </c>
      <c r="K527">
        <v>1.03</v>
      </c>
      <c r="L527">
        <v>4.99</v>
      </c>
      <c r="M527">
        <v>5.13</v>
      </c>
      <c r="N527">
        <v>4.95</v>
      </c>
    </row>
    <row r="528" spans="1:14" x14ac:dyDescent="0.5">
      <c r="A528" t="str">
        <f>"002065"</f>
        <v>002065</v>
      </c>
      <c r="B528" t="s">
        <v>1055</v>
      </c>
      <c r="C528">
        <v>6.28</v>
      </c>
      <c r="D528">
        <v>60.47</v>
      </c>
      <c r="E528">
        <v>8.8000000000000007</v>
      </c>
      <c r="F528">
        <v>0.52</v>
      </c>
      <c r="G528">
        <v>8.8000000000000007</v>
      </c>
      <c r="H528">
        <v>8.81</v>
      </c>
      <c r="I528" t="s">
        <v>1056</v>
      </c>
      <c r="J528">
        <v>2.82</v>
      </c>
      <c r="K528">
        <v>2.82</v>
      </c>
      <c r="L528">
        <v>8.2799999999999994</v>
      </c>
      <c r="M528">
        <v>8.84</v>
      </c>
      <c r="N528">
        <v>8.17</v>
      </c>
    </row>
    <row r="529" spans="1:14" x14ac:dyDescent="0.5">
      <c r="A529" t="str">
        <f>"002066"</f>
        <v>002066</v>
      </c>
      <c r="B529" t="s">
        <v>1057</v>
      </c>
      <c r="C529">
        <v>-0.11</v>
      </c>
      <c r="D529">
        <v>131.46</v>
      </c>
      <c r="E529">
        <v>9.42</v>
      </c>
      <c r="F529">
        <v>-0.01</v>
      </c>
      <c r="G529">
        <v>9.42</v>
      </c>
      <c r="H529">
        <v>9.43</v>
      </c>
      <c r="I529" t="s">
        <v>536</v>
      </c>
      <c r="J529">
        <v>5.25</v>
      </c>
      <c r="K529">
        <v>5.25</v>
      </c>
      <c r="L529">
        <v>9.2899999999999991</v>
      </c>
      <c r="M529">
        <v>9.5500000000000007</v>
      </c>
      <c r="N529">
        <v>9.1999999999999993</v>
      </c>
    </row>
    <row r="530" spans="1:14" x14ac:dyDescent="0.5">
      <c r="A530" t="str">
        <f>"002067"</f>
        <v>002067</v>
      </c>
      <c r="B530" t="s">
        <v>1058</v>
      </c>
      <c r="C530">
        <v>1.01</v>
      </c>
      <c r="D530">
        <v>8.65</v>
      </c>
      <c r="E530">
        <v>4.0199999999999996</v>
      </c>
      <c r="F530">
        <v>0.04</v>
      </c>
      <c r="G530">
        <v>4.01</v>
      </c>
      <c r="H530">
        <v>4.0199999999999996</v>
      </c>
      <c r="I530" t="s">
        <v>746</v>
      </c>
      <c r="J530">
        <v>3.24</v>
      </c>
      <c r="K530">
        <v>3.24</v>
      </c>
      <c r="L530">
        <v>3.96</v>
      </c>
      <c r="M530">
        <v>4.04</v>
      </c>
      <c r="N530">
        <v>3.93</v>
      </c>
    </row>
    <row r="531" spans="1:14" x14ac:dyDescent="0.5">
      <c r="A531" t="str">
        <f>"002068"</f>
        <v>002068</v>
      </c>
      <c r="B531" t="s">
        <v>1059</v>
      </c>
      <c r="C531">
        <v>1.55</v>
      </c>
      <c r="D531">
        <v>7.76</v>
      </c>
      <c r="E531">
        <v>6.54</v>
      </c>
      <c r="F531">
        <v>0.1</v>
      </c>
      <c r="G531">
        <v>6.54</v>
      </c>
      <c r="H531">
        <v>6.55</v>
      </c>
      <c r="I531" t="s">
        <v>1060</v>
      </c>
      <c r="J531">
        <v>2.56</v>
      </c>
      <c r="K531">
        <v>2.56</v>
      </c>
      <c r="L531">
        <v>6.44</v>
      </c>
      <c r="M531">
        <v>6.56</v>
      </c>
      <c r="N531">
        <v>6.41</v>
      </c>
    </row>
    <row r="532" spans="1:14" x14ac:dyDescent="0.5">
      <c r="A532" t="str">
        <f>"002069"</f>
        <v>002069</v>
      </c>
      <c r="B532" t="s">
        <v>1061</v>
      </c>
      <c r="C532">
        <v>2.44</v>
      </c>
      <c r="D532" t="s">
        <v>24</v>
      </c>
      <c r="E532">
        <v>4.1900000000000004</v>
      </c>
      <c r="F532">
        <v>0.1</v>
      </c>
      <c r="G532">
        <v>4.18</v>
      </c>
      <c r="H532">
        <v>4.1900000000000004</v>
      </c>
      <c r="I532" t="s">
        <v>1062</v>
      </c>
      <c r="J532">
        <v>2.1800000000000002</v>
      </c>
      <c r="K532">
        <v>2.1800000000000002</v>
      </c>
      <c r="L532">
        <v>4.08</v>
      </c>
      <c r="M532">
        <v>4.2699999999999996</v>
      </c>
      <c r="N532">
        <v>4.04</v>
      </c>
    </row>
    <row r="533" spans="1:14" x14ac:dyDescent="0.5">
      <c r="A533" t="str">
        <f>"002071"</f>
        <v>002071</v>
      </c>
      <c r="B533" t="s">
        <v>1063</v>
      </c>
      <c r="C533">
        <v>4.76</v>
      </c>
      <c r="D533">
        <v>14.73</v>
      </c>
      <c r="E533">
        <v>5.0599999999999996</v>
      </c>
      <c r="F533">
        <v>0.23</v>
      </c>
      <c r="G533">
        <v>5.0599999999999996</v>
      </c>
      <c r="H533">
        <v>5.07</v>
      </c>
      <c r="I533" t="s">
        <v>1064</v>
      </c>
      <c r="J533">
        <v>4.53</v>
      </c>
      <c r="K533">
        <v>4.53</v>
      </c>
      <c r="L533">
        <v>4.8899999999999997</v>
      </c>
      <c r="M533">
        <v>5.15</v>
      </c>
      <c r="N533">
        <v>4.8600000000000003</v>
      </c>
    </row>
    <row r="534" spans="1:14" x14ac:dyDescent="0.5">
      <c r="A534" t="str">
        <f>"002072"</f>
        <v>002072</v>
      </c>
      <c r="B534" t="s">
        <v>1065</v>
      </c>
      <c r="C534">
        <v>7.4</v>
      </c>
      <c r="D534" t="s">
        <v>24</v>
      </c>
      <c r="E534">
        <v>6.97</v>
      </c>
      <c r="F534">
        <v>0.48</v>
      </c>
      <c r="G534">
        <v>6.97</v>
      </c>
      <c r="H534">
        <v>6.98</v>
      </c>
      <c r="I534" t="s">
        <v>1066</v>
      </c>
      <c r="J534">
        <v>25.21</v>
      </c>
      <c r="K534">
        <v>25.21</v>
      </c>
      <c r="L534">
        <v>6.45</v>
      </c>
      <c r="M534">
        <v>7.1</v>
      </c>
      <c r="N534">
        <v>6.39</v>
      </c>
    </row>
    <row r="535" spans="1:14" x14ac:dyDescent="0.5">
      <c r="A535" t="str">
        <f>"002073"</f>
        <v>002073</v>
      </c>
      <c r="B535" t="s">
        <v>1067</v>
      </c>
      <c r="C535">
        <v>9.92</v>
      </c>
      <c r="D535">
        <v>56.43</v>
      </c>
      <c r="E535">
        <v>5.76</v>
      </c>
      <c r="F535">
        <v>0.52</v>
      </c>
      <c r="G535">
        <v>5.76</v>
      </c>
      <c r="H535" t="s">
        <v>24</v>
      </c>
      <c r="I535" t="s">
        <v>1068</v>
      </c>
      <c r="J535">
        <v>5.98</v>
      </c>
      <c r="K535">
        <v>5.98</v>
      </c>
      <c r="L535">
        <v>5.25</v>
      </c>
      <c r="M535">
        <v>5.76</v>
      </c>
      <c r="N535">
        <v>5.17</v>
      </c>
    </row>
    <row r="536" spans="1:14" x14ac:dyDescent="0.5">
      <c r="A536" t="str">
        <f>"002074"</f>
        <v>002074</v>
      </c>
      <c r="B536" t="s">
        <v>1069</v>
      </c>
      <c r="C536">
        <v>0.11</v>
      </c>
      <c r="D536">
        <v>22.66</v>
      </c>
      <c r="E536">
        <v>17.55</v>
      </c>
      <c r="F536">
        <v>0.02</v>
      </c>
      <c r="G536">
        <v>17.54</v>
      </c>
      <c r="H536">
        <v>17.55</v>
      </c>
      <c r="I536" t="s">
        <v>1070</v>
      </c>
      <c r="J536">
        <v>2.12</v>
      </c>
      <c r="K536">
        <v>2.12</v>
      </c>
      <c r="L536">
        <v>17.350000000000001</v>
      </c>
      <c r="M536">
        <v>17.75</v>
      </c>
      <c r="N536">
        <v>17.2</v>
      </c>
    </row>
    <row r="537" spans="1:14" x14ac:dyDescent="0.5">
      <c r="A537" t="str">
        <f>"002075"</f>
        <v>002075</v>
      </c>
      <c r="B537" t="s">
        <v>1071</v>
      </c>
      <c r="C537">
        <v>-0.78</v>
      </c>
      <c r="D537">
        <v>16.329999999999998</v>
      </c>
      <c r="E537">
        <v>10.16</v>
      </c>
      <c r="F537">
        <v>-0.08</v>
      </c>
      <c r="G537">
        <v>10.16</v>
      </c>
      <c r="H537">
        <v>10.17</v>
      </c>
      <c r="I537" t="s">
        <v>1072</v>
      </c>
      <c r="J537">
        <v>2.59</v>
      </c>
      <c r="K537">
        <v>2.59</v>
      </c>
      <c r="L537">
        <v>9.99</v>
      </c>
      <c r="M537">
        <v>10.199999999999999</v>
      </c>
      <c r="N537">
        <v>9.91</v>
      </c>
    </row>
    <row r="538" spans="1:14" x14ac:dyDescent="0.5">
      <c r="A538" t="str">
        <f>"002076"</f>
        <v>002076</v>
      </c>
      <c r="B538" t="s">
        <v>1073</v>
      </c>
      <c r="C538">
        <v>4.08</v>
      </c>
      <c r="D538" t="s">
        <v>24</v>
      </c>
      <c r="E538">
        <v>3.83</v>
      </c>
      <c r="F538">
        <v>0.15</v>
      </c>
      <c r="G538">
        <v>3.83</v>
      </c>
      <c r="H538">
        <v>3.84</v>
      </c>
      <c r="I538" t="s">
        <v>1074</v>
      </c>
      <c r="J538">
        <v>11.25</v>
      </c>
      <c r="K538">
        <v>11.25</v>
      </c>
      <c r="L538">
        <v>3.59</v>
      </c>
      <c r="M538">
        <v>3.84</v>
      </c>
      <c r="N538">
        <v>3.56</v>
      </c>
    </row>
    <row r="539" spans="1:14" x14ac:dyDescent="0.5">
      <c r="A539" t="str">
        <f>"002077"</f>
        <v>002077</v>
      </c>
      <c r="B539" t="s">
        <v>1075</v>
      </c>
      <c r="C539">
        <v>5.7</v>
      </c>
      <c r="D539" t="s">
        <v>24</v>
      </c>
      <c r="E539">
        <v>5.01</v>
      </c>
      <c r="F539">
        <v>0.27</v>
      </c>
      <c r="G539">
        <v>5.01</v>
      </c>
      <c r="H539">
        <v>5.0199999999999996</v>
      </c>
      <c r="I539" t="s">
        <v>1076</v>
      </c>
      <c r="J539">
        <v>5.01</v>
      </c>
      <c r="K539">
        <v>5.01</v>
      </c>
      <c r="L539">
        <v>4.7300000000000004</v>
      </c>
      <c r="M539">
        <v>5.07</v>
      </c>
      <c r="N539">
        <v>4.7</v>
      </c>
    </row>
    <row r="540" spans="1:14" x14ac:dyDescent="0.5">
      <c r="A540" t="str">
        <f>"002078"</f>
        <v>002078</v>
      </c>
      <c r="B540" t="s">
        <v>1077</v>
      </c>
      <c r="C540">
        <v>0.96</v>
      </c>
      <c r="D540">
        <v>7.55</v>
      </c>
      <c r="E540">
        <v>7.34</v>
      </c>
      <c r="F540">
        <v>7.0000000000000007E-2</v>
      </c>
      <c r="G540">
        <v>7.33</v>
      </c>
      <c r="H540">
        <v>7.34</v>
      </c>
      <c r="I540" t="s">
        <v>1078</v>
      </c>
      <c r="J540">
        <v>1.76</v>
      </c>
      <c r="K540">
        <v>1.76</v>
      </c>
      <c r="L540">
        <v>7.24</v>
      </c>
      <c r="M540">
        <v>7.34</v>
      </c>
      <c r="N540">
        <v>7.16</v>
      </c>
    </row>
    <row r="541" spans="1:14" x14ac:dyDescent="0.5">
      <c r="A541" t="str">
        <f>"002079"</f>
        <v>002079</v>
      </c>
      <c r="B541" t="s">
        <v>1079</v>
      </c>
      <c r="C541">
        <v>7.7</v>
      </c>
      <c r="D541">
        <v>52.31</v>
      </c>
      <c r="E541">
        <v>7.41</v>
      </c>
      <c r="F541">
        <v>0.53</v>
      </c>
      <c r="G541">
        <v>7.41</v>
      </c>
      <c r="H541">
        <v>7.42</v>
      </c>
      <c r="I541" t="s">
        <v>1080</v>
      </c>
      <c r="J541">
        <v>9.0299999999999994</v>
      </c>
      <c r="K541">
        <v>9.0299999999999994</v>
      </c>
      <c r="L541">
        <v>6.85</v>
      </c>
      <c r="M541">
        <v>7.56</v>
      </c>
      <c r="N541">
        <v>6.76</v>
      </c>
    </row>
    <row r="542" spans="1:14" x14ac:dyDescent="0.5">
      <c r="A542" t="str">
        <f>"002080"</f>
        <v>002080</v>
      </c>
      <c r="B542" t="s">
        <v>1081</v>
      </c>
      <c r="C542">
        <v>2.0299999999999998</v>
      </c>
      <c r="D542">
        <v>16.5</v>
      </c>
      <c r="E542">
        <v>13.04</v>
      </c>
      <c r="F542">
        <v>0.26</v>
      </c>
      <c r="G542">
        <v>13.03</v>
      </c>
      <c r="H542">
        <v>13.04</v>
      </c>
      <c r="I542" t="s">
        <v>1082</v>
      </c>
      <c r="J542">
        <v>3.46</v>
      </c>
      <c r="K542">
        <v>3.46</v>
      </c>
      <c r="L542">
        <v>12.6</v>
      </c>
      <c r="M542">
        <v>13.35</v>
      </c>
      <c r="N542">
        <v>12.4</v>
      </c>
    </row>
    <row r="543" spans="1:14" x14ac:dyDescent="0.5">
      <c r="A543" t="str">
        <f>"002081"</f>
        <v>002081</v>
      </c>
      <c r="B543" t="s">
        <v>1083</v>
      </c>
      <c r="C543">
        <v>0.55000000000000004</v>
      </c>
      <c r="D543">
        <v>13.99</v>
      </c>
      <c r="E543">
        <v>10.94</v>
      </c>
      <c r="F543">
        <v>0.06</v>
      </c>
      <c r="G543">
        <v>10.94</v>
      </c>
      <c r="H543">
        <v>10.95</v>
      </c>
      <c r="I543" t="s">
        <v>1084</v>
      </c>
      <c r="J543">
        <v>0.54</v>
      </c>
      <c r="K543">
        <v>0.54</v>
      </c>
      <c r="L543">
        <v>10.85</v>
      </c>
      <c r="M543">
        <v>10.98</v>
      </c>
      <c r="N543">
        <v>10.73</v>
      </c>
    </row>
    <row r="544" spans="1:14" x14ac:dyDescent="0.5">
      <c r="A544" t="str">
        <f>"002082"</f>
        <v>002082</v>
      </c>
      <c r="B544" t="s">
        <v>1085</v>
      </c>
      <c r="C544">
        <v>6.38</v>
      </c>
      <c r="D544">
        <v>23.35</v>
      </c>
      <c r="E544">
        <v>9.34</v>
      </c>
      <c r="F544">
        <v>0.56000000000000005</v>
      </c>
      <c r="G544">
        <v>9.33</v>
      </c>
      <c r="H544">
        <v>9.34</v>
      </c>
      <c r="I544" t="s">
        <v>616</v>
      </c>
      <c r="J544">
        <v>3.81</v>
      </c>
      <c r="K544">
        <v>3.81</v>
      </c>
      <c r="L544">
        <v>8.81</v>
      </c>
      <c r="M544">
        <v>9.4499999999999993</v>
      </c>
      <c r="N544">
        <v>8.75</v>
      </c>
    </row>
    <row r="545" spans="1:14" x14ac:dyDescent="0.5">
      <c r="A545" t="str">
        <f>"002083"</f>
        <v>002083</v>
      </c>
      <c r="B545" t="s">
        <v>1086</v>
      </c>
      <c r="C545">
        <v>2.69</v>
      </c>
      <c r="D545">
        <v>12.2</v>
      </c>
      <c r="E545">
        <v>5.73</v>
      </c>
      <c r="F545">
        <v>0.15</v>
      </c>
      <c r="G545">
        <v>5.73</v>
      </c>
      <c r="H545">
        <v>5.74</v>
      </c>
      <c r="I545" t="s">
        <v>1087</v>
      </c>
      <c r="J545">
        <v>0.78</v>
      </c>
      <c r="K545">
        <v>0.78</v>
      </c>
      <c r="L545">
        <v>5.54</v>
      </c>
      <c r="M545">
        <v>5.73</v>
      </c>
      <c r="N545">
        <v>5.53</v>
      </c>
    </row>
    <row r="546" spans="1:14" x14ac:dyDescent="0.5">
      <c r="A546" t="str">
        <f>"002084"</f>
        <v>002084</v>
      </c>
      <c r="B546" t="s">
        <v>1088</v>
      </c>
      <c r="C546">
        <v>2.71</v>
      </c>
      <c r="D546">
        <v>38.89</v>
      </c>
      <c r="E546">
        <v>4.93</v>
      </c>
      <c r="F546">
        <v>0.13</v>
      </c>
      <c r="G546">
        <v>4.92</v>
      </c>
      <c r="H546">
        <v>4.93</v>
      </c>
      <c r="I546" t="s">
        <v>1089</v>
      </c>
      <c r="J546">
        <v>1.02</v>
      </c>
      <c r="K546">
        <v>1.02</v>
      </c>
      <c r="L546">
        <v>4.8</v>
      </c>
      <c r="M546">
        <v>4.9400000000000004</v>
      </c>
      <c r="N546">
        <v>4.76</v>
      </c>
    </row>
    <row r="547" spans="1:14" x14ac:dyDescent="0.5">
      <c r="A547" t="str">
        <f>"002085"</f>
        <v>002085</v>
      </c>
      <c r="B547" t="s">
        <v>1090</v>
      </c>
      <c r="C547">
        <v>1.63</v>
      </c>
      <c r="D547">
        <v>17.989999999999998</v>
      </c>
      <c r="E547">
        <v>8.1300000000000008</v>
      </c>
      <c r="F547">
        <v>0.13</v>
      </c>
      <c r="G547">
        <v>8.1199999999999992</v>
      </c>
      <c r="H547">
        <v>8.1300000000000008</v>
      </c>
      <c r="I547" t="s">
        <v>1091</v>
      </c>
      <c r="J547">
        <v>1.08</v>
      </c>
      <c r="K547">
        <v>1.08</v>
      </c>
      <c r="L547">
        <v>8</v>
      </c>
      <c r="M547">
        <v>8.23</v>
      </c>
      <c r="N547">
        <v>7.95</v>
      </c>
    </row>
    <row r="548" spans="1:14" x14ac:dyDescent="0.5">
      <c r="A548" t="str">
        <f>"002086"</f>
        <v>002086</v>
      </c>
      <c r="B548" t="s">
        <v>1092</v>
      </c>
      <c r="C548">
        <v>1.98</v>
      </c>
      <c r="D548">
        <v>32.01</v>
      </c>
      <c r="E548">
        <v>4.6399999999999997</v>
      </c>
      <c r="F548">
        <v>0.09</v>
      </c>
      <c r="G548">
        <v>4.63</v>
      </c>
      <c r="H548">
        <v>4.6399999999999997</v>
      </c>
      <c r="I548" t="s">
        <v>1093</v>
      </c>
      <c r="J548">
        <v>5.13</v>
      </c>
      <c r="K548">
        <v>5.13</v>
      </c>
      <c r="L548">
        <v>4.53</v>
      </c>
      <c r="M548">
        <v>4.6500000000000004</v>
      </c>
      <c r="N548">
        <v>4.4800000000000004</v>
      </c>
    </row>
    <row r="549" spans="1:14" x14ac:dyDescent="0.5">
      <c r="A549" t="str">
        <f>"002087"</f>
        <v>002087</v>
      </c>
      <c r="B549" t="s">
        <v>1094</v>
      </c>
      <c r="C549">
        <v>2.36</v>
      </c>
      <c r="D549">
        <v>9.1999999999999993</v>
      </c>
      <c r="E549">
        <v>4.33</v>
      </c>
      <c r="F549">
        <v>0.1</v>
      </c>
      <c r="G549">
        <v>4.32</v>
      </c>
      <c r="H549">
        <v>4.33</v>
      </c>
      <c r="I549" t="s">
        <v>1095</v>
      </c>
      <c r="J549">
        <v>3.65</v>
      </c>
      <c r="K549">
        <v>3.65</v>
      </c>
      <c r="L549">
        <v>4.22</v>
      </c>
      <c r="M549">
        <v>4.3499999999999996</v>
      </c>
      <c r="N549">
        <v>4.1900000000000004</v>
      </c>
    </row>
    <row r="550" spans="1:14" x14ac:dyDescent="0.5">
      <c r="A550" t="str">
        <f>"002088"</f>
        <v>002088</v>
      </c>
      <c r="B550" t="s">
        <v>1096</v>
      </c>
      <c r="C550">
        <v>0.54</v>
      </c>
      <c r="D550">
        <v>13.3</v>
      </c>
      <c r="E550">
        <v>11.19</v>
      </c>
      <c r="F550">
        <v>0.06</v>
      </c>
      <c r="G550">
        <v>11.18</v>
      </c>
      <c r="H550">
        <v>11.19</v>
      </c>
      <c r="I550" t="s">
        <v>1097</v>
      </c>
      <c r="J550">
        <v>1.61</v>
      </c>
      <c r="K550">
        <v>1.61</v>
      </c>
      <c r="L550">
        <v>11.12</v>
      </c>
      <c r="M550">
        <v>11.21</v>
      </c>
      <c r="N550">
        <v>11.04</v>
      </c>
    </row>
    <row r="551" spans="1:14" x14ac:dyDescent="0.5">
      <c r="A551" t="str">
        <f>"002089"</f>
        <v>002089</v>
      </c>
      <c r="B551" t="s">
        <v>1098</v>
      </c>
      <c r="C551">
        <v>5.9</v>
      </c>
      <c r="D551" t="s">
        <v>24</v>
      </c>
      <c r="E551">
        <v>5.74</v>
      </c>
      <c r="F551">
        <v>0.32</v>
      </c>
      <c r="G551">
        <v>5.73</v>
      </c>
      <c r="H551">
        <v>5.74</v>
      </c>
      <c r="I551" t="s">
        <v>1099</v>
      </c>
      <c r="J551">
        <v>12.99</v>
      </c>
      <c r="K551">
        <v>12.99</v>
      </c>
      <c r="L551">
        <v>5.37</v>
      </c>
      <c r="M551">
        <v>5.78</v>
      </c>
      <c r="N551">
        <v>5.29</v>
      </c>
    </row>
    <row r="552" spans="1:14" x14ac:dyDescent="0.5">
      <c r="A552" t="str">
        <f>"002090"</f>
        <v>002090</v>
      </c>
      <c r="B552" t="s">
        <v>1100</v>
      </c>
      <c r="C552">
        <v>-0.73</v>
      </c>
      <c r="D552">
        <v>36.74</v>
      </c>
      <c r="E552">
        <v>18.98</v>
      </c>
      <c r="F552">
        <v>-0.14000000000000001</v>
      </c>
      <c r="G552">
        <v>18.97</v>
      </c>
      <c r="H552">
        <v>18.98</v>
      </c>
      <c r="I552" t="s">
        <v>1101</v>
      </c>
      <c r="J552">
        <v>1.47</v>
      </c>
      <c r="K552">
        <v>1.47</v>
      </c>
      <c r="L552">
        <v>19.12</v>
      </c>
      <c r="M552">
        <v>19.22</v>
      </c>
      <c r="N552">
        <v>18.61</v>
      </c>
    </row>
    <row r="553" spans="1:14" x14ac:dyDescent="0.5">
      <c r="A553" t="str">
        <f>"002091"</f>
        <v>002091</v>
      </c>
      <c r="B553" t="s">
        <v>1102</v>
      </c>
      <c r="C553">
        <v>2.41</v>
      </c>
      <c r="D553">
        <v>11.27</v>
      </c>
      <c r="E553">
        <v>6.79</v>
      </c>
      <c r="F553">
        <v>0.16</v>
      </c>
      <c r="G553">
        <v>6.79</v>
      </c>
      <c r="H553">
        <v>6.8</v>
      </c>
      <c r="I553" t="s">
        <v>1103</v>
      </c>
      <c r="J553">
        <v>2.34</v>
      </c>
      <c r="K553">
        <v>2.34</v>
      </c>
      <c r="L553">
        <v>6.6</v>
      </c>
      <c r="M553">
        <v>6.82</v>
      </c>
      <c r="N553">
        <v>6.57</v>
      </c>
    </row>
    <row r="554" spans="1:14" x14ac:dyDescent="0.5">
      <c r="A554" t="str">
        <f>"002092"</f>
        <v>002092</v>
      </c>
      <c r="B554" t="s">
        <v>1104</v>
      </c>
      <c r="C554">
        <v>3.86</v>
      </c>
      <c r="D554">
        <v>8.06</v>
      </c>
      <c r="E554">
        <v>9.42</v>
      </c>
      <c r="F554">
        <v>0.35</v>
      </c>
      <c r="G554">
        <v>9.41</v>
      </c>
      <c r="H554">
        <v>9.42</v>
      </c>
      <c r="I554" t="s">
        <v>1105</v>
      </c>
      <c r="J554">
        <v>1.82</v>
      </c>
      <c r="K554">
        <v>1.82</v>
      </c>
      <c r="L554">
        <v>9.06</v>
      </c>
      <c r="M554">
        <v>9.42</v>
      </c>
      <c r="N554">
        <v>8.98</v>
      </c>
    </row>
    <row r="555" spans="1:14" x14ac:dyDescent="0.5">
      <c r="A555" t="str">
        <f>"002093"</f>
        <v>002093</v>
      </c>
      <c r="B555" t="s">
        <v>1106</v>
      </c>
      <c r="C555">
        <v>9.98</v>
      </c>
      <c r="D555">
        <v>43.95</v>
      </c>
      <c r="E555">
        <v>9.26</v>
      </c>
      <c r="F555">
        <v>0.84</v>
      </c>
      <c r="G555">
        <v>9.26</v>
      </c>
      <c r="H555" t="s">
        <v>24</v>
      </c>
      <c r="I555" t="s">
        <v>1107</v>
      </c>
      <c r="J555">
        <v>4.32</v>
      </c>
      <c r="K555">
        <v>4.32</v>
      </c>
      <c r="L555">
        <v>8.6199999999999992</v>
      </c>
      <c r="M555">
        <v>9.26</v>
      </c>
      <c r="N555">
        <v>8.6199999999999992</v>
      </c>
    </row>
    <row r="556" spans="1:14" x14ac:dyDescent="0.5">
      <c r="A556" t="str">
        <f>"002094"</f>
        <v>002094</v>
      </c>
      <c r="B556" t="s">
        <v>1108</v>
      </c>
      <c r="C556">
        <v>3.11</v>
      </c>
      <c r="D556">
        <v>20.239999999999998</v>
      </c>
      <c r="E556">
        <v>5.64</v>
      </c>
      <c r="F556">
        <v>0.17</v>
      </c>
      <c r="G556">
        <v>5.63</v>
      </c>
      <c r="H556">
        <v>5.64</v>
      </c>
      <c r="I556" t="s">
        <v>1109</v>
      </c>
      <c r="J556">
        <v>4.03</v>
      </c>
      <c r="K556">
        <v>4.03</v>
      </c>
      <c r="L556">
        <v>5.43</v>
      </c>
      <c r="M556">
        <v>5.64</v>
      </c>
      <c r="N556">
        <v>5.4</v>
      </c>
    </row>
    <row r="557" spans="1:14" x14ac:dyDescent="0.5">
      <c r="A557" t="str">
        <f>"002095"</f>
        <v>002095</v>
      </c>
      <c r="B557" t="s">
        <v>1110</v>
      </c>
      <c r="C557">
        <v>0.86</v>
      </c>
      <c r="D557">
        <v>241.33</v>
      </c>
      <c r="E557">
        <v>29.18</v>
      </c>
      <c r="F557">
        <v>0.25</v>
      </c>
      <c r="G557">
        <v>29.18</v>
      </c>
      <c r="H557">
        <v>29.19</v>
      </c>
      <c r="I557" t="s">
        <v>1111</v>
      </c>
      <c r="J557">
        <v>4.4400000000000004</v>
      </c>
      <c r="K557">
        <v>4.4400000000000004</v>
      </c>
      <c r="L557">
        <v>28</v>
      </c>
      <c r="M557">
        <v>29.3</v>
      </c>
      <c r="N557">
        <v>27.7</v>
      </c>
    </row>
    <row r="558" spans="1:14" x14ac:dyDescent="0.5">
      <c r="A558" t="str">
        <f>"002096"</f>
        <v>002096</v>
      </c>
      <c r="B558" t="s">
        <v>1112</v>
      </c>
      <c r="C558">
        <v>1.25</v>
      </c>
      <c r="D558">
        <v>128.34</v>
      </c>
      <c r="E558">
        <v>6.48</v>
      </c>
      <c r="F558">
        <v>0.08</v>
      </c>
      <c r="G558">
        <v>6.48</v>
      </c>
      <c r="H558">
        <v>6.49</v>
      </c>
      <c r="I558" t="s">
        <v>1113</v>
      </c>
      <c r="J558">
        <v>0.84</v>
      </c>
      <c r="K558">
        <v>0.84</v>
      </c>
      <c r="L558">
        <v>6.37</v>
      </c>
      <c r="M558">
        <v>6.49</v>
      </c>
      <c r="N558">
        <v>6.29</v>
      </c>
    </row>
    <row r="559" spans="1:14" x14ac:dyDescent="0.5">
      <c r="A559" t="str">
        <f>"002097"</f>
        <v>002097</v>
      </c>
      <c r="B559" t="s">
        <v>1114</v>
      </c>
      <c r="C559">
        <v>2.09</v>
      </c>
      <c r="D559">
        <v>16.25</v>
      </c>
      <c r="E559">
        <v>6.85</v>
      </c>
      <c r="F559">
        <v>0.14000000000000001</v>
      </c>
      <c r="G559">
        <v>6.84</v>
      </c>
      <c r="H559">
        <v>6.85</v>
      </c>
      <c r="I559" t="s">
        <v>1115</v>
      </c>
      <c r="J559">
        <v>2.52</v>
      </c>
      <c r="K559">
        <v>2.52</v>
      </c>
      <c r="L559">
        <v>6.69</v>
      </c>
      <c r="M559">
        <v>6.85</v>
      </c>
      <c r="N559">
        <v>6.63</v>
      </c>
    </row>
    <row r="560" spans="1:14" x14ac:dyDescent="0.5">
      <c r="A560" t="str">
        <f>"002098"</f>
        <v>002098</v>
      </c>
      <c r="B560" t="s">
        <v>1116</v>
      </c>
      <c r="C560">
        <v>0.1</v>
      </c>
      <c r="D560">
        <v>45.63</v>
      </c>
      <c r="E560">
        <v>10.36</v>
      </c>
      <c r="F560">
        <v>0.01</v>
      </c>
      <c r="G560">
        <v>10.36</v>
      </c>
      <c r="H560">
        <v>10.37</v>
      </c>
      <c r="I560" t="s">
        <v>1117</v>
      </c>
      <c r="J560">
        <v>7.68</v>
      </c>
      <c r="K560">
        <v>7.68</v>
      </c>
      <c r="L560">
        <v>10.25</v>
      </c>
      <c r="M560">
        <v>10.39</v>
      </c>
      <c r="N560">
        <v>10.07</v>
      </c>
    </row>
    <row r="561" spans="1:14" x14ac:dyDescent="0.5">
      <c r="A561" t="str">
        <f>"002099"</f>
        <v>002099</v>
      </c>
      <c r="B561" t="s">
        <v>1118</v>
      </c>
      <c r="C561">
        <v>1.22</v>
      </c>
      <c r="D561">
        <v>15.28</v>
      </c>
      <c r="E561">
        <v>5.79</v>
      </c>
      <c r="F561">
        <v>7.0000000000000007E-2</v>
      </c>
      <c r="G561">
        <v>5.78</v>
      </c>
      <c r="H561">
        <v>5.79</v>
      </c>
      <c r="I561" t="s">
        <v>1119</v>
      </c>
      <c r="J561">
        <v>1.66</v>
      </c>
      <c r="K561">
        <v>1.66</v>
      </c>
      <c r="L561">
        <v>5.7</v>
      </c>
      <c r="M561">
        <v>5.79</v>
      </c>
      <c r="N561">
        <v>5.67</v>
      </c>
    </row>
    <row r="562" spans="1:14" x14ac:dyDescent="0.5">
      <c r="A562" t="str">
        <f>"002100"</f>
        <v>002100</v>
      </c>
      <c r="B562" t="s">
        <v>1120</v>
      </c>
      <c r="C562">
        <v>1.65</v>
      </c>
      <c r="D562">
        <v>19.22</v>
      </c>
      <c r="E562">
        <v>7.41</v>
      </c>
      <c r="F562">
        <v>0.12</v>
      </c>
      <c r="G562">
        <v>7.41</v>
      </c>
      <c r="H562">
        <v>7.42</v>
      </c>
      <c r="I562" t="s">
        <v>1121</v>
      </c>
      <c r="J562">
        <v>2.88</v>
      </c>
      <c r="K562">
        <v>2.88</v>
      </c>
      <c r="L562">
        <v>7.32</v>
      </c>
      <c r="M562">
        <v>7.8</v>
      </c>
      <c r="N562">
        <v>7.21</v>
      </c>
    </row>
    <row r="563" spans="1:14" x14ac:dyDescent="0.5">
      <c r="A563" t="str">
        <f>"002101"</f>
        <v>002101</v>
      </c>
      <c r="B563" t="s">
        <v>1122</v>
      </c>
      <c r="C563">
        <v>2.2000000000000002</v>
      </c>
      <c r="D563">
        <v>14.3</v>
      </c>
      <c r="E563">
        <v>9.3000000000000007</v>
      </c>
      <c r="F563">
        <v>0.2</v>
      </c>
      <c r="G563">
        <v>9.2899999999999991</v>
      </c>
      <c r="H563">
        <v>9.3000000000000007</v>
      </c>
      <c r="I563" t="s">
        <v>1123</v>
      </c>
      <c r="J563">
        <v>1.42</v>
      </c>
      <c r="K563">
        <v>1.42</v>
      </c>
      <c r="L563">
        <v>9.09</v>
      </c>
      <c r="M563">
        <v>9.32</v>
      </c>
      <c r="N563">
        <v>9.0299999999999994</v>
      </c>
    </row>
    <row r="564" spans="1:14" x14ac:dyDescent="0.5">
      <c r="A564" t="str">
        <f>"002102"</f>
        <v>002102</v>
      </c>
      <c r="B564" t="s">
        <v>1124</v>
      </c>
      <c r="C564">
        <v>0.53</v>
      </c>
      <c r="D564">
        <v>9.34</v>
      </c>
      <c r="E564">
        <v>1.89</v>
      </c>
      <c r="F564">
        <v>0.01</v>
      </c>
      <c r="G564">
        <v>1.88</v>
      </c>
      <c r="H564">
        <v>1.89</v>
      </c>
      <c r="I564" t="s">
        <v>1125</v>
      </c>
      <c r="J564">
        <v>3.2</v>
      </c>
      <c r="K564">
        <v>3.2</v>
      </c>
      <c r="L564">
        <v>1.87</v>
      </c>
      <c r="M564">
        <v>1.92</v>
      </c>
      <c r="N564">
        <v>1.86</v>
      </c>
    </row>
    <row r="565" spans="1:14" x14ac:dyDescent="0.5">
      <c r="A565" t="str">
        <f>"002103"</f>
        <v>002103</v>
      </c>
      <c r="B565" t="s">
        <v>1126</v>
      </c>
      <c r="C565">
        <v>4.95</v>
      </c>
      <c r="D565">
        <v>32.96</v>
      </c>
      <c r="E565">
        <v>5.09</v>
      </c>
      <c r="F565">
        <v>0.24</v>
      </c>
      <c r="G565">
        <v>5.08</v>
      </c>
      <c r="H565">
        <v>5.09</v>
      </c>
      <c r="I565" t="s">
        <v>1127</v>
      </c>
      <c r="J565">
        <v>11.21</v>
      </c>
      <c r="K565">
        <v>11.21</v>
      </c>
      <c r="L565">
        <v>4.8600000000000003</v>
      </c>
      <c r="M565">
        <v>5.14</v>
      </c>
      <c r="N565">
        <v>4.83</v>
      </c>
    </row>
    <row r="566" spans="1:14" x14ac:dyDescent="0.5">
      <c r="A566" t="str">
        <f>"002104"</f>
        <v>002104</v>
      </c>
      <c r="B566" t="s">
        <v>1128</v>
      </c>
      <c r="C566">
        <v>4.1100000000000003</v>
      </c>
      <c r="D566">
        <v>34.53</v>
      </c>
      <c r="E566">
        <v>7.35</v>
      </c>
      <c r="F566">
        <v>0.28999999999999998</v>
      </c>
      <c r="G566">
        <v>7.34</v>
      </c>
      <c r="H566">
        <v>7.35</v>
      </c>
      <c r="I566" t="s">
        <v>1129</v>
      </c>
      <c r="J566">
        <v>5.28</v>
      </c>
      <c r="K566">
        <v>5.28</v>
      </c>
      <c r="L566">
        <v>7</v>
      </c>
      <c r="M566">
        <v>7.35</v>
      </c>
      <c r="N566">
        <v>6.95</v>
      </c>
    </row>
    <row r="567" spans="1:14" x14ac:dyDescent="0.5">
      <c r="A567" t="str">
        <f>"002105"</f>
        <v>002105</v>
      </c>
      <c r="B567" t="s">
        <v>1130</v>
      </c>
      <c r="C567">
        <v>2.5299999999999998</v>
      </c>
      <c r="D567">
        <v>243.97</v>
      </c>
      <c r="E567">
        <v>4.87</v>
      </c>
      <c r="F567">
        <v>0.12</v>
      </c>
      <c r="G567">
        <v>4.87</v>
      </c>
      <c r="H567">
        <v>4.88</v>
      </c>
      <c r="I567" t="s">
        <v>1131</v>
      </c>
      <c r="J567">
        <v>2.11</v>
      </c>
      <c r="K567">
        <v>2.11</v>
      </c>
      <c r="L567">
        <v>4.7300000000000004</v>
      </c>
      <c r="M567">
        <v>4.92</v>
      </c>
      <c r="N567">
        <v>4.6500000000000004</v>
      </c>
    </row>
    <row r="568" spans="1:14" x14ac:dyDescent="0.5">
      <c r="A568" t="str">
        <f>"002106"</f>
        <v>002106</v>
      </c>
      <c r="B568" t="s">
        <v>1132</v>
      </c>
      <c r="C568">
        <v>3.58</v>
      </c>
      <c r="D568">
        <v>25.86</v>
      </c>
      <c r="E568">
        <v>8.3800000000000008</v>
      </c>
      <c r="F568">
        <v>0.28999999999999998</v>
      </c>
      <c r="G568">
        <v>8.3800000000000008</v>
      </c>
      <c r="H568">
        <v>8.39</v>
      </c>
      <c r="I568" t="s">
        <v>1133</v>
      </c>
      <c r="J568">
        <v>5.0199999999999996</v>
      </c>
      <c r="K568">
        <v>5.0199999999999996</v>
      </c>
      <c r="L568">
        <v>8.06</v>
      </c>
      <c r="M568">
        <v>8.4499999999999993</v>
      </c>
      <c r="N568">
        <v>8</v>
      </c>
    </row>
    <row r="569" spans="1:14" x14ac:dyDescent="0.5">
      <c r="A569" t="str">
        <f>"002107"</f>
        <v>002107</v>
      </c>
      <c r="B569" t="s">
        <v>1134</v>
      </c>
      <c r="C569">
        <v>4.2300000000000004</v>
      </c>
      <c r="D569">
        <v>64.09</v>
      </c>
      <c r="E569">
        <v>8.6199999999999992</v>
      </c>
      <c r="F569">
        <v>0.35</v>
      </c>
      <c r="G569">
        <v>8.6199999999999992</v>
      </c>
      <c r="H569">
        <v>8.6300000000000008</v>
      </c>
      <c r="I569" t="s">
        <v>1135</v>
      </c>
      <c r="J569">
        <v>1.85</v>
      </c>
      <c r="K569">
        <v>1.85</v>
      </c>
      <c r="L569">
        <v>8.2200000000000006</v>
      </c>
      <c r="M569">
        <v>8.69</v>
      </c>
      <c r="N569">
        <v>8.14</v>
      </c>
    </row>
    <row r="570" spans="1:14" x14ac:dyDescent="0.5">
      <c r="A570" t="str">
        <f>"002108"</f>
        <v>002108</v>
      </c>
      <c r="B570" t="s">
        <v>1136</v>
      </c>
      <c r="C570">
        <v>1.55</v>
      </c>
      <c r="D570">
        <v>17.690000000000001</v>
      </c>
      <c r="E570">
        <v>5.25</v>
      </c>
      <c r="F570">
        <v>0.08</v>
      </c>
      <c r="G570">
        <v>5.25</v>
      </c>
      <c r="H570">
        <v>5.26</v>
      </c>
      <c r="I570" t="s">
        <v>1137</v>
      </c>
      <c r="J570">
        <v>3.02</v>
      </c>
      <c r="K570">
        <v>3.02</v>
      </c>
      <c r="L570">
        <v>5.18</v>
      </c>
      <c r="M570">
        <v>5.25</v>
      </c>
      <c r="N570">
        <v>5.14</v>
      </c>
    </row>
    <row r="571" spans="1:14" x14ac:dyDescent="0.5">
      <c r="A571" t="str">
        <f>"002109"</f>
        <v>002109</v>
      </c>
      <c r="B571" t="s">
        <v>1138</v>
      </c>
      <c r="C571">
        <v>2.46</v>
      </c>
      <c r="D571">
        <v>15.77</v>
      </c>
      <c r="E571">
        <v>4.16</v>
      </c>
      <c r="F571">
        <v>0.1</v>
      </c>
      <c r="G571">
        <v>4.1500000000000004</v>
      </c>
      <c r="H571">
        <v>4.16</v>
      </c>
      <c r="I571" t="s">
        <v>1139</v>
      </c>
      <c r="J571">
        <v>3.82</v>
      </c>
      <c r="K571">
        <v>3.82</v>
      </c>
      <c r="L571">
        <v>4.03</v>
      </c>
      <c r="M571">
        <v>4.24</v>
      </c>
      <c r="N571">
        <v>4.0199999999999996</v>
      </c>
    </row>
    <row r="572" spans="1:14" x14ac:dyDescent="0.5">
      <c r="A572" t="str">
        <f>"002110"</f>
        <v>002110</v>
      </c>
      <c r="B572" t="s">
        <v>1140</v>
      </c>
      <c r="C572">
        <v>-0.53</v>
      </c>
      <c r="D572">
        <v>4.6500000000000004</v>
      </c>
      <c r="E572">
        <v>16.77</v>
      </c>
      <c r="F572">
        <v>-0.09</v>
      </c>
      <c r="G572">
        <v>16.760000000000002</v>
      </c>
      <c r="H572">
        <v>16.77</v>
      </c>
      <c r="I572" t="s">
        <v>1141</v>
      </c>
      <c r="J572">
        <v>3.77</v>
      </c>
      <c r="K572">
        <v>3.77</v>
      </c>
      <c r="L572">
        <v>16.600000000000001</v>
      </c>
      <c r="M572">
        <v>16.79</v>
      </c>
      <c r="N572">
        <v>16.53</v>
      </c>
    </row>
    <row r="573" spans="1:14" x14ac:dyDescent="0.5">
      <c r="A573" t="str">
        <f>"002111"</f>
        <v>002111</v>
      </c>
      <c r="B573" t="s">
        <v>1142</v>
      </c>
      <c r="C573">
        <v>1.36</v>
      </c>
      <c r="D573">
        <v>35.950000000000003</v>
      </c>
      <c r="E573">
        <v>12.69</v>
      </c>
      <c r="F573">
        <v>0.17</v>
      </c>
      <c r="G573">
        <v>12.68</v>
      </c>
      <c r="H573">
        <v>12.69</v>
      </c>
      <c r="I573" t="s">
        <v>1143</v>
      </c>
      <c r="J573">
        <v>1.55</v>
      </c>
      <c r="K573">
        <v>1.55</v>
      </c>
      <c r="L573">
        <v>12.48</v>
      </c>
      <c r="M573">
        <v>12.7</v>
      </c>
      <c r="N573">
        <v>12.37</v>
      </c>
    </row>
    <row r="574" spans="1:14" x14ac:dyDescent="0.5">
      <c r="A574" t="str">
        <f>"002112"</f>
        <v>002112</v>
      </c>
      <c r="B574" t="s">
        <v>1144</v>
      </c>
      <c r="C574">
        <v>10.050000000000001</v>
      </c>
      <c r="D574" t="s">
        <v>24</v>
      </c>
      <c r="E574">
        <v>8.2100000000000009</v>
      </c>
      <c r="F574">
        <v>0.75</v>
      </c>
      <c r="G574">
        <v>8.2100000000000009</v>
      </c>
      <c r="H574" t="s">
        <v>24</v>
      </c>
      <c r="I574" t="s">
        <v>1145</v>
      </c>
      <c r="J574">
        <v>20.45</v>
      </c>
      <c r="K574">
        <v>20.45</v>
      </c>
      <c r="L574">
        <v>7.75</v>
      </c>
      <c r="M574">
        <v>8.2100000000000009</v>
      </c>
      <c r="N574">
        <v>7.6</v>
      </c>
    </row>
    <row r="575" spans="1:14" x14ac:dyDescent="0.5">
      <c r="A575" t="str">
        <f>"002113"</f>
        <v>002113</v>
      </c>
      <c r="B575" t="s">
        <v>1146</v>
      </c>
      <c r="C575">
        <v>4.05</v>
      </c>
      <c r="D575">
        <v>175.43</v>
      </c>
      <c r="E575">
        <v>4.1100000000000003</v>
      </c>
      <c r="F575">
        <v>0.16</v>
      </c>
      <c r="G575">
        <v>4.1100000000000003</v>
      </c>
      <c r="H575">
        <v>4.12</v>
      </c>
      <c r="I575" t="s">
        <v>1147</v>
      </c>
      <c r="J575">
        <v>8.2899999999999991</v>
      </c>
      <c r="K575">
        <v>8.2899999999999991</v>
      </c>
      <c r="L575">
        <v>3.97</v>
      </c>
      <c r="M575">
        <v>4.12</v>
      </c>
      <c r="N575">
        <v>3.89</v>
      </c>
    </row>
    <row r="576" spans="1:14" x14ac:dyDescent="0.5">
      <c r="A576" t="str">
        <f>"002114"</f>
        <v>002114</v>
      </c>
      <c r="B576" t="s">
        <v>1148</v>
      </c>
      <c r="C576">
        <v>2.72</v>
      </c>
      <c r="D576" t="s">
        <v>24</v>
      </c>
      <c r="E576">
        <v>8.6999999999999993</v>
      </c>
      <c r="F576">
        <v>0.23</v>
      </c>
      <c r="G576">
        <v>8.69</v>
      </c>
      <c r="H576">
        <v>8.6999999999999993</v>
      </c>
      <c r="I576" t="s">
        <v>1149</v>
      </c>
      <c r="J576">
        <v>3.94</v>
      </c>
      <c r="K576">
        <v>3.94</v>
      </c>
      <c r="L576">
        <v>8.44</v>
      </c>
      <c r="M576">
        <v>8.6999999999999993</v>
      </c>
      <c r="N576">
        <v>8.32</v>
      </c>
    </row>
    <row r="577" spans="1:14" x14ac:dyDescent="0.5">
      <c r="A577" t="str">
        <f>"002115"</f>
        <v>002115</v>
      </c>
      <c r="B577" t="s">
        <v>1150</v>
      </c>
      <c r="C577">
        <v>5.0999999999999996</v>
      </c>
      <c r="D577">
        <v>35.17</v>
      </c>
      <c r="E577">
        <v>12.98</v>
      </c>
      <c r="F577">
        <v>0.63</v>
      </c>
      <c r="G577">
        <v>12.98</v>
      </c>
      <c r="H577">
        <v>12.99</v>
      </c>
      <c r="I577" t="s">
        <v>1151</v>
      </c>
      <c r="J577">
        <v>11.44</v>
      </c>
      <c r="K577">
        <v>11.44</v>
      </c>
      <c r="L577">
        <v>12.26</v>
      </c>
      <c r="M577">
        <v>12.98</v>
      </c>
      <c r="N577">
        <v>12.1</v>
      </c>
    </row>
    <row r="578" spans="1:14" x14ac:dyDescent="0.5">
      <c r="A578" t="str">
        <f>"002116"</f>
        <v>002116</v>
      </c>
      <c r="B578" t="s">
        <v>1152</v>
      </c>
      <c r="C578">
        <v>3.68</v>
      </c>
      <c r="D578">
        <v>17.440000000000001</v>
      </c>
      <c r="E578">
        <v>9.8699999999999992</v>
      </c>
      <c r="F578">
        <v>0.35</v>
      </c>
      <c r="G578">
        <v>9.8699999999999992</v>
      </c>
      <c r="H578">
        <v>9.8800000000000008</v>
      </c>
      <c r="I578" t="s">
        <v>1153</v>
      </c>
      <c r="J578">
        <v>1.58</v>
      </c>
      <c r="K578">
        <v>1.58</v>
      </c>
      <c r="L578">
        <v>9.52</v>
      </c>
      <c r="M578">
        <v>9.8699999999999992</v>
      </c>
      <c r="N578">
        <v>9.43</v>
      </c>
    </row>
    <row r="579" spans="1:14" x14ac:dyDescent="0.5">
      <c r="A579" t="str">
        <f>"002117"</f>
        <v>002117</v>
      </c>
      <c r="B579" t="s">
        <v>1154</v>
      </c>
      <c r="C579">
        <v>3.82</v>
      </c>
      <c r="D579">
        <v>23.58</v>
      </c>
      <c r="E579">
        <v>17.649999999999999</v>
      </c>
      <c r="F579">
        <v>0.65</v>
      </c>
      <c r="G579">
        <v>17.649999999999999</v>
      </c>
      <c r="H579">
        <v>17.66</v>
      </c>
      <c r="I579" t="s">
        <v>177</v>
      </c>
      <c r="J579">
        <v>1.86</v>
      </c>
      <c r="K579">
        <v>1.86</v>
      </c>
      <c r="L579">
        <v>16.920000000000002</v>
      </c>
      <c r="M579">
        <v>17.66</v>
      </c>
      <c r="N579">
        <v>16.86</v>
      </c>
    </row>
    <row r="580" spans="1:14" x14ac:dyDescent="0.5">
      <c r="A580" t="str">
        <f>"002118"</f>
        <v>002118</v>
      </c>
      <c r="B580" t="s">
        <v>1155</v>
      </c>
      <c r="C580">
        <v>4.71</v>
      </c>
      <c r="D580">
        <v>15.93</v>
      </c>
      <c r="E580">
        <v>7.33</v>
      </c>
      <c r="F580">
        <v>0.33</v>
      </c>
      <c r="G580">
        <v>7.33</v>
      </c>
      <c r="H580">
        <v>7.34</v>
      </c>
      <c r="I580" t="s">
        <v>1156</v>
      </c>
      <c r="J580">
        <v>7.92</v>
      </c>
      <c r="K580">
        <v>7.92</v>
      </c>
      <c r="L580">
        <v>6.88</v>
      </c>
      <c r="M580">
        <v>7.49</v>
      </c>
      <c r="N580">
        <v>6.81</v>
      </c>
    </row>
    <row r="581" spans="1:14" x14ac:dyDescent="0.5">
      <c r="A581" t="str">
        <f>"002119"</f>
        <v>002119</v>
      </c>
      <c r="B581" t="s">
        <v>1157</v>
      </c>
      <c r="C581">
        <v>5.95</v>
      </c>
      <c r="D581">
        <v>38.770000000000003</v>
      </c>
      <c r="E581">
        <v>10.5</v>
      </c>
      <c r="F581">
        <v>0.59</v>
      </c>
      <c r="G581">
        <v>10.49</v>
      </c>
      <c r="H581">
        <v>10.5</v>
      </c>
      <c r="I581" t="s">
        <v>1158</v>
      </c>
      <c r="J581">
        <v>4.88</v>
      </c>
      <c r="K581">
        <v>4.88</v>
      </c>
      <c r="L581">
        <v>9.8699999999999992</v>
      </c>
      <c r="M581">
        <v>10.74</v>
      </c>
      <c r="N581">
        <v>9.81</v>
      </c>
    </row>
    <row r="582" spans="1:14" x14ac:dyDescent="0.5">
      <c r="A582" t="str">
        <f>"002120"</f>
        <v>002120</v>
      </c>
      <c r="B582" t="s">
        <v>1159</v>
      </c>
      <c r="C582">
        <v>9</v>
      </c>
      <c r="D582">
        <v>25.98</v>
      </c>
      <c r="E582">
        <v>40.799999999999997</v>
      </c>
      <c r="F582">
        <v>3.37</v>
      </c>
      <c r="G582">
        <v>40.78</v>
      </c>
      <c r="H582">
        <v>40.799999999999997</v>
      </c>
      <c r="I582" t="s">
        <v>1160</v>
      </c>
      <c r="J582">
        <v>1.29</v>
      </c>
      <c r="K582">
        <v>1.29</v>
      </c>
      <c r="L582">
        <v>37.200000000000003</v>
      </c>
      <c r="M582">
        <v>41.17</v>
      </c>
      <c r="N582">
        <v>36.799999999999997</v>
      </c>
    </row>
    <row r="583" spans="1:14" x14ac:dyDescent="0.5">
      <c r="A583" t="str">
        <f>"002121"</f>
        <v>002121</v>
      </c>
      <c r="B583" t="s">
        <v>1161</v>
      </c>
      <c r="C583">
        <v>10.06</v>
      </c>
      <c r="D583">
        <v>51.37</v>
      </c>
      <c r="E583">
        <v>5.91</v>
      </c>
      <c r="F583">
        <v>0.54</v>
      </c>
      <c r="G583">
        <v>5.91</v>
      </c>
      <c r="H583" t="s">
        <v>24</v>
      </c>
      <c r="I583" t="s">
        <v>1162</v>
      </c>
      <c r="J583">
        <v>1.55</v>
      </c>
      <c r="K583">
        <v>1.55</v>
      </c>
      <c r="L583">
        <v>5.4</v>
      </c>
      <c r="M583">
        <v>5.91</v>
      </c>
      <c r="N583">
        <v>5.4</v>
      </c>
    </row>
    <row r="584" spans="1:14" x14ac:dyDescent="0.5">
      <c r="A584" t="str">
        <f>"002122"</f>
        <v>002122</v>
      </c>
      <c r="B584" t="s">
        <v>1163</v>
      </c>
      <c r="C584">
        <v>4.9000000000000004</v>
      </c>
      <c r="D584" t="s">
        <v>24</v>
      </c>
      <c r="E584">
        <v>2.14</v>
      </c>
      <c r="F584">
        <v>0.1</v>
      </c>
      <c r="G584">
        <v>2.14</v>
      </c>
      <c r="H584" t="s">
        <v>24</v>
      </c>
      <c r="I584" t="s">
        <v>1164</v>
      </c>
      <c r="J584">
        <v>2.67</v>
      </c>
      <c r="K584">
        <v>2.67</v>
      </c>
      <c r="L584">
        <v>2.0299999999999998</v>
      </c>
      <c r="M584">
        <v>2.14</v>
      </c>
      <c r="N584">
        <v>2.0099999999999998</v>
      </c>
    </row>
    <row r="585" spans="1:14" x14ac:dyDescent="0.5">
      <c r="A585" t="str">
        <f>"002123"</f>
        <v>002123</v>
      </c>
      <c r="B585" t="s">
        <v>1165</v>
      </c>
      <c r="C585">
        <v>0.56000000000000005</v>
      </c>
      <c r="D585">
        <v>51.39</v>
      </c>
      <c r="E585">
        <v>12.47</v>
      </c>
      <c r="F585">
        <v>7.0000000000000007E-2</v>
      </c>
      <c r="G585">
        <v>12.46</v>
      </c>
      <c r="H585">
        <v>12.47</v>
      </c>
      <c r="I585" t="s">
        <v>1166</v>
      </c>
      <c r="J585">
        <v>6.6</v>
      </c>
      <c r="K585">
        <v>6.6</v>
      </c>
      <c r="L585">
        <v>12.3</v>
      </c>
      <c r="M585">
        <v>12.76</v>
      </c>
      <c r="N585">
        <v>11.91</v>
      </c>
    </row>
    <row r="586" spans="1:14" x14ac:dyDescent="0.5">
      <c r="A586" t="str">
        <f>"002124"</f>
        <v>002124</v>
      </c>
      <c r="B586" t="s">
        <v>1167</v>
      </c>
      <c r="C586">
        <v>9.98</v>
      </c>
      <c r="D586">
        <v>79.040000000000006</v>
      </c>
      <c r="E586">
        <v>13.44</v>
      </c>
      <c r="F586">
        <v>1.22</v>
      </c>
      <c r="G586">
        <v>13.44</v>
      </c>
      <c r="H586" t="s">
        <v>24</v>
      </c>
      <c r="I586" t="s">
        <v>1168</v>
      </c>
      <c r="J586">
        <v>4.43</v>
      </c>
      <c r="K586">
        <v>4.43</v>
      </c>
      <c r="L586">
        <v>12.85</v>
      </c>
      <c r="M586">
        <v>13.44</v>
      </c>
      <c r="N586">
        <v>12.85</v>
      </c>
    </row>
    <row r="587" spans="1:14" x14ac:dyDescent="0.5">
      <c r="A587" t="str">
        <f>"002125"</f>
        <v>002125</v>
      </c>
      <c r="B587" t="s">
        <v>1169</v>
      </c>
      <c r="C587">
        <v>1.96</v>
      </c>
      <c r="D587">
        <v>40.51</v>
      </c>
      <c r="E587">
        <v>8.33</v>
      </c>
      <c r="F587">
        <v>0.16</v>
      </c>
      <c r="G587">
        <v>8.33</v>
      </c>
      <c r="H587">
        <v>8.34</v>
      </c>
      <c r="I587" t="s">
        <v>758</v>
      </c>
      <c r="J587">
        <v>1.34</v>
      </c>
      <c r="K587">
        <v>1.34</v>
      </c>
      <c r="L587">
        <v>8.15</v>
      </c>
      <c r="M587">
        <v>8.36</v>
      </c>
      <c r="N587">
        <v>8.11</v>
      </c>
    </row>
    <row r="588" spans="1:14" x14ac:dyDescent="0.5">
      <c r="A588" t="str">
        <f>"002126"</f>
        <v>002126</v>
      </c>
      <c r="B588" t="s">
        <v>1170</v>
      </c>
      <c r="C588">
        <v>3.41</v>
      </c>
      <c r="D588">
        <v>19.260000000000002</v>
      </c>
      <c r="E588">
        <v>8.8000000000000007</v>
      </c>
      <c r="F588">
        <v>0.28999999999999998</v>
      </c>
      <c r="G588">
        <v>8.7899999999999991</v>
      </c>
      <c r="H588">
        <v>8.8000000000000007</v>
      </c>
      <c r="I588" t="s">
        <v>1171</v>
      </c>
      <c r="J588">
        <v>3.17</v>
      </c>
      <c r="K588">
        <v>3.17</v>
      </c>
      <c r="L588">
        <v>8.5</v>
      </c>
      <c r="M588">
        <v>8.83</v>
      </c>
      <c r="N588">
        <v>8.43</v>
      </c>
    </row>
    <row r="589" spans="1:14" x14ac:dyDescent="0.5">
      <c r="A589" t="str">
        <f>"002127"</f>
        <v>002127</v>
      </c>
      <c r="B589" t="s">
        <v>1172</v>
      </c>
      <c r="C589">
        <v>-0.45</v>
      </c>
      <c r="D589">
        <v>34.83</v>
      </c>
      <c r="E589">
        <v>10.95</v>
      </c>
      <c r="F589">
        <v>-0.05</v>
      </c>
      <c r="G589">
        <v>10.94</v>
      </c>
      <c r="H589">
        <v>10.95</v>
      </c>
      <c r="I589" t="s">
        <v>1173</v>
      </c>
      <c r="J589">
        <v>0.74</v>
      </c>
      <c r="K589">
        <v>0.74</v>
      </c>
      <c r="L589">
        <v>11.03</v>
      </c>
      <c r="M589">
        <v>11.09</v>
      </c>
      <c r="N589">
        <v>10.78</v>
      </c>
    </row>
    <row r="590" spans="1:14" x14ac:dyDescent="0.5">
      <c r="A590" t="str">
        <f>"002128"</f>
        <v>002128</v>
      </c>
      <c r="B590" t="s">
        <v>1174</v>
      </c>
      <c r="C590">
        <v>1.62</v>
      </c>
      <c r="D590">
        <v>6.78</v>
      </c>
      <c r="E590">
        <v>8.8000000000000007</v>
      </c>
      <c r="F590">
        <v>0.14000000000000001</v>
      </c>
      <c r="G590">
        <v>8.7899999999999991</v>
      </c>
      <c r="H590">
        <v>8.8000000000000007</v>
      </c>
      <c r="I590" t="s">
        <v>1175</v>
      </c>
      <c r="J590">
        <v>1.47</v>
      </c>
      <c r="K590">
        <v>1.47</v>
      </c>
      <c r="L590">
        <v>8.67</v>
      </c>
      <c r="M590">
        <v>8.8000000000000007</v>
      </c>
      <c r="N590">
        <v>8.6199999999999992</v>
      </c>
    </row>
    <row r="591" spans="1:14" x14ac:dyDescent="0.5">
      <c r="A591" t="str">
        <f>"002129"</f>
        <v>002129</v>
      </c>
      <c r="B591" t="s">
        <v>1176</v>
      </c>
      <c r="C591">
        <v>8.3800000000000008</v>
      </c>
      <c r="D591">
        <v>49.33</v>
      </c>
      <c r="E591">
        <v>10.6</v>
      </c>
      <c r="F591">
        <v>0.82</v>
      </c>
      <c r="G591">
        <v>10.59</v>
      </c>
      <c r="H591">
        <v>10.6</v>
      </c>
      <c r="I591" t="s">
        <v>1177</v>
      </c>
      <c r="J591">
        <v>5.56</v>
      </c>
      <c r="K591">
        <v>5.56</v>
      </c>
      <c r="L591">
        <v>9.75</v>
      </c>
      <c r="M591">
        <v>10.76</v>
      </c>
      <c r="N591">
        <v>9.59</v>
      </c>
    </row>
    <row r="592" spans="1:14" x14ac:dyDescent="0.5">
      <c r="A592" t="str">
        <f>"002130"</f>
        <v>002130</v>
      </c>
      <c r="B592" t="s">
        <v>1178</v>
      </c>
      <c r="C592">
        <v>2.0499999999999998</v>
      </c>
      <c r="D592">
        <v>26.69</v>
      </c>
      <c r="E592">
        <v>4.49</v>
      </c>
      <c r="F592">
        <v>0.09</v>
      </c>
      <c r="G592">
        <v>4.4800000000000004</v>
      </c>
      <c r="H592">
        <v>4.49</v>
      </c>
      <c r="I592" t="s">
        <v>1179</v>
      </c>
      <c r="J592">
        <v>5.27</v>
      </c>
      <c r="K592">
        <v>5.27</v>
      </c>
      <c r="L592">
        <v>4.3499999999999996</v>
      </c>
      <c r="M592">
        <v>4.5199999999999996</v>
      </c>
      <c r="N592">
        <v>4.3099999999999996</v>
      </c>
    </row>
    <row r="593" spans="1:14" x14ac:dyDescent="0.5">
      <c r="A593" t="str">
        <f>"002131"</f>
        <v>002131</v>
      </c>
      <c r="B593" t="s">
        <v>1180</v>
      </c>
      <c r="C593">
        <v>1.62</v>
      </c>
      <c r="D593">
        <v>49.43</v>
      </c>
      <c r="E593">
        <v>1.88</v>
      </c>
      <c r="F593">
        <v>0.03</v>
      </c>
      <c r="G593">
        <v>1.87</v>
      </c>
      <c r="H593">
        <v>1.88</v>
      </c>
      <c r="I593" t="s">
        <v>1181</v>
      </c>
      <c r="J593">
        <v>6.74</v>
      </c>
      <c r="K593">
        <v>6.74</v>
      </c>
      <c r="L593">
        <v>1.82</v>
      </c>
      <c r="M593">
        <v>1.88</v>
      </c>
      <c r="N593">
        <v>1.8</v>
      </c>
    </row>
    <row r="594" spans="1:14" x14ac:dyDescent="0.5">
      <c r="A594" t="str">
        <f>"002132"</f>
        <v>002132</v>
      </c>
      <c r="B594" t="s">
        <v>1182</v>
      </c>
      <c r="C594">
        <v>1.66</v>
      </c>
      <c r="D594" t="s">
        <v>24</v>
      </c>
      <c r="E594">
        <v>3.06</v>
      </c>
      <c r="F594">
        <v>0.05</v>
      </c>
      <c r="G594">
        <v>3.05</v>
      </c>
      <c r="H594">
        <v>3.06</v>
      </c>
      <c r="I594" t="s">
        <v>1183</v>
      </c>
      <c r="J594">
        <v>3.75</v>
      </c>
      <c r="K594">
        <v>3.75</v>
      </c>
      <c r="L594">
        <v>2.99</v>
      </c>
      <c r="M594">
        <v>3.06</v>
      </c>
      <c r="N594">
        <v>2.97</v>
      </c>
    </row>
    <row r="595" spans="1:14" x14ac:dyDescent="0.5">
      <c r="A595" t="str">
        <f>"002133"</f>
        <v>002133</v>
      </c>
      <c r="B595" t="s">
        <v>1184</v>
      </c>
      <c r="C595">
        <v>1.46</v>
      </c>
      <c r="D595">
        <v>8.1999999999999993</v>
      </c>
      <c r="E595">
        <v>4.17</v>
      </c>
      <c r="F595">
        <v>0.06</v>
      </c>
      <c r="G595">
        <v>4.16</v>
      </c>
      <c r="H595">
        <v>4.17</v>
      </c>
      <c r="I595" t="s">
        <v>1185</v>
      </c>
      <c r="J595">
        <v>2.13</v>
      </c>
      <c r="K595">
        <v>2.13</v>
      </c>
      <c r="L595">
        <v>4.0999999999999996</v>
      </c>
      <c r="M595">
        <v>4.17</v>
      </c>
      <c r="N595">
        <v>4.07</v>
      </c>
    </row>
    <row r="596" spans="1:14" x14ac:dyDescent="0.5">
      <c r="A596" t="str">
        <f>"002134"</f>
        <v>002134</v>
      </c>
      <c r="B596" t="s">
        <v>1186</v>
      </c>
      <c r="C596">
        <v>2.93</v>
      </c>
      <c r="D596">
        <v>530.35</v>
      </c>
      <c r="E596">
        <v>7.03</v>
      </c>
      <c r="F596">
        <v>0.2</v>
      </c>
      <c r="G596">
        <v>7.03</v>
      </c>
      <c r="H596">
        <v>7.05</v>
      </c>
      <c r="I596" t="s">
        <v>1187</v>
      </c>
      <c r="J596">
        <v>1.85</v>
      </c>
      <c r="K596">
        <v>1.85</v>
      </c>
      <c r="L596">
        <v>6.83</v>
      </c>
      <c r="M596">
        <v>7.15</v>
      </c>
      <c r="N596">
        <v>6.8</v>
      </c>
    </row>
    <row r="597" spans="1:14" x14ac:dyDescent="0.5">
      <c r="A597" t="str">
        <f>"002135"</f>
        <v>002135</v>
      </c>
      <c r="B597" t="s">
        <v>1188</v>
      </c>
      <c r="C597">
        <v>0.89</v>
      </c>
      <c r="D597">
        <v>34.369999999999997</v>
      </c>
      <c r="E597">
        <v>5.65</v>
      </c>
      <c r="F597">
        <v>0.05</v>
      </c>
      <c r="G597">
        <v>5.65</v>
      </c>
      <c r="H597">
        <v>5.66</v>
      </c>
      <c r="I597" t="s">
        <v>1189</v>
      </c>
      <c r="J597">
        <v>0.79</v>
      </c>
      <c r="K597">
        <v>0.79</v>
      </c>
      <c r="L597">
        <v>5.59</v>
      </c>
      <c r="M597">
        <v>5.66</v>
      </c>
      <c r="N597">
        <v>5.55</v>
      </c>
    </row>
    <row r="598" spans="1:14" x14ac:dyDescent="0.5">
      <c r="A598" t="str">
        <f>"002136"</f>
        <v>002136</v>
      </c>
      <c r="B598" t="s">
        <v>1190</v>
      </c>
      <c r="C598">
        <v>1.5</v>
      </c>
      <c r="D598">
        <v>17.39</v>
      </c>
      <c r="E598">
        <v>8.7899999999999991</v>
      </c>
      <c r="F598">
        <v>0.13</v>
      </c>
      <c r="G598">
        <v>8.7799999999999994</v>
      </c>
      <c r="H598">
        <v>8.7899999999999991</v>
      </c>
      <c r="I598" t="s">
        <v>1191</v>
      </c>
      <c r="J598">
        <v>2.95</v>
      </c>
      <c r="K598">
        <v>2.95</v>
      </c>
      <c r="L598">
        <v>8.66</v>
      </c>
      <c r="M598">
        <v>8.7899999999999991</v>
      </c>
      <c r="N598">
        <v>8.57</v>
      </c>
    </row>
    <row r="599" spans="1:14" x14ac:dyDescent="0.5">
      <c r="A599" t="str">
        <f>"002137"</f>
        <v>002137</v>
      </c>
      <c r="B599" t="s">
        <v>1192</v>
      </c>
      <c r="C599">
        <v>10.07</v>
      </c>
      <c r="D599">
        <v>43.85</v>
      </c>
      <c r="E599">
        <v>7.76</v>
      </c>
      <c r="F599">
        <v>0.71</v>
      </c>
      <c r="G599">
        <v>7.76</v>
      </c>
      <c r="H599" t="s">
        <v>24</v>
      </c>
      <c r="I599" t="s">
        <v>1193</v>
      </c>
      <c r="J599">
        <v>9.7899999999999991</v>
      </c>
      <c r="K599">
        <v>9.7899999999999991</v>
      </c>
      <c r="L599">
        <v>7.13</v>
      </c>
      <c r="M599">
        <v>7.76</v>
      </c>
      <c r="N599">
        <v>7.11</v>
      </c>
    </row>
    <row r="600" spans="1:14" x14ac:dyDescent="0.5">
      <c r="A600" t="str">
        <f>"002138"</f>
        <v>002138</v>
      </c>
      <c r="B600" t="s">
        <v>1194</v>
      </c>
      <c r="C600">
        <v>0.17</v>
      </c>
      <c r="D600">
        <v>30.49</v>
      </c>
      <c r="E600">
        <v>17.97</v>
      </c>
      <c r="F600">
        <v>0.03</v>
      </c>
      <c r="G600">
        <v>17.97</v>
      </c>
      <c r="H600">
        <v>17.98</v>
      </c>
      <c r="I600" t="s">
        <v>1195</v>
      </c>
      <c r="J600">
        <v>2.69</v>
      </c>
      <c r="K600">
        <v>2.69</v>
      </c>
      <c r="L600">
        <v>17.78</v>
      </c>
      <c r="M600">
        <v>17.97</v>
      </c>
      <c r="N600">
        <v>17.43</v>
      </c>
    </row>
    <row r="601" spans="1:14" x14ac:dyDescent="0.5">
      <c r="A601" t="str">
        <f>"002139"</f>
        <v>002139</v>
      </c>
      <c r="B601" t="s">
        <v>1196</v>
      </c>
      <c r="C601">
        <v>3.53</v>
      </c>
      <c r="D601">
        <v>23.73</v>
      </c>
      <c r="E601">
        <v>5.86</v>
      </c>
      <c r="F601">
        <v>0.2</v>
      </c>
      <c r="G601">
        <v>5.86</v>
      </c>
      <c r="H601">
        <v>5.87</v>
      </c>
      <c r="I601" t="s">
        <v>1197</v>
      </c>
      <c r="J601">
        <v>4.96</v>
      </c>
      <c r="K601">
        <v>4.96</v>
      </c>
      <c r="L601">
        <v>5.66</v>
      </c>
      <c r="M601">
        <v>5.88</v>
      </c>
      <c r="N601">
        <v>5.58</v>
      </c>
    </row>
    <row r="602" spans="1:14" x14ac:dyDescent="0.5">
      <c r="A602" t="str">
        <f>"002140"</f>
        <v>002140</v>
      </c>
      <c r="B602" t="s">
        <v>1198</v>
      </c>
      <c r="C602">
        <v>3.79</v>
      </c>
      <c r="D602" t="s">
        <v>24</v>
      </c>
      <c r="E602">
        <v>7.66</v>
      </c>
      <c r="F602">
        <v>0.28000000000000003</v>
      </c>
      <c r="G602">
        <v>7.65</v>
      </c>
      <c r="H602">
        <v>7.66</v>
      </c>
      <c r="I602" t="s">
        <v>1199</v>
      </c>
      <c r="J602">
        <v>1.97</v>
      </c>
      <c r="K602">
        <v>1.97</v>
      </c>
      <c r="L602">
        <v>7.38</v>
      </c>
      <c r="M602">
        <v>7.69</v>
      </c>
      <c r="N602">
        <v>7.3</v>
      </c>
    </row>
    <row r="603" spans="1:14" x14ac:dyDescent="0.5">
      <c r="A603" t="str">
        <f>"002141"</f>
        <v>002141</v>
      </c>
      <c r="B603" t="s">
        <v>1200</v>
      </c>
      <c r="C603">
        <v>6.73</v>
      </c>
      <c r="D603">
        <v>496.99</v>
      </c>
      <c r="E603">
        <v>5.23</v>
      </c>
      <c r="F603">
        <v>0.33</v>
      </c>
      <c r="G603">
        <v>5.23</v>
      </c>
      <c r="H603">
        <v>5.24</v>
      </c>
      <c r="I603" t="s">
        <v>1201</v>
      </c>
      <c r="J603">
        <v>9.98</v>
      </c>
      <c r="K603">
        <v>9.98</v>
      </c>
      <c r="L603">
        <v>4.83</v>
      </c>
      <c r="M603">
        <v>5.29</v>
      </c>
      <c r="N603">
        <v>4.83</v>
      </c>
    </row>
    <row r="604" spans="1:14" x14ac:dyDescent="0.5">
      <c r="A604" t="str">
        <f>"002142"</f>
        <v>002142</v>
      </c>
      <c r="B604" t="s">
        <v>1202</v>
      </c>
      <c r="C604">
        <v>-0.45</v>
      </c>
      <c r="D604">
        <v>9.41</v>
      </c>
      <c r="E604">
        <v>19.829999999999998</v>
      </c>
      <c r="F604">
        <v>-0.09</v>
      </c>
      <c r="G604">
        <v>19.829999999999998</v>
      </c>
      <c r="H604">
        <v>19.84</v>
      </c>
      <c r="I604" t="s">
        <v>1203</v>
      </c>
      <c r="J604">
        <v>0.5</v>
      </c>
      <c r="K604">
        <v>0.5</v>
      </c>
      <c r="L604">
        <v>19.809999999999999</v>
      </c>
      <c r="M604">
        <v>20.170000000000002</v>
      </c>
      <c r="N604">
        <v>19.59</v>
      </c>
    </row>
    <row r="605" spans="1:14" x14ac:dyDescent="0.5">
      <c r="A605" t="str">
        <f>"002143"</f>
        <v>002143</v>
      </c>
      <c r="B605" t="s">
        <v>1204</v>
      </c>
      <c r="C605">
        <v>9.27</v>
      </c>
      <c r="D605" t="s">
        <v>24</v>
      </c>
      <c r="E605">
        <v>3.89</v>
      </c>
      <c r="F605">
        <v>0.33</v>
      </c>
      <c r="G605">
        <v>3.88</v>
      </c>
      <c r="H605">
        <v>3.89</v>
      </c>
      <c r="I605" t="s">
        <v>1205</v>
      </c>
      <c r="J605">
        <v>7.48</v>
      </c>
      <c r="K605">
        <v>7.48</v>
      </c>
      <c r="L605">
        <v>3.53</v>
      </c>
      <c r="M605">
        <v>3.92</v>
      </c>
      <c r="N605">
        <v>3.49</v>
      </c>
    </row>
    <row r="606" spans="1:14" x14ac:dyDescent="0.5">
      <c r="A606" t="str">
        <f>"002144"</f>
        <v>002144</v>
      </c>
      <c r="B606" t="s">
        <v>1206</v>
      </c>
      <c r="C606">
        <v>1.07</v>
      </c>
      <c r="D606">
        <v>19.45</v>
      </c>
      <c r="E606">
        <v>11.35</v>
      </c>
      <c r="F606">
        <v>0.12</v>
      </c>
      <c r="G606">
        <v>11.34</v>
      </c>
      <c r="H606">
        <v>11.35</v>
      </c>
      <c r="I606" t="s">
        <v>1207</v>
      </c>
      <c r="J606">
        <v>1.56</v>
      </c>
      <c r="K606">
        <v>1.56</v>
      </c>
      <c r="L606">
        <v>11.17</v>
      </c>
      <c r="M606">
        <v>11.36</v>
      </c>
      <c r="N606">
        <v>11.13</v>
      </c>
    </row>
    <row r="607" spans="1:14" x14ac:dyDescent="0.5">
      <c r="A607" t="str">
        <f>"002145"</f>
        <v>002145</v>
      </c>
      <c r="B607" t="s">
        <v>1208</v>
      </c>
      <c r="C607">
        <v>0.74</v>
      </c>
      <c r="D607">
        <v>16.03</v>
      </c>
      <c r="E607">
        <v>4.1100000000000003</v>
      </c>
      <c r="F607">
        <v>0.03</v>
      </c>
      <c r="G607">
        <v>4.0999999999999996</v>
      </c>
      <c r="H607">
        <v>4.1100000000000003</v>
      </c>
      <c r="I607" t="s">
        <v>1209</v>
      </c>
      <c r="J607">
        <v>3.18</v>
      </c>
      <c r="K607">
        <v>3.18</v>
      </c>
      <c r="L607">
        <v>4.05</v>
      </c>
      <c r="M607">
        <v>4.12</v>
      </c>
      <c r="N607">
        <v>4.0199999999999996</v>
      </c>
    </row>
    <row r="608" spans="1:14" x14ac:dyDescent="0.5">
      <c r="A608" t="str">
        <f>"002146"</f>
        <v>002146</v>
      </c>
      <c r="B608" t="s">
        <v>1210</v>
      </c>
      <c r="C608">
        <v>4.74</v>
      </c>
      <c r="D608">
        <v>6.33</v>
      </c>
      <c r="E608">
        <v>10.83</v>
      </c>
      <c r="F608">
        <v>0.49</v>
      </c>
      <c r="G608">
        <v>10.82</v>
      </c>
      <c r="H608">
        <v>10.83</v>
      </c>
      <c r="I608" t="s">
        <v>1211</v>
      </c>
      <c r="J608">
        <v>1.89</v>
      </c>
      <c r="K608">
        <v>1.89</v>
      </c>
      <c r="L608">
        <v>10.33</v>
      </c>
      <c r="M608">
        <v>10.89</v>
      </c>
      <c r="N608">
        <v>10.33</v>
      </c>
    </row>
    <row r="609" spans="1:14" x14ac:dyDescent="0.5">
      <c r="A609" t="str">
        <f>"002147"</f>
        <v>002147</v>
      </c>
      <c r="B609" t="s">
        <v>1212</v>
      </c>
      <c r="C609">
        <v>1.32</v>
      </c>
      <c r="D609">
        <v>3.87</v>
      </c>
      <c r="E609">
        <v>3.08</v>
      </c>
      <c r="F609">
        <v>0.04</v>
      </c>
      <c r="G609">
        <v>3.08</v>
      </c>
      <c r="H609">
        <v>3.09</v>
      </c>
      <c r="I609" t="s">
        <v>1213</v>
      </c>
      <c r="J609">
        <v>7.37</v>
      </c>
      <c r="K609">
        <v>7.37</v>
      </c>
      <c r="L609">
        <v>3.03</v>
      </c>
      <c r="M609">
        <v>3.09</v>
      </c>
      <c r="N609">
        <v>3.01</v>
      </c>
    </row>
    <row r="610" spans="1:14" x14ac:dyDescent="0.5">
      <c r="A610" t="str">
        <f>"002148"</f>
        <v>002148</v>
      </c>
      <c r="B610" t="s">
        <v>1214</v>
      </c>
      <c r="C610">
        <v>0</v>
      </c>
      <c r="D610">
        <v>68.260000000000005</v>
      </c>
      <c r="E610">
        <v>7.6</v>
      </c>
      <c r="F610">
        <v>0</v>
      </c>
      <c r="G610">
        <v>7.59</v>
      </c>
      <c r="H610">
        <v>7.6</v>
      </c>
      <c r="I610" t="s">
        <v>1215</v>
      </c>
      <c r="J610">
        <v>13.47</v>
      </c>
      <c r="K610">
        <v>13.47</v>
      </c>
      <c r="L610">
        <v>7.48</v>
      </c>
      <c r="M610">
        <v>7.63</v>
      </c>
      <c r="N610">
        <v>7.31</v>
      </c>
    </row>
    <row r="611" spans="1:14" x14ac:dyDescent="0.5">
      <c r="A611" t="str">
        <f>"002149"</f>
        <v>002149</v>
      </c>
      <c r="B611" t="s">
        <v>1216</v>
      </c>
      <c r="C611">
        <v>-0.12</v>
      </c>
      <c r="D611">
        <v>56.42</v>
      </c>
      <c r="E611">
        <v>8.1</v>
      </c>
      <c r="F611">
        <v>-0.01</v>
      </c>
      <c r="G611">
        <v>8.1</v>
      </c>
      <c r="H611">
        <v>8.11</v>
      </c>
      <c r="I611" t="s">
        <v>1217</v>
      </c>
      <c r="J611">
        <v>8.81</v>
      </c>
      <c r="K611">
        <v>8.81</v>
      </c>
      <c r="L611">
        <v>8.11</v>
      </c>
      <c r="M611">
        <v>8.3000000000000007</v>
      </c>
      <c r="N611">
        <v>7.93</v>
      </c>
    </row>
    <row r="612" spans="1:14" x14ac:dyDescent="0.5">
      <c r="A612" t="str">
        <f>"002150"</f>
        <v>002150</v>
      </c>
      <c r="B612" t="s">
        <v>1218</v>
      </c>
      <c r="C612">
        <v>-0.13</v>
      </c>
      <c r="D612">
        <v>21.41</v>
      </c>
      <c r="E612">
        <v>7.76</v>
      </c>
      <c r="F612">
        <v>-0.01</v>
      </c>
      <c r="G612">
        <v>7.76</v>
      </c>
      <c r="H612">
        <v>7.77</v>
      </c>
      <c r="I612" t="s">
        <v>1219</v>
      </c>
      <c r="J612">
        <v>2.65</v>
      </c>
      <c r="K612">
        <v>2.65</v>
      </c>
      <c r="L612">
        <v>7.71</v>
      </c>
      <c r="M612">
        <v>7.76</v>
      </c>
      <c r="N612">
        <v>7.6</v>
      </c>
    </row>
    <row r="613" spans="1:14" x14ac:dyDescent="0.5">
      <c r="A613" t="str">
        <f>"002151"</f>
        <v>002151</v>
      </c>
      <c r="B613" t="s">
        <v>1220</v>
      </c>
      <c r="C613">
        <v>4.08</v>
      </c>
      <c r="D613">
        <v>154.35</v>
      </c>
      <c r="E613">
        <v>26.3</v>
      </c>
      <c r="F613">
        <v>1.03</v>
      </c>
      <c r="G613">
        <v>26.3</v>
      </c>
      <c r="H613">
        <v>26.31</v>
      </c>
      <c r="I613" t="s">
        <v>1221</v>
      </c>
      <c r="J613">
        <v>8.49</v>
      </c>
      <c r="K613">
        <v>8.49</v>
      </c>
      <c r="L613">
        <v>25.38</v>
      </c>
      <c r="M613">
        <v>26.57</v>
      </c>
      <c r="N613">
        <v>25.26</v>
      </c>
    </row>
    <row r="614" spans="1:14" x14ac:dyDescent="0.5">
      <c r="A614" t="str">
        <f>"002152"</f>
        <v>002152</v>
      </c>
      <c r="B614" t="s">
        <v>1222</v>
      </c>
      <c r="C614">
        <v>6.22</v>
      </c>
      <c r="D614">
        <v>23.63</v>
      </c>
      <c r="E614">
        <v>7</v>
      </c>
      <c r="F614">
        <v>0.41</v>
      </c>
      <c r="G614">
        <v>6.99</v>
      </c>
      <c r="H614">
        <v>7</v>
      </c>
      <c r="I614" t="s">
        <v>1223</v>
      </c>
      <c r="J614">
        <v>2.52</v>
      </c>
      <c r="K614">
        <v>2.52</v>
      </c>
      <c r="L614">
        <v>6.61</v>
      </c>
      <c r="M614">
        <v>7.01</v>
      </c>
      <c r="N614">
        <v>6.6</v>
      </c>
    </row>
    <row r="615" spans="1:14" x14ac:dyDescent="0.5">
      <c r="A615" t="str">
        <f>"002153"</f>
        <v>002153</v>
      </c>
      <c r="B615" t="s">
        <v>1224</v>
      </c>
      <c r="C615">
        <v>3.19</v>
      </c>
      <c r="D615">
        <v>74.540000000000006</v>
      </c>
      <c r="E615">
        <v>33.35</v>
      </c>
      <c r="F615">
        <v>1.03</v>
      </c>
      <c r="G615">
        <v>33.35</v>
      </c>
      <c r="H615">
        <v>33.36</v>
      </c>
      <c r="I615" t="s">
        <v>1225</v>
      </c>
      <c r="J615">
        <v>2.87</v>
      </c>
      <c r="K615">
        <v>2.87</v>
      </c>
      <c r="L615">
        <v>32.32</v>
      </c>
      <c r="M615">
        <v>33.39</v>
      </c>
      <c r="N615">
        <v>31.96</v>
      </c>
    </row>
    <row r="616" spans="1:14" x14ac:dyDescent="0.5">
      <c r="A616" t="str">
        <f>"002154"</f>
        <v>002154</v>
      </c>
      <c r="B616" t="s">
        <v>1226</v>
      </c>
      <c r="C616">
        <v>1.62</v>
      </c>
      <c r="D616">
        <v>33.97</v>
      </c>
      <c r="E616">
        <v>3.76</v>
      </c>
      <c r="F616">
        <v>0.06</v>
      </c>
      <c r="G616">
        <v>3.76</v>
      </c>
      <c r="H616">
        <v>3.77</v>
      </c>
      <c r="I616" t="s">
        <v>1227</v>
      </c>
      <c r="J616">
        <v>1.73</v>
      </c>
      <c r="K616">
        <v>1.73</v>
      </c>
      <c r="L616">
        <v>3.7</v>
      </c>
      <c r="M616">
        <v>3.83</v>
      </c>
      <c r="N616">
        <v>3.68</v>
      </c>
    </row>
    <row r="617" spans="1:14" x14ac:dyDescent="0.5">
      <c r="A617" t="str">
        <f>"002155"</f>
        <v>002155</v>
      </c>
      <c r="B617" t="s">
        <v>1228</v>
      </c>
      <c r="C617">
        <v>-1.18</v>
      </c>
      <c r="D617">
        <v>43.38</v>
      </c>
      <c r="E617">
        <v>8.41</v>
      </c>
      <c r="F617">
        <v>-0.1</v>
      </c>
      <c r="G617">
        <v>8.4</v>
      </c>
      <c r="H617">
        <v>8.41</v>
      </c>
      <c r="I617" t="s">
        <v>1229</v>
      </c>
      <c r="J617">
        <v>2.62</v>
      </c>
      <c r="K617">
        <v>2.62</v>
      </c>
      <c r="L617">
        <v>8.41</v>
      </c>
      <c r="M617">
        <v>8.44</v>
      </c>
      <c r="N617">
        <v>8.33</v>
      </c>
    </row>
    <row r="618" spans="1:14" x14ac:dyDescent="0.5">
      <c r="A618" t="str">
        <f>"002156"</f>
        <v>002156</v>
      </c>
      <c r="B618" t="s">
        <v>1230</v>
      </c>
      <c r="C618">
        <v>6.41</v>
      </c>
      <c r="D618">
        <v>64.75</v>
      </c>
      <c r="E618">
        <v>9.6300000000000008</v>
      </c>
      <c r="F618">
        <v>0.57999999999999996</v>
      </c>
      <c r="G618">
        <v>9.6300000000000008</v>
      </c>
      <c r="H618">
        <v>9.64</v>
      </c>
      <c r="I618" t="s">
        <v>1231</v>
      </c>
      <c r="J618">
        <v>4.55</v>
      </c>
      <c r="K618">
        <v>4.55</v>
      </c>
      <c r="L618">
        <v>9.0399999999999991</v>
      </c>
      <c r="M618">
        <v>9.67</v>
      </c>
      <c r="N618">
        <v>8.9499999999999993</v>
      </c>
    </row>
    <row r="619" spans="1:14" x14ac:dyDescent="0.5">
      <c r="A619" t="str">
        <f>"002157"</f>
        <v>002157</v>
      </c>
      <c r="B619" t="s">
        <v>1232</v>
      </c>
      <c r="C619">
        <v>8.58</v>
      </c>
      <c r="D619">
        <v>181.84</v>
      </c>
      <c r="E619">
        <v>14.04</v>
      </c>
      <c r="F619">
        <v>1.1100000000000001</v>
      </c>
      <c r="G619">
        <v>14.03</v>
      </c>
      <c r="H619">
        <v>14.04</v>
      </c>
      <c r="I619" t="s">
        <v>1233</v>
      </c>
      <c r="J619">
        <v>6.55</v>
      </c>
      <c r="K619">
        <v>6.55</v>
      </c>
      <c r="L619">
        <v>13.5</v>
      </c>
      <c r="M619">
        <v>14.22</v>
      </c>
      <c r="N619">
        <v>13.31</v>
      </c>
    </row>
    <row r="620" spans="1:14" x14ac:dyDescent="0.5">
      <c r="A620" t="str">
        <f>"002158"</f>
        <v>002158</v>
      </c>
      <c r="B620" t="s">
        <v>1234</v>
      </c>
      <c r="C620">
        <v>3.53</v>
      </c>
      <c r="D620">
        <v>25.23</v>
      </c>
      <c r="E620">
        <v>10.27</v>
      </c>
      <c r="F620">
        <v>0.35</v>
      </c>
      <c r="G620">
        <v>10.27</v>
      </c>
      <c r="H620">
        <v>10.28</v>
      </c>
      <c r="I620" t="s">
        <v>1235</v>
      </c>
      <c r="J620">
        <v>5.28</v>
      </c>
      <c r="K620">
        <v>5.28</v>
      </c>
      <c r="L620">
        <v>9.93</v>
      </c>
      <c r="M620">
        <v>10.28</v>
      </c>
      <c r="N620">
        <v>9.84</v>
      </c>
    </row>
    <row r="621" spans="1:14" x14ac:dyDescent="0.5">
      <c r="A621" t="str">
        <f>"002159"</f>
        <v>002159</v>
      </c>
      <c r="B621" t="s">
        <v>1236</v>
      </c>
      <c r="C621">
        <v>0.4</v>
      </c>
      <c r="D621">
        <v>18.68</v>
      </c>
      <c r="E621">
        <v>20.309999999999999</v>
      </c>
      <c r="F621">
        <v>0.08</v>
      </c>
      <c r="G621">
        <v>20.3</v>
      </c>
      <c r="H621">
        <v>20.309999999999999</v>
      </c>
      <c r="I621" t="s">
        <v>1237</v>
      </c>
      <c r="J621">
        <v>1.0900000000000001</v>
      </c>
      <c r="K621">
        <v>1.0900000000000001</v>
      </c>
      <c r="L621">
        <v>20.2</v>
      </c>
      <c r="M621">
        <v>20.45</v>
      </c>
      <c r="N621">
        <v>19.98</v>
      </c>
    </row>
    <row r="622" spans="1:14" x14ac:dyDescent="0.5">
      <c r="A622" t="str">
        <f>"002160"</f>
        <v>002160</v>
      </c>
      <c r="B622" t="s">
        <v>1238</v>
      </c>
      <c r="C622">
        <v>0.69</v>
      </c>
      <c r="D622">
        <v>34.06</v>
      </c>
      <c r="E622">
        <v>4.3499999999999996</v>
      </c>
      <c r="F622">
        <v>0.03</v>
      </c>
      <c r="G622">
        <v>4.3499999999999996</v>
      </c>
      <c r="H622">
        <v>4.3600000000000003</v>
      </c>
      <c r="I622" t="s">
        <v>1239</v>
      </c>
      <c r="J622">
        <v>6.05</v>
      </c>
      <c r="K622">
        <v>6.05</v>
      </c>
      <c r="L622">
        <v>4.3899999999999997</v>
      </c>
      <c r="M622">
        <v>4.3899999999999997</v>
      </c>
      <c r="N622">
        <v>4.17</v>
      </c>
    </row>
    <row r="623" spans="1:14" x14ac:dyDescent="0.5">
      <c r="A623" t="str">
        <f>"002161"</f>
        <v>002161</v>
      </c>
      <c r="B623" t="s">
        <v>1240</v>
      </c>
      <c r="C623">
        <v>6.09</v>
      </c>
      <c r="D623" t="s">
        <v>24</v>
      </c>
      <c r="E623">
        <v>7.14</v>
      </c>
      <c r="F623">
        <v>0.41</v>
      </c>
      <c r="G623">
        <v>7.13</v>
      </c>
      <c r="H623">
        <v>7.14</v>
      </c>
      <c r="I623" t="s">
        <v>1241</v>
      </c>
      <c r="J623">
        <v>8.69</v>
      </c>
      <c r="K623">
        <v>8.69</v>
      </c>
      <c r="L623">
        <v>6.68</v>
      </c>
      <c r="M623">
        <v>7.15</v>
      </c>
      <c r="N623">
        <v>6.62</v>
      </c>
    </row>
    <row r="624" spans="1:14" x14ac:dyDescent="0.5">
      <c r="A624" t="str">
        <f>"002162"</f>
        <v>002162</v>
      </c>
      <c r="B624" t="s">
        <v>1242</v>
      </c>
      <c r="C624">
        <v>1.1100000000000001</v>
      </c>
      <c r="D624">
        <v>122.73</v>
      </c>
      <c r="E624">
        <v>3.65</v>
      </c>
      <c r="F624">
        <v>0.04</v>
      </c>
      <c r="G624">
        <v>3.65</v>
      </c>
      <c r="H624">
        <v>3.66</v>
      </c>
      <c r="I624" t="s">
        <v>1243</v>
      </c>
      <c r="J624">
        <v>1.54</v>
      </c>
      <c r="K624">
        <v>1.54</v>
      </c>
      <c r="L624">
        <v>3.62</v>
      </c>
      <c r="M624">
        <v>3.66</v>
      </c>
      <c r="N624">
        <v>3.52</v>
      </c>
    </row>
    <row r="625" spans="1:14" x14ac:dyDescent="0.5">
      <c r="A625" t="str">
        <f>"002163"</f>
        <v>002163</v>
      </c>
      <c r="B625" t="s">
        <v>1244</v>
      </c>
      <c r="C625">
        <v>0</v>
      </c>
      <c r="D625" t="s">
        <v>24</v>
      </c>
      <c r="E625">
        <v>5.84</v>
      </c>
      <c r="F625">
        <v>0</v>
      </c>
      <c r="G625">
        <v>5.84</v>
      </c>
      <c r="H625">
        <v>5.85</v>
      </c>
      <c r="I625" t="s">
        <v>1245</v>
      </c>
      <c r="J625">
        <v>1.65</v>
      </c>
      <c r="K625">
        <v>1.65</v>
      </c>
      <c r="L625">
        <v>5.85</v>
      </c>
      <c r="M625">
        <v>5.85</v>
      </c>
      <c r="N625">
        <v>5.7</v>
      </c>
    </row>
    <row r="626" spans="1:14" x14ac:dyDescent="0.5">
      <c r="A626" t="str">
        <f>"002164"</f>
        <v>002164</v>
      </c>
      <c r="B626" t="s">
        <v>1246</v>
      </c>
      <c r="C626">
        <v>4.62</v>
      </c>
      <c r="D626" t="s">
        <v>24</v>
      </c>
      <c r="E626">
        <v>3.85</v>
      </c>
      <c r="F626">
        <v>0.17</v>
      </c>
      <c r="G626">
        <v>3.84</v>
      </c>
      <c r="H626">
        <v>3.85</v>
      </c>
      <c r="I626" t="s">
        <v>1247</v>
      </c>
      <c r="J626">
        <v>8.19</v>
      </c>
      <c r="K626">
        <v>8.19</v>
      </c>
      <c r="L626">
        <v>3.7</v>
      </c>
      <c r="M626">
        <v>4.01</v>
      </c>
      <c r="N626">
        <v>3.66</v>
      </c>
    </row>
    <row r="627" spans="1:14" x14ac:dyDescent="0.5">
      <c r="A627" t="str">
        <f>"002165"</f>
        <v>002165</v>
      </c>
      <c r="B627" t="s">
        <v>1248</v>
      </c>
      <c r="C627">
        <v>1.77</v>
      </c>
      <c r="D627">
        <v>251.93</v>
      </c>
      <c r="E627">
        <v>4.59</v>
      </c>
      <c r="F627">
        <v>0.08</v>
      </c>
      <c r="G627">
        <v>4.58</v>
      </c>
      <c r="H627">
        <v>4.59</v>
      </c>
      <c r="I627" t="s">
        <v>1249</v>
      </c>
      <c r="J627">
        <v>0.94</v>
      </c>
      <c r="K627">
        <v>0.94</v>
      </c>
      <c r="L627">
        <v>4.5</v>
      </c>
      <c r="M627">
        <v>4.6100000000000003</v>
      </c>
      <c r="N627">
        <v>4.47</v>
      </c>
    </row>
    <row r="628" spans="1:14" x14ac:dyDescent="0.5">
      <c r="A628" t="str">
        <f>"002166"</f>
        <v>002166</v>
      </c>
      <c r="B628" t="s">
        <v>1250</v>
      </c>
      <c r="C628">
        <v>1.72</v>
      </c>
      <c r="D628">
        <v>16.73</v>
      </c>
      <c r="E628">
        <v>7.68</v>
      </c>
      <c r="F628">
        <v>0.13</v>
      </c>
      <c r="G628">
        <v>7.67</v>
      </c>
      <c r="H628">
        <v>7.68</v>
      </c>
      <c r="I628" t="s">
        <v>1251</v>
      </c>
      <c r="J628">
        <v>1.92</v>
      </c>
      <c r="K628">
        <v>1.92</v>
      </c>
      <c r="L628">
        <v>7.5</v>
      </c>
      <c r="M628">
        <v>7.75</v>
      </c>
      <c r="N628">
        <v>7.45</v>
      </c>
    </row>
    <row r="629" spans="1:14" x14ac:dyDescent="0.5">
      <c r="A629" t="str">
        <f>"002167"</f>
        <v>002167</v>
      </c>
      <c r="B629" t="s">
        <v>1252</v>
      </c>
      <c r="C629">
        <v>7.85</v>
      </c>
      <c r="D629" t="s">
        <v>24</v>
      </c>
      <c r="E629">
        <v>7.83</v>
      </c>
      <c r="F629">
        <v>0.56999999999999995</v>
      </c>
      <c r="G629">
        <v>7.83</v>
      </c>
      <c r="H629">
        <v>7.84</v>
      </c>
      <c r="I629" t="s">
        <v>1253</v>
      </c>
      <c r="J629">
        <v>8.5299999999999994</v>
      </c>
      <c r="K629">
        <v>8.5299999999999994</v>
      </c>
      <c r="L629">
        <v>7.29</v>
      </c>
      <c r="M629">
        <v>7.98</v>
      </c>
      <c r="N629">
        <v>7.09</v>
      </c>
    </row>
    <row r="630" spans="1:14" x14ac:dyDescent="0.5">
      <c r="A630" t="str">
        <f>"002168"</f>
        <v>002168</v>
      </c>
      <c r="B630" t="s">
        <v>1254</v>
      </c>
      <c r="C630">
        <v>6.16</v>
      </c>
      <c r="D630">
        <v>27.72</v>
      </c>
      <c r="E630">
        <v>11.38</v>
      </c>
      <c r="F630">
        <v>0.66</v>
      </c>
      <c r="G630">
        <v>11.37</v>
      </c>
      <c r="H630">
        <v>11.38</v>
      </c>
      <c r="I630" t="s">
        <v>1255</v>
      </c>
      <c r="J630">
        <v>4.1500000000000004</v>
      </c>
      <c r="K630">
        <v>4.1500000000000004</v>
      </c>
      <c r="L630">
        <v>10.69</v>
      </c>
      <c r="M630">
        <v>11.6</v>
      </c>
      <c r="N630">
        <v>10.57</v>
      </c>
    </row>
    <row r="631" spans="1:14" x14ac:dyDescent="0.5">
      <c r="A631" t="str">
        <f>"002169"</f>
        <v>002169</v>
      </c>
      <c r="B631" t="s">
        <v>1256</v>
      </c>
      <c r="C631">
        <v>6.58</v>
      </c>
      <c r="D631">
        <v>27.92</v>
      </c>
      <c r="E631">
        <v>4.8600000000000003</v>
      </c>
      <c r="F631">
        <v>0.3</v>
      </c>
      <c r="G631">
        <v>4.8499999999999996</v>
      </c>
      <c r="H631">
        <v>4.8600000000000003</v>
      </c>
      <c r="I631" t="s">
        <v>1257</v>
      </c>
      <c r="J631">
        <v>4.9000000000000004</v>
      </c>
      <c r="K631">
        <v>4.9000000000000004</v>
      </c>
      <c r="L631">
        <v>4.58</v>
      </c>
      <c r="M631">
        <v>4.87</v>
      </c>
      <c r="N631">
        <v>4.5</v>
      </c>
    </row>
    <row r="632" spans="1:14" x14ac:dyDescent="0.5">
      <c r="A632" t="str">
        <f>"002170"</f>
        <v>002170</v>
      </c>
      <c r="B632" t="s">
        <v>1258</v>
      </c>
      <c r="C632">
        <v>3.55</v>
      </c>
      <c r="D632" t="s">
        <v>24</v>
      </c>
      <c r="E632">
        <v>4.38</v>
      </c>
      <c r="F632">
        <v>0.15</v>
      </c>
      <c r="G632">
        <v>4.38</v>
      </c>
      <c r="H632">
        <v>4.3899999999999997</v>
      </c>
      <c r="I632" t="s">
        <v>1259</v>
      </c>
      <c r="J632">
        <v>8.3800000000000008</v>
      </c>
      <c r="K632">
        <v>8.3800000000000008</v>
      </c>
      <c r="L632">
        <v>4.18</v>
      </c>
      <c r="M632">
        <v>4.41</v>
      </c>
      <c r="N632">
        <v>4.1100000000000003</v>
      </c>
    </row>
    <row r="633" spans="1:14" x14ac:dyDescent="0.5">
      <c r="A633" t="str">
        <f>"002171"</f>
        <v>002171</v>
      </c>
      <c r="B633" t="s">
        <v>1260</v>
      </c>
      <c r="C633">
        <v>3.31</v>
      </c>
      <c r="D633">
        <v>16.809999999999999</v>
      </c>
      <c r="E633">
        <v>5.93</v>
      </c>
      <c r="F633">
        <v>0.19</v>
      </c>
      <c r="G633">
        <v>5.93</v>
      </c>
      <c r="H633">
        <v>5.94</v>
      </c>
      <c r="I633" t="s">
        <v>1261</v>
      </c>
      <c r="J633">
        <v>1.67</v>
      </c>
      <c r="K633">
        <v>1.67</v>
      </c>
      <c r="L633">
        <v>5.74</v>
      </c>
      <c r="M633">
        <v>5.93</v>
      </c>
      <c r="N633">
        <v>5.69</v>
      </c>
    </row>
    <row r="634" spans="1:14" x14ac:dyDescent="0.5">
      <c r="A634" t="str">
        <f>"002172"</f>
        <v>002172</v>
      </c>
      <c r="B634" t="s">
        <v>1262</v>
      </c>
      <c r="C634">
        <v>1.29</v>
      </c>
      <c r="D634">
        <v>381.26</v>
      </c>
      <c r="E634">
        <v>4.72</v>
      </c>
      <c r="F634">
        <v>0.06</v>
      </c>
      <c r="G634">
        <v>4.71</v>
      </c>
      <c r="H634">
        <v>4.72</v>
      </c>
      <c r="I634" t="s">
        <v>169</v>
      </c>
      <c r="J634">
        <v>1.89</v>
      </c>
      <c r="K634">
        <v>1.89</v>
      </c>
      <c r="L634">
        <v>4.6100000000000003</v>
      </c>
      <c r="M634">
        <v>4.74</v>
      </c>
      <c r="N634">
        <v>4.55</v>
      </c>
    </row>
    <row r="635" spans="1:14" x14ac:dyDescent="0.5">
      <c r="A635" t="str">
        <f>"002173"</f>
        <v>002173</v>
      </c>
      <c r="B635" t="s">
        <v>1263</v>
      </c>
      <c r="C635">
        <v>1.68</v>
      </c>
      <c r="D635">
        <v>22.38</v>
      </c>
      <c r="E635">
        <v>8.4499999999999993</v>
      </c>
      <c r="F635">
        <v>0.14000000000000001</v>
      </c>
      <c r="G635">
        <v>8.44</v>
      </c>
      <c r="H635">
        <v>8.4499999999999993</v>
      </c>
      <c r="I635" t="s">
        <v>1264</v>
      </c>
      <c r="J635">
        <v>1.29</v>
      </c>
      <c r="K635">
        <v>1.29</v>
      </c>
      <c r="L635">
        <v>8.32</v>
      </c>
      <c r="M635">
        <v>8.4600000000000009</v>
      </c>
      <c r="N635">
        <v>8.24</v>
      </c>
    </row>
    <row r="636" spans="1:14" x14ac:dyDescent="0.5">
      <c r="A636" t="str">
        <f>"002174"</f>
        <v>002174</v>
      </c>
      <c r="B636" t="s">
        <v>1265</v>
      </c>
      <c r="C636">
        <v>1.29</v>
      </c>
      <c r="D636">
        <v>20.55</v>
      </c>
      <c r="E636">
        <v>20.399999999999999</v>
      </c>
      <c r="F636">
        <v>0.26</v>
      </c>
      <c r="G636">
        <v>20.39</v>
      </c>
      <c r="H636">
        <v>20.399999999999999</v>
      </c>
      <c r="I636" t="s">
        <v>1266</v>
      </c>
      <c r="J636">
        <v>1.5</v>
      </c>
      <c r="K636">
        <v>1.5</v>
      </c>
      <c r="L636">
        <v>20.100000000000001</v>
      </c>
      <c r="M636">
        <v>20.440000000000001</v>
      </c>
      <c r="N636">
        <v>19.78</v>
      </c>
    </row>
    <row r="637" spans="1:14" x14ac:dyDescent="0.5">
      <c r="A637" t="str">
        <f>"002175"</f>
        <v>002175</v>
      </c>
      <c r="B637" t="s">
        <v>1267</v>
      </c>
      <c r="C637">
        <v>10.11</v>
      </c>
      <c r="D637" t="s">
        <v>24</v>
      </c>
      <c r="E637">
        <v>4.79</v>
      </c>
      <c r="F637">
        <v>0.44</v>
      </c>
      <c r="G637">
        <v>4.79</v>
      </c>
      <c r="H637" t="s">
        <v>24</v>
      </c>
      <c r="I637" t="s">
        <v>1268</v>
      </c>
      <c r="J637">
        <v>1.65</v>
      </c>
      <c r="K637">
        <v>1.65</v>
      </c>
      <c r="L637">
        <v>4.79</v>
      </c>
      <c r="M637">
        <v>4.79</v>
      </c>
      <c r="N637">
        <v>4.79</v>
      </c>
    </row>
    <row r="638" spans="1:14" x14ac:dyDescent="0.5">
      <c r="A638" t="str">
        <f>"002176"</f>
        <v>002176</v>
      </c>
      <c r="B638" t="s">
        <v>1269</v>
      </c>
      <c r="C638">
        <v>4.3499999999999996</v>
      </c>
      <c r="D638">
        <v>26.18</v>
      </c>
      <c r="E638">
        <v>6</v>
      </c>
      <c r="F638">
        <v>0.25</v>
      </c>
      <c r="G638">
        <v>5.99</v>
      </c>
      <c r="H638">
        <v>6</v>
      </c>
      <c r="I638" t="s">
        <v>1270</v>
      </c>
      <c r="J638">
        <v>4.3899999999999997</v>
      </c>
      <c r="K638">
        <v>4.3899999999999997</v>
      </c>
      <c r="L638">
        <v>5.75</v>
      </c>
      <c r="M638">
        <v>6</v>
      </c>
      <c r="N638">
        <v>5.72</v>
      </c>
    </row>
    <row r="639" spans="1:14" x14ac:dyDescent="0.5">
      <c r="A639" t="str">
        <f>"002177"</f>
        <v>002177</v>
      </c>
      <c r="B639" t="s">
        <v>1271</v>
      </c>
      <c r="C639">
        <v>3.12</v>
      </c>
      <c r="D639">
        <v>825.46</v>
      </c>
      <c r="E639">
        <v>4.3</v>
      </c>
      <c r="F639">
        <v>0.13</v>
      </c>
      <c r="G639">
        <v>4.29</v>
      </c>
      <c r="H639">
        <v>4.3</v>
      </c>
      <c r="I639" t="s">
        <v>1272</v>
      </c>
      <c r="J639">
        <v>6.87</v>
      </c>
      <c r="K639">
        <v>6.87</v>
      </c>
      <c r="L639">
        <v>4.1100000000000003</v>
      </c>
      <c r="M639">
        <v>4.3</v>
      </c>
      <c r="N639">
        <v>4.0599999999999996</v>
      </c>
    </row>
    <row r="640" spans="1:14" x14ac:dyDescent="0.5">
      <c r="A640" t="str">
        <f>"002178"</f>
        <v>002178</v>
      </c>
      <c r="B640" t="s">
        <v>1273</v>
      </c>
      <c r="C640">
        <v>4.3099999999999996</v>
      </c>
      <c r="D640">
        <v>46.45</v>
      </c>
      <c r="E640">
        <v>4.5999999999999996</v>
      </c>
      <c r="F640">
        <v>0.19</v>
      </c>
      <c r="G640">
        <v>4.59</v>
      </c>
      <c r="H640">
        <v>4.5999999999999996</v>
      </c>
      <c r="I640" t="s">
        <v>1274</v>
      </c>
      <c r="J640">
        <v>9.42</v>
      </c>
      <c r="K640">
        <v>9.42</v>
      </c>
      <c r="L640">
        <v>4.1900000000000004</v>
      </c>
      <c r="M640">
        <v>4.6900000000000004</v>
      </c>
      <c r="N640">
        <v>4.1500000000000004</v>
      </c>
    </row>
    <row r="641" spans="1:14" x14ac:dyDescent="0.5">
      <c r="A641" t="str">
        <f>"002179"</f>
        <v>002179</v>
      </c>
      <c r="B641" t="s">
        <v>1275</v>
      </c>
      <c r="C641">
        <v>2.75</v>
      </c>
      <c r="D641">
        <v>36.99</v>
      </c>
      <c r="E641">
        <v>42.92</v>
      </c>
      <c r="F641">
        <v>1.1499999999999999</v>
      </c>
      <c r="G641">
        <v>42.92</v>
      </c>
      <c r="H641">
        <v>42.93</v>
      </c>
      <c r="I641" t="s">
        <v>1276</v>
      </c>
      <c r="J641">
        <v>0.74</v>
      </c>
      <c r="K641">
        <v>0.74</v>
      </c>
      <c r="L641">
        <v>41.8</v>
      </c>
      <c r="M641">
        <v>43.08</v>
      </c>
      <c r="N641">
        <v>41.8</v>
      </c>
    </row>
    <row r="642" spans="1:14" x14ac:dyDescent="0.5">
      <c r="A642" t="str">
        <f>"002180"</f>
        <v>002180</v>
      </c>
      <c r="B642" t="s">
        <v>1277</v>
      </c>
      <c r="C642">
        <v>2.83</v>
      </c>
      <c r="D642">
        <v>13.9</v>
      </c>
      <c r="E642">
        <v>26.53</v>
      </c>
      <c r="F642">
        <v>0.73</v>
      </c>
      <c r="G642">
        <v>26.53</v>
      </c>
      <c r="H642">
        <v>26.55</v>
      </c>
      <c r="I642" t="s">
        <v>1278</v>
      </c>
      <c r="J642">
        <v>0.8</v>
      </c>
      <c r="K642">
        <v>0.8</v>
      </c>
      <c r="L642">
        <v>25.59</v>
      </c>
      <c r="M642">
        <v>26.7</v>
      </c>
      <c r="N642">
        <v>25.3</v>
      </c>
    </row>
    <row r="643" spans="1:14" x14ac:dyDescent="0.5">
      <c r="A643" t="str">
        <f>"002181"</f>
        <v>002181</v>
      </c>
      <c r="B643" t="s">
        <v>1279</v>
      </c>
      <c r="C643">
        <v>10.07</v>
      </c>
      <c r="D643">
        <v>37.85</v>
      </c>
      <c r="E643">
        <v>6.12</v>
      </c>
      <c r="F643">
        <v>0.56000000000000005</v>
      </c>
      <c r="G643">
        <v>6.12</v>
      </c>
      <c r="H643" t="s">
        <v>24</v>
      </c>
      <c r="I643" t="s">
        <v>1280</v>
      </c>
      <c r="J643">
        <v>7.15</v>
      </c>
      <c r="K643">
        <v>7.15</v>
      </c>
      <c r="L643">
        <v>5.6</v>
      </c>
      <c r="M643">
        <v>6.12</v>
      </c>
      <c r="N643">
        <v>5.57</v>
      </c>
    </row>
    <row r="644" spans="1:14" x14ac:dyDescent="0.5">
      <c r="A644" t="str">
        <f>"002182"</f>
        <v>002182</v>
      </c>
      <c r="B644" t="s">
        <v>1281</v>
      </c>
      <c r="C644">
        <v>1.93</v>
      </c>
      <c r="D644">
        <v>18.79</v>
      </c>
      <c r="E644">
        <v>7.93</v>
      </c>
      <c r="F644">
        <v>0.15</v>
      </c>
      <c r="G644">
        <v>7.92</v>
      </c>
      <c r="H644">
        <v>7.93</v>
      </c>
      <c r="I644" t="s">
        <v>1282</v>
      </c>
      <c r="J644">
        <v>5.43</v>
      </c>
      <c r="K644">
        <v>5.43</v>
      </c>
      <c r="L644">
        <v>7.71</v>
      </c>
      <c r="M644">
        <v>7.93</v>
      </c>
      <c r="N644">
        <v>7.68</v>
      </c>
    </row>
    <row r="645" spans="1:14" x14ac:dyDescent="0.5">
      <c r="A645" t="str">
        <f>"002183"</f>
        <v>002183</v>
      </c>
      <c r="B645" t="s">
        <v>1283</v>
      </c>
      <c r="C645">
        <v>1.59</v>
      </c>
      <c r="D645">
        <v>23.41</v>
      </c>
      <c r="E645">
        <v>5.76</v>
      </c>
      <c r="F645">
        <v>0.09</v>
      </c>
      <c r="G645">
        <v>5.76</v>
      </c>
      <c r="H645">
        <v>5.77</v>
      </c>
      <c r="I645" t="s">
        <v>1284</v>
      </c>
      <c r="J645">
        <v>2.02</v>
      </c>
      <c r="K645">
        <v>2.02</v>
      </c>
      <c r="L645">
        <v>5.67</v>
      </c>
      <c r="M645">
        <v>5.8</v>
      </c>
      <c r="N645">
        <v>5.62</v>
      </c>
    </row>
    <row r="646" spans="1:14" x14ac:dyDescent="0.5">
      <c r="A646" t="str">
        <f>"002184"</f>
        <v>002184</v>
      </c>
      <c r="B646" t="s">
        <v>1285</v>
      </c>
      <c r="C646">
        <v>10</v>
      </c>
      <c r="D646" t="s">
        <v>24</v>
      </c>
      <c r="E646">
        <v>12.21</v>
      </c>
      <c r="F646">
        <v>1.1100000000000001</v>
      </c>
      <c r="G646">
        <v>12.21</v>
      </c>
      <c r="H646" t="s">
        <v>24</v>
      </c>
      <c r="I646" t="s">
        <v>1286</v>
      </c>
      <c r="J646">
        <v>14.58</v>
      </c>
      <c r="K646">
        <v>14.58</v>
      </c>
      <c r="L646">
        <v>11.35</v>
      </c>
      <c r="M646">
        <v>12.21</v>
      </c>
      <c r="N646">
        <v>11.1</v>
      </c>
    </row>
    <row r="647" spans="1:14" x14ac:dyDescent="0.5">
      <c r="A647" t="str">
        <f>"002185"</f>
        <v>002185</v>
      </c>
      <c r="B647" t="s">
        <v>1287</v>
      </c>
      <c r="C647">
        <v>9.93</v>
      </c>
      <c r="D647">
        <v>26.36</v>
      </c>
      <c r="E647">
        <v>6.09</v>
      </c>
      <c r="F647">
        <v>0.55000000000000004</v>
      </c>
      <c r="G647">
        <v>6.09</v>
      </c>
      <c r="H647" t="s">
        <v>24</v>
      </c>
      <c r="I647" t="s">
        <v>1288</v>
      </c>
      <c r="J647">
        <v>9.1199999999999992</v>
      </c>
      <c r="K647">
        <v>9.1199999999999992</v>
      </c>
      <c r="L647">
        <v>5.48</v>
      </c>
      <c r="M647">
        <v>6.09</v>
      </c>
      <c r="N647">
        <v>5.43</v>
      </c>
    </row>
    <row r="648" spans="1:14" x14ac:dyDescent="0.5">
      <c r="A648" t="str">
        <f>"002186"</f>
        <v>002186</v>
      </c>
      <c r="B648" t="s">
        <v>1289</v>
      </c>
      <c r="C648">
        <v>-0.15</v>
      </c>
      <c r="D648">
        <v>29.88</v>
      </c>
      <c r="E648">
        <v>12.98</v>
      </c>
      <c r="F648">
        <v>-0.02</v>
      </c>
      <c r="G648">
        <v>12.97</v>
      </c>
      <c r="H648">
        <v>12.98</v>
      </c>
      <c r="I648" t="s">
        <v>1290</v>
      </c>
      <c r="J648">
        <v>0.54</v>
      </c>
      <c r="K648">
        <v>0.54</v>
      </c>
      <c r="L648">
        <v>12.88</v>
      </c>
      <c r="M648">
        <v>12.99</v>
      </c>
      <c r="N648">
        <v>12.83</v>
      </c>
    </row>
    <row r="649" spans="1:14" x14ac:dyDescent="0.5">
      <c r="A649" t="str">
        <f>"002187"</f>
        <v>002187</v>
      </c>
      <c r="B649" t="s">
        <v>1291</v>
      </c>
      <c r="C649">
        <v>0.66</v>
      </c>
      <c r="D649">
        <v>16.97</v>
      </c>
      <c r="E649">
        <v>9.1199999999999992</v>
      </c>
      <c r="F649">
        <v>0.06</v>
      </c>
      <c r="G649">
        <v>9.1199999999999992</v>
      </c>
      <c r="H649">
        <v>9.1300000000000008</v>
      </c>
      <c r="I649" t="s">
        <v>1292</v>
      </c>
      <c r="J649">
        <v>0.87</v>
      </c>
      <c r="K649">
        <v>0.87</v>
      </c>
      <c r="L649">
        <v>9.02</v>
      </c>
      <c r="M649">
        <v>9.1300000000000008</v>
      </c>
      <c r="N649">
        <v>9</v>
      </c>
    </row>
    <row r="650" spans="1:14" x14ac:dyDescent="0.5">
      <c r="A650" t="str">
        <f>"002188"</f>
        <v>002188</v>
      </c>
      <c r="B650" t="s">
        <v>1293</v>
      </c>
      <c r="C650">
        <v>0.75</v>
      </c>
      <c r="D650" t="s">
        <v>24</v>
      </c>
      <c r="E650">
        <v>4.05</v>
      </c>
      <c r="F650">
        <v>0.03</v>
      </c>
      <c r="G650">
        <v>4.05</v>
      </c>
      <c r="H650">
        <v>4.0599999999999996</v>
      </c>
      <c r="I650" t="s">
        <v>1294</v>
      </c>
      <c r="J650">
        <v>4.83</v>
      </c>
      <c r="K650">
        <v>4.83</v>
      </c>
      <c r="L650">
        <v>4.1100000000000003</v>
      </c>
      <c r="M650">
        <v>4.22</v>
      </c>
      <c r="N650">
        <v>3.98</v>
      </c>
    </row>
    <row r="651" spans="1:14" x14ac:dyDescent="0.5">
      <c r="A651" t="str">
        <f>"002189"</f>
        <v>002189</v>
      </c>
      <c r="B651" t="s">
        <v>1295</v>
      </c>
      <c r="C651">
        <v>10.01</v>
      </c>
      <c r="D651">
        <v>87.67</v>
      </c>
      <c r="E651">
        <v>22.41</v>
      </c>
      <c r="F651">
        <v>2.04</v>
      </c>
      <c r="G651">
        <v>22.41</v>
      </c>
      <c r="H651" t="s">
        <v>24</v>
      </c>
      <c r="I651" t="s">
        <v>375</v>
      </c>
      <c r="J651">
        <v>8.89</v>
      </c>
      <c r="K651">
        <v>8.89</v>
      </c>
      <c r="L651">
        <v>20.98</v>
      </c>
      <c r="M651">
        <v>22.41</v>
      </c>
      <c r="N651">
        <v>20.5</v>
      </c>
    </row>
    <row r="652" spans="1:14" x14ac:dyDescent="0.5">
      <c r="A652" t="str">
        <f>"002190"</f>
        <v>002190</v>
      </c>
      <c r="B652" t="s">
        <v>1296</v>
      </c>
      <c r="C652">
        <v>3.25</v>
      </c>
      <c r="D652" t="s">
        <v>24</v>
      </c>
      <c r="E652">
        <v>21.94</v>
      </c>
      <c r="F652">
        <v>0.69</v>
      </c>
      <c r="G652">
        <v>21.93</v>
      </c>
      <c r="H652">
        <v>21.94</v>
      </c>
      <c r="I652" t="s">
        <v>1297</v>
      </c>
      <c r="J652">
        <v>7.13</v>
      </c>
      <c r="K652">
        <v>7.13</v>
      </c>
      <c r="L652">
        <v>20.329999999999998</v>
      </c>
      <c r="M652">
        <v>22.6</v>
      </c>
      <c r="N652">
        <v>20.329999999999998</v>
      </c>
    </row>
    <row r="653" spans="1:14" x14ac:dyDescent="0.5">
      <c r="A653" t="str">
        <f>"002191"</f>
        <v>002191</v>
      </c>
      <c r="B653" t="s">
        <v>1298</v>
      </c>
      <c r="C653">
        <v>0.93</v>
      </c>
      <c r="D653">
        <v>20.99</v>
      </c>
      <c r="E653">
        <v>9.73</v>
      </c>
      <c r="F653">
        <v>0.09</v>
      </c>
      <c r="G653">
        <v>9.73</v>
      </c>
      <c r="H653">
        <v>9.74</v>
      </c>
      <c r="I653" t="s">
        <v>1299</v>
      </c>
      <c r="J653">
        <v>2.6</v>
      </c>
      <c r="K653">
        <v>2.6</v>
      </c>
      <c r="L653">
        <v>9.6</v>
      </c>
      <c r="M653">
        <v>9.7799999999999994</v>
      </c>
      <c r="N653">
        <v>9.4</v>
      </c>
    </row>
    <row r="654" spans="1:14" x14ac:dyDescent="0.5">
      <c r="A654" t="str">
        <f>"002192"</f>
        <v>002192</v>
      </c>
      <c r="B654" t="s">
        <v>1300</v>
      </c>
      <c r="C654">
        <v>-0.89</v>
      </c>
      <c r="D654">
        <v>277.33999999999997</v>
      </c>
      <c r="E654">
        <v>29.09</v>
      </c>
      <c r="F654">
        <v>-0.26</v>
      </c>
      <c r="G654">
        <v>29.09</v>
      </c>
      <c r="H654">
        <v>29.1</v>
      </c>
      <c r="I654" t="s">
        <v>1301</v>
      </c>
      <c r="J654">
        <v>2.87</v>
      </c>
      <c r="K654">
        <v>2.87</v>
      </c>
      <c r="L654">
        <v>29.3</v>
      </c>
      <c r="M654">
        <v>29.3</v>
      </c>
      <c r="N654">
        <v>28.5</v>
      </c>
    </row>
    <row r="655" spans="1:14" x14ac:dyDescent="0.5">
      <c r="A655" t="str">
        <f>"002193"</f>
        <v>002193</v>
      </c>
      <c r="B655" t="s">
        <v>1302</v>
      </c>
      <c r="C655">
        <v>1.5</v>
      </c>
      <c r="D655">
        <v>25.99</v>
      </c>
      <c r="E655">
        <v>10.15</v>
      </c>
      <c r="F655">
        <v>0.15</v>
      </c>
      <c r="G655">
        <v>10.14</v>
      </c>
      <c r="H655">
        <v>10.15</v>
      </c>
      <c r="I655" t="s">
        <v>1303</v>
      </c>
      <c r="J655">
        <v>2.39</v>
      </c>
      <c r="K655">
        <v>2.39</v>
      </c>
      <c r="L655">
        <v>9.99</v>
      </c>
      <c r="M655">
        <v>10.15</v>
      </c>
      <c r="N655">
        <v>9.94</v>
      </c>
    </row>
    <row r="656" spans="1:14" x14ac:dyDescent="0.5">
      <c r="A656" t="str">
        <f>"002194"</f>
        <v>002194</v>
      </c>
      <c r="B656" t="s">
        <v>1304</v>
      </c>
      <c r="C656">
        <v>5.03</v>
      </c>
      <c r="D656" t="s">
        <v>24</v>
      </c>
      <c r="E656">
        <v>11.91</v>
      </c>
      <c r="F656">
        <v>0.56999999999999995</v>
      </c>
      <c r="G656">
        <v>11.91</v>
      </c>
      <c r="H656" t="s">
        <v>24</v>
      </c>
      <c r="I656" t="s">
        <v>1305</v>
      </c>
      <c r="J656">
        <v>1.47</v>
      </c>
      <c r="K656">
        <v>1.47</v>
      </c>
      <c r="L656">
        <v>11.61</v>
      </c>
      <c r="M656">
        <v>11.91</v>
      </c>
      <c r="N656">
        <v>11.45</v>
      </c>
    </row>
    <row r="657" spans="1:14" x14ac:dyDescent="0.5">
      <c r="A657" t="str">
        <f>"002195"</f>
        <v>002195</v>
      </c>
      <c r="B657" t="s">
        <v>1306</v>
      </c>
      <c r="C657">
        <v>1.43</v>
      </c>
      <c r="D657">
        <v>16.329999999999998</v>
      </c>
      <c r="E657">
        <v>4.9800000000000004</v>
      </c>
      <c r="F657">
        <v>7.0000000000000007E-2</v>
      </c>
      <c r="G657">
        <v>4.97</v>
      </c>
      <c r="H657">
        <v>4.9800000000000004</v>
      </c>
      <c r="I657" t="s">
        <v>1307</v>
      </c>
      <c r="J657">
        <v>7.07</v>
      </c>
      <c r="K657">
        <v>7.07</v>
      </c>
      <c r="L657">
        <v>4.8099999999999996</v>
      </c>
      <c r="M657">
        <v>5</v>
      </c>
      <c r="N657">
        <v>4.7300000000000004</v>
      </c>
    </row>
    <row r="658" spans="1:14" x14ac:dyDescent="0.5">
      <c r="A658" t="str">
        <f>"002196"</f>
        <v>002196</v>
      </c>
      <c r="B658" t="s">
        <v>1308</v>
      </c>
      <c r="C658">
        <v>1.85</v>
      </c>
      <c r="D658">
        <v>27.17</v>
      </c>
      <c r="E658">
        <v>6.05</v>
      </c>
      <c r="F658">
        <v>0.11</v>
      </c>
      <c r="G658">
        <v>6.04</v>
      </c>
      <c r="H658">
        <v>6.05</v>
      </c>
      <c r="I658" t="s">
        <v>1309</v>
      </c>
      <c r="J658">
        <v>2.58</v>
      </c>
      <c r="K658">
        <v>2.58</v>
      </c>
      <c r="L658">
        <v>5.94</v>
      </c>
      <c r="M658">
        <v>6.05</v>
      </c>
      <c r="N658">
        <v>5.83</v>
      </c>
    </row>
    <row r="659" spans="1:14" x14ac:dyDescent="0.5">
      <c r="A659" t="str">
        <f>"002197"</f>
        <v>002197</v>
      </c>
      <c r="B659" t="s">
        <v>1310</v>
      </c>
      <c r="C659">
        <v>7.51</v>
      </c>
      <c r="D659">
        <v>78.599999999999994</v>
      </c>
      <c r="E659">
        <v>9.4499999999999993</v>
      </c>
      <c r="F659">
        <v>0.66</v>
      </c>
      <c r="G659">
        <v>9.44</v>
      </c>
      <c r="H659">
        <v>9.4499999999999993</v>
      </c>
      <c r="I659" t="s">
        <v>1311</v>
      </c>
      <c r="J659">
        <v>9.48</v>
      </c>
      <c r="K659">
        <v>9.48</v>
      </c>
      <c r="L659">
        <v>8.68</v>
      </c>
      <c r="M659">
        <v>9.66</v>
      </c>
      <c r="N659">
        <v>8.66</v>
      </c>
    </row>
    <row r="660" spans="1:14" x14ac:dyDescent="0.5">
      <c r="A660" t="str">
        <f>"002198"</f>
        <v>002198</v>
      </c>
      <c r="B660" t="s">
        <v>1312</v>
      </c>
      <c r="C660">
        <v>0.17</v>
      </c>
      <c r="D660" t="s">
        <v>24</v>
      </c>
      <c r="E660">
        <v>5.87</v>
      </c>
      <c r="F660">
        <v>0.01</v>
      </c>
      <c r="G660">
        <v>5.87</v>
      </c>
      <c r="H660">
        <v>5.88</v>
      </c>
      <c r="I660" t="s">
        <v>1313</v>
      </c>
      <c r="J660">
        <v>1.95</v>
      </c>
      <c r="K660">
        <v>1.95</v>
      </c>
      <c r="L660">
        <v>5.85</v>
      </c>
      <c r="M660">
        <v>5.89</v>
      </c>
      <c r="N660">
        <v>5.75</v>
      </c>
    </row>
    <row r="661" spans="1:14" x14ac:dyDescent="0.5">
      <c r="A661" t="str">
        <f>"002199"</f>
        <v>002199</v>
      </c>
      <c r="B661" t="s">
        <v>1314</v>
      </c>
      <c r="C661">
        <v>-1.03</v>
      </c>
      <c r="D661" t="s">
        <v>24</v>
      </c>
      <c r="E661">
        <v>10.6</v>
      </c>
      <c r="F661">
        <v>-0.11</v>
      </c>
      <c r="G661">
        <v>10.6</v>
      </c>
      <c r="H661">
        <v>10.61</v>
      </c>
      <c r="I661" t="s">
        <v>1315</v>
      </c>
      <c r="J661">
        <v>1.23</v>
      </c>
      <c r="K661">
        <v>1.23</v>
      </c>
      <c r="L661">
        <v>10.67</v>
      </c>
      <c r="M661">
        <v>10.7</v>
      </c>
      <c r="N661">
        <v>10.56</v>
      </c>
    </row>
    <row r="662" spans="1:14" x14ac:dyDescent="0.5">
      <c r="A662" t="str">
        <f>"002200"</f>
        <v>002200</v>
      </c>
      <c r="B662" t="s">
        <v>1316</v>
      </c>
      <c r="C662">
        <v>3.04</v>
      </c>
      <c r="D662" t="s">
        <v>24</v>
      </c>
      <c r="E662">
        <v>6.78</v>
      </c>
      <c r="F662">
        <v>0.2</v>
      </c>
      <c r="G662">
        <v>6.77</v>
      </c>
      <c r="H662">
        <v>6.78</v>
      </c>
      <c r="I662" t="s">
        <v>1317</v>
      </c>
      <c r="J662">
        <v>5.24</v>
      </c>
      <c r="K662">
        <v>5.24</v>
      </c>
      <c r="L662">
        <v>6.55</v>
      </c>
      <c r="M662">
        <v>7.09</v>
      </c>
      <c r="N662">
        <v>6.48</v>
      </c>
    </row>
    <row r="663" spans="1:14" x14ac:dyDescent="0.5">
      <c r="A663" t="str">
        <f>"002201"</f>
        <v>002201</v>
      </c>
      <c r="B663" t="s">
        <v>1318</v>
      </c>
      <c r="C663">
        <v>0.52</v>
      </c>
      <c r="D663" t="s">
        <v>24</v>
      </c>
      <c r="E663">
        <v>7.74</v>
      </c>
      <c r="F663">
        <v>0.04</v>
      </c>
      <c r="G663">
        <v>7.73</v>
      </c>
      <c r="H663">
        <v>7.74</v>
      </c>
      <c r="I663" t="s">
        <v>385</v>
      </c>
      <c r="J663">
        <v>2.48</v>
      </c>
      <c r="K663">
        <v>2.48</v>
      </c>
      <c r="L663">
        <v>7.69</v>
      </c>
      <c r="M663">
        <v>7.75</v>
      </c>
      <c r="N663">
        <v>7.56</v>
      </c>
    </row>
    <row r="664" spans="1:14" x14ac:dyDescent="0.5">
      <c r="A664" t="str">
        <f>"002202"</f>
        <v>002202</v>
      </c>
      <c r="B664" t="s">
        <v>1319</v>
      </c>
      <c r="C664">
        <v>5.57</v>
      </c>
      <c r="D664">
        <v>15.77</v>
      </c>
      <c r="E664">
        <v>15.36</v>
      </c>
      <c r="F664">
        <v>0.81</v>
      </c>
      <c r="G664">
        <v>15.35</v>
      </c>
      <c r="H664">
        <v>15.36</v>
      </c>
      <c r="I664" t="s">
        <v>1320</v>
      </c>
      <c r="J664">
        <v>1.75</v>
      </c>
      <c r="K664">
        <v>1.75</v>
      </c>
      <c r="L664">
        <v>14.5</v>
      </c>
      <c r="M664">
        <v>15.36</v>
      </c>
      <c r="N664">
        <v>14.42</v>
      </c>
    </row>
    <row r="665" spans="1:14" x14ac:dyDescent="0.5">
      <c r="A665" t="str">
        <f>"002203"</f>
        <v>002203</v>
      </c>
      <c r="B665" t="s">
        <v>1321</v>
      </c>
      <c r="C665">
        <v>0.12</v>
      </c>
      <c r="D665">
        <v>19.510000000000002</v>
      </c>
      <c r="E665">
        <v>8.2899999999999991</v>
      </c>
      <c r="F665">
        <v>0.01</v>
      </c>
      <c r="G665">
        <v>8.2799999999999994</v>
      </c>
      <c r="H665">
        <v>8.2899999999999991</v>
      </c>
      <c r="I665" t="s">
        <v>1322</v>
      </c>
      <c r="J665">
        <v>0.5</v>
      </c>
      <c r="K665">
        <v>0.5</v>
      </c>
      <c r="L665">
        <v>8.2799999999999994</v>
      </c>
      <c r="M665">
        <v>8.2899999999999991</v>
      </c>
      <c r="N665">
        <v>8.14</v>
      </c>
    </row>
    <row r="666" spans="1:14" x14ac:dyDescent="0.5">
      <c r="A666" t="str">
        <f>"002204"</f>
        <v>002204</v>
      </c>
      <c r="B666" t="s">
        <v>1323</v>
      </c>
      <c r="C666">
        <v>4.75</v>
      </c>
      <c r="D666" t="s">
        <v>24</v>
      </c>
      <c r="E666">
        <v>3.97</v>
      </c>
      <c r="F666">
        <v>0.18</v>
      </c>
      <c r="G666">
        <v>3.96</v>
      </c>
      <c r="H666">
        <v>3.97</v>
      </c>
      <c r="I666" t="s">
        <v>1324</v>
      </c>
      <c r="J666">
        <v>1.47</v>
      </c>
      <c r="K666">
        <v>1.47</v>
      </c>
      <c r="L666">
        <v>3.89</v>
      </c>
      <c r="M666">
        <v>4.1500000000000004</v>
      </c>
      <c r="N666">
        <v>3.81</v>
      </c>
    </row>
    <row r="667" spans="1:14" x14ac:dyDescent="0.5">
      <c r="A667" t="str">
        <f>"002205"</f>
        <v>002205</v>
      </c>
      <c r="B667" t="s">
        <v>1325</v>
      </c>
      <c r="C667">
        <v>0</v>
      </c>
      <c r="D667">
        <v>209.65</v>
      </c>
      <c r="E667">
        <v>15.67</v>
      </c>
      <c r="F667">
        <v>0</v>
      </c>
      <c r="G667">
        <v>15.67</v>
      </c>
      <c r="H667">
        <v>15.69</v>
      </c>
      <c r="I667" t="s">
        <v>1326</v>
      </c>
      <c r="J667">
        <v>2</v>
      </c>
      <c r="K667">
        <v>2</v>
      </c>
      <c r="L667">
        <v>15.8</v>
      </c>
      <c r="M667">
        <v>15.8</v>
      </c>
      <c r="N667">
        <v>15.53</v>
      </c>
    </row>
    <row r="668" spans="1:14" x14ac:dyDescent="0.5">
      <c r="A668" t="str">
        <f>"002206"</f>
        <v>002206</v>
      </c>
      <c r="B668" t="s">
        <v>1327</v>
      </c>
      <c r="C668">
        <v>1.8</v>
      </c>
      <c r="D668">
        <v>15.77</v>
      </c>
      <c r="E668">
        <v>4.5199999999999996</v>
      </c>
      <c r="F668">
        <v>0.08</v>
      </c>
      <c r="G668">
        <v>4.51</v>
      </c>
      <c r="H668">
        <v>4.5199999999999996</v>
      </c>
      <c r="I668" t="s">
        <v>187</v>
      </c>
      <c r="J668">
        <v>1.18</v>
      </c>
      <c r="K668">
        <v>1.18</v>
      </c>
      <c r="L668">
        <v>4.45</v>
      </c>
      <c r="M668">
        <v>4.5199999999999996</v>
      </c>
      <c r="N668">
        <v>4.4400000000000004</v>
      </c>
    </row>
    <row r="669" spans="1:14" x14ac:dyDescent="0.5">
      <c r="A669" t="str">
        <f>"002207"</f>
        <v>002207</v>
      </c>
      <c r="B669" t="s">
        <v>1328</v>
      </c>
      <c r="C669">
        <v>0.62</v>
      </c>
      <c r="D669" t="s">
        <v>24</v>
      </c>
      <c r="E669">
        <v>6.51</v>
      </c>
      <c r="F669">
        <v>0.04</v>
      </c>
      <c r="G669">
        <v>6.51</v>
      </c>
      <c r="H669">
        <v>6.52</v>
      </c>
      <c r="I669" t="s">
        <v>1329</v>
      </c>
      <c r="J669">
        <v>3.79</v>
      </c>
      <c r="K669">
        <v>3.79</v>
      </c>
      <c r="L669">
        <v>6.47</v>
      </c>
      <c r="M669">
        <v>6.68</v>
      </c>
      <c r="N669">
        <v>6.41</v>
      </c>
    </row>
    <row r="670" spans="1:14" x14ac:dyDescent="0.5">
      <c r="A670" t="str">
        <f>"002208"</f>
        <v>002208</v>
      </c>
      <c r="B670" t="s">
        <v>1330</v>
      </c>
      <c r="C670">
        <v>0.43</v>
      </c>
      <c r="D670">
        <v>14.55</v>
      </c>
      <c r="E670">
        <v>14.13</v>
      </c>
      <c r="F670">
        <v>0.06</v>
      </c>
      <c r="G670">
        <v>14.13</v>
      </c>
      <c r="H670">
        <v>14.14</v>
      </c>
      <c r="I670" t="s">
        <v>1331</v>
      </c>
      <c r="J670">
        <v>7.09</v>
      </c>
      <c r="K670">
        <v>7.09</v>
      </c>
      <c r="L670">
        <v>13.8</v>
      </c>
      <c r="M670">
        <v>14.37</v>
      </c>
      <c r="N670">
        <v>13.61</v>
      </c>
    </row>
    <row r="671" spans="1:14" x14ac:dyDescent="0.5">
      <c r="A671" t="str">
        <f>"002209"</f>
        <v>002209</v>
      </c>
      <c r="B671" t="s">
        <v>1332</v>
      </c>
      <c r="C671">
        <v>4.05</v>
      </c>
      <c r="D671">
        <v>48.46</v>
      </c>
      <c r="E671">
        <v>7.97</v>
      </c>
      <c r="F671">
        <v>0.31</v>
      </c>
      <c r="G671">
        <v>7.97</v>
      </c>
      <c r="H671">
        <v>7.98</v>
      </c>
      <c r="I671" t="s">
        <v>1333</v>
      </c>
      <c r="J671">
        <v>6.04</v>
      </c>
      <c r="K671">
        <v>6.04</v>
      </c>
      <c r="L671">
        <v>7.66</v>
      </c>
      <c r="M671">
        <v>8.0299999999999994</v>
      </c>
      <c r="N671">
        <v>7.61</v>
      </c>
    </row>
    <row r="672" spans="1:14" x14ac:dyDescent="0.5">
      <c r="A672" t="str">
        <f>"002210"</f>
        <v>002210</v>
      </c>
      <c r="B672" t="s">
        <v>1334</v>
      </c>
      <c r="C672">
        <v>2.23</v>
      </c>
      <c r="D672">
        <v>26.86</v>
      </c>
      <c r="E672">
        <v>4.13</v>
      </c>
      <c r="F672">
        <v>0.09</v>
      </c>
      <c r="G672">
        <v>4.13</v>
      </c>
      <c r="H672">
        <v>4.1399999999999997</v>
      </c>
      <c r="I672" t="s">
        <v>1335</v>
      </c>
      <c r="J672">
        <v>7.81</v>
      </c>
      <c r="K672">
        <v>7.81</v>
      </c>
      <c r="L672">
        <v>4.04</v>
      </c>
      <c r="M672">
        <v>4.1500000000000004</v>
      </c>
      <c r="N672">
        <v>3.92</v>
      </c>
    </row>
    <row r="673" spans="1:14" x14ac:dyDescent="0.5">
      <c r="A673" t="str">
        <f>"002211"</f>
        <v>002211</v>
      </c>
      <c r="B673" t="s">
        <v>1336</v>
      </c>
      <c r="C673">
        <v>1.48</v>
      </c>
      <c r="D673">
        <v>210.17</v>
      </c>
      <c r="E673">
        <v>5.5</v>
      </c>
      <c r="F673">
        <v>0.08</v>
      </c>
      <c r="G673">
        <v>5.5</v>
      </c>
      <c r="H673">
        <v>5.51</v>
      </c>
      <c r="I673" t="s">
        <v>1337</v>
      </c>
      <c r="J673">
        <v>2.17</v>
      </c>
      <c r="K673">
        <v>2.17</v>
      </c>
      <c r="L673">
        <v>5.38</v>
      </c>
      <c r="M673">
        <v>5.51</v>
      </c>
      <c r="N673">
        <v>5.36</v>
      </c>
    </row>
    <row r="674" spans="1:14" x14ac:dyDescent="0.5">
      <c r="A674" t="str">
        <f>"002212"</f>
        <v>002212</v>
      </c>
      <c r="B674" t="s">
        <v>1338</v>
      </c>
      <c r="C674">
        <v>-1.31</v>
      </c>
      <c r="D674">
        <v>42.24</v>
      </c>
      <c r="E674">
        <v>15.11</v>
      </c>
      <c r="F674">
        <v>-0.2</v>
      </c>
      <c r="G674">
        <v>15.11</v>
      </c>
      <c r="H674">
        <v>15.2</v>
      </c>
      <c r="I674" t="s">
        <v>1339</v>
      </c>
      <c r="J674">
        <v>1.69</v>
      </c>
      <c r="K674">
        <v>1.69</v>
      </c>
      <c r="L674">
        <v>15.4</v>
      </c>
      <c r="M674">
        <v>15.6</v>
      </c>
      <c r="N674">
        <v>15.03</v>
      </c>
    </row>
    <row r="675" spans="1:14" x14ac:dyDescent="0.5">
      <c r="A675" t="str">
        <f>"002213"</f>
        <v>002213</v>
      </c>
      <c r="B675" t="s">
        <v>1340</v>
      </c>
      <c r="C675">
        <v>3.26</v>
      </c>
      <c r="D675">
        <v>1597.39</v>
      </c>
      <c r="E675">
        <v>10.46</v>
      </c>
      <c r="F675">
        <v>0.33</v>
      </c>
      <c r="G675">
        <v>10.46</v>
      </c>
      <c r="H675">
        <v>10.47</v>
      </c>
      <c r="I675" t="s">
        <v>1341</v>
      </c>
      <c r="J675">
        <v>4.8</v>
      </c>
      <c r="K675">
        <v>4.8</v>
      </c>
      <c r="L675">
        <v>10.15</v>
      </c>
      <c r="M675">
        <v>10.51</v>
      </c>
      <c r="N675">
        <v>10.08</v>
      </c>
    </row>
    <row r="676" spans="1:14" x14ac:dyDescent="0.5">
      <c r="A676" t="str">
        <f>"002214"</f>
        <v>002214</v>
      </c>
      <c r="B676" t="s">
        <v>1342</v>
      </c>
      <c r="C676">
        <v>3</v>
      </c>
      <c r="D676">
        <v>90.84</v>
      </c>
      <c r="E676">
        <v>7.22</v>
      </c>
      <c r="F676">
        <v>0.21</v>
      </c>
      <c r="G676">
        <v>7.22</v>
      </c>
      <c r="H676">
        <v>7.23</v>
      </c>
      <c r="I676" t="s">
        <v>1343</v>
      </c>
      <c r="J676">
        <v>4.34</v>
      </c>
      <c r="K676">
        <v>4.34</v>
      </c>
      <c r="L676">
        <v>7.02</v>
      </c>
      <c r="M676">
        <v>7.23</v>
      </c>
      <c r="N676">
        <v>6.94</v>
      </c>
    </row>
    <row r="677" spans="1:14" x14ac:dyDescent="0.5">
      <c r="A677" t="str">
        <f>"002215"</f>
        <v>002215</v>
      </c>
      <c r="B677" t="s">
        <v>1344</v>
      </c>
      <c r="C677">
        <v>2.06</v>
      </c>
      <c r="D677">
        <v>16.11</v>
      </c>
      <c r="E677">
        <v>6.44</v>
      </c>
      <c r="F677">
        <v>0.13</v>
      </c>
      <c r="G677">
        <v>6.44</v>
      </c>
      <c r="H677">
        <v>6.45</v>
      </c>
      <c r="I677" t="s">
        <v>1345</v>
      </c>
      <c r="J677">
        <v>3.2</v>
      </c>
      <c r="K677">
        <v>3.2</v>
      </c>
      <c r="L677">
        <v>6.3</v>
      </c>
      <c r="M677">
        <v>6.51</v>
      </c>
      <c r="N677">
        <v>6.24</v>
      </c>
    </row>
    <row r="678" spans="1:14" x14ac:dyDescent="0.5">
      <c r="A678" t="str">
        <f>"002216"</f>
        <v>002216</v>
      </c>
      <c r="B678" t="s">
        <v>1346</v>
      </c>
      <c r="C678">
        <v>0.13</v>
      </c>
      <c r="D678">
        <v>77.97</v>
      </c>
      <c r="E678">
        <v>7.9</v>
      </c>
      <c r="F678">
        <v>0.01</v>
      </c>
      <c r="G678">
        <v>7.9</v>
      </c>
      <c r="H678">
        <v>7.91</v>
      </c>
      <c r="I678" t="s">
        <v>1347</v>
      </c>
      <c r="J678">
        <v>0.8</v>
      </c>
      <c r="K678">
        <v>0.8</v>
      </c>
      <c r="L678">
        <v>7.89</v>
      </c>
      <c r="M678">
        <v>7.95</v>
      </c>
      <c r="N678">
        <v>7.79</v>
      </c>
    </row>
    <row r="679" spans="1:14" x14ac:dyDescent="0.5">
      <c r="A679" t="str">
        <f>"002217"</f>
        <v>002217</v>
      </c>
      <c r="B679" t="s">
        <v>1348</v>
      </c>
      <c r="C679">
        <v>3.56</v>
      </c>
      <c r="D679">
        <v>15.39</v>
      </c>
      <c r="E679">
        <v>7.85</v>
      </c>
      <c r="F679">
        <v>0.27</v>
      </c>
      <c r="G679">
        <v>7.84</v>
      </c>
      <c r="H679">
        <v>7.85</v>
      </c>
      <c r="I679" t="s">
        <v>1349</v>
      </c>
      <c r="J679">
        <v>7.75</v>
      </c>
      <c r="K679">
        <v>7.75</v>
      </c>
      <c r="L679">
        <v>7.5</v>
      </c>
      <c r="M679">
        <v>7.88</v>
      </c>
      <c r="N679">
        <v>7.45</v>
      </c>
    </row>
    <row r="680" spans="1:14" x14ac:dyDescent="0.5">
      <c r="A680" t="str">
        <f>"002218"</f>
        <v>002218</v>
      </c>
      <c r="B680" t="s">
        <v>1350</v>
      </c>
      <c r="C680">
        <v>2.1800000000000002</v>
      </c>
      <c r="D680">
        <v>39.409999999999997</v>
      </c>
      <c r="E680">
        <v>3.75</v>
      </c>
      <c r="F680">
        <v>0.08</v>
      </c>
      <c r="G680">
        <v>3.74</v>
      </c>
      <c r="H680">
        <v>3.75</v>
      </c>
      <c r="I680" t="s">
        <v>1351</v>
      </c>
      <c r="J680">
        <v>3.18</v>
      </c>
      <c r="K680">
        <v>3.18</v>
      </c>
      <c r="L680">
        <v>3.61</v>
      </c>
      <c r="M680">
        <v>3.75</v>
      </c>
      <c r="N680">
        <v>3.6</v>
      </c>
    </row>
    <row r="681" spans="1:14" x14ac:dyDescent="0.5">
      <c r="A681" t="str">
        <f>"002219"</f>
        <v>002219</v>
      </c>
      <c r="B681" t="s">
        <v>1352</v>
      </c>
      <c r="C681">
        <v>1.85</v>
      </c>
      <c r="D681" t="s">
        <v>24</v>
      </c>
      <c r="E681">
        <v>3.85</v>
      </c>
      <c r="F681">
        <v>7.0000000000000007E-2</v>
      </c>
      <c r="G681">
        <v>3.84</v>
      </c>
      <c r="H681">
        <v>3.85</v>
      </c>
      <c r="I681" t="s">
        <v>1353</v>
      </c>
      <c r="J681">
        <v>1.85</v>
      </c>
      <c r="K681">
        <v>1.85</v>
      </c>
      <c r="L681">
        <v>3.77</v>
      </c>
      <c r="M681">
        <v>3.85</v>
      </c>
      <c r="N681">
        <v>3.74</v>
      </c>
    </row>
    <row r="682" spans="1:14" x14ac:dyDescent="0.5">
      <c r="A682" t="str">
        <f>"002220"</f>
        <v>002220</v>
      </c>
      <c r="B682" t="s">
        <v>1354</v>
      </c>
      <c r="C682">
        <v>3.59</v>
      </c>
      <c r="D682">
        <v>39.74</v>
      </c>
      <c r="E682">
        <v>3.17</v>
      </c>
      <c r="F682">
        <v>0.11</v>
      </c>
      <c r="G682">
        <v>3.17</v>
      </c>
      <c r="H682">
        <v>3.18</v>
      </c>
      <c r="I682" t="s">
        <v>1355</v>
      </c>
      <c r="J682">
        <v>4.16</v>
      </c>
      <c r="K682">
        <v>4.16</v>
      </c>
      <c r="L682">
        <v>3.05</v>
      </c>
      <c r="M682">
        <v>3.19</v>
      </c>
      <c r="N682">
        <v>3.02</v>
      </c>
    </row>
    <row r="683" spans="1:14" x14ac:dyDescent="0.5">
      <c r="A683" t="str">
        <f>"002221"</f>
        <v>002221</v>
      </c>
      <c r="B683" t="s">
        <v>1356</v>
      </c>
      <c r="C683">
        <v>1.58</v>
      </c>
      <c r="D683">
        <v>12.66</v>
      </c>
      <c r="E683">
        <v>9.01</v>
      </c>
      <c r="F683">
        <v>0.14000000000000001</v>
      </c>
      <c r="G683">
        <v>9</v>
      </c>
      <c r="H683">
        <v>9.01</v>
      </c>
      <c r="I683" t="s">
        <v>1357</v>
      </c>
      <c r="J683">
        <v>0.8</v>
      </c>
      <c r="K683">
        <v>0.8</v>
      </c>
      <c r="L683">
        <v>8.8699999999999992</v>
      </c>
      <c r="M683">
        <v>9.01</v>
      </c>
      <c r="N683">
        <v>8.84</v>
      </c>
    </row>
    <row r="684" spans="1:14" x14ac:dyDescent="0.5">
      <c r="A684" t="str">
        <f>"002222"</f>
        <v>002222</v>
      </c>
      <c r="B684" t="s">
        <v>1358</v>
      </c>
      <c r="C684">
        <v>5.68</v>
      </c>
      <c r="D684">
        <v>32.21</v>
      </c>
      <c r="E684">
        <v>13.03</v>
      </c>
      <c r="F684">
        <v>0.7</v>
      </c>
      <c r="G684">
        <v>13.02</v>
      </c>
      <c r="H684">
        <v>13.03</v>
      </c>
      <c r="I684" t="s">
        <v>1359</v>
      </c>
      <c r="J684">
        <v>7.06</v>
      </c>
      <c r="K684">
        <v>7.06</v>
      </c>
      <c r="L684">
        <v>12.2</v>
      </c>
      <c r="M684">
        <v>13.17</v>
      </c>
      <c r="N684">
        <v>12.14</v>
      </c>
    </row>
    <row r="685" spans="1:14" x14ac:dyDescent="0.5">
      <c r="A685" t="str">
        <f>"002223"</f>
        <v>002223</v>
      </c>
      <c r="B685" t="s">
        <v>1360</v>
      </c>
      <c r="C685">
        <v>0.71</v>
      </c>
      <c r="D685">
        <v>34.020000000000003</v>
      </c>
      <c r="E685">
        <v>23.95</v>
      </c>
      <c r="F685">
        <v>0.17</v>
      </c>
      <c r="G685">
        <v>23.94</v>
      </c>
      <c r="H685">
        <v>23.95</v>
      </c>
      <c r="I685" t="s">
        <v>1361</v>
      </c>
      <c r="J685">
        <v>0.75</v>
      </c>
      <c r="K685">
        <v>0.75</v>
      </c>
      <c r="L685">
        <v>23.71</v>
      </c>
      <c r="M685">
        <v>24.1</v>
      </c>
      <c r="N685">
        <v>23.31</v>
      </c>
    </row>
    <row r="686" spans="1:14" x14ac:dyDescent="0.5">
      <c r="A686" t="str">
        <f>"002224"</f>
        <v>002224</v>
      </c>
      <c r="B686" t="s">
        <v>1362</v>
      </c>
      <c r="C686">
        <v>0.28000000000000003</v>
      </c>
      <c r="D686">
        <v>34.36</v>
      </c>
      <c r="E686">
        <v>7.11</v>
      </c>
      <c r="F686">
        <v>0.02</v>
      </c>
      <c r="G686">
        <v>7.1</v>
      </c>
      <c r="H686">
        <v>7.11</v>
      </c>
      <c r="I686" t="s">
        <v>1363</v>
      </c>
      <c r="J686">
        <v>9.2799999999999994</v>
      </c>
      <c r="K686">
        <v>9.2799999999999994</v>
      </c>
      <c r="L686">
        <v>6.9</v>
      </c>
      <c r="M686">
        <v>7.14</v>
      </c>
      <c r="N686">
        <v>6.83</v>
      </c>
    </row>
    <row r="687" spans="1:14" x14ac:dyDescent="0.5">
      <c r="A687" t="str">
        <f>"002225"</f>
        <v>002225</v>
      </c>
      <c r="B687" t="s">
        <v>1364</v>
      </c>
      <c r="C687">
        <v>0.57999999999999996</v>
      </c>
      <c r="D687">
        <v>30.1</v>
      </c>
      <c r="E687">
        <v>5.24</v>
      </c>
      <c r="F687">
        <v>0.03</v>
      </c>
      <c r="G687">
        <v>5.24</v>
      </c>
      <c r="H687">
        <v>5.25</v>
      </c>
      <c r="I687" t="s">
        <v>1365</v>
      </c>
      <c r="J687">
        <v>1.43</v>
      </c>
      <c r="K687">
        <v>1.43</v>
      </c>
      <c r="L687">
        <v>5.2</v>
      </c>
      <c r="M687">
        <v>5.25</v>
      </c>
      <c r="N687">
        <v>5.15</v>
      </c>
    </row>
    <row r="688" spans="1:14" x14ac:dyDescent="0.5">
      <c r="A688" t="str">
        <f>"002226"</f>
        <v>002226</v>
      </c>
      <c r="B688" t="s">
        <v>1366</v>
      </c>
      <c r="C688">
        <v>10</v>
      </c>
      <c r="D688">
        <v>57.87</v>
      </c>
      <c r="E688">
        <v>6.71</v>
      </c>
      <c r="F688">
        <v>0.61</v>
      </c>
      <c r="G688">
        <v>6.71</v>
      </c>
      <c r="H688" t="s">
        <v>24</v>
      </c>
      <c r="I688" t="s">
        <v>1367</v>
      </c>
      <c r="J688">
        <v>2.84</v>
      </c>
      <c r="K688">
        <v>2.84</v>
      </c>
      <c r="L688">
        <v>6.07</v>
      </c>
      <c r="M688">
        <v>6.71</v>
      </c>
      <c r="N688">
        <v>6.07</v>
      </c>
    </row>
    <row r="689" spans="1:14" x14ac:dyDescent="0.5">
      <c r="A689" t="str">
        <f>"002227"</f>
        <v>002227</v>
      </c>
      <c r="B689" t="s">
        <v>1368</v>
      </c>
      <c r="C689">
        <v>0.28000000000000003</v>
      </c>
      <c r="D689">
        <v>905.71</v>
      </c>
      <c r="E689">
        <v>14.23</v>
      </c>
      <c r="F689">
        <v>0.04</v>
      </c>
      <c r="G689">
        <v>14.23</v>
      </c>
      <c r="H689">
        <v>14.24</v>
      </c>
      <c r="I689" t="s">
        <v>1369</v>
      </c>
      <c r="J689">
        <v>3.03</v>
      </c>
      <c r="K689">
        <v>3.03</v>
      </c>
      <c r="L689">
        <v>14</v>
      </c>
      <c r="M689">
        <v>14.25</v>
      </c>
      <c r="N689">
        <v>13.67</v>
      </c>
    </row>
    <row r="690" spans="1:14" x14ac:dyDescent="0.5">
      <c r="A690" t="str">
        <f>"002228"</f>
        <v>002228</v>
      </c>
      <c r="B690" t="s">
        <v>1370</v>
      </c>
      <c r="C690">
        <v>0.73</v>
      </c>
      <c r="D690">
        <v>11.78</v>
      </c>
      <c r="E690">
        <v>5.54</v>
      </c>
      <c r="F690">
        <v>0.04</v>
      </c>
      <c r="G690">
        <v>5.54</v>
      </c>
      <c r="H690">
        <v>5.55</v>
      </c>
      <c r="I690" t="s">
        <v>1371</v>
      </c>
      <c r="J690">
        <v>1.99</v>
      </c>
      <c r="K690">
        <v>1.99</v>
      </c>
      <c r="L690">
        <v>5.49</v>
      </c>
      <c r="M690">
        <v>5.56</v>
      </c>
      <c r="N690">
        <v>5.42</v>
      </c>
    </row>
    <row r="691" spans="1:14" x14ac:dyDescent="0.5">
      <c r="A691" t="str">
        <f>"002229"</f>
        <v>002229</v>
      </c>
      <c r="B691" t="s">
        <v>1372</v>
      </c>
      <c r="C691">
        <v>3.38</v>
      </c>
      <c r="D691">
        <v>235.8</v>
      </c>
      <c r="E691">
        <v>8.27</v>
      </c>
      <c r="F691">
        <v>0.27</v>
      </c>
      <c r="G691">
        <v>8.26</v>
      </c>
      <c r="H691">
        <v>8.27</v>
      </c>
      <c r="I691" t="s">
        <v>1373</v>
      </c>
      <c r="J691">
        <v>8.64</v>
      </c>
      <c r="K691">
        <v>8.64</v>
      </c>
      <c r="L691">
        <v>8</v>
      </c>
      <c r="M691">
        <v>8.34</v>
      </c>
      <c r="N691">
        <v>7.92</v>
      </c>
    </row>
    <row r="692" spans="1:14" x14ac:dyDescent="0.5">
      <c r="A692" t="str">
        <f>"002230"</f>
        <v>002230</v>
      </c>
      <c r="B692" t="s">
        <v>1374</v>
      </c>
      <c r="C692">
        <v>5.37</v>
      </c>
      <c r="D692">
        <v>154.54</v>
      </c>
      <c r="E692">
        <v>38.85</v>
      </c>
      <c r="F692">
        <v>1.98</v>
      </c>
      <c r="G692">
        <v>38.840000000000003</v>
      </c>
      <c r="H692">
        <v>38.85</v>
      </c>
      <c r="I692" t="s">
        <v>1375</v>
      </c>
      <c r="J692">
        <v>5.53</v>
      </c>
      <c r="K692">
        <v>5.53</v>
      </c>
      <c r="L692">
        <v>36.880000000000003</v>
      </c>
      <c r="M692">
        <v>38.99</v>
      </c>
      <c r="N692">
        <v>36.49</v>
      </c>
    </row>
    <row r="693" spans="1:14" x14ac:dyDescent="0.5">
      <c r="A693" t="str">
        <f>"002231"</f>
        <v>002231</v>
      </c>
      <c r="B693" t="s">
        <v>1376</v>
      </c>
      <c r="C693">
        <v>4.29</v>
      </c>
      <c r="D693">
        <v>242.39</v>
      </c>
      <c r="E693">
        <v>8.75</v>
      </c>
      <c r="F693">
        <v>0.36</v>
      </c>
      <c r="G693">
        <v>8.74</v>
      </c>
      <c r="H693">
        <v>8.75</v>
      </c>
      <c r="I693" t="s">
        <v>1377</v>
      </c>
      <c r="J693">
        <v>11.38</v>
      </c>
      <c r="K693">
        <v>11.38</v>
      </c>
      <c r="L693">
        <v>8.2899999999999991</v>
      </c>
      <c r="M693">
        <v>9.08</v>
      </c>
      <c r="N693">
        <v>8.0399999999999991</v>
      </c>
    </row>
    <row r="694" spans="1:14" x14ac:dyDescent="0.5">
      <c r="A694" t="str">
        <f>"002232"</f>
        <v>002232</v>
      </c>
      <c r="B694" t="s">
        <v>1378</v>
      </c>
      <c r="C694">
        <v>3.95</v>
      </c>
      <c r="D694">
        <v>45.85</v>
      </c>
      <c r="E694">
        <v>8.69</v>
      </c>
      <c r="F694">
        <v>0.33</v>
      </c>
      <c r="G694">
        <v>8.68</v>
      </c>
      <c r="H694">
        <v>8.69</v>
      </c>
      <c r="I694" t="s">
        <v>1379</v>
      </c>
      <c r="J694">
        <v>2.61</v>
      </c>
      <c r="K694">
        <v>2.61</v>
      </c>
      <c r="L694">
        <v>8.36</v>
      </c>
      <c r="M694">
        <v>8.74</v>
      </c>
      <c r="N694">
        <v>8.3000000000000007</v>
      </c>
    </row>
    <row r="695" spans="1:14" x14ac:dyDescent="0.5">
      <c r="A695" t="str">
        <f>"002233"</f>
        <v>002233</v>
      </c>
      <c r="B695" t="s">
        <v>1380</v>
      </c>
      <c r="C695">
        <v>0.75</v>
      </c>
      <c r="D695">
        <v>9.8000000000000007</v>
      </c>
      <c r="E695">
        <v>12.16</v>
      </c>
      <c r="F695">
        <v>0.09</v>
      </c>
      <c r="G695">
        <v>12.15</v>
      </c>
      <c r="H695">
        <v>12.16</v>
      </c>
      <c r="I695" t="s">
        <v>1381</v>
      </c>
      <c r="J695">
        <v>2.1</v>
      </c>
      <c r="K695">
        <v>2.1</v>
      </c>
      <c r="L695">
        <v>12.08</v>
      </c>
      <c r="M695">
        <v>12.17</v>
      </c>
      <c r="N695">
        <v>11.93</v>
      </c>
    </row>
    <row r="696" spans="1:14" x14ac:dyDescent="0.5">
      <c r="A696" t="str">
        <f>"002234"</f>
        <v>002234</v>
      </c>
      <c r="B696" t="s">
        <v>1382</v>
      </c>
      <c r="C696">
        <v>0.91</v>
      </c>
      <c r="D696">
        <v>19.8</v>
      </c>
      <c r="E696">
        <v>27.65</v>
      </c>
      <c r="F696">
        <v>0.25</v>
      </c>
      <c r="G696">
        <v>27.61</v>
      </c>
      <c r="H696">
        <v>27.65</v>
      </c>
      <c r="I696" t="s">
        <v>1383</v>
      </c>
      <c r="J696">
        <v>13.05</v>
      </c>
      <c r="K696">
        <v>13.05</v>
      </c>
      <c r="L696">
        <v>26.6</v>
      </c>
      <c r="M696">
        <v>29.47</v>
      </c>
      <c r="N696">
        <v>26.1</v>
      </c>
    </row>
    <row r="697" spans="1:14" x14ac:dyDescent="0.5">
      <c r="A697" t="str">
        <f>"002235"</f>
        <v>002235</v>
      </c>
      <c r="B697" t="s">
        <v>1384</v>
      </c>
      <c r="C697">
        <v>0.91</v>
      </c>
      <c r="D697" t="s">
        <v>24</v>
      </c>
      <c r="E697">
        <v>6.68</v>
      </c>
      <c r="F697">
        <v>0.06</v>
      </c>
      <c r="G697">
        <v>6.68</v>
      </c>
      <c r="H697">
        <v>6.69</v>
      </c>
      <c r="I697" t="s">
        <v>1385</v>
      </c>
      <c r="J697">
        <v>12.27</v>
      </c>
      <c r="K697">
        <v>12.27</v>
      </c>
      <c r="L697">
        <v>6.5</v>
      </c>
      <c r="M697">
        <v>6.73</v>
      </c>
      <c r="N697">
        <v>6.45</v>
      </c>
    </row>
    <row r="698" spans="1:14" x14ac:dyDescent="0.5">
      <c r="A698" t="str">
        <f>"002236"</f>
        <v>002236</v>
      </c>
      <c r="B698" t="s">
        <v>1386</v>
      </c>
      <c r="C698">
        <v>2.85</v>
      </c>
      <c r="D698">
        <v>18.8</v>
      </c>
      <c r="E698">
        <v>16.96</v>
      </c>
      <c r="F698">
        <v>0.47</v>
      </c>
      <c r="G698">
        <v>16.95</v>
      </c>
      <c r="H698">
        <v>16.96</v>
      </c>
      <c r="I698" t="s">
        <v>1387</v>
      </c>
      <c r="J698">
        <v>5.2</v>
      </c>
      <c r="K698">
        <v>5.2</v>
      </c>
      <c r="L698">
        <v>16.45</v>
      </c>
      <c r="M698">
        <v>17.079999999999998</v>
      </c>
      <c r="N698">
        <v>16.25</v>
      </c>
    </row>
    <row r="699" spans="1:14" x14ac:dyDescent="0.5">
      <c r="A699" t="str">
        <f>"002237"</f>
        <v>002237</v>
      </c>
      <c r="B699" t="s">
        <v>1388</v>
      </c>
      <c r="C699">
        <v>0.7</v>
      </c>
      <c r="D699">
        <v>25.88</v>
      </c>
      <c r="E699">
        <v>10.07</v>
      </c>
      <c r="F699">
        <v>7.0000000000000007E-2</v>
      </c>
      <c r="G699">
        <v>10.06</v>
      </c>
      <c r="H699">
        <v>10.07</v>
      </c>
      <c r="I699" t="s">
        <v>1389</v>
      </c>
      <c r="J699">
        <v>7.86</v>
      </c>
      <c r="K699">
        <v>7.86</v>
      </c>
      <c r="L699">
        <v>10.199999999999999</v>
      </c>
      <c r="M699">
        <v>10.7</v>
      </c>
      <c r="N699">
        <v>9.86</v>
      </c>
    </row>
    <row r="700" spans="1:14" x14ac:dyDescent="0.5">
      <c r="A700" t="str">
        <f>"002238"</f>
        <v>002238</v>
      </c>
      <c r="B700" t="s">
        <v>1390</v>
      </c>
      <c r="C700">
        <v>10</v>
      </c>
      <c r="D700">
        <v>23.72</v>
      </c>
      <c r="E700">
        <v>9.24</v>
      </c>
      <c r="F700">
        <v>0.84</v>
      </c>
      <c r="G700">
        <v>9.24</v>
      </c>
      <c r="H700" t="s">
        <v>24</v>
      </c>
      <c r="I700" t="s">
        <v>1391</v>
      </c>
      <c r="J700">
        <v>4.9400000000000004</v>
      </c>
      <c r="K700">
        <v>4.9400000000000004</v>
      </c>
      <c r="L700">
        <v>8.8000000000000007</v>
      </c>
      <c r="M700">
        <v>9.24</v>
      </c>
      <c r="N700">
        <v>8.66</v>
      </c>
    </row>
    <row r="701" spans="1:14" x14ac:dyDescent="0.5">
      <c r="A701" t="str">
        <f>"002239"</f>
        <v>002239</v>
      </c>
      <c r="B701" t="s">
        <v>1392</v>
      </c>
      <c r="C701">
        <v>9.84</v>
      </c>
      <c r="D701">
        <v>14.35</v>
      </c>
      <c r="E701">
        <v>2.79</v>
      </c>
      <c r="F701">
        <v>0.25</v>
      </c>
      <c r="G701">
        <v>2.79</v>
      </c>
      <c r="H701" t="s">
        <v>24</v>
      </c>
      <c r="I701" t="s">
        <v>1393</v>
      </c>
      <c r="J701">
        <v>4.9000000000000004</v>
      </c>
      <c r="K701">
        <v>4.9000000000000004</v>
      </c>
      <c r="L701">
        <v>2.58</v>
      </c>
      <c r="M701">
        <v>2.79</v>
      </c>
      <c r="N701">
        <v>2.5499999999999998</v>
      </c>
    </row>
    <row r="702" spans="1:14" x14ac:dyDescent="0.5">
      <c r="A702" t="str">
        <f>"002240"</f>
        <v>002240</v>
      </c>
      <c r="B702" t="s">
        <v>1394</v>
      </c>
      <c r="C702">
        <v>1.0900000000000001</v>
      </c>
      <c r="D702">
        <v>30.51</v>
      </c>
      <c r="E702">
        <v>9.3000000000000007</v>
      </c>
      <c r="F702">
        <v>0.1</v>
      </c>
      <c r="G702">
        <v>9.3000000000000007</v>
      </c>
      <c r="H702">
        <v>9.31</v>
      </c>
      <c r="I702" t="s">
        <v>1395</v>
      </c>
      <c r="J702">
        <v>3.16</v>
      </c>
      <c r="K702">
        <v>3.16</v>
      </c>
      <c r="L702">
        <v>9.18</v>
      </c>
      <c r="M702">
        <v>9.3000000000000007</v>
      </c>
      <c r="N702">
        <v>9.07</v>
      </c>
    </row>
    <row r="703" spans="1:14" x14ac:dyDescent="0.5">
      <c r="A703" t="str">
        <f>"002241"</f>
        <v>002241</v>
      </c>
      <c r="B703" t="s">
        <v>1396</v>
      </c>
      <c r="C703">
        <v>2.4300000000000002</v>
      </c>
      <c r="D703">
        <v>17.84</v>
      </c>
      <c r="E703">
        <v>9.27</v>
      </c>
      <c r="F703">
        <v>0.22</v>
      </c>
      <c r="G703">
        <v>9.27</v>
      </c>
      <c r="H703">
        <v>9.2799999999999994</v>
      </c>
      <c r="I703" t="s">
        <v>1397</v>
      </c>
      <c r="J703">
        <v>1.83</v>
      </c>
      <c r="K703">
        <v>1.83</v>
      </c>
      <c r="L703">
        <v>9.02</v>
      </c>
      <c r="M703">
        <v>9.2899999999999991</v>
      </c>
      <c r="N703">
        <v>8.93</v>
      </c>
    </row>
    <row r="704" spans="1:14" x14ac:dyDescent="0.5">
      <c r="A704" t="str">
        <f>"002242"</f>
        <v>002242</v>
      </c>
      <c r="B704" t="s">
        <v>1398</v>
      </c>
      <c r="C704">
        <v>0.47</v>
      </c>
      <c r="D704">
        <v>19.920000000000002</v>
      </c>
      <c r="E704">
        <v>19.22</v>
      </c>
      <c r="F704">
        <v>0.09</v>
      </c>
      <c r="G704">
        <v>19.22</v>
      </c>
      <c r="H704">
        <v>19.23</v>
      </c>
      <c r="I704" t="s">
        <v>1399</v>
      </c>
      <c r="J704">
        <v>0.82</v>
      </c>
      <c r="K704">
        <v>0.82</v>
      </c>
      <c r="L704">
        <v>19.13</v>
      </c>
      <c r="M704">
        <v>19.45</v>
      </c>
      <c r="N704">
        <v>18.91</v>
      </c>
    </row>
    <row r="705" spans="1:14" x14ac:dyDescent="0.5">
      <c r="A705" t="str">
        <f>"002243"</f>
        <v>002243</v>
      </c>
      <c r="B705" t="s">
        <v>1400</v>
      </c>
      <c r="C705">
        <v>2.98</v>
      </c>
      <c r="D705">
        <v>113.05</v>
      </c>
      <c r="E705">
        <v>21.76</v>
      </c>
      <c r="F705">
        <v>0.63</v>
      </c>
      <c r="G705">
        <v>21.76</v>
      </c>
      <c r="H705">
        <v>21.77</v>
      </c>
      <c r="I705" t="s">
        <v>1401</v>
      </c>
      <c r="J705">
        <v>15.07</v>
      </c>
      <c r="K705">
        <v>15.07</v>
      </c>
      <c r="L705">
        <v>20.8</v>
      </c>
      <c r="M705">
        <v>23.19</v>
      </c>
      <c r="N705">
        <v>20.45</v>
      </c>
    </row>
    <row r="706" spans="1:14" x14ac:dyDescent="0.5">
      <c r="A706" t="str">
        <f>"002244"</f>
        <v>002244</v>
      </c>
      <c r="B706" t="s">
        <v>1402</v>
      </c>
      <c r="C706">
        <v>1.25</v>
      </c>
      <c r="D706">
        <v>10.87</v>
      </c>
      <c r="E706">
        <v>4.8499999999999996</v>
      </c>
      <c r="F706">
        <v>0.06</v>
      </c>
      <c r="G706">
        <v>4.84</v>
      </c>
      <c r="H706">
        <v>4.8499999999999996</v>
      </c>
      <c r="I706" t="s">
        <v>1403</v>
      </c>
      <c r="J706">
        <v>1.02</v>
      </c>
      <c r="K706">
        <v>1.02</v>
      </c>
      <c r="L706">
        <v>4.8099999999999996</v>
      </c>
      <c r="M706">
        <v>4.91</v>
      </c>
      <c r="N706">
        <v>4.75</v>
      </c>
    </row>
    <row r="707" spans="1:14" x14ac:dyDescent="0.5">
      <c r="A707" t="str">
        <f>"002245"</f>
        <v>002245</v>
      </c>
      <c r="B707" t="s">
        <v>1404</v>
      </c>
      <c r="C707">
        <v>3.94</v>
      </c>
      <c r="D707">
        <v>21.08</v>
      </c>
      <c r="E707">
        <v>5.01</v>
      </c>
      <c r="F707">
        <v>0.19</v>
      </c>
      <c r="G707">
        <v>5</v>
      </c>
      <c r="H707">
        <v>5.01</v>
      </c>
      <c r="I707" t="s">
        <v>1405</v>
      </c>
      <c r="J707">
        <v>4.1100000000000003</v>
      </c>
      <c r="K707">
        <v>4.1100000000000003</v>
      </c>
      <c r="L707">
        <v>4.82</v>
      </c>
      <c r="M707">
        <v>5.0199999999999996</v>
      </c>
      <c r="N707">
        <v>4.76</v>
      </c>
    </row>
    <row r="708" spans="1:14" x14ac:dyDescent="0.5">
      <c r="A708" t="str">
        <f>"002246"</f>
        <v>002246</v>
      </c>
      <c r="B708" t="s">
        <v>1406</v>
      </c>
      <c r="C708">
        <v>1.77</v>
      </c>
      <c r="D708">
        <v>36.71</v>
      </c>
      <c r="E708">
        <v>8.06</v>
      </c>
      <c r="F708">
        <v>0.14000000000000001</v>
      </c>
      <c r="G708">
        <v>8.0500000000000007</v>
      </c>
      <c r="H708">
        <v>8.06</v>
      </c>
      <c r="I708" t="s">
        <v>1407</v>
      </c>
      <c r="J708">
        <v>1.81</v>
      </c>
      <c r="K708">
        <v>1.81</v>
      </c>
      <c r="L708">
        <v>7.91</v>
      </c>
      <c r="M708">
        <v>8.06</v>
      </c>
      <c r="N708">
        <v>7.85</v>
      </c>
    </row>
    <row r="709" spans="1:14" x14ac:dyDescent="0.5">
      <c r="A709" t="str">
        <f>"002247"</f>
        <v>002247</v>
      </c>
      <c r="B709" t="s">
        <v>1408</v>
      </c>
      <c r="C709">
        <v>10.039999999999999</v>
      </c>
      <c r="D709">
        <v>7.03</v>
      </c>
      <c r="E709">
        <v>5.26</v>
      </c>
      <c r="F709">
        <v>0.48</v>
      </c>
      <c r="G709">
        <v>5.26</v>
      </c>
      <c r="H709" t="s">
        <v>24</v>
      </c>
      <c r="I709" t="s">
        <v>1409</v>
      </c>
      <c r="J709">
        <v>13.36</v>
      </c>
      <c r="K709">
        <v>13.36</v>
      </c>
      <c r="L709">
        <v>4.82</v>
      </c>
      <c r="M709">
        <v>5.26</v>
      </c>
      <c r="N709">
        <v>4.7699999999999996</v>
      </c>
    </row>
    <row r="710" spans="1:14" x14ac:dyDescent="0.5">
      <c r="A710" t="str">
        <f>"002248"</f>
        <v>002248</v>
      </c>
      <c r="B710" t="s">
        <v>1410</v>
      </c>
      <c r="C710">
        <v>1.18</v>
      </c>
      <c r="D710">
        <v>100.3</v>
      </c>
      <c r="E710">
        <v>10.25</v>
      </c>
      <c r="F710">
        <v>0.12</v>
      </c>
      <c r="G710">
        <v>10.24</v>
      </c>
      <c r="H710">
        <v>10.25</v>
      </c>
      <c r="I710" t="s">
        <v>1411</v>
      </c>
      <c r="J710">
        <v>1.1100000000000001</v>
      </c>
      <c r="K710">
        <v>1.1100000000000001</v>
      </c>
      <c r="L710">
        <v>10.1</v>
      </c>
      <c r="M710">
        <v>10.25</v>
      </c>
      <c r="N710">
        <v>10.039999999999999</v>
      </c>
    </row>
    <row r="711" spans="1:14" x14ac:dyDescent="0.5">
      <c r="A711" t="str">
        <f>"002249"</f>
        <v>002249</v>
      </c>
      <c r="B711" t="s">
        <v>1412</v>
      </c>
      <c r="C711">
        <v>0.21</v>
      </c>
      <c r="D711">
        <v>30.68</v>
      </c>
      <c r="E711">
        <v>4.74</v>
      </c>
      <c r="F711">
        <v>0.01</v>
      </c>
      <c r="G711">
        <v>4.74</v>
      </c>
      <c r="H711">
        <v>4.75</v>
      </c>
      <c r="I711" t="s">
        <v>1413</v>
      </c>
      <c r="J711">
        <v>2.11</v>
      </c>
      <c r="K711">
        <v>2.11</v>
      </c>
      <c r="L711">
        <v>4.66</v>
      </c>
      <c r="M711">
        <v>4.79</v>
      </c>
      <c r="N711">
        <v>4.5999999999999996</v>
      </c>
    </row>
    <row r="712" spans="1:14" x14ac:dyDescent="0.5">
      <c r="A712" t="str">
        <f>"002250"</f>
        <v>002250</v>
      </c>
      <c r="B712" t="s">
        <v>1414</v>
      </c>
      <c r="C712">
        <v>0.65</v>
      </c>
      <c r="D712">
        <v>557.44000000000005</v>
      </c>
      <c r="E712">
        <v>10.76</v>
      </c>
      <c r="F712">
        <v>7.0000000000000007E-2</v>
      </c>
      <c r="G712">
        <v>10.76</v>
      </c>
      <c r="H712">
        <v>10.77</v>
      </c>
      <c r="I712" t="s">
        <v>1415</v>
      </c>
      <c r="J712">
        <v>1.08</v>
      </c>
      <c r="K712">
        <v>1.08</v>
      </c>
      <c r="L712">
        <v>10.64</v>
      </c>
      <c r="M712">
        <v>10.79</v>
      </c>
      <c r="N712">
        <v>10.54</v>
      </c>
    </row>
    <row r="713" spans="1:14" x14ac:dyDescent="0.5">
      <c r="A713" t="str">
        <f>"002251"</f>
        <v>002251</v>
      </c>
      <c r="B713" t="s">
        <v>1416</v>
      </c>
      <c r="C713">
        <v>0.53</v>
      </c>
      <c r="D713">
        <v>51.93</v>
      </c>
      <c r="E713">
        <v>9.57</v>
      </c>
      <c r="F713">
        <v>0.05</v>
      </c>
      <c r="G713">
        <v>9.57</v>
      </c>
      <c r="H713">
        <v>9.58</v>
      </c>
      <c r="I713" t="s">
        <v>1417</v>
      </c>
      <c r="J713">
        <v>1.48</v>
      </c>
      <c r="K713">
        <v>1.48</v>
      </c>
      <c r="L713">
        <v>9.5</v>
      </c>
      <c r="M713">
        <v>9.6</v>
      </c>
      <c r="N713">
        <v>9.3800000000000008</v>
      </c>
    </row>
    <row r="714" spans="1:14" x14ac:dyDescent="0.5">
      <c r="A714" t="str">
        <f>"002252"</f>
        <v>002252</v>
      </c>
      <c r="B714" t="s">
        <v>1418</v>
      </c>
      <c r="C714" t="s">
        <v>24</v>
      </c>
      <c r="D714" t="s">
        <v>24</v>
      </c>
      <c r="E714">
        <v>9.59</v>
      </c>
      <c r="F714" t="s">
        <v>24</v>
      </c>
      <c r="G714" t="s">
        <v>24</v>
      </c>
      <c r="H714" t="s">
        <v>24</v>
      </c>
      <c r="I714" t="s">
        <v>1419</v>
      </c>
      <c r="J714">
        <v>0</v>
      </c>
      <c r="K714">
        <v>0</v>
      </c>
      <c r="L714" t="s">
        <v>24</v>
      </c>
      <c r="M714" t="s">
        <v>24</v>
      </c>
      <c r="N714" t="s">
        <v>24</v>
      </c>
    </row>
    <row r="715" spans="1:14" x14ac:dyDescent="0.5">
      <c r="A715" t="str">
        <f>"002253"</f>
        <v>002253</v>
      </c>
      <c r="B715" t="s">
        <v>1420</v>
      </c>
      <c r="C715">
        <v>4.2699999999999996</v>
      </c>
      <c r="D715">
        <v>67.27</v>
      </c>
      <c r="E715">
        <v>17.579999999999998</v>
      </c>
      <c r="F715">
        <v>0.72</v>
      </c>
      <c r="G715">
        <v>17.579999999999998</v>
      </c>
      <c r="H715">
        <v>17.59</v>
      </c>
      <c r="I715" t="s">
        <v>1421</v>
      </c>
      <c r="J715">
        <v>5.41</v>
      </c>
      <c r="K715">
        <v>5.41</v>
      </c>
      <c r="L715">
        <v>16.8</v>
      </c>
      <c r="M715">
        <v>17.579999999999998</v>
      </c>
      <c r="N715">
        <v>16.66</v>
      </c>
    </row>
    <row r="716" spans="1:14" x14ac:dyDescent="0.5">
      <c r="A716" t="str">
        <f>"002254"</f>
        <v>002254</v>
      </c>
      <c r="B716" t="s">
        <v>1422</v>
      </c>
      <c r="C716">
        <v>0.43</v>
      </c>
      <c r="D716">
        <v>40.770000000000003</v>
      </c>
      <c r="E716">
        <v>11.74</v>
      </c>
      <c r="F716">
        <v>0.05</v>
      </c>
      <c r="G716">
        <v>11.74</v>
      </c>
      <c r="H716">
        <v>11.75</v>
      </c>
      <c r="I716" t="s">
        <v>1423</v>
      </c>
      <c r="J716">
        <v>1.65</v>
      </c>
      <c r="K716">
        <v>1.65</v>
      </c>
      <c r="L716">
        <v>11.65</v>
      </c>
      <c r="M716">
        <v>11.86</v>
      </c>
      <c r="N716">
        <v>11.57</v>
      </c>
    </row>
    <row r="717" spans="1:14" x14ac:dyDescent="0.5">
      <c r="A717" t="str">
        <f>"002255"</f>
        <v>002255</v>
      </c>
      <c r="B717" t="s">
        <v>1424</v>
      </c>
      <c r="C717">
        <v>2.38</v>
      </c>
      <c r="D717">
        <v>23.42</v>
      </c>
      <c r="E717">
        <v>4.3</v>
      </c>
      <c r="F717">
        <v>0.1</v>
      </c>
      <c r="G717">
        <v>4.3</v>
      </c>
      <c r="H717">
        <v>4.3099999999999996</v>
      </c>
      <c r="I717" t="s">
        <v>1425</v>
      </c>
      <c r="J717">
        <v>2.91</v>
      </c>
      <c r="K717">
        <v>2.91</v>
      </c>
      <c r="L717">
        <v>4.21</v>
      </c>
      <c r="M717">
        <v>4.34</v>
      </c>
      <c r="N717">
        <v>4.17</v>
      </c>
    </row>
    <row r="718" spans="1:14" x14ac:dyDescent="0.5">
      <c r="A718" t="str">
        <f>"002256"</f>
        <v>002256</v>
      </c>
      <c r="B718" t="s">
        <v>1426</v>
      </c>
      <c r="C718">
        <v>3.19</v>
      </c>
      <c r="D718">
        <v>43.54</v>
      </c>
      <c r="E718">
        <v>3.56</v>
      </c>
      <c r="F718">
        <v>0.11</v>
      </c>
      <c r="G718">
        <v>3.55</v>
      </c>
      <c r="H718">
        <v>3.56</v>
      </c>
      <c r="I718" t="s">
        <v>1427</v>
      </c>
      <c r="J718">
        <v>5.24</v>
      </c>
      <c r="K718">
        <v>5.24</v>
      </c>
      <c r="L718">
        <v>3.45</v>
      </c>
      <c r="M718">
        <v>3.56</v>
      </c>
      <c r="N718">
        <v>3.42</v>
      </c>
    </row>
    <row r="719" spans="1:14" x14ac:dyDescent="0.5">
      <c r="A719" t="str">
        <f>"002258"</f>
        <v>002258</v>
      </c>
      <c r="B719" t="s">
        <v>1428</v>
      </c>
      <c r="C719">
        <v>0.77</v>
      </c>
      <c r="D719">
        <v>13.98</v>
      </c>
      <c r="E719">
        <v>15.75</v>
      </c>
      <c r="F719">
        <v>0.12</v>
      </c>
      <c r="G719">
        <v>15.74</v>
      </c>
      <c r="H719">
        <v>15.75</v>
      </c>
      <c r="I719" t="s">
        <v>1429</v>
      </c>
      <c r="J719">
        <v>2.0099999999999998</v>
      </c>
      <c r="K719">
        <v>2.0099999999999998</v>
      </c>
      <c r="L719">
        <v>15.63</v>
      </c>
      <c r="M719">
        <v>15.78</v>
      </c>
      <c r="N719">
        <v>15.47</v>
      </c>
    </row>
    <row r="720" spans="1:14" x14ac:dyDescent="0.5">
      <c r="A720" t="str">
        <f>"002259"</f>
        <v>002259</v>
      </c>
      <c r="B720" t="s">
        <v>1430</v>
      </c>
      <c r="C720">
        <v>0.42</v>
      </c>
      <c r="D720" t="s">
        <v>24</v>
      </c>
      <c r="E720">
        <v>2.41</v>
      </c>
      <c r="F720">
        <v>0.01</v>
      </c>
      <c r="G720">
        <v>2.4</v>
      </c>
      <c r="H720">
        <v>2.41</v>
      </c>
      <c r="I720" t="s">
        <v>1431</v>
      </c>
      <c r="J720">
        <v>2.65</v>
      </c>
      <c r="K720">
        <v>2.65</v>
      </c>
      <c r="L720">
        <v>2.37</v>
      </c>
      <c r="M720">
        <v>2.41</v>
      </c>
      <c r="N720">
        <v>2.37</v>
      </c>
    </row>
    <row r="721" spans="1:14" x14ac:dyDescent="0.5">
      <c r="A721" t="str">
        <f>"002260"</f>
        <v>002260</v>
      </c>
      <c r="B721" t="s">
        <v>1432</v>
      </c>
      <c r="C721">
        <v>0.62</v>
      </c>
      <c r="D721" t="s">
        <v>24</v>
      </c>
      <c r="E721">
        <v>3.25</v>
      </c>
      <c r="F721">
        <v>0.02</v>
      </c>
      <c r="G721">
        <v>3.24</v>
      </c>
      <c r="H721">
        <v>3.25</v>
      </c>
      <c r="I721" t="s">
        <v>1433</v>
      </c>
      <c r="J721">
        <v>4.25</v>
      </c>
      <c r="K721">
        <v>4.25</v>
      </c>
      <c r="L721">
        <v>3.21</v>
      </c>
      <c r="M721">
        <v>3.25</v>
      </c>
      <c r="N721">
        <v>3.16</v>
      </c>
    </row>
    <row r="722" spans="1:14" x14ac:dyDescent="0.5">
      <c r="A722" t="str">
        <f>"002261"</f>
        <v>002261</v>
      </c>
      <c r="B722" t="s">
        <v>1434</v>
      </c>
      <c r="C722">
        <v>6.7</v>
      </c>
      <c r="D722" t="s">
        <v>24</v>
      </c>
      <c r="E722">
        <v>5.89</v>
      </c>
      <c r="F722">
        <v>0.37</v>
      </c>
      <c r="G722">
        <v>5.89</v>
      </c>
      <c r="H722">
        <v>5.9</v>
      </c>
      <c r="I722" t="s">
        <v>1435</v>
      </c>
      <c r="J722">
        <v>8.9700000000000006</v>
      </c>
      <c r="K722">
        <v>8.9700000000000006</v>
      </c>
      <c r="L722">
        <v>5.46</v>
      </c>
      <c r="M722">
        <v>6</v>
      </c>
      <c r="N722">
        <v>5.42</v>
      </c>
    </row>
    <row r="723" spans="1:14" x14ac:dyDescent="0.5">
      <c r="A723" t="str">
        <f>"002262"</f>
        <v>002262</v>
      </c>
      <c r="B723" t="s">
        <v>1436</v>
      </c>
      <c r="C723">
        <v>3.05</v>
      </c>
      <c r="D723">
        <v>21.81</v>
      </c>
      <c r="E723">
        <v>11.83</v>
      </c>
      <c r="F723">
        <v>0.35</v>
      </c>
      <c r="G723">
        <v>11.83</v>
      </c>
      <c r="H723">
        <v>11.84</v>
      </c>
      <c r="I723" t="s">
        <v>1437</v>
      </c>
      <c r="J723">
        <v>3.19</v>
      </c>
      <c r="K723">
        <v>3.19</v>
      </c>
      <c r="L723">
        <v>11.48</v>
      </c>
      <c r="M723">
        <v>11.83</v>
      </c>
      <c r="N723">
        <v>11.31</v>
      </c>
    </row>
    <row r="724" spans="1:14" x14ac:dyDescent="0.5">
      <c r="A724" t="str">
        <f>"002263"</f>
        <v>002263</v>
      </c>
      <c r="B724" t="s">
        <v>1438</v>
      </c>
      <c r="C724">
        <v>1.05</v>
      </c>
      <c r="D724" t="s">
        <v>24</v>
      </c>
      <c r="E724">
        <v>1.93</v>
      </c>
      <c r="F724">
        <v>0.02</v>
      </c>
      <c r="G724">
        <v>1.92</v>
      </c>
      <c r="H724">
        <v>1.93</v>
      </c>
      <c r="I724" t="s">
        <v>1439</v>
      </c>
      <c r="J724">
        <v>1.8</v>
      </c>
      <c r="K724">
        <v>1.8</v>
      </c>
      <c r="L724">
        <v>1.91</v>
      </c>
      <c r="M724">
        <v>1.93</v>
      </c>
      <c r="N724">
        <v>1.89</v>
      </c>
    </row>
    <row r="725" spans="1:14" x14ac:dyDescent="0.5">
      <c r="A725" t="str">
        <f>"002264"</f>
        <v>002264</v>
      </c>
      <c r="B725" t="s">
        <v>1440</v>
      </c>
      <c r="C725">
        <v>2.0299999999999998</v>
      </c>
      <c r="D725" t="s">
        <v>24</v>
      </c>
      <c r="E725">
        <v>6.54</v>
      </c>
      <c r="F725">
        <v>0.13</v>
      </c>
      <c r="G725">
        <v>6.53</v>
      </c>
      <c r="H725">
        <v>6.54</v>
      </c>
      <c r="I725" t="s">
        <v>1441</v>
      </c>
      <c r="J725">
        <v>3.87</v>
      </c>
      <c r="K725">
        <v>3.87</v>
      </c>
      <c r="L725">
        <v>6.37</v>
      </c>
      <c r="M725">
        <v>6.55</v>
      </c>
      <c r="N725">
        <v>6.34</v>
      </c>
    </row>
    <row r="726" spans="1:14" x14ac:dyDescent="0.5">
      <c r="A726" t="str">
        <f>"002265"</f>
        <v>002265</v>
      </c>
      <c r="B726" t="s">
        <v>1442</v>
      </c>
      <c r="C726">
        <v>1.29</v>
      </c>
      <c r="D726">
        <v>1201.92</v>
      </c>
      <c r="E726">
        <v>9.41</v>
      </c>
      <c r="F726">
        <v>0.12</v>
      </c>
      <c r="G726">
        <v>9.4</v>
      </c>
      <c r="H726">
        <v>9.41</v>
      </c>
      <c r="I726" t="s">
        <v>1443</v>
      </c>
      <c r="J726">
        <v>2.41</v>
      </c>
      <c r="K726">
        <v>2.41</v>
      </c>
      <c r="L726">
        <v>9.2799999999999994</v>
      </c>
      <c r="M726">
        <v>9.44</v>
      </c>
      <c r="N726">
        <v>9.15</v>
      </c>
    </row>
    <row r="727" spans="1:14" x14ac:dyDescent="0.5">
      <c r="A727" t="str">
        <f>"002266"</f>
        <v>002266</v>
      </c>
      <c r="B727" t="s">
        <v>1444</v>
      </c>
      <c r="C727">
        <v>3.33</v>
      </c>
      <c r="D727">
        <v>78.349999999999994</v>
      </c>
      <c r="E727">
        <v>4.6500000000000004</v>
      </c>
      <c r="F727">
        <v>0.15</v>
      </c>
      <c r="G727">
        <v>4.6399999999999997</v>
      </c>
      <c r="H727">
        <v>4.6500000000000004</v>
      </c>
      <c r="I727" t="s">
        <v>1445</v>
      </c>
      <c r="J727">
        <v>1.62</v>
      </c>
      <c r="K727">
        <v>1.62</v>
      </c>
      <c r="L727">
        <v>4.49</v>
      </c>
      <c r="M727">
        <v>4.6500000000000004</v>
      </c>
      <c r="N727">
        <v>4.45</v>
      </c>
    </row>
    <row r="728" spans="1:14" x14ac:dyDescent="0.5">
      <c r="A728" t="str">
        <f>"002267"</f>
        <v>002267</v>
      </c>
      <c r="B728" t="s">
        <v>1446</v>
      </c>
      <c r="C728">
        <v>0</v>
      </c>
      <c r="D728">
        <v>18.940000000000001</v>
      </c>
      <c r="E728">
        <v>8.23</v>
      </c>
      <c r="F728">
        <v>0</v>
      </c>
      <c r="G728">
        <v>8.23</v>
      </c>
      <c r="H728">
        <v>8.24</v>
      </c>
      <c r="I728" t="s">
        <v>1447</v>
      </c>
      <c r="J728">
        <v>1.58</v>
      </c>
      <c r="K728">
        <v>1.58</v>
      </c>
      <c r="L728">
        <v>8.1300000000000008</v>
      </c>
      <c r="M728">
        <v>8.24</v>
      </c>
      <c r="N728">
        <v>8.09</v>
      </c>
    </row>
    <row r="729" spans="1:14" x14ac:dyDescent="0.5">
      <c r="A729" t="str">
        <f>"002268"</f>
        <v>002268</v>
      </c>
      <c r="B729" t="s">
        <v>1448</v>
      </c>
      <c r="C729">
        <v>2.33</v>
      </c>
      <c r="D729">
        <v>111.72</v>
      </c>
      <c r="E729">
        <v>26.4</v>
      </c>
      <c r="F729">
        <v>0.6</v>
      </c>
      <c r="G729">
        <v>26.4</v>
      </c>
      <c r="H729">
        <v>26.41</v>
      </c>
      <c r="I729" t="s">
        <v>1449</v>
      </c>
      <c r="J729">
        <v>1.51</v>
      </c>
      <c r="K729">
        <v>1.51</v>
      </c>
      <c r="L729">
        <v>25.9</v>
      </c>
      <c r="M729">
        <v>26.4</v>
      </c>
      <c r="N729">
        <v>25.18</v>
      </c>
    </row>
    <row r="730" spans="1:14" x14ac:dyDescent="0.5">
      <c r="A730" t="str">
        <f>"002269"</f>
        <v>002269</v>
      </c>
      <c r="B730" t="s">
        <v>1450</v>
      </c>
      <c r="C730">
        <v>1.42</v>
      </c>
      <c r="D730" t="s">
        <v>24</v>
      </c>
      <c r="E730">
        <v>2.86</v>
      </c>
      <c r="F730">
        <v>0.04</v>
      </c>
      <c r="G730">
        <v>2.85</v>
      </c>
      <c r="H730">
        <v>2.86</v>
      </c>
      <c r="I730" t="s">
        <v>1451</v>
      </c>
      <c r="J730">
        <v>0.43</v>
      </c>
      <c r="K730">
        <v>0.43</v>
      </c>
      <c r="L730">
        <v>2.84</v>
      </c>
      <c r="M730">
        <v>2.86</v>
      </c>
      <c r="N730">
        <v>2.78</v>
      </c>
    </row>
    <row r="731" spans="1:14" x14ac:dyDescent="0.5">
      <c r="A731" t="str">
        <f>"002270"</f>
        <v>002270</v>
      </c>
      <c r="B731" t="s">
        <v>1452</v>
      </c>
      <c r="C731">
        <v>3.01</v>
      </c>
      <c r="D731">
        <v>17.05</v>
      </c>
      <c r="E731">
        <v>5.48</v>
      </c>
      <c r="F731">
        <v>0.16</v>
      </c>
      <c r="G731">
        <v>5.47</v>
      </c>
      <c r="H731">
        <v>5.48</v>
      </c>
      <c r="I731" t="s">
        <v>1453</v>
      </c>
      <c r="J731">
        <v>3.47</v>
      </c>
      <c r="K731">
        <v>3.47</v>
      </c>
      <c r="L731">
        <v>5.25</v>
      </c>
      <c r="M731">
        <v>5.48</v>
      </c>
      <c r="N731">
        <v>5.21</v>
      </c>
    </row>
    <row r="732" spans="1:14" x14ac:dyDescent="0.5">
      <c r="A732" t="str">
        <f>"002271"</f>
        <v>002271</v>
      </c>
      <c r="B732" t="s">
        <v>1454</v>
      </c>
      <c r="C732">
        <v>0.75</v>
      </c>
      <c r="D732">
        <v>19.940000000000001</v>
      </c>
      <c r="E732">
        <v>20.149999999999999</v>
      </c>
      <c r="F732">
        <v>0.15</v>
      </c>
      <c r="G732">
        <v>20.149999999999999</v>
      </c>
      <c r="H732">
        <v>20.16</v>
      </c>
      <c r="I732" t="s">
        <v>1455</v>
      </c>
      <c r="J732">
        <v>1.83</v>
      </c>
      <c r="K732">
        <v>1.83</v>
      </c>
      <c r="L732">
        <v>20.04</v>
      </c>
      <c r="M732">
        <v>20.28</v>
      </c>
      <c r="N732">
        <v>19.7</v>
      </c>
    </row>
    <row r="733" spans="1:14" x14ac:dyDescent="0.5">
      <c r="A733" t="str">
        <f>"002272"</f>
        <v>002272</v>
      </c>
      <c r="B733" t="s">
        <v>1456</v>
      </c>
      <c r="C733">
        <v>1.58</v>
      </c>
      <c r="D733">
        <v>26.89</v>
      </c>
      <c r="E733">
        <v>5.14</v>
      </c>
      <c r="F733">
        <v>0.08</v>
      </c>
      <c r="G733">
        <v>5.13</v>
      </c>
      <c r="H733">
        <v>5.14</v>
      </c>
      <c r="I733" t="s">
        <v>1457</v>
      </c>
      <c r="J733">
        <v>4.03</v>
      </c>
      <c r="K733">
        <v>4.03</v>
      </c>
      <c r="L733">
        <v>5.01</v>
      </c>
      <c r="M733">
        <v>5.15</v>
      </c>
      <c r="N733">
        <v>5</v>
      </c>
    </row>
    <row r="734" spans="1:14" x14ac:dyDescent="0.5">
      <c r="A734" t="str">
        <f>"002273"</f>
        <v>002273</v>
      </c>
      <c r="B734" t="s">
        <v>1458</v>
      </c>
      <c r="C734">
        <v>1.75</v>
      </c>
      <c r="D734">
        <v>21.55</v>
      </c>
      <c r="E734">
        <v>13.35</v>
      </c>
      <c r="F734">
        <v>0.23</v>
      </c>
      <c r="G734">
        <v>13.34</v>
      </c>
      <c r="H734">
        <v>13.35</v>
      </c>
      <c r="I734" t="s">
        <v>1459</v>
      </c>
      <c r="J734">
        <v>4.92</v>
      </c>
      <c r="K734">
        <v>4.92</v>
      </c>
      <c r="L734">
        <v>12.85</v>
      </c>
      <c r="M734">
        <v>13.38</v>
      </c>
      <c r="N734">
        <v>12.72</v>
      </c>
    </row>
    <row r="735" spans="1:14" x14ac:dyDescent="0.5">
      <c r="A735" t="str">
        <f>"002274"</f>
        <v>002274</v>
      </c>
      <c r="B735" t="s">
        <v>1460</v>
      </c>
      <c r="C735">
        <v>-0.7</v>
      </c>
      <c r="D735">
        <v>27.5</v>
      </c>
      <c r="E735">
        <v>7.05</v>
      </c>
      <c r="F735">
        <v>-0.05</v>
      </c>
      <c r="G735">
        <v>7.05</v>
      </c>
      <c r="H735">
        <v>7.06</v>
      </c>
      <c r="I735" t="s">
        <v>1461</v>
      </c>
      <c r="J735">
        <v>2.78</v>
      </c>
      <c r="K735">
        <v>2.78</v>
      </c>
      <c r="L735">
        <v>7.01</v>
      </c>
      <c r="M735">
        <v>7.09</v>
      </c>
      <c r="N735">
        <v>6.91</v>
      </c>
    </row>
    <row r="736" spans="1:14" x14ac:dyDescent="0.5">
      <c r="A736" t="str">
        <f>"002275"</f>
        <v>002275</v>
      </c>
      <c r="B736" t="s">
        <v>1462</v>
      </c>
      <c r="C736">
        <v>1.7</v>
      </c>
      <c r="D736">
        <v>17.239999999999998</v>
      </c>
      <c r="E736">
        <v>14.37</v>
      </c>
      <c r="F736">
        <v>0.24</v>
      </c>
      <c r="G736">
        <v>14.37</v>
      </c>
      <c r="H736">
        <v>14.38</v>
      </c>
      <c r="I736" t="s">
        <v>1463</v>
      </c>
      <c r="J736">
        <v>0.35</v>
      </c>
      <c r="K736">
        <v>0.35</v>
      </c>
      <c r="L736">
        <v>14.14</v>
      </c>
      <c r="M736">
        <v>14.38</v>
      </c>
      <c r="N736">
        <v>14.12</v>
      </c>
    </row>
    <row r="737" spans="1:14" x14ac:dyDescent="0.5">
      <c r="A737" t="str">
        <f>"002276"</f>
        <v>002276</v>
      </c>
      <c r="B737" t="s">
        <v>1464</v>
      </c>
      <c r="C737">
        <v>0.71</v>
      </c>
      <c r="D737">
        <v>69.5</v>
      </c>
      <c r="E737">
        <v>7.1</v>
      </c>
      <c r="F737">
        <v>0.05</v>
      </c>
      <c r="G737">
        <v>7.1</v>
      </c>
      <c r="H737">
        <v>7.11</v>
      </c>
      <c r="I737" t="s">
        <v>1465</v>
      </c>
      <c r="J737">
        <v>3.03</v>
      </c>
      <c r="K737">
        <v>3.03</v>
      </c>
      <c r="L737">
        <v>6.95</v>
      </c>
      <c r="M737">
        <v>7.12</v>
      </c>
      <c r="N737">
        <v>6.95</v>
      </c>
    </row>
    <row r="738" spans="1:14" x14ac:dyDescent="0.5">
      <c r="A738" t="str">
        <f>"002277"</f>
        <v>002277</v>
      </c>
      <c r="B738" t="s">
        <v>1466</v>
      </c>
      <c r="C738">
        <v>2.78</v>
      </c>
      <c r="D738">
        <v>25.01</v>
      </c>
      <c r="E738">
        <v>4.07</v>
      </c>
      <c r="F738">
        <v>0.11</v>
      </c>
      <c r="G738">
        <v>4.0599999999999996</v>
      </c>
      <c r="H738">
        <v>4.07</v>
      </c>
      <c r="I738" t="s">
        <v>1115</v>
      </c>
      <c r="J738">
        <v>1.75</v>
      </c>
      <c r="K738">
        <v>1.75</v>
      </c>
      <c r="L738">
        <v>3.95</v>
      </c>
      <c r="M738">
        <v>4.07</v>
      </c>
      <c r="N738">
        <v>3.94</v>
      </c>
    </row>
    <row r="739" spans="1:14" x14ac:dyDescent="0.5">
      <c r="A739" t="str">
        <f>"002278"</f>
        <v>002278</v>
      </c>
      <c r="B739" t="s">
        <v>1467</v>
      </c>
      <c r="C739">
        <v>1.77</v>
      </c>
      <c r="D739">
        <v>80.930000000000007</v>
      </c>
      <c r="E739">
        <v>7.47</v>
      </c>
      <c r="F739">
        <v>0.13</v>
      </c>
      <c r="G739">
        <v>7.47</v>
      </c>
      <c r="H739">
        <v>7.48</v>
      </c>
      <c r="I739" t="s">
        <v>77</v>
      </c>
      <c r="J739">
        <v>2.99</v>
      </c>
      <c r="K739">
        <v>2.99</v>
      </c>
      <c r="L739">
        <v>7.31</v>
      </c>
      <c r="M739">
        <v>7.47</v>
      </c>
      <c r="N739">
        <v>7.19</v>
      </c>
    </row>
    <row r="740" spans="1:14" x14ac:dyDescent="0.5">
      <c r="A740" t="str">
        <f>"002279"</f>
        <v>002279</v>
      </c>
      <c r="B740" t="s">
        <v>1468</v>
      </c>
      <c r="C740">
        <v>10.06</v>
      </c>
      <c r="D740">
        <v>16.559999999999999</v>
      </c>
      <c r="E740">
        <v>8.86</v>
      </c>
      <c r="F740">
        <v>0.81</v>
      </c>
      <c r="G740">
        <v>8.86</v>
      </c>
      <c r="H740" t="s">
        <v>24</v>
      </c>
      <c r="I740" t="s">
        <v>1469</v>
      </c>
      <c r="J740">
        <v>6.67</v>
      </c>
      <c r="K740">
        <v>6.67</v>
      </c>
      <c r="L740">
        <v>7.97</v>
      </c>
      <c r="M740">
        <v>8.86</v>
      </c>
      <c r="N740">
        <v>7.91</v>
      </c>
    </row>
    <row r="741" spans="1:14" x14ac:dyDescent="0.5">
      <c r="A741" t="str">
        <f>"002280"</f>
        <v>002280</v>
      </c>
      <c r="B741" t="s">
        <v>1470</v>
      </c>
      <c r="C741">
        <v>7.51</v>
      </c>
      <c r="D741">
        <v>56.07</v>
      </c>
      <c r="E741">
        <v>4.87</v>
      </c>
      <c r="F741">
        <v>0.34</v>
      </c>
      <c r="G741">
        <v>4.8600000000000003</v>
      </c>
      <c r="H741">
        <v>4.87</v>
      </c>
      <c r="I741" t="s">
        <v>1471</v>
      </c>
      <c r="J741">
        <v>4.9000000000000004</v>
      </c>
      <c r="K741">
        <v>4.9000000000000004</v>
      </c>
      <c r="L741">
        <v>4.54</v>
      </c>
      <c r="M741">
        <v>4.88</v>
      </c>
      <c r="N741">
        <v>4.4800000000000004</v>
      </c>
    </row>
    <row r="742" spans="1:14" x14ac:dyDescent="0.5">
      <c r="A742" t="str">
        <f>"002281"</f>
        <v>002281</v>
      </c>
      <c r="B742" t="s">
        <v>1472</v>
      </c>
      <c r="C742">
        <v>3.47</v>
      </c>
      <c r="D742">
        <v>59.78</v>
      </c>
      <c r="E742">
        <v>33.119999999999997</v>
      </c>
      <c r="F742">
        <v>1.1100000000000001</v>
      </c>
      <c r="G742">
        <v>33.119999999999997</v>
      </c>
      <c r="H742">
        <v>33.130000000000003</v>
      </c>
      <c r="I742" t="s">
        <v>1473</v>
      </c>
      <c r="J742">
        <v>4.63</v>
      </c>
      <c r="K742">
        <v>4.63</v>
      </c>
      <c r="L742">
        <v>31.81</v>
      </c>
      <c r="M742">
        <v>33.119999999999997</v>
      </c>
      <c r="N742">
        <v>31.45</v>
      </c>
    </row>
    <row r="743" spans="1:14" x14ac:dyDescent="0.5">
      <c r="A743" t="str">
        <f>"002282"</f>
        <v>002282</v>
      </c>
      <c r="B743" t="s">
        <v>1474</v>
      </c>
      <c r="C743">
        <v>1.95</v>
      </c>
      <c r="D743">
        <v>54.07</v>
      </c>
      <c r="E743">
        <v>9.94</v>
      </c>
      <c r="F743">
        <v>0.19</v>
      </c>
      <c r="G743">
        <v>9.94</v>
      </c>
      <c r="H743">
        <v>9.9499999999999993</v>
      </c>
      <c r="I743" t="s">
        <v>1475</v>
      </c>
      <c r="J743">
        <v>2.93</v>
      </c>
      <c r="K743">
        <v>2.93</v>
      </c>
      <c r="L743">
        <v>9.75</v>
      </c>
      <c r="M743">
        <v>9.9499999999999993</v>
      </c>
      <c r="N743">
        <v>9.7200000000000006</v>
      </c>
    </row>
    <row r="744" spans="1:14" x14ac:dyDescent="0.5">
      <c r="A744" t="str">
        <f>"002283"</f>
        <v>002283</v>
      </c>
      <c r="B744" t="s">
        <v>1476</v>
      </c>
      <c r="C744">
        <v>2.2599999999999998</v>
      </c>
      <c r="D744">
        <v>12.9</v>
      </c>
      <c r="E744">
        <v>4.07</v>
      </c>
      <c r="F744">
        <v>0.09</v>
      </c>
      <c r="G744">
        <v>4.0599999999999996</v>
      </c>
      <c r="H744">
        <v>4.07</v>
      </c>
      <c r="I744" t="s">
        <v>1477</v>
      </c>
      <c r="J744">
        <v>1.58</v>
      </c>
      <c r="K744">
        <v>1.58</v>
      </c>
      <c r="L744">
        <v>3.95</v>
      </c>
      <c r="M744">
        <v>4.07</v>
      </c>
      <c r="N744">
        <v>3.95</v>
      </c>
    </row>
    <row r="745" spans="1:14" x14ac:dyDescent="0.5">
      <c r="A745" t="str">
        <f>"002284"</f>
        <v>002284</v>
      </c>
      <c r="B745" t="s">
        <v>1478</v>
      </c>
      <c r="C745">
        <v>2.68</v>
      </c>
      <c r="D745">
        <v>97.7</v>
      </c>
      <c r="E745">
        <v>5.37</v>
      </c>
      <c r="F745">
        <v>0.14000000000000001</v>
      </c>
      <c r="G745">
        <v>5.36</v>
      </c>
      <c r="H745">
        <v>5.37</v>
      </c>
      <c r="I745" t="s">
        <v>1479</v>
      </c>
      <c r="J745">
        <v>1.79</v>
      </c>
      <c r="K745">
        <v>1.79</v>
      </c>
      <c r="L745">
        <v>5.2</v>
      </c>
      <c r="M745">
        <v>5.38</v>
      </c>
      <c r="N745">
        <v>5.16</v>
      </c>
    </row>
    <row r="746" spans="1:14" x14ac:dyDescent="0.5">
      <c r="A746" t="str">
        <f>"002285"</f>
        <v>002285</v>
      </c>
      <c r="B746" t="s">
        <v>1480</v>
      </c>
      <c r="C746">
        <v>1.82</v>
      </c>
      <c r="D746">
        <v>14.04</v>
      </c>
      <c r="E746">
        <v>6.16</v>
      </c>
      <c r="F746">
        <v>0.11</v>
      </c>
      <c r="G746">
        <v>6.15</v>
      </c>
      <c r="H746">
        <v>6.16</v>
      </c>
      <c r="I746" t="s">
        <v>1481</v>
      </c>
      <c r="J746">
        <v>1.85</v>
      </c>
      <c r="K746">
        <v>1.85</v>
      </c>
      <c r="L746">
        <v>6.1</v>
      </c>
      <c r="M746">
        <v>6.25</v>
      </c>
      <c r="N746">
        <v>6.03</v>
      </c>
    </row>
    <row r="747" spans="1:14" x14ac:dyDescent="0.5">
      <c r="A747" t="str">
        <f>"002286"</f>
        <v>002286</v>
      </c>
      <c r="B747" t="s">
        <v>1482</v>
      </c>
      <c r="C747">
        <v>1.52</v>
      </c>
      <c r="D747">
        <v>47.6</v>
      </c>
      <c r="E747">
        <v>6.66</v>
      </c>
      <c r="F747">
        <v>0.1</v>
      </c>
      <c r="G747">
        <v>6.65</v>
      </c>
      <c r="H747">
        <v>6.66</v>
      </c>
      <c r="I747" t="s">
        <v>400</v>
      </c>
      <c r="J747">
        <v>1.49</v>
      </c>
      <c r="K747">
        <v>1.49</v>
      </c>
      <c r="L747">
        <v>6.55</v>
      </c>
      <c r="M747">
        <v>6.69</v>
      </c>
      <c r="N747">
        <v>6.52</v>
      </c>
    </row>
    <row r="748" spans="1:14" x14ac:dyDescent="0.5">
      <c r="A748" t="str">
        <f>"002287"</f>
        <v>002287</v>
      </c>
      <c r="B748" t="s">
        <v>1483</v>
      </c>
      <c r="C748">
        <v>1.93</v>
      </c>
      <c r="D748">
        <v>33.74</v>
      </c>
      <c r="E748">
        <v>29.1</v>
      </c>
      <c r="F748">
        <v>0.55000000000000004</v>
      </c>
      <c r="G748">
        <v>29.1</v>
      </c>
      <c r="H748">
        <v>29.11</v>
      </c>
      <c r="I748" t="s">
        <v>1484</v>
      </c>
      <c r="J748">
        <v>0.28999999999999998</v>
      </c>
      <c r="K748">
        <v>0.28999999999999998</v>
      </c>
      <c r="L748">
        <v>28.56</v>
      </c>
      <c r="M748">
        <v>29.11</v>
      </c>
      <c r="N748">
        <v>28.48</v>
      </c>
    </row>
    <row r="749" spans="1:14" x14ac:dyDescent="0.5">
      <c r="A749" t="str">
        <f>"002288"</f>
        <v>002288</v>
      </c>
      <c r="B749" t="s">
        <v>1485</v>
      </c>
      <c r="C749">
        <v>6.2</v>
      </c>
      <c r="D749">
        <v>105.98</v>
      </c>
      <c r="E749">
        <v>6.17</v>
      </c>
      <c r="F749">
        <v>0.36</v>
      </c>
      <c r="G749">
        <v>6.16</v>
      </c>
      <c r="H749">
        <v>6.17</v>
      </c>
      <c r="I749" t="s">
        <v>1486</v>
      </c>
      <c r="J749">
        <v>12.8</v>
      </c>
      <c r="K749">
        <v>12.8</v>
      </c>
      <c r="L749">
        <v>5.83</v>
      </c>
      <c r="M749">
        <v>6.2</v>
      </c>
      <c r="N749">
        <v>5.68</v>
      </c>
    </row>
    <row r="750" spans="1:14" x14ac:dyDescent="0.5">
      <c r="A750" t="str">
        <f>"002289"</f>
        <v>002289</v>
      </c>
      <c r="B750" t="s">
        <v>1487</v>
      </c>
      <c r="C750">
        <v>1.1100000000000001</v>
      </c>
      <c r="D750" t="s">
        <v>24</v>
      </c>
      <c r="E750">
        <v>7.27</v>
      </c>
      <c r="F750">
        <v>0.08</v>
      </c>
      <c r="G750">
        <v>7.27</v>
      </c>
      <c r="H750">
        <v>7.28</v>
      </c>
      <c r="I750" t="s">
        <v>1488</v>
      </c>
      <c r="J750">
        <v>5.7</v>
      </c>
      <c r="K750">
        <v>5.7</v>
      </c>
      <c r="L750">
        <v>7.08</v>
      </c>
      <c r="M750">
        <v>7.27</v>
      </c>
      <c r="N750">
        <v>7</v>
      </c>
    </row>
    <row r="751" spans="1:14" x14ac:dyDescent="0.5">
      <c r="A751" t="str">
        <f>"002290"</f>
        <v>002290</v>
      </c>
      <c r="B751" t="s">
        <v>1489</v>
      </c>
      <c r="C751">
        <v>0.77</v>
      </c>
      <c r="D751">
        <v>68.11</v>
      </c>
      <c r="E751">
        <v>10.48</v>
      </c>
      <c r="F751">
        <v>0.08</v>
      </c>
      <c r="G751">
        <v>10.47</v>
      </c>
      <c r="H751">
        <v>10.48</v>
      </c>
      <c r="I751" t="s">
        <v>1490</v>
      </c>
      <c r="J751">
        <v>4.37</v>
      </c>
      <c r="K751">
        <v>4.37</v>
      </c>
      <c r="L751">
        <v>10.4</v>
      </c>
      <c r="M751">
        <v>10.5</v>
      </c>
      <c r="N751">
        <v>10.119999999999999</v>
      </c>
    </row>
    <row r="752" spans="1:14" x14ac:dyDescent="0.5">
      <c r="A752" t="str">
        <f>"002291"</f>
        <v>002291</v>
      </c>
      <c r="B752" t="s">
        <v>1491</v>
      </c>
      <c r="C752">
        <v>3.29</v>
      </c>
      <c r="D752" t="s">
        <v>24</v>
      </c>
      <c r="E752">
        <v>5.34</v>
      </c>
      <c r="F752">
        <v>0.17</v>
      </c>
      <c r="G752">
        <v>5.33</v>
      </c>
      <c r="H752">
        <v>5.34</v>
      </c>
      <c r="I752" t="s">
        <v>1492</v>
      </c>
      <c r="J752">
        <v>1.28</v>
      </c>
      <c r="K752">
        <v>1.28</v>
      </c>
      <c r="L752">
        <v>5.17</v>
      </c>
      <c r="M752">
        <v>5.37</v>
      </c>
      <c r="N752">
        <v>5.13</v>
      </c>
    </row>
    <row r="753" spans="1:14" x14ac:dyDescent="0.5">
      <c r="A753" t="str">
        <f>"002292"</f>
        <v>002292</v>
      </c>
      <c r="B753" t="s">
        <v>1493</v>
      </c>
      <c r="C753">
        <v>6.65</v>
      </c>
      <c r="D753" t="s">
        <v>24</v>
      </c>
      <c r="E753">
        <v>7.38</v>
      </c>
      <c r="F753">
        <v>0.46</v>
      </c>
      <c r="G753">
        <v>7.38</v>
      </c>
      <c r="H753">
        <v>7.39</v>
      </c>
      <c r="I753" t="s">
        <v>1494</v>
      </c>
      <c r="J753">
        <v>6.23</v>
      </c>
      <c r="K753">
        <v>6.23</v>
      </c>
      <c r="L753">
        <v>6.88</v>
      </c>
      <c r="M753">
        <v>7.53</v>
      </c>
      <c r="N753">
        <v>6.86</v>
      </c>
    </row>
    <row r="754" spans="1:14" x14ac:dyDescent="0.5">
      <c r="A754" t="str">
        <f>"002293"</f>
        <v>002293</v>
      </c>
      <c r="B754" t="s">
        <v>1495</v>
      </c>
      <c r="C754">
        <v>6.49</v>
      </c>
      <c r="D754">
        <v>15.61</v>
      </c>
      <c r="E754">
        <v>11</v>
      </c>
      <c r="F754">
        <v>0.67</v>
      </c>
      <c r="G754">
        <v>11</v>
      </c>
      <c r="H754">
        <v>11.01</v>
      </c>
      <c r="I754" t="s">
        <v>1496</v>
      </c>
      <c r="J754">
        <v>2.12</v>
      </c>
      <c r="K754">
        <v>2.12</v>
      </c>
      <c r="L754">
        <v>10.33</v>
      </c>
      <c r="M754">
        <v>11.03</v>
      </c>
      <c r="N754">
        <v>10.220000000000001</v>
      </c>
    </row>
    <row r="755" spans="1:14" x14ac:dyDescent="0.5">
      <c r="A755" t="str">
        <f>"002294"</f>
        <v>002294</v>
      </c>
      <c r="B755" t="s">
        <v>1497</v>
      </c>
      <c r="C755">
        <v>3.65</v>
      </c>
      <c r="D755">
        <v>16.84</v>
      </c>
      <c r="E755">
        <v>25.55</v>
      </c>
      <c r="F755">
        <v>0.9</v>
      </c>
      <c r="G755">
        <v>25.54</v>
      </c>
      <c r="H755">
        <v>25.55</v>
      </c>
      <c r="I755" t="s">
        <v>1498</v>
      </c>
      <c r="J755">
        <v>1.76</v>
      </c>
      <c r="K755">
        <v>1.76</v>
      </c>
      <c r="L755">
        <v>24.64</v>
      </c>
      <c r="M755">
        <v>25.55</v>
      </c>
      <c r="N755">
        <v>24.51</v>
      </c>
    </row>
    <row r="756" spans="1:14" x14ac:dyDescent="0.5">
      <c r="A756" t="str">
        <f>"002295"</f>
        <v>002295</v>
      </c>
      <c r="B756" t="s">
        <v>1499</v>
      </c>
      <c r="C756">
        <v>1.39</v>
      </c>
      <c r="D756">
        <v>37.25</v>
      </c>
      <c r="E756">
        <v>8.0399999999999991</v>
      </c>
      <c r="F756">
        <v>0.11</v>
      </c>
      <c r="G756">
        <v>8.0299999999999994</v>
      </c>
      <c r="H756">
        <v>8.0399999999999991</v>
      </c>
      <c r="I756" t="s">
        <v>1500</v>
      </c>
      <c r="J756">
        <v>1.71</v>
      </c>
      <c r="K756">
        <v>1.71</v>
      </c>
      <c r="L756">
        <v>7.95</v>
      </c>
      <c r="M756">
        <v>8.0399999999999991</v>
      </c>
      <c r="N756">
        <v>7.87</v>
      </c>
    </row>
    <row r="757" spans="1:14" x14ac:dyDescent="0.5">
      <c r="A757" t="str">
        <f>"002296"</f>
        <v>002296</v>
      </c>
      <c r="B757" t="s">
        <v>1501</v>
      </c>
      <c r="C757">
        <v>5.59</v>
      </c>
      <c r="D757" t="s">
        <v>24</v>
      </c>
      <c r="E757">
        <v>6.42</v>
      </c>
      <c r="F757">
        <v>0.34</v>
      </c>
      <c r="G757">
        <v>6.41</v>
      </c>
      <c r="H757">
        <v>6.42</v>
      </c>
      <c r="I757" t="s">
        <v>1502</v>
      </c>
      <c r="J757">
        <v>5.4</v>
      </c>
      <c r="K757">
        <v>5.4</v>
      </c>
      <c r="L757">
        <v>6.03</v>
      </c>
      <c r="M757">
        <v>6.55</v>
      </c>
      <c r="N757">
        <v>6</v>
      </c>
    </row>
    <row r="758" spans="1:14" x14ac:dyDescent="0.5">
      <c r="A758" t="str">
        <f>"002297"</f>
        <v>002297</v>
      </c>
      <c r="B758" t="s">
        <v>1503</v>
      </c>
      <c r="C758">
        <v>2.4700000000000002</v>
      </c>
      <c r="D758" t="s">
        <v>24</v>
      </c>
      <c r="E758">
        <v>7.46</v>
      </c>
      <c r="F758">
        <v>0.18</v>
      </c>
      <c r="G758">
        <v>7.45</v>
      </c>
      <c r="H758">
        <v>7.46</v>
      </c>
      <c r="I758" t="s">
        <v>1504</v>
      </c>
      <c r="J758">
        <v>4.8099999999999996</v>
      </c>
      <c r="K758">
        <v>4.8099999999999996</v>
      </c>
      <c r="L758">
        <v>7.22</v>
      </c>
      <c r="M758">
        <v>7.47</v>
      </c>
      <c r="N758">
        <v>7.17</v>
      </c>
    </row>
    <row r="759" spans="1:14" x14ac:dyDescent="0.5">
      <c r="A759" t="str">
        <f>"002298"</f>
        <v>002298</v>
      </c>
      <c r="B759" t="s">
        <v>1505</v>
      </c>
      <c r="C759">
        <v>3.76</v>
      </c>
      <c r="D759">
        <v>28.31</v>
      </c>
      <c r="E759">
        <v>7.45</v>
      </c>
      <c r="F759">
        <v>0.27</v>
      </c>
      <c r="G759">
        <v>7.44</v>
      </c>
      <c r="H759">
        <v>7.45</v>
      </c>
      <c r="I759" t="s">
        <v>1506</v>
      </c>
      <c r="J759">
        <v>2.15</v>
      </c>
      <c r="K759">
        <v>2.15</v>
      </c>
      <c r="L759">
        <v>7.15</v>
      </c>
      <c r="M759">
        <v>7.47</v>
      </c>
      <c r="N759">
        <v>7.13</v>
      </c>
    </row>
    <row r="760" spans="1:14" x14ac:dyDescent="0.5">
      <c r="A760" t="str">
        <f>"002299"</f>
        <v>002299</v>
      </c>
      <c r="B760" t="s">
        <v>1507</v>
      </c>
      <c r="C760">
        <v>0.21</v>
      </c>
      <c r="D760">
        <v>38.46</v>
      </c>
      <c r="E760">
        <v>29.06</v>
      </c>
      <c r="F760">
        <v>0.06</v>
      </c>
      <c r="G760">
        <v>29.05</v>
      </c>
      <c r="H760">
        <v>29.06</v>
      </c>
      <c r="I760" t="s">
        <v>1508</v>
      </c>
      <c r="J760">
        <v>2.12</v>
      </c>
      <c r="K760">
        <v>2.12</v>
      </c>
      <c r="L760">
        <v>29</v>
      </c>
      <c r="M760">
        <v>30.18</v>
      </c>
      <c r="N760">
        <v>28.06</v>
      </c>
    </row>
    <row r="761" spans="1:14" x14ac:dyDescent="0.5">
      <c r="A761" t="str">
        <f>"002300"</f>
        <v>002300</v>
      </c>
      <c r="B761" t="s">
        <v>1509</v>
      </c>
      <c r="C761">
        <v>2.5299999999999998</v>
      </c>
      <c r="D761">
        <v>34.909999999999997</v>
      </c>
      <c r="E761">
        <v>6.9</v>
      </c>
      <c r="F761">
        <v>0.17</v>
      </c>
      <c r="G761">
        <v>6.9</v>
      </c>
      <c r="H761">
        <v>6.91</v>
      </c>
      <c r="I761" t="s">
        <v>1510</v>
      </c>
      <c r="J761">
        <v>2.76</v>
      </c>
      <c r="K761">
        <v>2.76</v>
      </c>
      <c r="L761">
        <v>6.74</v>
      </c>
      <c r="M761">
        <v>6.95</v>
      </c>
      <c r="N761">
        <v>6.66</v>
      </c>
    </row>
    <row r="762" spans="1:14" x14ac:dyDescent="0.5">
      <c r="A762" t="str">
        <f>"002301"</f>
        <v>002301</v>
      </c>
      <c r="B762" t="s">
        <v>1511</v>
      </c>
      <c r="C762">
        <v>0.2</v>
      </c>
      <c r="D762">
        <v>34.840000000000003</v>
      </c>
      <c r="E762">
        <v>9.93</v>
      </c>
      <c r="F762">
        <v>0.02</v>
      </c>
      <c r="G762">
        <v>9.93</v>
      </c>
      <c r="H762">
        <v>9.94</v>
      </c>
      <c r="I762" t="s">
        <v>1512</v>
      </c>
      <c r="J762">
        <v>1.1200000000000001</v>
      </c>
      <c r="K762">
        <v>1.1200000000000001</v>
      </c>
      <c r="L762">
        <v>9.91</v>
      </c>
      <c r="M762">
        <v>10</v>
      </c>
      <c r="N762">
        <v>9.7799999999999994</v>
      </c>
    </row>
    <row r="763" spans="1:14" x14ac:dyDescent="0.5">
      <c r="A763" t="str">
        <f>"002302"</f>
        <v>002302</v>
      </c>
      <c r="B763" t="s">
        <v>1513</v>
      </c>
      <c r="C763">
        <v>0.75</v>
      </c>
      <c r="D763">
        <v>65.260000000000005</v>
      </c>
      <c r="E763">
        <v>12.11</v>
      </c>
      <c r="F763">
        <v>0.09</v>
      </c>
      <c r="G763">
        <v>12.11</v>
      </c>
      <c r="H763">
        <v>12.12</v>
      </c>
      <c r="I763" t="s">
        <v>1514</v>
      </c>
      <c r="J763">
        <v>3.24</v>
      </c>
      <c r="K763">
        <v>3.24</v>
      </c>
      <c r="L763">
        <v>11.9</v>
      </c>
      <c r="M763">
        <v>12.23</v>
      </c>
      <c r="N763">
        <v>11.72</v>
      </c>
    </row>
    <row r="764" spans="1:14" x14ac:dyDescent="0.5">
      <c r="A764" t="str">
        <f>"002303"</f>
        <v>002303</v>
      </c>
      <c r="B764" t="s">
        <v>1515</v>
      </c>
      <c r="C764">
        <v>0.95</v>
      </c>
      <c r="D764">
        <v>20.43</v>
      </c>
      <c r="E764">
        <v>5.31</v>
      </c>
      <c r="F764">
        <v>0.05</v>
      </c>
      <c r="G764">
        <v>5.31</v>
      </c>
      <c r="H764">
        <v>5.32</v>
      </c>
      <c r="I764" t="s">
        <v>1516</v>
      </c>
      <c r="J764">
        <v>0.7</v>
      </c>
      <c r="K764">
        <v>0.7</v>
      </c>
      <c r="L764">
        <v>5.28</v>
      </c>
      <c r="M764">
        <v>5.32</v>
      </c>
      <c r="N764">
        <v>5.2</v>
      </c>
    </row>
    <row r="765" spans="1:14" x14ac:dyDescent="0.5">
      <c r="A765" t="str">
        <f>"002304"</f>
        <v>002304</v>
      </c>
      <c r="B765" t="s">
        <v>1517</v>
      </c>
      <c r="C765">
        <v>-0.83</v>
      </c>
      <c r="D765">
        <v>21.51</v>
      </c>
      <c r="E765">
        <v>119.8</v>
      </c>
      <c r="F765">
        <v>-1</v>
      </c>
      <c r="G765">
        <v>119.8</v>
      </c>
      <c r="H765">
        <v>119.83</v>
      </c>
      <c r="I765" t="s">
        <v>1518</v>
      </c>
      <c r="J765">
        <v>0.51</v>
      </c>
      <c r="K765">
        <v>0.51</v>
      </c>
      <c r="L765">
        <v>122.3</v>
      </c>
      <c r="M765">
        <v>123</v>
      </c>
      <c r="N765">
        <v>118</v>
      </c>
    </row>
    <row r="766" spans="1:14" x14ac:dyDescent="0.5">
      <c r="A766" t="str">
        <f>"002305"</f>
        <v>002305</v>
      </c>
      <c r="B766" t="s">
        <v>1519</v>
      </c>
      <c r="C766">
        <v>1.82</v>
      </c>
      <c r="D766">
        <v>75.94</v>
      </c>
      <c r="E766">
        <v>3.36</v>
      </c>
      <c r="F766">
        <v>0.06</v>
      </c>
      <c r="G766">
        <v>3.36</v>
      </c>
      <c r="H766">
        <v>3.37</v>
      </c>
      <c r="I766" t="s">
        <v>1520</v>
      </c>
      <c r="J766">
        <v>1.91</v>
      </c>
      <c r="K766">
        <v>1.91</v>
      </c>
      <c r="L766">
        <v>3.3</v>
      </c>
      <c r="M766">
        <v>3.36</v>
      </c>
      <c r="N766">
        <v>3.27</v>
      </c>
    </row>
    <row r="767" spans="1:14" x14ac:dyDescent="0.5">
      <c r="A767" t="str">
        <f>"002306"</f>
        <v>002306</v>
      </c>
      <c r="B767" t="s">
        <v>1521</v>
      </c>
      <c r="C767">
        <v>1.31</v>
      </c>
      <c r="D767" t="s">
        <v>24</v>
      </c>
      <c r="E767">
        <v>3.86</v>
      </c>
      <c r="F767">
        <v>0.05</v>
      </c>
      <c r="G767">
        <v>3.86</v>
      </c>
      <c r="H767">
        <v>3.87</v>
      </c>
      <c r="I767" t="s">
        <v>1522</v>
      </c>
      <c r="J767">
        <v>0.73</v>
      </c>
      <c r="K767">
        <v>0.73</v>
      </c>
      <c r="L767">
        <v>3.81</v>
      </c>
      <c r="M767">
        <v>3.88</v>
      </c>
      <c r="N767">
        <v>3.76</v>
      </c>
    </row>
    <row r="768" spans="1:14" x14ac:dyDescent="0.5">
      <c r="A768" t="str">
        <f>"002307"</f>
        <v>002307</v>
      </c>
      <c r="B768" t="s">
        <v>1523</v>
      </c>
      <c r="C768" t="s">
        <v>24</v>
      </c>
      <c r="D768">
        <v>118.77</v>
      </c>
      <c r="E768">
        <v>6.84</v>
      </c>
      <c r="F768" t="s">
        <v>24</v>
      </c>
      <c r="G768" t="s">
        <v>24</v>
      </c>
      <c r="H768" t="s">
        <v>24</v>
      </c>
      <c r="I768" t="s">
        <v>716</v>
      </c>
      <c r="J768">
        <v>0</v>
      </c>
      <c r="K768">
        <v>0</v>
      </c>
      <c r="L768" t="s">
        <v>24</v>
      </c>
      <c r="M768" t="s">
        <v>24</v>
      </c>
      <c r="N768" t="s">
        <v>24</v>
      </c>
    </row>
    <row r="769" spans="1:14" x14ac:dyDescent="0.5">
      <c r="A769" t="str">
        <f>"002308"</f>
        <v>002308</v>
      </c>
      <c r="B769" t="s">
        <v>1524</v>
      </c>
      <c r="C769">
        <v>8.43</v>
      </c>
      <c r="D769">
        <v>30.73</v>
      </c>
      <c r="E769">
        <v>6.3</v>
      </c>
      <c r="F769">
        <v>0.49</v>
      </c>
      <c r="G769">
        <v>6.29</v>
      </c>
      <c r="H769">
        <v>6.3</v>
      </c>
      <c r="I769" t="s">
        <v>1525</v>
      </c>
      <c r="J769">
        <v>10.25</v>
      </c>
      <c r="K769">
        <v>10.25</v>
      </c>
      <c r="L769">
        <v>5.88</v>
      </c>
      <c r="M769">
        <v>6.33</v>
      </c>
      <c r="N769">
        <v>5.8</v>
      </c>
    </row>
    <row r="770" spans="1:14" x14ac:dyDescent="0.5">
      <c r="A770" t="str">
        <f>"002309"</f>
        <v>002309</v>
      </c>
      <c r="B770" t="s">
        <v>1526</v>
      </c>
      <c r="C770">
        <v>1.47</v>
      </c>
      <c r="D770">
        <v>24.65</v>
      </c>
      <c r="E770">
        <v>8.9600000000000009</v>
      </c>
      <c r="F770">
        <v>0.13</v>
      </c>
      <c r="G770">
        <v>8.9499999999999993</v>
      </c>
      <c r="H770">
        <v>8.9600000000000009</v>
      </c>
      <c r="I770" t="s">
        <v>1527</v>
      </c>
      <c r="J770">
        <v>2.58</v>
      </c>
      <c r="K770">
        <v>2.58</v>
      </c>
      <c r="L770">
        <v>8.86</v>
      </c>
      <c r="M770">
        <v>8.99</v>
      </c>
      <c r="N770">
        <v>8.74</v>
      </c>
    </row>
    <row r="771" spans="1:14" x14ac:dyDescent="0.5">
      <c r="A771" t="str">
        <f>"002310"</f>
        <v>002310</v>
      </c>
      <c r="B771" t="s">
        <v>1528</v>
      </c>
      <c r="C771">
        <v>0.92</v>
      </c>
      <c r="D771">
        <v>9.85</v>
      </c>
      <c r="E771">
        <v>8.82</v>
      </c>
      <c r="F771">
        <v>0.08</v>
      </c>
      <c r="G771">
        <v>8.82</v>
      </c>
      <c r="H771">
        <v>8.83</v>
      </c>
      <c r="I771" t="s">
        <v>1529</v>
      </c>
      <c r="J771">
        <v>6.94</v>
      </c>
      <c r="K771">
        <v>6.94</v>
      </c>
      <c r="L771">
        <v>8.6300000000000008</v>
      </c>
      <c r="M771">
        <v>8.85</v>
      </c>
      <c r="N771">
        <v>8.5500000000000007</v>
      </c>
    </row>
    <row r="772" spans="1:14" x14ac:dyDescent="0.5">
      <c r="A772" t="str">
        <f>"002311"</f>
        <v>002311</v>
      </c>
      <c r="B772" t="s">
        <v>1530</v>
      </c>
      <c r="C772">
        <v>-0.26</v>
      </c>
      <c r="D772">
        <v>31.94</v>
      </c>
      <c r="E772">
        <v>27.1</v>
      </c>
      <c r="F772">
        <v>-7.0000000000000007E-2</v>
      </c>
      <c r="G772">
        <v>27.1</v>
      </c>
      <c r="H772">
        <v>27.11</v>
      </c>
      <c r="I772" t="s">
        <v>1531</v>
      </c>
      <c r="J772">
        <v>0.56999999999999995</v>
      </c>
      <c r="K772">
        <v>0.56999999999999995</v>
      </c>
      <c r="L772">
        <v>27.16</v>
      </c>
      <c r="M772">
        <v>27.72</v>
      </c>
      <c r="N772">
        <v>26.8</v>
      </c>
    </row>
    <row r="773" spans="1:14" x14ac:dyDescent="0.5">
      <c r="A773" t="str">
        <f>"002312"</f>
        <v>002312</v>
      </c>
      <c r="B773" t="s">
        <v>1532</v>
      </c>
      <c r="C773">
        <v>7.12</v>
      </c>
      <c r="D773" t="s">
        <v>24</v>
      </c>
      <c r="E773">
        <v>4.21</v>
      </c>
      <c r="F773">
        <v>0.28000000000000003</v>
      </c>
      <c r="G773">
        <v>4.21</v>
      </c>
      <c r="H773">
        <v>4.22</v>
      </c>
      <c r="I773" t="s">
        <v>1533</v>
      </c>
      <c r="J773">
        <v>7.92</v>
      </c>
      <c r="K773">
        <v>7.92</v>
      </c>
      <c r="L773">
        <v>3.95</v>
      </c>
      <c r="M773">
        <v>4.32</v>
      </c>
      <c r="N773">
        <v>3.87</v>
      </c>
    </row>
    <row r="774" spans="1:14" x14ac:dyDescent="0.5">
      <c r="A774" t="str">
        <f>"002313"</f>
        <v>002313</v>
      </c>
      <c r="B774" t="s">
        <v>1534</v>
      </c>
      <c r="C774">
        <v>6.93</v>
      </c>
      <c r="D774">
        <v>57.95</v>
      </c>
      <c r="E774">
        <v>27</v>
      </c>
      <c r="F774">
        <v>1.75</v>
      </c>
      <c r="G774">
        <v>27</v>
      </c>
      <c r="H774">
        <v>27.01</v>
      </c>
      <c r="I774" t="s">
        <v>1535</v>
      </c>
      <c r="J774">
        <v>5.0999999999999996</v>
      </c>
      <c r="K774">
        <v>5.0999999999999996</v>
      </c>
      <c r="L774">
        <v>25.15</v>
      </c>
      <c r="M774">
        <v>27.19</v>
      </c>
      <c r="N774">
        <v>24.9</v>
      </c>
    </row>
    <row r="775" spans="1:14" x14ac:dyDescent="0.5">
      <c r="A775" t="str">
        <f>"002314"</f>
        <v>002314</v>
      </c>
      <c r="B775" t="s">
        <v>1536</v>
      </c>
      <c r="C775">
        <v>2.16</v>
      </c>
      <c r="D775">
        <v>12.49</v>
      </c>
      <c r="E775">
        <v>3.78</v>
      </c>
      <c r="F775">
        <v>0.08</v>
      </c>
      <c r="G775">
        <v>3.78</v>
      </c>
      <c r="H775">
        <v>3.79</v>
      </c>
      <c r="I775" t="s">
        <v>1537</v>
      </c>
      <c r="J775">
        <v>1.67</v>
      </c>
      <c r="K775">
        <v>1.67</v>
      </c>
      <c r="L775">
        <v>3.7</v>
      </c>
      <c r="M775">
        <v>3.82</v>
      </c>
      <c r="N775">
        <v>3.66</v>
      </c>
    </row>
    <row r="776" spans="1:14" x14ac:dyDescent="0.5">
      <c r="A776" t="str">
        <f>"002315"</f>
        <v>002315</v>
      </c>
      <c r="B776" t="s">
        <v>1538</v>
      </c>
      <c r="C776">
        <v>6.63</v>
      </c>
      <c r="D776">
        <v>62.19</v>
      </c>
      <c r="E776">
        <v>16.079999999999998</v>
      </c>
      <c r="F776">
        <v>1</v>
      </c>
      <c r="G776">
        <v>16.07</v>
      </c>
      <c r="H776">
        <v>16.079999999999998</v>
      </c>
      <c r="I776" t="s">
        <v>1539</v>
      </c>
      <c r="J776">
        <v>5.8</v>
      </c>
      <c r="K776">
        <v>5.8</v>
      </c>
      <c r="L776">
        <v>15.07</v>
      </c>
      <c r="M776">
        <v>16.149999999999999</v>
      </c>
      <c r="N776">
        <v>14.9</v>
      </c>
    </row>
    <row r="777" spans="1:14" x14ac:dyDescent="0.5">
      <c r="A777" t="str">
        <f>"002316"</f>
        <v>002316</v>
      </c>
      <c r="B777" t="s">
        <v>1540</v>
      </c>
      <c r="C777">
        <v>4.57</v>
      </c>
      <c r="D777">
        <v>35.909999999999997</v>
      </c>
      <c r="E777">
        <v>8.4600000000000009</v>
      </c>
      <c r="F777">
        <v>0.37</v>
      </c>
      <c r="G777">
        <v>8.4600000000000009</v>
      </c>
      <c r="H777">
        <v>8.4700000000000006</v>
      </c>
      <c r="I777" t="s">
        <v>1541</v>
      </c>
      <c r="J777">
        <v>5.99</v>
      </c>
      <c r="K777">
        <v>5.99</v>
      </c>
      <c r="L777">
        <v>8.06</v>
      </c>
      <c r="M777">
        <v>8.5299999999999994</v>
      </c>
      <c r="N777">
        <v>8.01</v>
      </c>
    </row>
    <row r="778" spans="1:14" x14ac:dyDescent="0.5">
      <c r="A778" t="str">
        <f>"002317"</f>
        <v>002317</v>
      </c>
      <c r="B778" t="s">
        <v>1542</v>
      </c>
      <c r="C778">
        <v>1.82</v>
      </c>
      <c r="D778">
        <v>16.62</v>
      </c>
      <c r="E778">
        <v>9.5</v>
      </c>
      <c r="F778">
        <v>0.17</v>
      </c>
      <c r="G778">
        <v>9.49</v>
      </c>
      <c r="H778">
        <v>9.5</v>
      </c>
      <c r="I778" t="s">
        <v>1543</v>
      </c>
      <c r="J778">
        <v>1.54</v>
      </c>
      <c r="K778">
        <v>1.54</v>
      </c>
      <c r="L778">
        <v>9.2899999999999991</v>
      </c>
      <c r="M778">
        <v>9.5</v>
      </c>
      <c r="N778">
        <v>9.2200000000000006</v>
      </c>
    </row>
    <row r="779" spans="1:14" x14ac:dyDescent="0.5">
      <c r="A779" t="str">
        <f>"002318"</f>
        <v>002318</v>
      </c>
      <c r="B779" t="s">
        <v>1544</v>
      </c>
      <c r="C779">
        <v>2.33</v>
      </c>
      <c r="D779">
        <v>27.09</v>
      </c>
      <c r="E779">
        <v>7.91</v>
      </c>
      <c r="F779">
        <v>0.18</v>
      </c>
      <c r="G779">
        <v>7.91</v>
      </c>
      <c r="H779">
        <v>7.94</v>
      </c>
      <c r="I779" t="s">
        <v>1545</v>
      </c>
      <c r="J779">
        <v>3.15</v>
      </c>
      <c r="K779">
        <v>3.15</v>
      </c>
      <c r="L779">
        <v>7.68</v>
      </c>
      <c r="M779">
        <v>8.01</v>
      </c>
      <c r="N779">
        <v>7.6</v>
      </c>
    </row>
    <row r="780" spans="1:14" x14ac:dyDescent="0.5">
      <c r="A780" t="str">
        <f>"002319"</f>
        <v>002319</v>
      </c>
      <c r="B780" t="s">
        <v>1546</v>
      </c>
      <c r="C780">
        <v>0.51</v>
      </c>
      <c r="D780">
        <v>1834.26</v>
      </c>
      <c r="E780">
        <v>11.76</v>
      </c>
      <c r="F780">
        <v>0.06</v>
      </c>
      <c r="G780">
        <v>11.76</v>
      </c>
      <c r="H780">
        <v>11.77</v>
      </c>
      <c r="I780" t="s">
        <v>1547</v>
      </c>
      <c r="J780">
        <v>4.68</v>
      </c>
      <c r="K780">
        <v>4.68</v>
      </c>
      <c r="L780">
        <v>11.74</v>
      </c>
      <c r="M780">
        <v>11.8</v>
      </c>
      <c r="N780">
        <v>11.6</v>
      </c>
    </row>
    <row r="781" spans="1:14" x14ac:dyDescent="0.5">
      <c r="A781" t="str">
        <f>"002320"</f>
        <v>002320</v>
      </c>
      <c r="B781" t="s">
        <v>1548</v>
      </c>
      <c r="C781">
        <v>0.19</v>
      </c>
      <c r="D781">
        <v>44.66</v>
      </c>
      <c r="E781">
        <v>15.51</v>
      </c>
      <c r="F781">
        <v>0.03</v>
      </c>
      <c r="G781">
        <v>15.51</v>
      </c>
      <c r="H781">
        <v>15.52</v>
      </c>
      <c r="I781" t="s">
        <v>1549</v>
      </c>
      <c r="J781">
        <v>1.93</v>
      </c>
      <c r="K781">
        <v>1.93</v>
      </c>
      <c r="L781">
        <v>15.3</v>
      </c>
      <c r="M781">
        <v>15.55</v>
      </c>
      <c r="N781">
        <v>15.24</v>
      </c>
    </row>
    <row r="782" spans="1:14" x14ac:dyDescent="0.5">
      <c r="A782" t="str">
        <f>"002321"</f>
        <v>002321</v>
      </c>
      <c r="B782" t="s">
        <v>1550</v>
      </c>
      <c r="C782">
        <v>2.09</v>
      </c>
      <c r="D782">
        <v>38.25</v>
      </c>
      <c r="E782">
        <v>7.83</v>
      </c>
      <c r="F782">
        <v>0.16</v>
      </c>
      <c r="G782">
        <v>7.83</v>
      </c>
      <c r="H782">
        <v>7.84</v>
      </c>
      <c r="I782" t="s">
        <v>193</v>
      </c>
      <c r="J782">
        <v>8.3000000000000007</v>
      </c>
      <c r="K782">
        <v>8.3000000000000007</v>
      </c>
      <c r="L782">
        <v>7.58</v>
      </c>
      <c r="M782">
        <v>8.19</v>
      </c>
      <c r="N782">
        <v>7.51</v>
      </c>
    </row>
    <row r="783" spans="1:14" x14ac:dyDescent="0.5">
      <c r="A783" t="str">
        <f>"002322"</f>
        <v>002322</v>
      </c>
      <c r="B783" t="s">
        <v>1551</v>
      </c>
      <c r="C783">
        <v>6.69</v>
      </c>
      <c r="D783">
        <v>17.82</v>
      </c>
      <c r="E783">
        <v>12.28</v>
      </c>
      <c r="F783">
        <v>0.77</v>
      </c>
      <c r="G783">
        <v>12.27</v>
      </c>
      <c r="H783">
        <v>12.28</v>
      </c>
      <c r="I783" t="s">
        <v>1552</v>
      </c>
      <c r="J783">
        <v>2.0499999999999998</v>
      </c>
      <c r="K783">
        <v>2.0499999999999998</v>
      </c>
      <c r="L783">
        <v>11.56</v>
      </c>
      <c r="M783">
        <v>12.35</v>
      </c>
      <c r="N783">
        <v>11.5</v>
      </c>
    </row>
    <row r="784" spans="1:14" x14ac:dyDescent="0.5">
      <c r="A784" t="str">
        <f>"002323"</f>
        <v>002323</v>
      </c>
      <c r="B784" t="s">
        <v>1553</v>
      </c>
      <c r="C784" t="s">
        <v>24</v>
      </c>
      <c r="D784">
        <v>11.21</v>
      </c>
      <c r="E784">
        <v>1.31</v>
      </c>
      <c r="F784" t="s">
        <v>24</v>
      </c>
      <c r="G784" t="s">
        <v>24</v>
      </c>
      <c r="H784" t="s">
        <v>24</v>
      </c>
      <c r="I784" t="s">
        <v>1554</v>
      </c>
      <c r="J784">
        <v>0</v>
      </c>
      <c r="K784">
        <v>0</v>
      </c>
      <c r="L784" t="s">
        <v>24</v>
      </c>
      <c r="M784" t="s">
        <v>24</v>
      </c>
      <c r="N784" t="s">
        <v>24</v>
      </c>
    </row>
    <row r="785" spans="1:14" x14ac:dyDescent="0.5">
      <c r="A785" t="str">
        <f>"002324"</f>
        <v>002324</v>
      </c>
      <c r="B785" t="s">
        <v>1555</v>
      </c>
      <c r="C785">
        <v>1.86</v>
      </c>
      <c r="D785">
        <v>39.340000000000003</v>
      </c>
      <c r="E785">
        <v>10.93</v>
      </c>
      <c r="F785">
        <v>0.2</v>
      </c>
      <c r="G785">
        <v>10.92</v>
      </c>
      <c r="H785">
        <v>10.93</v>
      </c>
      <c r="I785" t="s">
        <v>1556</v>
      </c>
      <c r="J785">
        <v>1.63</v>
      </c>
      <c r="K785">
        <v>1.63</v>
      </c>
      <c r="L785">
        <v>10.65</v>
      </c>
      <c r="M785">
        <v>10.93</v>
      </c>
      <c r="N785">
        <v>10.65</v>
      </c>
    </row>
    <row r="786" spans="1:14" x14ac:dyDescent="0.5">
      <c r="A786" t="str">
        <f>"002325"</f>
        <v>002325</v>
      </c>
      <c r="B786" t="s">
        <v>1557</v>
      </c>
      <c r="C786">
        <v>4.99</v>
      </c>
      <c r="D786">
        <v>31.08</v>
      </c>
      <c r="E786">
        <v>3.79</v>
      </c>
      <c r="F786">
        <v>0.18</v>
      </c>
      <c r="G786">
        <v>3.78</v>
      </c>
      <c r="H786">
        <v>3.79</v>
      </c>
      <c r="I786" t="s">
        <v>1558</v>
      </c>
      <c r="J786">
        <v>3.77</v>
      </c>
      <c r="K786">
        <v>3.77</v>
      </c>
      <c r="L786">
        <v>3.6</v>
      </c>
      <c r="M786">
        <v>3.8</v>
      </c>
      <c r="N786">
        <v>3.58</v>
      </c>
    </row>
    <row r="787" spans="1:14" x14ac:dyDescent="0.5">
      <c r="A787" t="str">
        <f>"002326"</f>
        <v>002326</v>
      </c>
      <c r="B787" t="s">
        <v>1559</v>
      </c>
      <c r="C787">
        <v>2.75</v>
      </c>
      <c r="D787">
        <v>24.34</v>
      </c>
      <c r="E787">
        <v>9.35</v>
      </c>
      <c r="F787">
        <v>0.25</v>
      </c>
      <c r="G787">
        <v>9.34</v>
      </c>
      <c r="H787">
        <v>9.35</v>
      </c>
      <c r="I787" t="s">
        <v>1560</v>
      </c>
      <c r="J787">
        <v>5.28</v>
      </c>
      <c r="K787">
        <v>5.28</v>
      </c>
      <c r="L787">
        <v>9.01</v>
      </c>
      <c r="M787">
        <v>9.43</v>
      </c>
      <c r="N787">
        <v>8.9600000000000009</v>
      </c>
    </row>
    <row r="788" spans="1:14" x14ac:dyDescent="0.5">
      <c r="A788" t="str">
        <f>"002327"</f>
        <v>002327</v>
      </c>
      <c r="B788" t="s">
        <v>1561</v>
      </c>
      <c r="C788">
        <v>3.13</v>
      </c>
      <c r="D788">
        <v>13.42</v>
      </c>
      <c r="E788">
        <v>8.56</v>
      </c>
      <c r="F788">
        <v>0.26</v>
      </c>
      <c r="G788">
        <v>8.5399999999999991</v>
      </c>
      <c r="H788">
        <v>8.56</v>
      </c>
      <c r="I788" t="s">
        <v>1562</v>
      </c>
      <c r="J788">
        <v>2.36</v>
      </c>
      <c r="K788">
        <v>2.36</v>
      </c>
      <c r="L788">
        <v>8.34</v>
      </c>
      <c r="M788">
        <v>8.6</v>
      </c>
      <c r="N788">
        <v>8.2899999999999991</v>
      </c>
    </row>
    <row r="789" spans="1:14" x14ac:dyDescent="0.5">
      <c r="A789" t="str">
        <f>"002328"</f>
        <v>002328</v>
      </c>
      <c r="B789" t="s">
        <v>1563</v>
      </c>
      <c r="C789">
        <v>2.42</v>
      </c>
      <c r="D789">
        <v>33.36</v>
      </c>
      <c r="E789">
        <v>7.19</v>
      </c>
      <c r="F789">
        <v>0.17</v>
      </c>
      <c r="G789">
        <v>7.19</v>
      </c>
      <c r="H789">
        <v>7.2</v>
      </c>
      <c r="I789" t="s">
        <v>1564</v>
      </c>
      <c r="J789">
        <v>6.62</v>
      </c>
      <c r="K789">
        <v>6.62</v>
      </c>
      <c r="L789">
        <v>6.93</v>
      </c>
      <c r="M789">
        <v>7.19</v>
      </c>
      <c r="N789">
        <v>6.92</v>
      </c>
    </row>
    <row r="790" spans="1:14" x14ac:dyDescent="0.5">
      <c r="A790" t="str">
        <f>"002329"</f>
        <v>002329</v>
      </c>
      <c r="B790" t="s">
        <v>1565</v>
      </c>
      <c r="C790">
        <v>2.69</v>
      </c>
      <c r="D790" t="s">
        <v>24</v>
      </c>
      <c r="E790">
        <v>4.2</v>
      </c>
      <c r="F790">
        <v>0.11</v>
      </c>
      <c r="G790">
        <v>4.1900000000000004</v>
      </c>
      <c r="H790">
        <v>4.2</v>
      </c>
      <c r="I790" t="s">
        <v>1566</v>
      </c>
      <c r="J790">
        <v>4.5</v>
      </c>
      <c r="K790">
        <v>4.5</v>
      </c>
      <c r="L790">
        <v>4.04</v>
      </c>
      <c r="M790">
        <v>4.21</v>
      </c>
      <c r="N790">
        <v>4.0199999999999996</v>
      </c>
    </row>
    <row r="791" spans="1:14" x14ac:dyDescent="0.5">
      <c r="A791" t="str">
        <f>"002330"</f>
        <v>002330</v>
      </c>
      <c r="B791" t="s">
        <v>1567</v>
      </c>
      <c r="C791">
        <v>10.039999999999999</v>
      </c>
      <c r="D791">
        <v>317.54000000000002</v>
      </c>
      <c r="E791">
        <v>5.81</v>
      </c>
      <c r="F791">
        <v>0.53</v>
      </c>
      <c r="G791">
        <v>5.81</v>
      </c>
      <c r="H791" t="s">
        <v>24</v>
      </c>
      <c r="I791" t="s">
        <v>1568</v>
      </c>
      <c r="J791">
        <v>2.9</v>
      </c>
      <c r="K791">
        <v>2.9</v>
      </c>
      <c r="L791">
        <v>5.22</v>
      </c>
      <c r="M791">
        <v>5.81</v>
      </c>
      <c r="N791">
        <v>5.22</v>
      </c>
    </row>
    <row r="792" spans="1:14" x14ac:dyDescent="0.5">
      <c r="A792" t="str">
        <f>"002331"</f>
        <v>002331</v>
      </c>
      <c r="B792" t="s">
        <v>1569</v>
      </c>
      <c r="C792">
        <v>2.5299999999999998</v>
      </c>
      <c r="D792">
        <v>46.62</v>
      </c>
      <c r="E792">
        <v>10.55</v>
      </c>
      <c r="F792">
        <v>0.26</v>
      </c>
      <c r="G792">
        <v>10.55</v>
      </c>
      <c r="H792">
        <v>10.56</v>
      </c>
      <c r="I792" t="s">
        <v>1570</v>
      </c>
      <c r="J792">
        <v>1.69</v>
      </c>
      <c r="K792">
        <v>1.69</v>
      </c>
      <c r="L792">
        <v>10.29</v>
      </c>
      <c r="M792">
        <v>10.62</v>
      </c>
      <c r="N792">
        <v>10.29</v>
      </c>
    </row>
    <row r="793" spans="1:14" x14ac:dyDescent="0.5">
      <c r="A793" t="str">
        <f>"002332"</f>
        <v>002332</v>
      </c>
      <c r="B793" t="s">
        <v>1571</v>
      </c>
      <c r="C793">
        <v>0.69</v>
      </c>
      <c r="D793">
        <v>23.65</v>
      </c>
      <c r="E793">
        <v>7.3</v>
      </c>
      <c r="F793">
        <v>0.05</v>
      </c>
      <c r="G793">
        <v>7.29</v>
      </c>
      <c r="H793">
        <v>7.3</v>
      </c>
      <c r="I793" t="s">
        <v>1572</v>
      </c>
      <c r="J793">
        <v>1.54</v>
      </c>
      <c r="K793">
        <v>1.54</v>
      </c>
      <c r="L793">
        <v>7.22</v>
      </c>
      <c r="M793">
        <v>7.32</v>
      </c>
      <c r="N793">
        <v>7.15</v>
      </c>
    </row>
    <row r="794" spans="1:14" x14ac:dyDescent="0.5">
      <c r="A794" t="str">
        <f>"002333"</f>
        <v>002333</v>
      </c>
      <c r="B794" t="s">
        <v>1573</v>
      </c>
      <c r="C794">
        <v>9.99</v>
      </c>
      <c r="D794" t="s">
        <v>24</v>
      </c>
      <c r="E794">
        <v>7.93</v>
      </c>
      <c r="F794">
        <v>0.72</v>
      </c>
      <c r="G794">
        <v>7.93</v>
      </c>
      <c r="H794" t="s">
        <v>24</v>
      </c>
      <c r="I794" t="s">
        <v>1574</v>
      </c>
      <c r="J794">
        <v>5.58</v>
      </c>
      <c r="K794">
        <v>5.58</v>
      </c>
      <c r="L794">
        <v>7.2</v>
      </c>
      <c r="M794">
        <v>7.93</v>
      </c>
      <c r="N794">
        <v>7.05</v>
      </c>
    </row>
    <row r="795" spans="1:14" x14ac:dyDescent="0.5">
      <c r="A795" t="str">
        <f>"002334"</f>
        <v>002334</v>
      </c>
      <c r="B795" t="s">
        <v>1575</v>
      </c>
      <c r="C795">
        <v>3.23</v>
      </c>
      <c r="D795">
        <v>17.7</v>
      </c>
      <c r="E795">
        <v>5.76</v>
      </c>
      <c r="F795">
        <v>0.18</v>
      </c>
      <c r="G795">
        <v>5.75</v>
      </c>
      <c r="H795">
        <v>5.76</v>
      </c>
      <c r="I795" t="s">
        <v>1576</v>
      </c>
      <c r="J795">
        <v>3.21</v>
      </c>
      <c r="K795">
        <v>3.21</v>
      </c>
      <c r="L795">
        <v>5.55</v>
      </c>
      <c r="M795">
        <v>5.77</v>
      </c>
      <c r="N795">
        <v>5.51</v>
      </c>
    </row>
    <row r="796" spans="1:14" x14ac:dyDescent="0.5">
      <c r="A796" t="str">
        <f>"002335"</f>
        <v>002335</v>
      </c>
      <c r="B796" t="s">
        <v>1577</v>
      </c>
      <c r="C796">
        <v>4.75</v>
      </c>
      <c r="D796">
        <v>25.82</v>
      </c>
      <c r="E796">
        <v>18.96</v>
      </c>
      <c r="F796">
        <v>0.86</v>
      </c>
      <c r="G796">
        <v>18.96</v>
      </c>
      <c r="H796">
        <v>18.97</v>
      </c>
      <c r="I796" t="s">
        <v>1533</v>
      </c>
      <c r="J796">
        <v>4.87</v>
      </c>
      <c r="K796">
        <v>4.87</v>
      </c>
      <c r="L796">
        <v>17.91</v>
      </c>
      <c r="M796">
        <v>18.96</v>
      </c>
      <c r="N796">
        <v>17.739999999999998</v>
      </c>
    </row>
    <row r="797" spans="1:14" x14ac:dyDescent="0.5">
      <c r="A797" t="str">
        <f>"002336"</f>
        <v>002336</v>
      </c>
      <c r="B797" t="s">
        <v>1578</v>
      </c>
      <c r="C797">
        <v>0.54</v>
      </c>
      <c r="D797" t="s">
        <v>24</v>
      </c>
      <c r="E797">
        <v>7.38</v>
      </c>
      <c r="F797">
        <v>0.04</v>
      </c>
      <c r="G797">
        <v>7.37</v>
      </c>
      <c r="H797">
        <v>7.38</v>
      </c>
      <c r="I797" t="s">
        <v>1579</v>
      </c>
      <c r="J797">
        <v>1.45</v>
      </c>
      <c r="K797">
        <v>1.45</v>
      </c>
      <c r="L797">
        <v>7.25</v>
      </c>
      <c r="M797">
        <v>7.39</v>
      </c>
      <c r="N797">
        <v>7.21</v>
      </c>
    </row>
    <row r="798" spans="1:14" x14ac:dyDescent="0.5">
      <c r="A798" t="str">
        <f>"002337"</f>
        <v>002337</v>
      </c>
      <c r="B798" t="s">
        <v>1580</v>
      </c>
      <c r="C798">
        <v>10.08</v>
      </c>
      <c r="D798" t="s">
        <v>24</v>
      </c>
      <c r="E798">
        <v>5.46</v>
      </c>
      <c r="F798">
        <v>0.5</v>
      </c>
      <c r="G798">
        <v>5.46</v>
      </c>
      <c r="H798" t="s">
        <v>24</v>
      </c>
      <c r="I798" t="s">
        <v>1581</v>
      </c>
      <c r="J798">
        <v>8.5299999999999994</v>
      </c>
      <c r="K798">
        <v>8.5299999999999994</v>
      </c>
      <c r="L798">
        <v>4.9000000000000004</v>
      </c>
      <c r="M798">
        <v>5.46</v>
      </c>
      <c r="N798">
        <v>4.84</v>
      </c>
    </row>
    <row r="799" spans="1:14" x14ac:dyDescent="0.5">
      <c r="A799" t="str">
        <f>"002338"</f>
        <v>002338</v>
      </c>
      <c r="B799" t="s">
        <v>1582</v>
      </c>
      <c r="C799">
        <v>10</v>
      </c>
      <c r="D799">
        <v>93.79</v>
      </c>
      <c r="E799">
        <v>14.63</v>
      </c>
      <c r="F799">
        <v>1.33</v>
      </c>
      <c r="G799">
        <v>14.63</v>
      </c>
      <c r="H799" t="s">
        <v>24</v>
      </c>
      <c r="I799" t="s">
        <v>1583</v>
      </c>
      <c r="J799">
        <v>5.89</v>
      </c>
      <c r="K799">
        <v>5.89</v>
      </c>
      <c r="L799">
        <v>13.18</v>
      </c>
      <c r="M799">
        <v>14.63</v>
      </c>
      <c r="N799">
        <v>13.08</v>
      </c>
    </row>
    <row r="800" spans="1:14" x14ac:dyDescent="0.5">
      <c r="A800" t="str">
        <f>"002339"</f>
        <v>002339</v>
      </c>
      <c r="B800" t="s">
        <v>1584</v>
      </c>
      <c r="C800">
        <v>2.0499999999999998</v>
      </c>
      <c r="D800">
        <v>43.96</v>
      </c>
      <c r="E800">
        <v>8.48</v>
      </c>
      <c r="F800">
        <v>0.17</v>
      </c>
      <c r="G800">
        <v>8.48</v>
      </c>
      <c r="H800">
        <v>8.49</v>
      </c>
      <c r="I800" t="s">
        <v>844</v>
      </c>
      <c r="J800">
        <v>3.63</v>
      </c>
      <c r="K800">
        <v>3.63</v>
      </c>
      <c r="L800">
        <v>8.2799999999999994</v>
      </c>
      <c r="M800">
        <v>8.48</v>
      </c>
      <c r="N800">
        <v>8.1999999999999993</v>
      </c>
    </row>
    <row r="801" spans="1:14" x14ac:dyDescent="0.5">
      <c r="A801" t="str">
        <f>"002340"</f>
        <v>002340</v>
      </c>
      <c r="B801" t="s">
        <v>1585</v>
      </c>
      <c r="C801">
        <v>6.63</v>
      </c>
      <c r="D801">
        <v>26.45</v>
      </c>
      <c r="E801">
        <v>5.15</v>
      </c>
      <c r="F801">
        <v>0.32</v>
      </c>
      <c r="G801">
        <v>5.14</v>
      </c>
      <c r="H801">
        <v>5.15</v>
      </c>
      <c r="I801" t="s">
        <v>1586</v>
      </c>
      <c r="J801">
        <v>4.75</v>
      </c>
      <c r="K801">
        <v>4.75</v>
      </c>
      <c r="L801">
        <v>4.83</v>
      </c>
      <c r="M801">
        <v>5.17</v>
      </c>
      <c r="N801">
        <v>4.79</v>
      </c>
    </row>
    <row r="802" spans="1:14" x14ac:dyDescent="0.5">
      <c r="A802" t="str">
        <f>"002341"</f>
        <v>002341</v>
      </c>
      <c r="B802" t="s">
        <v>1587</v>
      </c>
      <c r="C802">
        <v>4.74</v>
      </c>
      <c r="D802">
        <v>38.15</v>
      </c>
      <c r="E802">
        <v>12.37</v>
      </c>
      <c r="F802">
        <v>0.56000000000000005</v>
      </c>
      <c r="G802">
        <v>12.36</v>
      </c>
      <c r="H802">
        <v>12.37</v>
      </c>
      <c r="I802" t="s">
        <v>1588</v>
      </c>
      <c r="J802">
        <v>9.41</v>
      </c>
      <c r="K802">
        <v>9.41</v>
      </c>
      <c r="L802">
        <v>11.74</v>
      </c>
      <c r="M802">
        <v>12.43</v>
      </c>
      <c r="N802">
        <v>11.63</v>
      </c>
    </row>
    <row r="803" spans="1:14" x14ac:dyDescent="0.5">
      <c r="A803" t="str">
        <f>"002342"</f>
        <v>002342</v>
      </c>
      <c r="B803" t="s">
        <v>1589</v>
      </c>
      <c r="C803">
        <v>5.84</v>
      </c>
      <c r="D803" t="s">
        <v>24</v>
      </c>
      <c r="E803">
        <v>4.17</v>
      </c>
      <c r="F803">
        <v>0.23</v>
      </c>
      <c r="G803">
        <v>4.16</v>
      </c>
      <c r="H803">
        <v>4.17</v>
      </c>
      <c r="I803" t="s">
        <v>1590</v>
      </c>
      <c r="J803">
        <v>5.04</v>
      </c>
      <c r="K803">
        <v>5.04</v>
      </c>
      <c r="L803">
        <v>3.96</v>
      </c>
      <c r="M803">
        <v>4.29</v>
      </c>
      <c r="N803">
        <v>3.94</v>
      </c>
    </row>
    <row r="804" spans="1:14" x14ac:dyDescent="0.5">
      <c r="A804" t="str">
        <f>"002343"</f>
        <v>002343</v>
      </c>
      <c r="B804" t="s">
        <v>1591</v>
      </c>
      <c r="C804">
        <v>-1.3</v>
      </c>
      <c r="D804">
        <v>10.23</v>
      </c>
      <c r="E804">
        <v>11.37</v>
      </c>
      <c r="F804">
        <v>-0.15</v>
      </c>
      <c r="G804">
        <v>11.36</v>
      </c>
      <c r="H804">
        <v>11.37</v>
      </c>
      <c r="I804" t="s">
        <v>273</v>
      </c>
      <c r="J804">
        <v>10.14</v>
      </c>
      <c r="K804">
        <v>10.14</v>
      </c>
      <c r="L804">
        <v>11.28</v>
      </c>
      <c r="M804">
        <v>11.47</v>
      </c>
      <c r="N804">
        <v>11</v>
      </c>
    </row>
    <row r="805" spans="1:14" x14ac:dyDescent="0.5">
      <c r="A805" t="str">
        <f>"002344"</f>
        <v>002344</v>
      </c>
      <c r="B805" t="s">
        <v>1592</v>
      </c>
      <c r="C805">
        <v>3.04</v>
      </c>
      <c r="D805">
        <v>19.559999999999999</v>
      </c>
      <c r="E805">
        <v>5.42</v>
      </c>
      <c r="F805">
        <v>0.16</v>
      </c>
      <c r="G805">
        <v>5.42</v>
      </c>
      <c r="H805">
        <v>5.43</v>
      </c>
      <c r="I805" t="s">
        <v>1593</v>
      </c>
      <c r="J805">
        <v>1.77</v>
      </c>
      <c r="K805">
        <v>1.77</v>
      </c>
      <c r="L805">
        <v>5.26</v>
      </c>
      <c r="M805">
        <v>5.45</v>
      </c>
      <c r="N805">
        <v>5.23</v>
      </c>
    </row>
    <row r="806" spans="1:14" x14ac:dyDescent="0.5">
      <c r="A806" t="str">
        <f>"002345"</f>
        <v>002345</v>
      </c>
      <c r="B806" t="s">
        <v>1594</v>
      </c>
      <c r="C806">
        <v>2.2000000000000002</v>
      </c>
      <c r="D806">
        <v>15.99</v>
      </c>
      <c r="E806">
        <v>5.0999999999999996</v>
      </c>
      <c r="F806">
        <v>0.11</v>
      </c>
      <c r="G806">
        <v>5.0999999999999996</v>
      </c>
      <c r="H806">
        <v>5.1100000000000003</v>
      </c>
      <c r="I806" t="s">
        <v>1595</v>
      </c>
      <c r="J806">
        <v>2.11</v>
      </c>
      <c r="K806">
        <v>2.11</v>
      </c>
      <c r="L806">
        <v>4.9800000000000004</v>
      </c>
      <c r="M806">
        <v>5.12</v>
      </c>
      <c r="N806">
        <v>4.96</v>
      </c>
    </row>
    <row r="807" spans="1:14" x14ac:dyDescent="0.5">
      <c r="A807" t="str">
        <f>"002346"</f>
        <v>002346</v>
      </c>
      <c r="B807" t="s">
        <v>1596</v>
      </c>
      <c r="C807">
        <v>4.74</v>
      </c>
      <c r="D807">
        <v>87.69</v>
      </c>
      <c r="E807">
        <v>14.13</v>
      </c>
      <c r="F807">
        <v>0.64</v>
      </c>
      <c r="G807">
        <v>14.13</v>
      </c>
      <c r="H807">
        <v>14.14</v>
      </c>
      <c r="I807" t="s">
        <v>1597</v>
      </c>
      <c r="J807">
        <v>2.77</v>
      </c>
      <c r="K807">
        <v>2.77</v>
      </c>
      <c r="L807">
        <v>13.45</v>
      </c>
      <c r="M807">
        <v>14.21</v>
      </c>
      <c r="N807">
        <v>13.32</v>
      </c>
    </row>
    <row r="808" spans="1:14" x14ac:dyDescent="0.5">
      <c r="A808" t="str">
        <f>"002347"</f>
        <v>002347</v>
      </c>
      <c r="B808" t="s">
        <v>1598</v>
      </c>
      <c r="C808">
        <v>1.57</v>
      </c>
      <c r="D808" t="s">
        <v>24</v>
      </c>
      <c r="E808">
        <v>4.54</v>
      </c>
      <c r="F808">
        <v>7.0000000000000007E-2</v>
      </c>
      <c r="G808">
        <v>4.53</v>
      </c>
      <c r="H808">
        <v>4.54</v>
      </c>
      <c r="I808" t="s">
        <v>1599</v>
      </c>
      <c r="J808">
        <v>3.58</v>
      </c>
      <c r="K808">
        <v>3.58</v>
      </c>
      <c r="L808">
        <v>4.42</v>
      </c>
      <c r="M808">
        <v>4.54</v>
      </c>
      <c r="N808">
        <v>4.4000000000000004</v>
      </c>
    </row>
    <row r="809" spans="1:14" x14ac:dyDescent="0.5">
      <c r="A809" t="str">
        <f>"002348"</f>
        <v>002348</v>
      </c>
      <c r="B809" t="s">
        <v>1600</v>
      </c>
      <c r="C809">
        <v>1.94</v>
      </c>
      <c r="D809">
        <v>72.55</v>
      </c>
      <c r="E809">
        <v>4.2</v>
      </c>
      <c r="F809">
        <v>0.08</v>
      </c>
      <c r="G809">
        <v>4.1900000000000004</v>
      </c>
      <c r="H809">
        <v>4.2</v>
      </c>
      <c r="I809" t="s">
        <v>1601</v>
      </c>
      <c r="J809">
        <v>4.57</v>
      </c>
      <c r="K809">
        <v>4.57</v>
      </c>
      <c r="L809">
        <v>4.08</v>
      </c>
      <c r="M809">
        <v>4.21</v>
      </c>
      <c r="N809">
        <v>4.0599999999999996</v>
      </c>
    </row>
    <row r="810" spans="1:14" x14ac:dyDescent="0.5">
      <c r="A810" t="str">
        <f>"002349"</f>
        <v>002349</v>
      </c>
      <c r="B810" t="s">
        <v>1602</v>
      </c>
      <c r="C810">
        <v>1.67</v>
      </c>
      <c r="D810">
        <v>23.83</v>
      </c>
      <c r="E810">
        <v>6.7</v>
      </c>
      <c r="F810">
        <v>0.11</v>
      </c>
      <c r="G810">
        <v>6.69</v>
      </c>
      <c r="H810">
        <v>6.7</v>
      </c>
      <c r="I810" t="s">
        <v>1603</v>
      </c>
      <c r="J810">
        <v>0.49</v>
      </c>
      <c r="K810">
        <v>0.49</v>
      </c>
      <c r="L810">
        <v>6.53</v>
      </c>
      <c r="M810">
        <v>6.7</v>
      </c>
      <c r="N810">
        <v>6.53</v>
      </c>
    </row>
    <row r="811" spans="1:14" x14ac:dyDescent="0.5">
      <c r="A811" t="str">
        <f>"002350"</f>
        <v>002350</v>
      </c>
      <c r="B811" t="s">
        <v>1604</v>
      </c>
      <c r="C811">
        <v>3.09</v>
      </c>
      <c r="D811">
        <v>27.98</v>
      </c>
      <c r="E811">
        <v>7.33</v>
      </c>
      <c r="F811">
        <v>0.22</v>
      </c>
      <c r="G811">
        <v>7.32</v>
      </c>
      <c r="H811">
        <v>7.33</v>
      </c>
      <c r="I811" t="s">
        <v>1605</v>
      </c>
      <c r="J811">
        <v>2.38</v>
      </c>
      <c r="K811">
        <v>2.38</v>
      </c>
      <c r="L811">
        <v>7.15</v>
      </c>
      <c r="M811">
        <v>7.33</v>
      </c>
      <c r="N811">
        <v>7.09</v>
      </c>
    </row>
    <row r="812" spans="1:14" x14ac:dyDescent="0.5">
      <c r="A812" t="str">
        <f>"002351"</f>
        <v>002351</v>
      </c>
      <c r="B812" t="s">
        <v>1606</v>
      </c>
      <c r="C812">
        <v>4.17</v>
      </c>
      <c r="D812">
        <v>50.47</v>
      </c>
      <c r="E812">
        <v>6.25</v>
      </c>
      <c r="F812">
        <v>0.25</v>
      </c>
      <c r="G812">
        <v>6.24</v>
      </c>
      <c r="H812">
        <v>6.25</v>
      </c>
      <c r="I812" t="s">
        <v>1326</v>
      </c>
      <c r="J812">
        <v>4.67</v>
      </c>
      <c r="K812">
        <v>4.67</v>
      </c>
      <c r="L812">
        <v>5.97</v>
      </c>
      <c r="M812">
        <v>6.26</v>
      </c>
      <c r="N812">
        <v>5.89</v>
      </c>
    </row>
    <row r="813" spans="1:14" x14ac:dyDescent="0.5">
      <c r="A813" t="str">
        <f>"002352"</f>
        <v>002352</v>
      </c>
      <c r="B813" t="s">
        <v>1607</v>
      </c>
      <c r="C813">
        <v>0.6</v>
      </c>
      <c r="D813">
        <v>38.96</v>
      </c>
      <c r="E813">
        <v>37</v>
      </c>
      <c r="F813">
        <v>0.22</v>
      </c>
      <c r="G813">
        <v>36.99</v>
      </c>
      <c r="H813">
        <v>37</v>
      </c>
      <c r="I813" t="s">
        <v>1608</v>
      </c>
      <c r="J813">
        <v>0.59</v>
      </c>
      <c r="K813">
        <v>0.59</v>
      </c>
      <c r="L813">
        <v>36.94</v>
      </c>
      <c r="M813">
        <v>37.19</v>
      </c>
      <c r="N813">
        <v>36.299999999999997</v>
      </c>
    </row>
    <row r="814" spans="1:14" x14ac:dyDescent="0.5">
      <c r="A814" t="str">
        <f>"002353"</f>
        <v>002353</v>
      </c>
      <c r="B814" t="s">
        <v>1609</v>
      </c>
      <c r="C814">
        <v>4.2</v>
      </c>
      <c r="D814">
        <v>50.18</v>
      </c>
      <c r="E814">
        <v>20.84</v>
      </c>
      <c r="F814">
        <v>0.84</v>
      </c>
      <c r="G814">
        <v>20.83</v>
      </c>
      <c r="H814">
        <v>20.84</v>
      </c>
      <c r="I814" t="s">
        <v>1610</v>
      </c>
      <c r="J814">
        <v>2.02</v>
      </c>
      <c r="K814">
        <v>2.02</v>
      </c>
      <c r="L814">
        <v>20</v>
      </c>
      <c r="M814">
        <v>20.85</v>
      </c>
      <c r="N814">
        <v>19.989999999999998</v>
      </c>
    </row>
    <row r="815" spans="1:14" x14ac:dyDescent="0.5">
      <c r="A815" t="str">
        <f>"002354"</f>
        <v>002354</v>
      </c>
      <c r="B815" t="s">
        <v>1611</v>
      </c>
      <c r="C815">
        <v>5.33</v>
      </c>
      <c r="D815">
        <v>9.7200000000000006</v>
      </c>
      <c r="E815">
        <v>5.73</v>
      </c>
      <c r="F815">
        <v>0.28999999999999998</v>
      </c>
      <c r="G815">
        <v>5.73</v>
      </c>
      <c r="H815">
        <v>5.74</v>
      </c>
      <c r="I815" t="s">
        <v>1612</v>
      </c>
      <c r="J815">
        <v>11.37</v>
      </c>
      <c r="K815">
        <v>11.37</v>
      </c>
      <c r="L815">
        <v>5.37</v>
      </c>
      <c r="M815">
        <v>5.77</v>
      </c>
      <c r="N815">
        <v>5.34</v>
      </c>
    </row>
    <row r="816" spans="1:14" x14ac:dyDescent="0.5">
      <c r="A816" t="str">
        <f>"002355"</f>
        <v>002355</v>
      </c>
      <c r="B816" t="s">
        <v>1613</v>
      </c>
      <c r="C816">
        <v>1.31</v>
      </c>
      <c r="D816">
        <v>85.58</v>
      </c>
      <c r="E816">
        <v>8.51</v>
      </c>
      <c r="F816">
        <v>0.11</v>
      </c>
      <c r="G816">
        <v>8.51</v>
      </c>
      <c r="H816">
        <v>8.52</v>
      </c>
      <c r="I816" t="s">
        <v>1614</v>
      </c>
      <c r="J816">
        <v>1.48</v>
      </c>
      <c r="K816">
        <v>1.48</v>
      </c>
      <c r="L816">
        <v>8.2899999999999991</v>
      </c>
      <c r="M816">
        <v>8.5299999999999994</v>
      </c>
      <c r="N816">
        <v>8.2899999999999991</v>
      </c>
    </row>
    <row r="817" spans="1:14" x14ac:dyDescent="0.5">
      <c r="A817" t="str">
        <f>"002356"</f>
        <v>002356</v>
      </c>
      <c r="B817" t="s">
        <v>1615</v>
      </c>
      <c r="C817">
        <v>10.06</v>
      </c>
      <c r="D817" t="s">
        <v>24</v>
      </c>
      <c r="E817">
        <v>7.77</v>
      </c>
      <c r="F817">
        <v>0.71</v>
      </c>
      <c r="G817">
        <v>7.77</v>
      </c>
      <c r="H817" t="s">
        <v>24</v>
      </c>
      <c r="I817" t="s">
        <v>1616</v>
      </c>
      <c r="J817">
        <v>0.06</v>
      </c>
      <c r="K817">
        <v>0.06</v>
      </c>
      <c r="L817">
        <v>7.77</v>
      </c>
      <c r="M817">
        <v>7.77</v>
      </c>
      <c r="N817">
        <v>7.77</v>
      </c>
    </row>
    <row r="818" spans="1:14" x14ac:dyDescent="0.5">
      <c r="A818" t="str">
        <f>"002357"</f>
        <v>002357</v>
      </c>
      <c r="B818" t="s">
        <v>1617</v>
      </c>
      <c r="C818">
        <v>-0.92</v>
      </c>
      <c r="D818">
        <v>53.27</v>
      </c>
      <c r="E818">
        <v>6.49</v>
      </c>
      <c r="F818">
        <v>-0.06</v>
      </c>
      <c r="G818">
        <v>6.48</v>
      </c>
      <c r="H818">
        <v>6.49</v>
      </c>
      <c r="I818" t="s">
        <v>1618</v>
      </c>
      <c r="J818">
        <v>3.66</v>
      </c>
      <c r="K818">
        <v>3.66</v>
      </c>
      <c r="L818">
        <v>6.44</v>
      </c>
      <c r="M818">
        <v>6.52</v>
      </c>
      <c r="N818">
        <v>6.32</v>
      </c>
    </row>
    <row r="819" spans="1:14" x14ac:dyDescent="0.5">
      <c r="A819" t="str">
        <f>"002358"</f>
        <v>002358</v>
      </c>
      <c r="B819" t="s">
        <v>1619</v>
      </c>
      <c r="C819">
        <v>-3.47</v>
      </c>
      <c r="D819">
        <v>33.200000000000003</v>
      </c>
      <c r="E819">
        <v>15.59</v>
      </c>
      <c r="F819">
        <v>-0.56000000000000005</v>
      </c>
      <c r="G819">
        <v>15.59</v>
      </c>
      <c r="H819">
        <v>15.6</v>
      </c>
      <c r="I819" t="s">
        <v>1620</v>
      </c>
      <c r="J819">
        <v>7.82</v>
      </c>
      <c r="K819">
        <v>7.82</v>
      </c>
      <c r="L819">
        <v>16.16</v>
      </c>
      <c r="M819">
        <v>16.170000000000002</v>
      </c>
      <c r="N819">
        <v>15.12</v>
      </c>
    </row>
    <row r="820" spans="1:14" x14ac:dyDescent="0.5">
      <c r="A820" t="str">
        <f>"002359"</f>
        <v>002359</v>
      </c>
      <c r="B820" t="s">
        <v>1621</v>
      </c>
      <c r="C820">
        <v>10.039999999999999</v>
      </c>
      <c r="D820">
        <v>17</v>
      </c>
      <c r="E820">
        <v>10.74</v>
      </c>
      <c r="F820">
        <v>0.98</v>
      </c>
      <c r="G820">
        <v>10.74</v>
      </c>
      <c r="H820" t="s">
        <v>24</v>
      </c>
      <c r="I820" t="s">
        <v>1622</v>
      </c>
      <c r="J820">
        <v>13.64</v>
      </c>
      <c r="K820">
        <v>13.64</v>
      </c>
      <c r="L820">
        <v>9.76</v>
      </c>
      <c r="M820">
        <v>10.74</v>
      </c>
      <c r="N820">
        <v>9.6</v>
      </c>
    </row>
    <row r="821" spans="1:14" x14ac:dyDescent="0.5">
      <c r="A821" t="str">
        <f>"002360"</f>
        <v>002360</v>
      </c>
      <c r="B821" t="s">
        <v>1623</v>
      </c>
      <c r="C821">
        <v>1.84</v>
      </c>
      <c r="D821">
        <v>16.12</v>
      </c>
      <c r="E821">
        <v>6.09</v>
      </c>
      <c r="F821">
        <v>0.11</v>
      </c>
      <c r="G821">
        <v>6.09</v>
      </c>
      <c r="H821">
        <v>6.1</v>
      </c>
      <c r="I821" t="s">
        <v>1624</v>
      </c>
      <c r="J821">
        <v>1.88</v>
      </c>
      <c r="K821">
        <v>1.88</v>
      </c>
      <c r="L821">
        <v>5.99</v>
      </c>
      <c r="M821">
        <v>6.09</v>
      </c>
      <c r="N821">
        <v>5.97</v>
      </c>
    </row>
    <row r="822" spans="1:14" x14ac:dyDescent="0.5">
      <c r="A822" t="str">
        <f>"002361"</f>
        <v>002361</v>
      </c>
      <c r="B822" t="s">
        <v>1625</v>
      </c>
      <c r="C822">
        <v>2.0499999999999998</v>
      </c>
      <c r="D822">
        <v>35.659999999999997</v>
      </c>
      <c r="E822">
        <v>4.4800000000000004</v>
      </c>
      <c r="F822">
        <v>0.09</v>
      </c>
      <c r="G822">
        <v>4.47</v>
      </c>
      <c r="H822">
        <v>4.4800000000000004</v>
      </c>
      <c r="I822" t="s">
        <v>1626</v>
      </c>
      <c r="J822">
        <v>3.08</v>
      </c>
      <c r="K822">
        <v>3.08</v>
      </c>
      <c r="L822">
        <v>4.32</v>
      </c>
      <c r="M822">
        <v>4.49</v>
      </c>
      <c r="N822">
        <v>4.32</v>
      </c>
    </row>
    <row r="823" spans="1:14" x14ac:dyDescent="0.5">
      <c r="A823" t="str">
        <f>"002362"</f>
        <v>002362</v>
      </c>
      <c r="B823" t="s">
        <v>1627</v>
      </c>
      <c r="C823">
        <v>6.18</v>
      </c>
      <c r="D823">
        <v>99.52</v>
      </c>
      <c r="E823">
        <v>18.37</v>
      </c>
      <c r="F823">
        <v>1.07</v>
      </c>
      <c r="G823">
        <v>18.37</v>
      </c>
      <c r="H823">
        <v>18.38</v>
      </c>
      <c r="I823" t="s">
        <v>1628</v>
      </c>
      <c r="J823">
        <v>8.57</v>
      </c>
      <c r="K823">
        <v>8.57</v>
      </c>
      <c r="L823">
        <v>17.100000000000001</v>
      </c>
      <c r="M823">
        <v>18.66</v>
      </c>
      <c r="N823">
        <v>16.899999999999999</v>
      </c>
    </row>
    <row r="824" spans="1:14" x14ac:dyDescent="0.5">
      <c r="A824" t="str">
        <f>"002363"</f>
        <v>002363</v>
      </c>
      <c r="B824" t="s">
        <v>1629</v>
      </c>
      <c r="C824">
        <v>4.22</v>
      </c>
      <c r="D824">
        <v>33.200000000000003</v>
      </c>
      <c r="E824">
        <v>6.17</v>
      </c>
      <c r="F824">
        <v>0.25</v>
      </c>
      <c r="G824">
        <v>6.17</v>
      </c>
      <c r="H824">
        <v>6.18</v>
      </c>
      <c r="I824" t="s">
        <v>1630</v>
      </c>
      <c r="J824">
        <v>2.62</v>
      </c>
      <c r="K824">
        <v>2.62</v>
      </c>
      <c r="L824">
        <v>5.89</v>
      </c>
      <c r="M824">
        <v>6.17</v>
      </c>
      <c r="N824">
        <v>5.88</v>
      </c>
    </row>
    <row r="825" spans="1:14" x14ac:dyDescent="0.5">
      <c r="A825" t="str">
        <f>"002364"</f>
        <v>002364</v>
      </c>
      <c r="B825" t="s">
        <v>1631</v>
      </c>
      <c r="C825">
        <v>3.2</v>
      </c>
      <c r="D825">
        <v>82.47</v>
      </c>
      <c r="E825">
        <v>11.61</v>
      </c>
      <c r="F825">
        <v>0.36</v>
      </c>
      <c r="G825">
        <v>11.61</v>
      </c>
      <c r="H825">
        <v>11.62</v>
      </c>
      <c r="I825" t="s">
        <v>1632</v>
      </c>
      <c r="J825">
        <v>4.37</v>
      </c>
      <c r="K825">
        <v>4.37</v>
      </c>
      <c r="L825">
        <v>11.41</v>
      </c>
      <c r="M825">
        <v>11.8</v>
      </c>
      <c r="N825">
        <v>11.29</v>
      </c>
    </row>
    <row r="826" spans="1:14" x14ac:dyDescent="0.5">
      <c r="A826" t="str">
        <f>"002365"</f>
        <v>002365</v>
      </c>
      <c r="B826" t="s">
        <v>1633</v>
      </c>
      <c r="C826">
        <v>0.08</v>
      </c>
      <c r="D826">
        <v>21.48</v>
      </c>
      <c r="E826">
        <v>12.01</v>
      </c>
      <c r="F826">
        <v>0.01</v>
      </c>
      <c r="G826">
        <v>12.01</v>
      </c>
      <c r="H826">
        <v>12.02</v>
      </c>
      <c r="I826" t="s">
        <v>1634</v>
      </c>
      <c r="J826">
        <v>3.96</v>
      </c>
      <c r="K826">
        <v>3.96</v>
      </c>
      <c r="L826">
        <v>11.93</v>
      </c>
      <c r="M826">
        <v>12.02</v>
      </c>
      <c r="N826">
        <v>11.75</v>
      </c>
    </row>
    <row r="827" spans="1:14" x14ac:dyDescent="0.5">
      <c r="A827" t="str">
        <f>"002366"</f>
        <v>002366</v>
      </c>
      <c r="B827" t="s">
        <v>1635</v>
      </c>
      <c r="C827">
        <v>4.79</v>
      </c>
      <c r="D827">
        <v>17.510000000000002</v>
      </c>
      <c r="E827">
        <v>14.66</v>
      </c>
      <c r="F827">
        <v>0.67</v>
      </c>
      <c r="G827">
        <v>14.65</v>
      </c>
      <c r="H827">
        <v>14.66</v>
      </c>
      <c r="I827" t="s">
        <v>1636</v>
      </c>
      <c r="J827">
        <v>5.38</v>
      </c>
      <c r="K827">
        <v>5.38</v>
      </c>
      <c r="L827">
        <v>14.06</v>
      </c>
      <c r="M827">
        <v>14.88</v>
      </c>
      <c r="N827">
        <v>13.91</v>
      </c>
    </row>
    <row r="828" spans="1:14" x14ac:dyDescent="0.5">
      <c r="A828" t="str">
        <f>"002367"</f>
        <v>002367</v>
      </c>
      <c r="B828" t="s">
        <v>1637</v>
      </c>
      <c r="C828">
        <v>9.99</v>
      </c>
      <c r="D828">
        <v>55.64</v>
      </c>
      <c r="E828">
        <v>8.92</v>
      </c>
      <c r="F828">
        <v>0.81</v>
      </c>
      <c r="G828">
        <v>8.92</v>
      </c>
      <c r="H828" t="s">
        <v>24</v>
      </c>
      <c r="I828" t="s">
        <v>1638</v>
      </c>
      <c r="J828">
        <v>12.03</v>
      </c>
      <c r="K828">
        <v>12.03</v>
      </c>
      <c r="L828">
        <v>8.1</v>
      </c>
      <c r="M828">
        <v>8.92</v>
      </c>
      <c r="N828">
        <v>7.96</v>
      </c>
    </row>
    <row r="829" spans="1:14" x14ac:dyDescent="0.5">
      <c r="A829" t="str">
        <f>"002368"</f>
        <v>002368</v>
      </c>
      <c r="B829" t="s">
        <v>1639</v>
      </c>
      <c r="C829">
        <v>6.49</v>
      </c>
      <c r="D829">
        <v>38.229999999999997</v>
      </c>
      <c r="E829">
        <v>30.03</v>
      </c>
      <c r="F829">
        <v>1.83</v>
      </c>
      <c r="G829">
        <v>30.02</v>
      </c>
      <c r="H829">
        <v>30.03</v>
      </c>
      <c r="I829" t="s">
        <v>1640</v>
      </c>
      <c r="J829">
        <v>6.78</v>
      </c>
      <c r="K829">
        <v>6.78</v>
      </c>
      <c r="L829">
        <v>28.3</v>
      </c>
      <c r="M829">
        <v>30.28</v>
      </c>
      <c r="N829">
        <v>28.02</v>
      </c>
    </row>
    <row r="830" spans="1:14" x14ac:dyDescent="0.5">
      <c r="A830" t="str">
        <f>"002369"</f>
        <v>002369</v>
      </c>
      <c r="B830" t="s">
        <v>1641</v>
      </c>
      <c r="C830">
        <v>5.3</v>
      </c>
      <c r="D830">
        <v>94.47</v>
      </c>
      <c r="E830">
        <v>9.33</v>
      </c>
      <c r="F830">
        <v>0.47</v>
      </c>
      <c r="G830">
        <v>9.32</v>
      </c>
      <c r="H830">
        <v>9.33</v>
      </c>
      <c r="I830" t="s">
        <v>1642</v>
      </c>
      <c r="J830">
        <v>15.28</v>
      </c>
      <c r="K830">
        <v>15.28</v>
      </c>
      <c r="L830">
        <v>8.9</v>
      </c>
      <c r="M830">
        <v>9.4</v>
      </c>
      <c r="N830">
        <v>8.8000000000000007</v>
      </c>
    </row>
    <row r="831" spans="1:14" x14ac:dyDescent="0.5">
      <c r="A831" t="str">
        <f>"002370"</f>
        <v>002370</v>
      </c>
      <c r="B831" t="s">
        <v>1643</v>
      </c>
      <c r="C831">
        <v>0.25</v>
      </c>
      <c r="D831">
        <v>28.67</v>
      </c>
      <c r="E831">
        <v>12.23</v>
      </c>
      <c r="F831">
        <v>0.03</v>
      </c>
      <c r="G831">
        <v>12.23</v>
      </c>
      <c r="H831">
        <v>12.24</v>
      </c>
      <c r="I831" t="s">
        <v>1644</v>
      </c>
      <c r="J831">
        <v>4.59</v>
      </c>
      <c r="K831">
        <v>4.59</v>
      </c>
      <c r="L831">
        <v>12.16</v>
      </c>
      <c r="M831">
        <v>12.32</v>
      </c>
      <c r="N831">
        <v>11.9</v>
      </c>
    </row>
    <row r="832" spans="1:14" x14ac:dyDescent="0.5">
      <c r="A832" t="str">
        <f>"002371"</f>
        <v>002371</v>
      </c>
      <c r="B832" t="s">
        <v>1645</v>
      </c>
      <c r="C832">
        <v>10</v>
      </c>
      <c r="D832">
        <v>110.72</v>
      </c>
      <c r="E832">
        <v>61.14</v>
      </c>
      <c r="F832">
        <v>5.56</v>
      </c>
      <c r="G832">
        <v>61.14</v>
      </c>
      <c r="H832" t="s">
        <v>24</v>
      </c>
      <c r="I832" t="s">
        <v>1646</v>
      </c>
      <c r="J832">
        <v>3.39</v>
      </c>
      <c r="K832">
        <v>3.39</v>
      </c>
      <c r="L832">
        <v>55.51</v>
      </c>
      <c r="M832">
        <v>61.14</v>
      </c>
      <c r="N832">
        <v>55.3</v>
      </c>
    </row>
    <row r="833" spans="1:14" x14ac:dyDescent="0.5">
      <c r="A833" t="str">
        <f>"002372"</f>
        <v>002372</v>
      </c>
      <c r="B833" t="s">
        <v>1647</v>
      </c>
      <c r="C833">
        <v>0</v>
      </c>
      <c r="D833">
        <v>24.44</v>
      </c>
      <c r="E833">
        <v>17.3</v>
      </c>
      <c r="F833">
        <v>0</v>
      </c>
      <c r="G833">
        <v>17.3</v>
      </c>
      <c r="H833">
        <v>17.309999999999999</v>
      </c>
      <c r="I833" t="s">
        <v>1648</v>
      </c>
      <c r="J833">
        <v>0.7</v>
      </c>
      <c r="K833">
        <v>0.7</v>
      </c>
      <c r="L833">
        <v>17.190000000000001</v>
      </c>
      <c r="M833">
        <v>17.489999999999998</v>
      </c>
      <c r="N833">
        <v>17.11</v>
      </c>
    </row>
    <row r="834" spans="1:14" x14ac:dyDescent="0.5">
      <c r="A834" t="str">
        <f>"002373"</f>
        <v>002373</v>
      </c>
      <c r="B834" t="s">
        <v>1649</v>
      </c>
      <c r="C834">
        <v>1.07</v>
      </c>
      <c r="D834">
        <v>41.2</v>
      </c>
      <c r="E834">
        <v>15.99</v>
      </c>
      <c r="F834">
        <v>0.17</v>
      </c>
      <c r="G834">
        <v>15.98</v>
      </c>
      <c r="H834">
        <v>15.99</v>
      </c>
      <c r="I834" t="s">
        <v>1650</v>
      </c>
      <c r="J834">
        <v>2.85</v>
      </c>
      <c r="K834">
        <v>2.85</v>
      </c>
      <c r="L834">
        <v>15.97</v>
      </c>
      <c r="M834">
        <v>16.100000000000001</v>
      </c>
      <c r="N834">
        <v>15.6</v>
      </c>
    </row>
    <row r="835" spans="1:14" x14ac:dyDescent="0.5">
      <c r="A835" t="str">
        <f>"002374"</f>
        <v>002374</v>
      </c>
      <c r="B835" t="s">
        <v>1651</v>
      </c>
      <c r="C835">
        <v>4.0599999999999996</v>
      </c>
      <c r="D835">
        <v>1176.1099999999999</v>
      </c>
      <c r="E835">
        <v>3.33</v>
      </c>
      <c r="F835">
        <v>0.13</v>
      </c>
      <c r="G835">
        <v>3.32</v>
      </c>
      <c r="H835">
        <v>3.33</v>
      </c>
      <c r="I835" t="s">
        <v>1652</v>
      </c>
      <c r="J835">
        <v>3.58</v>
      </c>
      <c r="K835">
        <v>3.58</v>
      </c>
      <c r="L835">
        <v>3.22</v>
      </c>
      <c r="M835">
        <v>3.34</v>
      </c>
      <c r="N835">
        <v>3.21</v>
      </c>
    </row>
    <row r="836" spans="1:14" x14ac:dyDescent="0.5">
      <c r="A836" t="str">
        <f>"002375"</f>
        <v>002375</v>
      </c>
      <c r="B836" t="s">
        <v>1653</v>
      </c>
      <c r="C836">
        <v>6.52</v>
      </c>
      <c r="D836">
        <v>23.42</v>
      </c>
      <c r="E836">
        <v>6.7</v>
      </c>
      <c r="F836">
        <v>0.41</v>
      </c>
      <c r="G836">
        <v>6.7</v>
      </c>
      <c r="H836">
        <v>6.71</v>
      </c>
      <c r="I836" t="s">
        <v>1654</v>
      </c>
      <c r="J836">
        <v>1.96</v>
      </c>
      <c r="K836">
        <v>1.96</v>
      </c>
      <c r="L836">
        <v>6.32</v>
      </c>
      <c r="M836">
        <v>6.74</v>
      </c>
      <c r="N836">
        <v>6.27</v>
      </c>
    </row>
    <row r="837" spans="1:14" x14ac:dyDescent="0.5">
      <c r="A837" t="str">
        <f>"002376"</f>
        <v>002376</v>
      </c>
      <c r="B837" t="s">
        <v>1655</v>
      </c>
      <c r="C837">
        <v>2.62</v>
      </c>
      <c r="D837">
        <v>34.25</v>
      </c>
      <c r="E837">
        <v>18.39</v>
      </c>
      <c r="F837">
        <v>0.47</v>
      </c>
      <c r="G837">
        <v>18.38</v>
      </c>
      <c r="H837">
        <v>18.39</v>
      </c>
      <c r="I837" t="s">
        <v>1656</v>
      </c>
      <c r="J837">
        <v>2.76</v>
      </c>
      <c r="K837">
        <v>2.76</v>
      </c>
      <c r="L837">
        <v>17.899999999999999</v>
      </c>
      <c r="M837">
        <v>18.41</v>
      </c>
      <c r="N837">
        <v>17.690000000000001</v>
      </c>
    </row>
    <row r="838" spans="1:14" x14ac:dyDescent="0.5">
      <c r="A838" t="str">
        <f>"002377"</f>
        <v>002377</v>
      </c>
      <c r="B838" t="s">
        <v>1657</v>
      </c>
      <c r="C838">
        <v>0.56999999999999995</v>
      </c>
      <c r="D838">
        <v>21.09</v>
      </c>
      <c r="E838">
        <v>5.33</v>
      </c>
      <c r="F838">
        <v>0.03</v>
      </c>
      <c r="G838">
        <v>5.32</v>
      </c>
      <c r="H838">
        <v>5.33</v>
      </c>
      <c r="I838" t="s">
        <v>1658</v>
      </c>
      <c r="J838">
        <v>3.73</v>
      </c>
      <c r="K838">
        <v>3.73</v>
      </c>
      <c r="L838">
        <v>5.27</v>
      </c>
      <c r="M838">
        <v>5.34</v>
      </c>
      <c r="N838">
        <v>5.2</v>
      </c>
    </row>
    <row r="839" spans="1:14" x14ac:dyDescent="0.5">
      <c r="A839" t="str">
        <f>"002378"</f>
        <v>002378</v>
      </c>
      <c r="B839" t="s">
        <v>1659</v>
      </c>
      <c r="C839">
        <v>-0.73</v>
      </c>
      <c r="D839">
        <v>152.18</v>
      </c>
      <c r="E839">
        <v>6.8</v>
      </c>
      <c r="F839">
        <v>-0.05</v>
      </c>
      <c r="G839">
        <v>6.8</v>
      </c>
      <c r="H839">
        <v>6.81</v>
      </c>
      <c r="I839" t="s">
        <v>1660</v>
      </c>
      <c r="J839">
        <v>2.21</v>
      </c>
      <c r="K839">
        <v>2.21</v>
      </c>
      <c r="L839">
        <v>6.71</v>
      </c>
      <c r="M839">
        <v>6.8</v>
      </c>
      <c r="N839">
        <v>6.6</v>
      </c>
    </row>
    <row r="840" spans="1:14" x14ac:dyDescent="0.5">
      <c r="A840" t="str">
        <f>"002379"</f>
        <v>002379</v>
      </c>
      <c r="B840" t="s">
        <v>1661</v>
      </c>
      <c r="C840">
        <v>6.25</v>
      </c>
      <c r="D840">
        <v>260.93</v>
      </c>
      <c r="E840">
        <v>3.74</v>
      </c>
      <c r="F840">
        <v>0.22</v>
      </c>
      <c r="G840">
        <v>3.73</v>
      </c>
      <c r="H840">
        <v>3.74</v>
      </c>
      <c r="I840" t="s">
        <v>1662</v>
      </c>
      <c r="J840">
        <v>1.94</v>
      </c>
      <c r="K840">
        <v>1.94</v>
      </c>
      <c r="L840">
        <v>3.55</v>
      </c>
      <c r="M840">
        <v>3.87</v>
      </c>
      <c r="N840">
        <v>3.51</v>
      </c>
    </row>
    <row r="841" spans="1:14" x14ac:dyDescent="0.5">
      <c r="A841" t="str">
        <f>"002380"</f>
        <v>002380</v>
      </c>
      <c r="B841" t="s">
        <v>1663</v>
      </c>
      <c r="C841">
        <v>6.97</v>
      </c>
      <c r="D841">
        <v>26.03</v>
      </c>
      <c r="E841">
        <v>13.35</v>
      </c>
      <c r="F841">
        <v>0.87</v>
      </c>
      <c r="G841">
        <v>13.34</v>
      </c>
      <c r="H841">
        <v>13.35</v>
      </c>
      <c r="I841" t="s">
        <v>1664</v>
      </c>
      <c r="J841">
        <v>4.67</v>
      </c>
      <c r="K841">
        <v>4.67</v>
      </c>
      <c r="L841">
        <v>12.48</v>
      </c>
      <c r="M841">
        <v>13.48</v>
      </c>
      <c r="N841">
        <v>12.43</v>
      </c>
    </row>
    <row r="842" spans="1:14" x14ac:dyDescent="0.5">
      <c r="A842" t="str">
        <f>"002381"</f>
        <v>002381</v>
      </c>
      <c r="B842" t="s">
        <v>1665</v>
      </c>
      <c r="C842">
        <v>2.61</v>
      </c>
      <c r="D842">
        <v>20.96</v>
      </c>
      <c r="E842">
        <v>8.64</v>
      </c>
      <c r="F842">
        <v>0.22</v>
      </c>
      <c r="G842">
        <v>8.6300000000000008</v>
      </c>
      <c r="H842">
        <v>8.64</v>
      </c>
      <c r="I842" t="s">
        <v>1666</v>
      </c>
      <c r="J842">
        <v>7.63</v>
      </c>
      <c r="K842">
        <v>7.63</v>
      </c>
      <c r="L842">
        <v>8.58</v>
      </c>
      <c r="M842">
        <v>8.9600000000000009</v>
      </c>
      <c r="N842">
        <v>8.42</v>
      </c>
    </row>
    <row r="843" spans="1:14" x14ac:dyDescent="0.5">
      <c r="A843" t="str">
        <f>"002382"</f>
        <v>002382</v>
      </c>
      <c r="B843" t="s">
        <v>1667</v>
      </c>
      <c r="C843">
        <v>1.1200000000000001</v>
      </c>
      <c r="D843">
        <v>51.04</v>
      </c>
      <c r="E843">
        <v>16.3</v>
      </c>
      <c r="F843">
        <v>0.18</v>
      </c>
      <c r="G843">
        <v>16.3</v>
      </c>
      <c r="H843">
        <v>16.309999999999999</v>
      </c>
      <c r="I843" t="s">
        <v>1668</v>
      </c>
      <c r="J843">
        <v>0.83</v>
      </c>
      <c r="K843">
        <v>0.83</v>
      </c>
      <c r="L843">
        <v>16.04</v>
      </c>
      <c r="M843">
        <v>16.32</v>
      </c>
      <c r="N843">
        <v>15.9</v>
      </c>
    </row>
    <row r="844" spans="1:14" x14ac:dyDescent="0.5">
      <c r="A844" t="str">
        <f>"002383"</f>
        <v>002383</v>
      </c>
      <c r="B844" t="s">
        <v>1669</v>
      </c>
      <c r="C844">
        <v>3.74</v>
      </c>
      <c r="D844">
        <v>23.75</v>
      </c>
      <c r="E844">
        <v>14.41</v>
      </c>
      <c r="F844">
        <v>0.52</v>
      </c>
      <c r="G844">
        <v>14.4</v>
      </c>
      <c r="H844">
        <v>14.41</v>
      </c>
      <c r="I844" t="s">
        <v>1670</v>
      </c>
      <c r="J844">
        <v>4.96</v>
      </c>
      <c r="K844">
        <v>4.96</v>
      </c>
      <c r="L844">
        <v>13.89</v>
      </c>
      <c r="M844">
        <v>14.44</v>
      </c>
      <c r="N844">
        <v>13.83</v>
      </c>
    </row>
    <row r="845" spans="1:14" x14ac:dyDescent="0.5">
      <c r="A845" t="str">
        <f>"002384"</f>
        <v>002384</v>
      </c>
      <c r="B845" t="s">
        <v>1671</v>
      </c>
      <c r="C845">
        <v>9.91</v>
      </c>
      <c r="D845">
        <v>30.92</v>
      </c>
      <c r="E845">
        <v>17.63</v>
      </c>
      <c r="F845">
        <v>1.59</v>
      </c>
      <c r="G845">
        <v>17.63</v>
      </c>
      <c r="H845">
        <v>17.64</v>
      </c>
      <c r="I845" t="s">
        <v>1672</v>
      </c>
      <c r="J845">
        <v>7.27</v>
      </c>
      <c r="K845">
        <v>7.27</v>
      </c>
      <c r="L845">
        <v>16.21</v>
      </c>
      <c r="M845">
        <v>17.64</v>
      </c>
      <c r="N845">
        <v>16.170000000000002</v>
      </c>
    </row>
    <row r="846" spans="1:14" x14ac:dyDescent="0.5">
      <c r="A846" t="str">
        <f>"002385"</f>
        <v>002385</v>
      </c>
      <c r="B846" t="s">
        <v>1673</v>
      </c>
      <c r="C846">
        <v>10.050000000000001</v>
      </c>
      <c r="D846">
        <v>19.350000000000001</v>
      </c>
      <c r="E846">
        <v>4.49</v>
      </c>
      <c r="F846">
        <v>0.41</v>
      </c>
      <c r="G846">
        <v>4.49</v>
      </c>
      <c r="H846" t="s">
        <v>24</v>
      </c>
      <c r="I846" t="s">
        <v>1674</v>
      </c>
      <c r="J846">
        <v>5.2</v>
      </c>
      <c r="K846">
        <v>5.2</v>
      </c>
      <c r="L846">
        <v>4.09</v>
      </c>
      <c r="M846">
        <v>4.49</v>
      </c>
      <c r="N846">
        <v>4.05</v>
      </c>
    </row>
    <row r="847" spans="1:14" x14ac:dyDescent="0.5">
      <c r="A847" t="str">
        <f>"002386"</f>
        <v>002386</v>
      </c>
      <c r="B847" t="s">
        <v>1675</v>
      </c>
      <c r="C847">
        <v>1.27</v>
      </c>
      <c r="D847">
        <v>29.48</v>
      </c>
      <c r="E847">
        <v>6.4</v>
      </c>
      <c r="F847">
        <v>0.08</v>
      </c>
      <c r="G847">
        <v>6.39</v>
      </c>
      <c r="H847">
        <v>6.4</v>
      </c>
      <c r="I847" t="s">
        <v>1676</v>
      </c>
      <c r="J847">
        <v>2.0499999999999998</v>
      </c>
      <c r="K847">
        <v>2.0499999999999998</v>
      </c>
      <c r="L847">
        <v>6.28</v>
      </c>
      <c r="M847">
        <v>6.41</v>
      </c>
      <c r="N847">
        <v>6.22</v>
      </c>
    </row>
    <row r="848" spans="1:14" x14ac:dyDescent="0.5">
      <c r="A848" t="str">
        <f>"002387"</f>
        <v>002387</v>
      </c>
      <c r="B848" t="s">
        <v>1677</v>
      </c>
      <c r="C848">
        <v>8.33</v>
      </c>
      <c r="D848" t="s">
        <v>24</v>
      </c>
      <c r="E848">
        <v>14.44</v>
      </c>
      <c r="F848">
        <v>1.1100000000000001</v>
      </c>
      <c r="G848">
        <v>14.44</v>
      </c>
      <c r="H848">
        <v>14.45</v>
      </c>
      <c r="I848" t="s">
        <v>1678</v>
      </c>
      <c r="J848">
        <v>10.78</v>
      </c>
      <c r="K848">
        <v>10.78</v>
      </c>
      <c r="L848">
        <v>13.07</v>
      </c>
      <c r="M848">
        <v>14.66</v>
      </c>
      <c r="N848">
        <v>12.93</v>
      </c>
    </row>
    <row r="849" spans="1:14" x14ac:dyDescent="0.5">
      <c r="A849" t="str">
        <f>"002388"</f>
        <v>002388</v>
      </c>
      <c r="B849" t="s">
        <v>1679</v>
      </c>
      <c r="C849">
        <v>5.03</v>
      </c>
      <c r="D849">
        <v>72.63</v>
      </c>
      <c r="E849">
        <v>5.85</v>
      </c>
      <c r="F849">
        <v>0.28000000000000003</v>
      </c>
      <c r="G849">
        <v>5.85</v>
      </c>
      <c r="H849">
        <v>5.86</v>
      </c>
      <c r="I849" t="s">
        <v>1680</v>
      </c>
      <c r="J849">
        <v>3.04</v>
      </c>
      <c r="K849">
        <v>3.04</v>
      </c>
      <c r="L849">
        <v>5.54</v>
      </c>
      <c r="M849">
        <v>5.87</v>
      </c>
      <c r="N849">
        <v>5.5</v>
      </c>
    </row>
    <row r="850" spans="1:14" x14ac:dyDescent="0.5">
      <c r="A850" t="str">
        <f>"002389"</f>
        <v>002389</v>
      </c>
      <c r="B850" t="s">
        <v>1681</v>
      </c>
      <c r="C850">
        <v>4.3499999999999996</v>
      </c>
      <c r="D850">
        <v>71.36</v>
      </c>
      <c r="E850">
        <v>14.86</v>
      </c>
      <c r="F850">
        <v>0.62</v>
      </c>
      <c r="G850">
        <v>14.86</v>
      </c>
      <c r="H850">
        <v>14.87</v>
      </c>
      <c r="I850" t="s">
        <v>1682</v>
      </c>
      <c r="J850">
        <v>3.53</v>
      </c>
      <c r="K850">
        <v>3.53</v>
      </c>
      <c r="L850">
        <v>14.36</v>
      </c>
      <c r="M850">
        <v>14.95</v>
      </c>
      <c r="N850">
        <v>14.35</v>
      </c>
    </row>
    <row r="851" spans="1:14" x14ac:dyDescent="0.5">
      <c r="A851" t="str">
        <f>"002390"</f>
        <v>002390</v>
      </c>
      <c r="B851" t="s">
        <v>1683</v>
      </c>
      <c r="C851">
        <v>0.74</v>
      </c>
      <c r="D851">
        <v>25.01</v>
      </c>
      <c r="E851">
        <v>5.41</v>
      </c>
      <c r="F851">
        <v>0.04</v>
      </c>
      <c r="G851">
        <v>5.4</v>
      </c>
      <c r="H851">
        <v>5.41</v>
      </c>
      <c r="I851" t="s">
        <v>1684</v>
      </c>
      <c r="J851">
        <v>1.76</v>
      </c>
      <c r="K851">
        <v>1.76</v>
      </c>
      <c r="L851">
        <v>5.27</v>
      </c>
      <c r="M851">
        <v>5.41</v>
      </c>
      <c r="N851">
        <v>5.21</v>
      </c>
    </row>
    <row r="852" spans="1:14" x14ac:dyDescent="0.5">
      <c r="A852" t="str">
        <f>"002391"</f>
        <v>002391</v>
      </c>
      <c r="B852" t="s">
        <v>1685</v>
      </c>
      <c r="C852">
        <v>2.82</v>
      </c>
      <c r="D852">
        <v>13.54</v>
      </c>
      <c r="E852">
        <v>12.38</v>
      </c>
      <c r="F852">
        <v>0.34</v>
      </c>
      <c r="G852">
        <v>12.38</v>
      </c>
      <c r="H852">
        <v>12.39</v>
      </c>
      <c r="I852" t="s">
        <v>1686</v>
      </c>
      <c r="J852">
        <v>1.93</v>
      </c>
      <c r="K852">
        <v>1.93</v>
      </c>
      <c r="L852">
        <v>12</v>
      </c>
      <c r="M852">
        <v>12.43</v>
      </c>
      <c r="N852">
        <v>11.93</v>
      </c>
    </row>
    <row r="853" spans="1:14" x14ac:dyDescent="0.5">
      <c r="A853" t="str">
        <f>"002392"</f>
        <v>002392</v>
      </c>
      <c r="B853" t="s">
        <v>1687</v>
      </c>
      <c r="C853">
        <v>1.3</v>
      </c>
      <c r="D853">
        <v>16.04</v>
      </c>
      <c r="E853">
        <v>3.91</v>
      </c>
      <c r="F853">
        <v>0.05</v>
      </c>
      <c r="G853">
        <v>3.91</v>
      </c>
      <c r="H853">
        <v>3.92</v>
      </c>
      <c r="I853" t="s">
        <v>1688</v>
      </c>
      <c r="J853">
        <v>2.61</v>
      </c>
      <c r="K853">
        <v>2.61</v>
      </c>
      <c r="L853">
        <v>3.84</v>
      </c>
      <c r="M853">
        <v>3.92</v>
      </c>
      <c r="N853">
        <v>3.8</v>
      </c>
    </row>
    <row r="854" spans="1:14" x14ac:dyDescent="0.5">
      <c r="A854" t="str">
        <f>"002393"</f>
        <v>002393</v>
      </c>
      <c r="B854" t="s">
        <v>1689</v>
      </c>
      <c r="C854">
        <v>2.36</v>
      </c>
      <c r="D854">
        <v>38.630000000000003</v>
      </c>
      <c r="E854">
        <v>26.85</v>
      </c>
      <c r="F854">
        <v>0.62</v>
      </c>
      <c r="G854">
        <v>26.85</v>
      </c>
      <c r="H854">
        <v>26.87</v>
      </c>
      <c r="I854" t="s">
        <v>1690</v>
      </c>
      <c r="J854">
        <v>1.29</v>
      </c>
      <c r="K854">
        <v>1.29</v>
      </c>
      <c r="L854">
        <v>26.3</v>
      </c>
      <c r="M854">
        <v>26.89</v>
      </c>
      <c r="N854">
        <v>26.11</v>
      </c>
    </row>
    <row r="855" spans="1:14" x14ac:dyDescent="0.5">
      <c r="A855" t="str">
        <f>"002394"</f>
        <v>002394</v>
      </c>
      <c r="B855" t="s">
        <v>1691</v>
      </c>
      <c r="C855">
        <v>0.63</v>
      </c>
      <c r="D855">
        <v>9.49</v>
      </c>
      <c r="E855">
        <v>11.15</v>
      </c>
      <c r="F855">
        <v>7.0000000000000007E-2</v>
      </c>
      <c r="G855">
        <v>11.13</v>
      </c>
      <c r="H855">
        <v>11.15</v>
      </c>
      <c r="I855" t="s">
        <v>1692</v>
      </c>
      <c r="J855">
        <v>0.83</v>
      </c>
      <c r="K855">
        <v>0.83</v>
      </c>
      <c r="L855">
        <v>11.08</v>
      </c>
      <c r="M855">
        <v>11.16</v>
      </c>
      <c r="N855">
        <v>11.05</v>
      </c>
    </row>
    <row r="856" spans="1:14" x14ac:dyDescent="0.5">
      <c r="A856" t="str">
        <f>"002395"</f>
        <v>002395</v>
      </c>
      <c r="B856" t="s">
        <v>1693</v>
      </c>
      <c r="C856">
        <v>3.2</v>
      </c>
      <c r="D856">
        <v>123.98</v>
      </c>
      <c r="E856">
        <v>15.15</v>
      </c>
      <c r="F856">
        <v>0.47</v>
      </c>
      <c r="G856">
        <v>15.15</v>
      </c>
      <c r="H856">
        <v>15.16</v>
      </c>
      <c r="I856" t="s">
        <v>1694</v>
      </c>
      <c r="J856">
        <v>1.58</v>
      </c>
      <c r="K856">
        <v>1.58</v>
      </c>
      <c r="L856">
        <v>14.75</v>
      </c>
      <c r="M856">
        <v>15.35</v>
      </c>
      <c r="N856">
        <v>14.64</v>
      </c>
    </row>
    <row r="857" spans="1:14" x14ac:dyDescent="0.5">
      <c r="A857" t="str">
        <f>"002396"</f>
        <v>002396</v>
      </c>
      <c r="B857" t="s">
        <v>1695</v>
      </c>
      <c r="C857">
        <v>2.56</v>
      </c>
      <c r="D857">
        <v>20.6</v>
      </c>
      <c r="E857">
        <v>22</v>
      </c>
      <c r="F857">
        <v>0.55000000000000004</v>
      </c>
      <c r="G857">
        <v>22</v>
      </c>
      <c r="H857">
        <v>22.01</v>
      </c>
      <c r="I857" t="s">
        <v>1696</v>
      </c>
      <c r="J857">
        <v>4.21</v>
      </c>
      <c r="K857">
        <v>4.21</v>
      </c>
      <c r="L857">
        <v>21.29</v>
      </c>
      <c r="M857">
        <v>22.02</v>
      </c>
      <c r="N857">
        <v>21.05</v>
      </c>
    </row>
    <row r="858" spans="1:14" x14ac:dyDescent="0.5">
      <c r="A858" t="str">
        <f>"002397"</f>
        <v>002397</v>
      </c>
      <c r="B858" t="s">
        <v>1697</v>
      </c>
      <c r="C858">
        <v>0.82</v>
      </c>
      <c r="D858">
        <v>50.54</v>
      </c>
      <c r="E858">
        <v>4.93</v>
      </c>
      <c r="F858">
        <v>0.04</v>
      </c>
      <c r="G858">
        <v>4.93</v>
      </c>
      <c r="H858">
        <v>4.9400000000000004</v>
      </c>
      <c r="I858" t="s">
        <v>1698</v>
      </c>
      <c r="J858">
        <v>1.3</v>
      </c>
      <c r="K858">
        <v>1.3</v>
      </c>
      <c r="L858">
        <v>4.88</v>
      </c>
      <c r="M858">
        <v>4.95</v>
      </c>
      <c r="N858">
        <v>4.8499999999999996</v>
      </c>
    </row>
    <row r="859" spans="1:14" x14ac:dyDescent="0.5">
      <c r="A859" t="str">
        <f>"002398"</f>
        <v>002398</v>
      </c>
      <c r="B859" t="s">
        <v>1699</v>
      </c>
      <c r="C859">
        <v>4.57</v>
      </c>
      <c r="D859">
        <v>13.85</v>
      </c>
      <c r="E859">
        <v>5.49</v>
      </c>
      <c r="F859">
        <v>0.24</v>
      </c>
      <c r="G859">
        <v>5.48</v>
      </c>
      <c r="H859">
        <v>5.49</v>
      </c>
      <c r="I859" t="s">
        <v>1700</v>
      </c>
      <c r="J859">
        <v>3.57</v>
      </c>
      <c r="K859">
        <v>3.57</v>
      </c>
      <c r="L859">
        <v>5.26</v>
      </c>
      <c r="M859">
        <v>5.53</v>
      </c>
      <c r="N859">
        <v>5.21</v>
      </c>
    </row>
    <row r="860" spans="1:14" x14ac:dyDescent="0.5">
      <c r="A860" t="str">
        <f>"002399"</f>
        <v>002399</v>
      </c>
      <c r="B860" t="s">
        <v>1701</v>
      </c>
      <c r="C860">
        <v>1.75</v>
      </c>
      <c r="D860">
        <v>57.4</v>
      </c>
      <c r="E860">
        <v>24.4</v>
      </c>
      <c r="F860">
        <v>0.42</v>
      </c>
      <c r="G860">
        <v>24.4</v>
      </c>
      <c r="H860">
        <v>24.41</v>
      </c>
      <c r="I860" t="s">
        <v>1702</v>
      </c>
      <c r="J860">
        <v>0.53</v>
      </c>
      <c r="K860">
        <v>0.53</v>
      </c>
      <c r="L860">
        <v>24.15</v>
      </c>
      <c r="M860">
        <v>24.52</v>
      </c>
      <c r="N860">
        <v>23.95</v>
      </c>
    </row>
    <row r="861" spans="1:14" x14ac:dyDescent="0.5">
      <c r="A861" t="str">
        <f>"002400"</f>
        <v>002400</v>
      </c>
      <c r="B861" t="s">
        <v>1703</v>
      </c>
      <c r="C861">
        <v>3.37</v>
      </c>
      <c r="D861" t="s">
        <v>24</v>
      </c>
      <c r="E861">
        <v>3.68</v>
      </c>
      <c r="F861">
        <v>0.12</v>
      </c>
      <c r="G861">
        <v>3.67</v>
      </c>
      <c r="H861">
        <v>3.68</v>
      </c>
      <c r="I861" t="s">
        <v>1704</v>
      </c>
      <c r="J861">
        <v>5.24</v>
      </c>
      <c r="K861">
        <v>5.24</v>
      </c>
      <c r="L861">
        <v>3.59</v>
      </c>
      <c r="M861">
        <v>3.69</v>
      </c>
      <c r="N861">
        <v>3.53</v>
      </c>
    </row>
    <row r="862" spans="1:14" x14ac:dyDescent="0.5">
      <c r="A862" t="str">
        <f>"002401"</f>
        <v>002401</v>
      </c>
      <c r="B862" t="s">
        <v>1705</v>
      </c>
      <c r="C862">
        <v>2.57</v>
      </c>
      <c r="D862">
        <v>40.1</v>
      </c>
      <c r="E862">
        <v>11.16</v>
      </c>
      <c r="F862">
        <v>0.28000000000000003</v>
      </c>
      <c r="G862">
        <v>11.14</v>
      </c>
      <c r="H862">
        <v>11.16</v>
      </c>
      <c r="I862" t="s">
        <v>1706</v>
      </c>
      <c r="J862">
        <v>4.34</v>
      </c>
      <c r="K862">
        <v>4.34</v>
      </c>
      <c r="L862">
        <v>10.73</v>
      </c>
      <c r="M862">
        <v>11.22</v>
      </c>
      <c r="N862">
        <v>10.7</v>
      </c>
    </row>
    <row r="863" spans="1:14" x14ac:dyDescent="0.5">
      <c r="A863" t="str">
        <f>"002402"</f>
        <v>002402</v>
      </c>
      <c r="B863" t="s">
        <v>1707</v>
      </c>
      <c r="C863">
        <v>7.04</v>
      </c>
      <c r="D863">
        <v>34.15</v>
      </c>
      <c r="E863">
        <v>9.2799999999999994</v>
      </c>
      <c r="F863">
        <v>0.61</v>
      </c>
      <c r="G863">
        <v>9.2799999999999994</v>
      </c>
      <c r="H863">
        <v>9.2899999999999991</v>
      </c>
      <c r="I863" t="s">
        <v>1708</v>
      </c>
      <c r="J863">
        <v>4.7699999999999996</v>
      </c>
      <c r="K863">
        <v>4.7699999999999996</v>
      </c>
      <c r="L863">
        <v>8.65</v>
      </c>
      <c r="M863">
        <v>9.36</v>
      </c>
      <c r="N863">
        <v>8.6</v>
      </c>
    </row>
    <row r="864" spans="1:14" x14ac:dyDescent="0.5">
      <c r="A864" t="str">
        <f>"002403"</f>
        <v>002403</v>
      </c>
      <c r="B864" t="s">
        <v>1709</v>
      </c>
      <c r="C864">
        <v>3.9</v>
      </c>
      <c r="D864">
        <v>18.64</v>
      </c>
      <c r="E864">
        <v>9.6</v>
      </c>
      <c r="F864">
        <v>0.36</v>
      </c>
      <c r="G864">
        <v>9.6</v>
      </c>
      <c r="H864">
        <v>9.61</v>
      </c>
      <c r="I864" t="s">
        <v>1149</v>
      </c>
      <c r="J864">
        <v>2.48</v>
      </c>
      <c r="K864">
        <v>2.48</v>
      </c>
      <c r="L864">
        <v>9.27</v>
      </c>
      <c r="M864">
        <v>9.65</v>
      </c>
      <c r="N864">
        <v>9.27</v>
      </c>
    </row>
    <row r="865" spans="1:14" x14ac:dyDescent="0.5">
      <c r="A865" t="str">
        <f>"002404"</f>
        <v>002404</v>
      </c>
      <c r="B865" t="s">
        <v>1710</v>
      </c>
      <c r="C865">
        <v>2.94</v>
      </c>
      <c r="D865">
        <v>28.74</v>
      </c>
      <c r="E865">
        <v>6.66</v>
      </c>
      <c r="F865">
        <v>0.19</v>
      </c>
      <c r="G865">
        <v>6.65</v>
      </c>
      <c r="H865">
        <v>6.66</v>
      </c>
      <c r="I865" t="s">
        <v>1711</v>
      </c>
      <c r="J865">
        <v>1.64</v>
      </c>
      <c r="K865">
        <v>1.64</v>
      </c>
      <c r="L865">
        <v>6.54</v>
      </c>
      <c r="M865">
        <v>6.66</v>
      </c>
      <c r="N865">
        <v>6.49</v>
      </c>
    </row>
    <row r="866" spans="1:14" x14ac:dyDescent="0.5">
      <c r="A866" t="str">
        <f>"002405"</f>
        <v>002405</v>
      </c>
      <c r="B866" t="s">
        <v>1712</v>
      </c>
      <c r="C866">
        <v>5.2</v>
      </c>
      <c r="D866">
        <v>91.78</v>
      </c>
      <c r="E866">
        <v>24.07</v>
      </c>
      <c r="F866">
        <v>1.19</v>
      </c>
      <c r="G866">
        <v>24.06</v>
      </c>
      <c r="H866">
        <v>24.07</v>
      </c>
      <c r="I866" t="s">
        <v>1713</v>
      </c>
      <c r="J866">
        <v>8.01</v>
      </c>
      <c r="K866">
        <v>8.01</v>
      </c>
      <c r="L866">
        <v>22.5</v>
      </c>
      <c r="M866">
        <v>24.1</v>
      </c>
      <c r="N866">
        <v>22.19</v>
      </c>
    </row>
    <row r="867" spans="1:14" x14ac:dyDescent="0.5">
      <c r="A867" t="str">
        <f>"002406"</f>
        <v>002406</v>
      </c>
      <c r="B867" t="s">
        <v>1714</v>
      </c>
      <c r="C867">
        <v>0.6</v>
      </c>
      <c r="D867">
        <v>13.58</v>
      </c>
      <c r="E867">
        <v>6.66</v>
      </c>
      <c r="F867">
        <v>0.04</v>
      </c>
      <c r="G867">
        <v>6.65</v>
      </c>
      <c r="H867">
        <v>6.66</v>
      </c>
      <c r="I867" t="s">
        <v>1715</v>
      </c>
      <c r="J867">
        <v>2.37</v>
      </c>
      <c r="K867">
        <v>2.37</v>
      </c>
      <c r="L867">
        <v>6.54</v>
      </c>
      <c r="M867">
        <v>6.68</v>
      </c>
      <c r="N867">
        <v>6.5</v>
      </c>
    </row>
    <row r="868" spans="1:14" x14ac:dyDescent="0.5">
      <c r="A868" t="str">
        <f>"002407"</f>
        <v>002407</v>
      </c>
      <c r="B868" t="s">
        <v>1716</v>
      </c>
      <c r="C868">
        <v>0.88</v>
      </c>
      <c r="D868">
        <v>46.64</v>
      </c>
      <c r="E868">
        <v>14.93</v>
      </c>
      <c r="F868">
        <v>0.13</v>
      </c>
      <c r="G868">
        <v>14.93</v>
      </c>
      <c r="H868">
        <v>14.94</v>
      </c>
      <c r="I868" t="s">
        <v>1717</v>
      </c>
      <c r="J868">
        <v>4.97</v>
      </c>
      <c r="K868">
        <v>4.97</v>
      </c>
      <c r="L868">
        <v>14.7</v>
      </c>
      <c r="M868">
        <v>14.97</v>
      </c>
      <c r="N868">
        <v>14.44</v>
      </c>
    </row>
    <row r="869" spans="1:14" x14ac:dyDescent="0.5">
      <c r="A869" t="str">
        <f>"002408"</f>
        <v>002408</v>
      </c>
      <c r="B869" t="s">
        <v>1718</v>
      </c>
      <c r="C869">
        <v>1.53</v>
      </c>
      <c r="D869">
        <v>14.13</v>
      </c>
      <c r="E869">
        <v>7.96</v>
      </c>
      <c r="F869">
        <v>0.12</v>
      </c>
      <c r="G869">
        <v>7.95</v>
      </c>
      <c r="H869">
        <v>7.96</v>
      </c>
      <c r="I869" t="s">
        <v>1719</v>
      </c>
      <c r="J869">
        <v>1.95</v>
      </c>
      <c r="K869">
        <v>1.95</v>
      </c>
      <c r="L869">
        <v>7.81</v>
      </c>
      <c r="M869">
        <v>7.97</v>
      </c>
      <c r="N869">
        <v>7.75</v>
      </c>
    </row>
    <row r="870" spans="1:14" x14ac:dyDescent="0.5">
      <c r="A870" t="str">
        <f>"002409"</f>
        <v>002409</v>
      </c>
      <c r="B870" t="s">
        <v>1720</v>
      </c>
      <c r="C870">
        <v>6.35</v>
      </c>
      <c r="D870">
        <v>79.599999999999994</v>
      </c>
      <c r="E870">
        <v>18.260000000000002</v>
      </c>
      <c r="F870">
        <v>1.0900000000000001</v>
      </c>
      <c r="G870">
        <v>18.260000000000002</v>
      </c>
      <c r="H870">
        <v>18.27</v>
      </c>
      <c r="I870" t="s">
        <v>1721</v>
      </c>
      <c r="J870">
        <v>4.87</v>
      </c>
      <c r="K870">
        <v>4.87</v>
      </c>
      <c r="L870">
        <v>17.100000000000001</v>
      </c>
      <c r="M870">
        <v>18.28</v>
      </c>
      <c r="N870">
        <v>17.010000000000002</v>
      </c>
    </row>
    <row r="871" spans="1:14" x14ac:dyDescent="0.5">
      <c r="A871" t="str">
        <f>"002410"</f>
        <v>002410</v>
      </c>
      <c r="B871" t="s">
        <v>1722</v>
      </c>
      <c r="C871">
        <v>1.91</v>
      </c>
      <c r="D871">
        <v>62.14</v>
      </c>
      <c r="E871">
        <v>27.72</v>
      </c>
      <c r="F871">
        <v>0.52</v>
      </c>
      <c r="G871">
        <v>27.71</v>
      </c>
      <c r="H871">
        <v>27.72</v>
      </c>
      <c r="I871" t="s">
        <v>1723</v>
      </c>
      <c r="J871">
        <v>1.26</v>
      </c>
      <c r="K871">
        <v>1.26</v>
      </c>
      <c r="L871">
        <v>27.19</v>
      </c>
      <c r="M871">
        <v>27.72</v>
      </c>
      <c r="N871">
        <v>26.97</v>
      </c>
    </row>
    <row r="872" spans="1:14" x14ac:dyDescent="0.5">
      <c r="A872" t="str">
        <f>"002411"</f>
        <v>002411</v>
      </c>
      <c r="B872" t="s">
        <v>1724</v>
      </c>
      <c r="C872">
        <v>1.44</v>
      </c>
      <c r="D872">
        <v>36.53</v>
      </c>
      <c r="E872">
        <v>22.59</v>
      </c>
      <c r="F872">
        <v>0.32</v>
      </c>
      <c r="G872">
        <v>22.59</v>
      </c>
      <c r="H872">
        <v>22.6</v>
      </c>
      <c r="I872" t="s">
        <v>1725</v>
      </c>
      <c r="J872">
        <v>2.7</v>
      </c>
      <c r="K872">
        <v>2.7</v>
      </c>
      <c r="L872">
        <v>21.99</v>
      </c>
      <c r="M872">
        <v>23.29</v>
      </c>
      <c r="N872">
        <v>21.59</v>
      </c>
    </row>
    <row r="873" spans="1:14" x14ac:dyDescent="0.5">
      <c r="A873" t="str">
        <f>"002412"</f>
        <v>002412</v>
      </c>
      <c r="B873" t="s">
        <v>1726</v>
      </c>
      <c r="C873">
        <v>0.71</v>
      </c>
      <c r="D873">
        <v>35.32</v>
      </c>
      <c r="E873">
        <v>15.56</v>
      </c>
      <c r="F873">
        <v>0.11</v>
      </c>
      <c r="G873">
        <v>15.55</v>
      </c>
      <c r="H873">
        <v>15.56</v>
      </c>
      <c r="I873" t="s">
        <v>1595</v>
      </c>
      <c r="J873">
        <v>0.3</v>
      </c>
      <c r="K873">
        <v>0.3</v>
      </c>
      <c r="L873">
        <v>15.45</v>
      </c>
      <c r="M873">
        <v>15.59</v>
      </c>
      <c r="N873">
        <v>15.36</v>
      </c>
    </row>
    <row r="874" spans="1:14" x14ac:dyDescent="0.5">
      <c r="A874" t="str">
        <f>"002413"</f>
        <v>002413</v>
      </c>
      <c r="B874" t="s">
        <v>1727</v>
      </c>
      <c r="C874">
        <v>6.7</v>
      </c>
      <c r="D874">
        <v>51.02</v>
      </c>
      <c r="E874">
        <v>7.33</v>
      </c>
      <c r="F874">
        <v>0.46</v>
      </c>
      <c r="G874">
        <v>7.33</v>
      </c>
      <c r="H874">
        <v>7.34</v>
      </c>
      <c r="I874" t="s">
        <v>1728</v>
      </c>
      <c r="J874">
        <v>5.61</v>
      </c>
      <c r="K874">
        <v>5.61</v>
      </c>
      <c r="L874">
        <v>6.84</v>
      </c>
      <c r="M874">
        <v>7.5</v>
      </c>
      <c r="N874">
        <v>6.75</v>
      </c>
    </row>
    <row r="875" spans="1:14" x14ac:dyDescent="0.5">
      <c r="A875" t="str">
        <f>"002414"</f>
        <v>002414</v>
      </c>
      <c r="B875" t="s">
        <v>1729</v>
      </c>
      <c r="C875">
        <v>1.92</v>
      </c>
      <c r="D875">
        <v>148.25</v>
      </c>
      <c r="E875">
        <v>27.12</v>
      </c>
      <c r="F875">
        <v>0.51</v>
      </c>
      <c r="G875">
        <v>27.11</v>
      </c>
      <c r="H875">
        <v>27.12</v>
      </c>
      <c r="I875" t="s">
        <v>1730</v>
      </c>
      <c r="J875">
        <v>1.38</v>
      </c>
      <c r="K875">
        <v>1.38</v>
      </c>
      <c r="L875">
        <v>26.4</v>
      </c>
      <c r="M875">
        <v>27.24</v>
      </c>
      <c r="N875">
        <v>26.2</v>
      </c>
    </row>
    <row r="876" spans="1:14" x14ac:dyDescent="0.5">
      <c r="A876" t="str">
        <f>"002415"</f>
        <v>002415</v>
      </c>
      <c r="B876" t="s">
        <v>1731</v>
      </c>
      <c r="C876">
        <v>-0.47</v>
      </c>
      <c r="D876">
        <v>30.44</v>
      </c>
      <c r="E876">
        <v>35.78</v>
      </c>
      <c r="F876">
        <v>-0.17</v>
      </c>
      <c r="G876">
        <v>35.78</v>
      </c>
      <c r="H876">
        <v>35.79</v>
      </c>
      <c r="I876" t="s">
        <v>1732</v>
      </c>
      <c r="J876">
        <v>0.61</v>
      </c>
      <c r="K876">
        <v>0.61</v>
      </c>
      <c r="L876">
        <v>35.6</v>
      </c>
      <c r="M876">
        <v>36.08</v>
      </c>
      <c r="N876">
        <v>35.35</v>
      </c>
    </row>
    <row r="877" spans="1:14" x14ac:dyDescent="0.5">
      <c r="A877" t="str">
        <f>"002416"</f>
        <v>002416</v>
      </c>
      <c r="B877" t="s">
        <v>1733</v>
      </c>
      <c r="C877">
        <v>5.17</v>
      </c>
      <c r="D877">
        <v>25.29</v>
      </c>
      <c r="E877">
        <v>6.31</v>
      </c>
      <c r="F877">
        <v>0.31</v>
      </c>
      <c r="G877">
        <v>6.31</v>
      </c>
      <c r="H877">
        <v>6.32</v>
      </c>
      <c r="I877" t="s">
        <v>1734</v>
      </c>
      <c r="J877">
        <v>1.43</v>
      </c>
      <c r="K877">
        <v>1.43</v>
      </c>
      <c r="L877">
        <v>6</v>
      </c>
      <c r="M877">
        <v>6.34</v>
      </c>
      <c r="N877">
        <v>6</v>
      </c>
    </row>
    <row r="878" spans="1:14" x14ac:dyDescent="0.5">
      <c r="A878" t="str">
        <f>"002417"</f>
        <v>002417</v>
      </c>
      <c r="B878" t="s">
        <v>1735</v>
      </c>
      <c r="C878">
        <v>2.4500000000000002</v>
      </c>
      <c r="D878" t="s">
        <v>24</v>
      </c>
      <c r="E878">
        <v>9.19</v>
      </c>
      <c r="F878">
        <v>0.22</v>
      </c>
      <c r="G878">
        <v>9.19</v>
      </c>
      <c r="H878">
        <v>9.1999999999999993</v>
      </c>
      <c r="I878" t="s">
        <v>1736</v>
      </c>
      <c r="J878">
        <v>5.58</v>
      </c>
      <c r="K878">
        <v>5.58</v>
      </c>
      <c r="L878">
        <v>8.91</v>
      </c>
      <c r="M878">
        <v>9.19</v>
      </c>
      <c r="N878">
        <v>8.7799999999999994</v>
      </c>
    </row>
    <row r="879" spans="1:14" x14ac:dyDescent="0.5">
      <c r="A879" t="str">
        <f>"002418"</f>
        <v>002418</v>
      </c>
      <c r="B879" t="s">
        <v>1737</v>
      </c>
      <c r="C879">
        <v>2.12</v>
      </c>
      <c r="D879" t="s">
        <v>24</v>
      </c>
      <c r="E879">
        <v>4.33</v>
      </c>
      <c r="F879">
        <v>0.09</v>
      </c>
      <c r="G879">
        <v>4.32</v>
      </c>
      <c r="H879">
        <v>4.33</v>
      </c>
      <c r="I879" t="s">
        <v>1738</v>
      </c>
      <c r="J879">
        <v>7.11</v>
      </c>
      <c r="K879">
        <v>7.11</v>
      </c>
      <c r="L879">
        <v>4.13</v>
      </c>
      <c r="M879">
        <v>4.33</v>
      </c>
      <c r="N879">
        <v>4.09</v>
      </c>
    </row>
    <row r="880" spans="1:14" x14ac:dyDescent="0.5">
      <c r="A880" t="str">
        <f>"002419"</f>
        <v>002419</v>
      </c>
      <c r="B880" t="s">
        <v>1739</v>
      </c>
      <c r="C880">
        <v>0.24</v>
      </c>
      <c r="D880">
        <v>16.350000000000001</v>
      </c>
      <c r="E880">
        <v>12.67</v>
      </c>
      <c r="F880">
        <v>0.03</v>
      </c>
      <c r="G880">
        <v>12.67</v>
      </c>
      <c r="H880">
        <v>12.68</v>
      </c>
      <c r="I880" t="s">
        <v>1740</v>
      </c>
      <c r="J880">
        <v>1.2</v>
      </c>
      <c r="K880">
        <v>1.2</v>
      </c>
      <c r="L880">
        <v>12.73</v>
      </c>
      <c r="M880">
        <v>13.01</v>
      </c>
      <c r="N880">
        <v>12.4</v>
      </c>
    </row>
    <row r="881" spans="1:14" x14ac:dyDescent="0.5">
      <c r="A881" t="str">
        <f>"002420"</f>
        <v>002420</v>
      </c>
      <c r="B881" t="s">
        <v>1741</v>
      </c>
      <c r="C881">
        <v>10.1</v>
      </c>
      <c r="D881" t="s">
        <v>24</v>
      </c>
      <c r="E881">
        <v>4.47</v>
      </c>
      <c r="F881">
        <v>0.41</v>
      </c>
      <c r="G881">
        <v>4.47</v>
      </c>
      <c r="H881" t="s">
        <v>24</v>
      </c>
      <c r="I881" t="s">
        <v>1742</v>
      </c>
      <c r="J881">
        <v>3.21</v>
      </c>
      <c r="K881">
        <v>3.21</v>
      </c>
      <c r="L881">
        <v>4.46</v>
      </c>
      <c r="M881">
        <v>4.47</v>
      </c>
      <c r="N881">
        <v>4.28</v>
      </c>
    </row>
    <row r="882" spans="1:14" x14ac:dyDescent="0.5">
      <c r="A882" t="str">
        <f>"002421"</f>
        <v>002421</v>
      </c>
      <c r="B882" t="s">
        <v>1743</v>
      </c>
      <c r="C882">
        <v>10.050000000000001</v>
      </c>
      <c r="D882">
        <v>30.41</v>
      </c>
      <c r="E882">
        <v>4.82</v>
      </c>
      <c r="F882">
        <v>0.44</v>
      </c>
      <c r="G882">
        <v>4.82</v>
      </c>
      <c r="H882" t="s">
        <v>24</v>
      </c>
      <c r="I882" t="s">
        <v>1744</v>
      </c>
      <c r="J882">
        <v>5.53</v>
      </c>
      <c r="K882">
        <v>5.53</v>
      </c>
      <c r="L882">
        <v>4.38</v>
      </c>
      <c r="M882">
        <v>4.82</v>
      </c>
      <c r="N882">
        <v>4.3099999999999996</v>
      </c>
    </row>
    <row r="883" spans="1:14" x14ac:dyDescent="0.5">
      <c r="A883" t="str">
        <f>"002422"</f>
        <v>002422</v>
      </c>
      <c r="B883" t="s">
        <v>1745</v>
      </c>
      <c r="C883">
        <v>2.5099999999999998</v>
      </c>
      <c r="D883">
        <v>24.84</v>
      </c>
      <c r="E883">
        <v>24.49</v>
      </c>
      <c r="F883">
        <v>0.6</v>
      </c>
      <c r="G883">
        <v>24.49</v>
      </c>
      <c r="H883">
        <v>24.5</v>
      </c>
      <c r="I883" t="s">
        <v>1746</v>
      </c>
      <c r="J883">
        <v>2.06</v>
      </c>
      <c r="K883">
        <v>2.06</v>
      </c>
      <c r="L883">
        <v>23.9</v>
      </c>
      <c r="M883">
        <v>24.49</v>
      </c>
      <c r="N883">
        <v>23.8</v>
      </c>
    </row>
    <row r="884" spans="1:14" x14ac:dyDescent="0.5">
      <c r="A884" t="str">
        <f>"002423"</f>
        <v>002423</v>
      </c>
      <c r="B884" t="s">
        <v>1747</v>
      </c>
      <c r="C884">
        <v>-1.93</v>
      </c>
      <c r="D884" t="s">
        <v>24</v>
      </c>
      <c r="E884">
        <v>13.22</v>
      </c>
      <c r="F884">
        <v>-0.26</v>
      </c>
      <c r="G884">
        <v>13.22</v>
      </c>
      <c r="H884">
        <v>13.23</v>
      </c>
      <c r="I884" t="s">
        <v>1748</v>
      </c>
      <c r="J884">
        <v>6.49</v>
      </c>
      <c r="K884">
        <v>6.49</v>
      </c>
      <c r="L884">
        <v>12.74</v>
      </c>
      <c r="M884">
        <v>13.3</v>
      </c>
      <c r="N884">
        <v>12.52</v>
      </c>
    </row>
    <row r="885" spans="1:14" x14ac:dyDescent="0.5">
      <c r="A885" t="str">
        <f>"002424"</f>
        <v>002424</v>
      </c>
      <c r="B885" t="s">
        <v>1749</v>
      </c>
      <c r="C885">
        <v>0.59</v>
      </c>
      <c r="D885">
        <v>25.35</v>
      </c>
      <c r="E885">
        <v>10.27</v>
      </c>
      <c r="F885">
        <v>0.06</v>
      </c>
      <c r="G885">
        <v>10.27</v>
      </c>
      <c r="H885">
        <v>10.28</v>
      </c>
      <c r="I885" t="s">
        <v>1750</v>
      </c>
      <c r="J885">
        <v>1.52</v>
      </c>
      <c r="K885">
        <v>1.52</v>
      </c>
      <c r="L885">
        <v>10.09</v>
      </c>
      <c r="M885">
        <v>10.28</v>
      </c>
      <c r="N885">
        <v>10.029999999999999</v>
      </c>
    </row>
    <row r="886" spans="1:14" x14ac:dyDescent="0.5">
      <c r="A886" t="str">
        <f>"002425"</f>
        <v>002425</v>
      </c>
      <c r="B886" t="s">
        <v>1751</v>
      </c>
      <c r="C886">
        <v>1.1599999999999999</v>
      </c>
      <c r="D886">
        <v>19.21</v>
      </c>
      <c r="E886">
        <v>6.99</v>
      </c>
      <c r="F886">
        <v>0.08</v>
      </c>
      <c r="G886">
        <v>6.98</v>
      </c>
      <c r="H886">
        <v>6.99</v>
      </c>
      <c r="I886" t="s">
        <v>1752</v>
      </c>
      <c r="J886">
        <v>2.2200000000000002</v>
      </c>
      <c r="K886">
        <v>2.2200000000000002</v>
      </c>
      <c r="L886">
        <v>6.88</v>
      </c>
      <c r="M886">
        <v>7.05</v>
      </c>
      <c r="N886">
        <v>6.83</v>
      </c>
    </row>
    <row r="887" spans="1:14" x14ac:dyDescent="0.5">
      <c r="A887" t="str">
        <f>"002426"</f>
        <v>002426</v>
      </c>
      <c r="B887" t="s">
        <v>1753</v>
      </c>
      <c r="C887">
        <v>9.94</v>
      </c>
      <c r="D887">
        <v>31.56</v>
      </c>
      <c r="E887">
        <v>3.87</v>
      </c>
      <c r="F887">
        <v>0.35</v>
      </c>
      <c r="G887">
        <v>3.87</v>
      </c>
      <c r="H887" t="s">
        <v>24</v>
      </c>
      <c r="I887" t="s">
        <v>1754</v>
      </c>
      <c r="J887">
        <v>4.7300000000000004</v>
      </c>
      <c r="K887">
        <v>4.7300000000000004</v>
      </c>
      <c r="L887">
        <v>3.52</v>
      </c>
      <c r="M887">
        <v>3.87</v>
      </c>
      <c r="N887">
        <v>3.45</v>
      </c>
    </row>
    <row r="888" spans="1:14" x14ac:dyDescent="0.5">
      <c r="A888" t="str">
        <f>"002427"</f>
        <v>002427</v>
      </c>
      <c r="B888" t="s">
        <v>1755</v>
      </c>
      <c r="C888">
        <v>-1.3</v>
      </c>
      <c r="D888">
        <v>45.68</v>
      </c>
      <c r="E888">
        <v>14.44</v>
      </c>
      <c r="F888">
        <v>-0.19</v>
      </c>
      <c r="G888">
        <v>14.42</v>
      </c>
      <c r="H888">
        <v>14.44</v>
      </c>
      <c r="I888" t="s">
        <v>1756</v>
      </c>
      <c r="J888">
        <v>0.89</v>
      </c>
      <c r="K888">
        <v>0.89</v>
      </c>
      <c r="L888">
        <v>14.6</v>
      </c>
      <c r="M888">
        <v>14.79</v>
      </c>
      <c r="N888">
        <v>14.27</v>
      </c>
    </row>
    <row r="889" spans="1:14" x14ac:dyDescent="0.5">
      <c r="A889" t="str">
        <f>"002428"</f>
        <v>002428</v>
      </c>
      <c r="B889" t="s">
        <v>1757</v>
      </c>
      <c r="C889">
        <v>2.62</v>
      </c>
      <c r="D889">
        <v>362.12</v>
      </c>
      <c r="E889">
        <v>7.84</v>
      </c>
      <c r="F889">
        <v>0.2</v>
      </c>
      <c r="G889">
        <v>7.84</v>
      </c>
      <c r="H889">
        <v>7.85</v>
      </c>
      <c r="I889" t="s">
        <v>1758</v>
      </c>
      <c r="J889">
        <v>6.38</v>
      </c>
      <c r="K889">
        <v>6.38</v>
      </c>
      <c r="L889">
        <v>7.55</v>
      </c>
      <c r="M889">
        <v>7.85</v>
      </c>
      <c r="N889">
        <v>7.49</v>
      </c>
    </row>
    <row r="890" spans="1:14" x14ac:dyDescent="0.5">
      <c r="A890" t="str">
        <f>"002429"</f>
        <v>002429</v>
      </c>
      <c r="B890" t="s">
        <v>1759</v>
      </c>
      <c r="C890">
        <v>9.9700000000000006</v>
      </c>
      <c r="D890">
        <v>26.97</v>
      </c>
      <c r="E890">
        <v>3.2</v>
      </c>
      <c r="F890">
        <v>0.28999999999999998</v>
      </c>
      <c r="G890">
        <v>3.2</v>
      </c>
      <c r="H890" t="s">
        <v>24</v>
      </c>
      <c r="I890" t="s">
        <v>1760</v>
      </c>
      <c r="J890">
        <v>4.66</v>
      </c>
      <c r="K890">
        <v>4.66</v>
      </c>
      <c r="L890">
        <v>2.9</v>
      </c>
      <c r="M890">
        <v>3.2</v>
      </c>
      <c r="N890">
        <v>2.85</v>
      </c>
    </row>
    <row r="891" spans="1:14" x14ac:dyDescent="0.5">
      <c r="A891" t="str">
        <f>"002430"</f>
        <v>002430</v>
      </c>
      <c r="B891" t="s">
        <v>1761</v>
      </c>
      <c r="C891">
        <v>1.66</v>
      </c>
      <c r="D891">
        <v>15.84</v>
      </c>
      <c r="E891">
        <v>11.62</v>
      </c>
      <c r="F891">
        <v>0.19</v>
      </c>
      <c r="G891">
        <v>11.62</v>
      </c>
      <c r="H891">
        <v>11.63</v>
      </c>
      <c r="I891" t="s">
        <v>1762</v>
      </c>
      <c r="J891">
        <v>1.6</v>
      </c>
      <c r="K891">
        <v>1.6</v>
      </c>
      <c r="L891">
        <v>11.42</v>
      </c>
      <c r="M891">
        <v>11.62</v>
      </c>
      <c r="N891">
        <v>11.31</v>
      </c>
    </row>
    <row r="892" spans="1:14" x14ac:dyDescent="0.5">
      <c r="A892" t="str">
        <f>"002431"</f>
        <v>002431</v>
      </c>
      <c r="B892" t="s">
        <v>1763</v>
      </c>
      <c r="C892">
        <v>3.03</v>
      </c>
      <c r="D892">
        <v>48.43</v>
      </c>
      <c r="E892">
        <v>4.76</v>
      </c>
      <c r="F892">
        <v>0.14000000000000001</v>
      </c>
      <c r="G892">
        <v>4.76</v>
      </c>
      <c r="H892">
        <v>4.7699999999999996</v>
      </c>
      <c r="I892" t="s">
        <v>1764</v>
      </c>
      <c r="J892">
        <v>4.08</v>
      </c>
      <c r="K892">
        <v>4.08</v>
      </c>
      <c r="L892">
        <v>4.62</v>
      </c>
      <c r="M892">
        <v>4.76</v>
      </c>
      <c r="N892">
        <v>4.58</v>
      </c>
    </row>
    <row r="893" spans="1:14" x14ac:dyDescent="0.5">
      <c r="A893" t="str">
        <f>"002432"</f>
        <v>002432</v>
      </c>
      <c r="B893" t="s">
        <v>1765</v>
      </c>
      <c r="C893">
        <v>4.4400000000000004</v>
      </c>
      <c r="D893" t="s">
        <v>24</v>
      </c>
      <c r="E893">
        <v>6.82</v>
      </c>
      <c r="F893">
        <v>0.28999999999999998</v>
      </c>
      <c r="G893">
        <v>6.81</v>
      </c>
      <c r="H893">
        <v>6.82</v>
      </c>
      <c r="I893" t="s">
        <v>1766</v>
      </c>
      <c r="J893">
        <v>5.85</v>
      </c>
      <c r="K893">
        <v>5.85</v>
      </c>
      <c r="L893">
        <v>6.45</v>
      </c>
      <c r="M893">
        <v>6.83</v>
      </c>
      <c r="N893">
        <v>6.4</v>
      </c>
    </row>
    <row r="894" spans="1:14" x14ac:dyDescent="0.5">
      <c r="A894" t="str">
        <f>"002433"</f>
        <v>002433</v>
      </c>
      <c r="B894" t="s">
        <v>1767</v>
      </c>
      <c r="C894">
        <v>3.16</v>
      </c>
      <c r="D894">
        <v>17.87</v>
      </c>
      <c r="E894">
        <v>5.87</v>
      </c>
      <c r="F894">
        <v>0.18</v>
      </c>
      <c r="G894">
        <v>5.87</v>
      </c>
      <c r="H894">
        <v>5.88</v>
      </c>
      <c r="I894" t="s">
        <v>1768</v>
      </c>
      <c r="J894">
        <v>1.64</v>
      </c>
      <c r="K894">
        <v>1.64</v>
      </c>
      <c r="L894">
        <v>5.68</v>
      </c>
      <c r="M894">
        <v>5.88</v>
      </c>
      <c r="N894">
        <v>5.65</v>
      </c>
    </row>
    <row r="895" spans="1:14" x14ac:dyDescent="0.5">
      <c r="A895" t="str">
        <f>"002434"</f>
        <v>002434</v>
      </c>
      <c r="B895" t="s">
        <v>1769</v>
      </c>
      <c r="C895">
        <v>1.61</v>
      </c>
      <c r="D895">
        <v>21.2</v>
      </c>
      <c r="E895">
        <v>6.96</v>
      </c>
      <c r="F895">
        <v>0.11</v>
      </c>
      <c r="G895">
        <v>6.96</v>
      </c>
      <c r="H895">
        <v>6.97</v>
      </c>
      <c r="I895" t="s">
        <v>93</v>
      </c>
      <c r="J895">
        <v>0.75</v>
      </c>
      <c r="K895">
        <v>0.75</v>
      </c>
      <c r="L895">
        <v>6.84</v>
      </c>
      <c r="M895">
        <v>6.99</v>
      </c>
      <c r="N895">
        <v>6.77</v>
      </c>
    </row>
    <row r="896" spans="1:14" x14ac:dyDescent="0.5">
      <c r="A896" t="str">
        <f>"002435"</f>
        <v>002435</v>
      </c>
      <c r="B896" t="s">
        <v>1770</v>
      </c>
      <c r="C896">
        <v>1.45</v>
      </c>
      <c r="D896">
        <v>15.11</v>
      </c>
      <c r="E896">
        <v>6.98</v>
      </c>
      <c r="F896">
        <v>0.1</v>
      </c>
      <c r="G896">
        <v>6.98</v>
      </c>
      <c r="H896">
        <v>6.99</v>
      </c>
      <c r="I896" t="s">
        <v>1771</v>
      </c>
      <c r="J896">
        <v>3.56</v>
      </c>
      <c r="K896">
        <v>3.56</v>
      </c>
      <c r="L896">
        <v>6.86</v>
      </c>
      <c r="M896">
        <v>6.98</v>
      </c>
      <c r="N896">
        <v>6.71</v>
      </c>
    </row>
    <row r="897" spans="1:14" x14ac:dyDescent="0.5">
      <c r="A897" t="str">
        <f>"002436"</f>
        <v>002436</v>
      </c>
      <c r="B897" t="s">
        <v>1772</v>
      </c>
      <c r="C897">
        <v>4.3</v>
      </c>
      <c r="D897">
        <v>42.86</v>
      </c>
      <c r="E897">
        <v>5.58</v>
      </c>
      <c r="F897">
        <v>0.23</v>
      </c>
      <c r="G897">
        <v>5.57</v>
      </c>
      <c r="H897">
        <v>5.58</v>
      </c>
      <c r="I897" t="s">
        <v>1773</v>
      </c>
      <c r="J897">
        <v>3.94</v>
      </c>
      <c r="K897">
        <v>3.94</v>
      </c>
      <c r="L897">
        <v>5.26</v>
      </c>
      <c r="M897">
        <v>5.62</v>
      </c>
      <c r="N897">
        <v>5.22</v>
      </c>
    </row>
    <row r="898" spans="1:14" x14ac:dyDescent="0.5">
      <c r="A898" t="str">
        <f>"002437"</f>
        <v>002437</v>
      </c>
      <c r="B898" t="s">
        <v>1774</v>
      </c>
      <c r="C898">
        <v>3.11</v>
      </c>
      <c r="D898">
        <v>22.85</v>
      </c>
      <c r="E898">
        <v>3.65</v>
      </c>
      <c r="F898">
        <v>0.11</v>
      </c>
      <c r="G898">
        <v>3.64</v>
      </c>
      <c r="H898">
        <v>3.65</v>
      </c>
      <c r="I898" t="s">
        <v>1775</v>
      </c>
      <c r="J898">
        <v>2.72</v>
      </c>
      <c r="K898">
        <v>2.72</v>
      </c>
      <c r="L898">
        <v>3.51</v>
      </c>
      <c r="M898">
        <v>3.66</v>
      </c>
      <c r="N898">
        <v>3.46</v>
      </c>
    </row>
    <row r="899" spans="1:14" x14ac:dyDescent="0.5">
      <c r="A899" t="str">
        <f>"002438"</f>
        <v>002438</v>
      </c>
      <c r="B899" t="s">
        <v>1776</v>
      </c>
      <c r="C899">
        <v>0.89</v>
      </c>
      <c r="D899">
        <v>38.25</v>
      </c>
      <c r="E899">
        <v>6.83</v>
      </c>
      <c r="F899">
        <v>0.06</v>
      </c>
      <c r="G899">
        <v>6.82</v>
      </c>
      <c r="H899">
        <v>6.83</v>
      </c>
      <c r="I899" t="s">
        <v>1777</v>
      </c>
      <c r="J899">
        <v>1.74</v>
      </c>
      <c r="K899">
        <v>1.74</v>
      </c>
      <c r="L899">
        <v>6.77</v>
      </c>
      <c r="M899">
        <v>6.84</v>
      </c>
      <c r="N899">
        <v>6.71</v>
      </c>
    </row>
    <row r="900" spans="1:14" x14ac:dyDescent="0.5">
      <c r="A900" t="str">
        <f>"002439"</f>
        <v>002439</v>
      </c>
      <c r="B900" t="s">
        <v>1778</v>
      </c>
      <c r="C900">
        <v>4.53</v>
      </c>
      <c r="D900">
        <v>45</v>
      </c>
      <c r="E900">
        <v>27.67</v>
      </c>
      <c r="F900">
        <v>1.2</v>
      </c>
      <c r="G900">
        <v>27.67</v>
      </c>
      <c r="H900">
        <v>27.68</v>
      </c>
      <c r="I900" t="s">
        <v>1779</v>
      </c>
      <c r="J900">
        <v>2.25</v>
      </c>
      <c r="K900">
        <v>2.25</v>
      </c>
      <c r="L900">
        <v>26.33</v>
      </c>
      <c r="M900">
        <v>27.68</v>
      </c>
      <c r="N900">
        <v>26.18</v>
      </c>
    </row>
    <row r="901" spans="1:14" x14ac:dyDescent="0.5">
      <c r="A901" t="str">
        <f>"002440"</f>
        <v>002440</v>
      </c>
      <c r="B901" t="s">
        <v>1780</v>
      </c>
      <c r="C901">
        <v>0.98</v>
      </c>
      <c r="D901">
        <v>9.92</v>
      </c>
      <c r="E901">
        <v>11.33</v>
      </c>
      <c r="F901">
        <v>0.11</v>
      </c>
      <c r="G901">
        <v>11.33</v>
      </c>
      <c r="H901">
        <v>11.34</v>
      </c>
      <c r="I901" t="s">
        <v>1781</v>
      </c>
      <c r="J901">
        <v>1.61</v>
      </c>
      <c r="K901">
        <v>1.61</v>
      </c>
      <c r="L901">
        <v>11.22</v>
      </c>
      <c r="M901">
        <v>11.36</v>
      </c>
      <c r="N901">
        <v>11.11</v>
      </c>
    </row>
    <row r="902" spans="1:14" x14ac:dyDescent="0.5">
      <c r="A902" t="str">
        <f>"002441"</f>
        <v>002441</v>
      </c>
      <c r="B902" t="s">
        <v>1782</v>
      </c>
      <c r="C902">
        <v>2.2200000000000002</v>
      </c>
      <c r="D902">
        <v>22.04</v>
      </c>
      <c r="E902">
        <v>8.76</v>
      </c>
      <c r="F902">
        <v>0.19</v>
      </c>
      <c r="G902">
        <v>8.76</v>
      </c>
      <c r="H902">
        <v>8.77</v>
      </c>
      <c r="I902" t="s">
        <v>1783</v>
      </c>
      <c r="J902">
        <v>6.86</v>
      </c>
      <c r="K902">
        <v>6.86</v>
      </c>
      <c r="L902">
        <v>8.68</v>
      </c>
      <c r="M902">
        <v>8.94</v>
      </c>
      <c r="N902">
        <v>8.5399999999999991</v>
      </c>
    </row>
    <row r="903" spans="1:14" x14ac:dyDescent="0.5">
      <c r="A903" t="str">
        <f>"002442"</f>
        <v>002442</v>
      </c>
      <c r="B903" t="s">
        <v>1784</v>
      </c>
      <c r="C903">
        <v>7.79</v>
      </c>
      <c r="D903">
        <v>27.23</v>
      </c>
      <c r="E903">
        <v>8.44</v>
      </c>
      <c r="F903">
        <v>0.61</v>
      </c>
      <c r="G903">
        <v>8.44</v>
      </c>
      <c r="H903">
        <v>8.4499999999999993</v>
      </c>
      <c r="I903" t="s">
        <v>1785</v>
      </c>
      <c r="J903">
        <v>5.12</v>
      </c>
      <c r="K903">
        <v>5.12</v>
      </c>
      <c r="L903">
        <v>7.87</v>
      </c>
      <c r="M903">
        <v>8.51</v>
      </c>
      <c r="N903">
        <v>7.81</v>
      </c>
    </row>
    <row r="904" spans="1:14" x14ac:dyDescent="0.5">
      <c r="A904" t="str">
        <f>"002443"</f>
        <v>002443</v>
      </c>
      <c r="B904" t="s">
        <v>1786</v>
      </c>
      <c r="C904">
        <v>10.08</v>
      </c>
      <c r="D904">
        <v>19.670000000000002</v>
      </c>
      <c r="E904">
        <v>7.21</v>
      </c>
      <c r="F904">
        <v>0.66</v>
      </c>
      <c r="G904">
        <v>7.21</v>
      </c>
      <c r="H904" t="s">
        <v>24</v>
      </c>
      <c r="I904" t="s">
        <v>1787</v>
      </c>
      <c r="J904">
        <v>5.96</v>
      </c>
      <c r="K904">
        <v>5.96</v>
      </c>
      <c r="L904">
        <v>6.55</v>
      </c>
      <c r="M904">
        <v>7.21</v>
      </c>
      <c r="N904">
        <v>6.46</v>
      </c>
    </row>
    <row r="905" spans="1:14" x14ac:dyDescent="0.5">
      <c r="A905" t="str">
        <f>"002444"</f>
        <v>002444</v>
      </c>
      <c r="B905" t="s">
        <v>1788</v>
      </c>
      <c r="C905">
        <v>2.77</v>
      </c>
      <c r="D905">
        <v>17.079999999999998</v>
      </c>
      <c r="E905">
        <v>11.49</v>
      </c>
      <c r="F905">
        <v>0.31</v>
      </c>
      <c r="G905">
        <v>11.48</v>
      </c>
      <c r="H905">
        <v>11.49</v>
      </c>
      <c r="I905" t="s">
        <v>1789</v>
      </c>
      <c r="J905">
        <v>1.26</v>
      </c>
      <c r="K905">
        <v>1.26</v>
      </c>
      <c r="L905">
        <v>11.25</v>
      </c>
      <c r="M905">
        <v>11.49</v>
      </c>
      <c r="N905">
        <v>11.11</v>
      </c>
    </row>
    <row r="906" spans="1:14" x14ac:dyDescent="0.5">
      <c r="A906" t="str">
        <f>"002445"</f>
        <v>002445</v>
      </c>
      <c r="B906" t="s">
        <v>1790</v>
      </c>
      <c r="C906">
        <v>0.99</v>
      </c>
      <c r="D906">
        <v>29.51</v>
      </c>
      <c r="E906">
        <v>2.04</v>
      </c>
      <c r="F906">
        <v>0.02</v>
      </c>
      <c r="G906">
        <v>2.0299999999999998</v>
      </c>
      <c r="H906">
        <v>2.04</v>
      </c>
      <c r="I906" t="s">
        <v>1652</v>
      </c>
      <c r="J906">
        <v>2.2200000000000002</v>
      </c>
      <c r="K906">
        <v>2.2200000000000002</v>
      </c>
      <c r="L906">
        <v>2.0099999999999998</v>
      </c>
      <c r="M906">
        <v>2.04</v>
      </c>
      <c r="N906">
        <v>2</v>
      </c>
    </row>
    <row r="907" spans="1:14" x14ac:dyDescent="0.5">
      <c r="A907" t="str">
        <f>"002446"</f>
        <v>002446</v>
      </c>
      <c r="B907" t="s">
        <v>1791</v>
      </c>
      <c r="C907">
        <v>6.84</v>
      </c>
      <c r="D907">
        <v>71.62</v>
      </c>
      <c r="E907">
        <v>10.15</v>
      </c>
      <c r="F907">
        <v>0.65</v>
      </c>
      <c r="G907">
        <v>10.14</v>
      </c>
      <c r="H907">
        <v>10.15</v>
      </c>
      <c r="I907" t="s">
        <v>1792</v>
      </c>
      <c r="J907">
        <v>14.21</v>
      </c>
      <c r="K907">
        <v>14.21</v>
      </c>
      <c r="L907">
        <v>9.39</v>
      </c>
      <c r="M907">
        <v>10.25</v>
      </c>
      <c r="N907">
        <v>9.24</v>
      </c>
    </row>
    <row r="908" spans="1:14" x14ac:dyDescent="0.5">
      <c r="A908" t="str">
        <f>"002447"</f>
        <v>002447</v>
      </c>
      <c r="B908" t="s">
        <v>1793</v>
      </c>
      <c r="C908">
        <v>4.1500000000000004</v>
      </c>
      <c r="D908">
        <v>16.72</v>
      </c>
      <c r="E908">
        <v>3.26</v>
      </c>
      <c r="F908">
        <v>0.13</v>
      </c>
      <c r="G908">
        <v>3.25</v>
      </c>
      <c r="H908">
        <v>3.26</v>
      </c>
      <c r="I908" t="s">
        <v>1794</v>
      </c>
      <c r="J908">
        <v>5.77</v>
      </c>
      <c r="K908">
        <v>5.77</v>
      </c>
      <c r="L908">
        <v>3.14</v>
      </c>
      <c r="M908">
        <v>3.26</v>
      </c>
      <c r="N908">
        <v>3.11</v>
      </c>
    </row>
    <row r="909" spans="1:14" x14ac:dyDescent="0.5">
      <c r="A909" t="str">
        <f>"002448"</f>
        <v>002448</v>
      </c>
      <c r="B909" t="s">
        <v>1795</v>
      </c>
      <c r="C909">
        <v>2.09</v>
      </c>
      <c r="D909">
        <v>14.15</v>
      </c>
      <c r="E909">
        <v>6.36</v>
      </c>
      <c r="F909">
        <v>0.13</v>
      </c>
      <c r="G909">
        <v>6.35</v>
      </c>
      <c r="H909">
        <v>6.36</v>
      </c>
      <c r="I909" t="s">
        <v>195</v>
      </c>
      <c r="J909">
        <v>2.86</v>
      </c>
      <c r="K909">
        <v>2.86</v>
      </c>
      <c r="L909">
        <v>6.23</v>
      </c>
      <c r="M909">
        <v>6.36</v>
      </c>
      <c r="N909">
        <v>6.19</v>
      </c>
    </row>
    <row r="910" spans="1:14" x14ac:dyDescent="0.5">
      <c r="A910" t="str">
        <f>"002449"</f>
        <v>002449</v>
      </c>
      <c r="B910" t="s">
        <v>1796</v>
      </c>
      <c r="C910">
        <v>1.3</v>
      </c>
      <c r="D910">
        <v>15.85</v>
      </c>
      <c r="E910">
        <v>13.23</v>
      </c>
      <c r="F910">
        <v>0.17</v>
      </c>
      <c r="G910">
        <v>13.23</v>
      </c>
      <c r="H910">
        <v>13.24</v>
      </c>
      <c r="I910" t="s">
        <v>1797</v>
      </c>
      <c r="J910">
        <v>3.43</v>
      </c>
      <c r="K910">
        <v>3.43</v>
      </c>
      <c r="L910">
        <v>12.76</v>
      </c>
      <c r="M910">
        <v>13.29</v>
      </c>
      <c r="N910">
        <v>12.71</v>
      </c>
    </row>
    <row r="911" spans="1:14" x14ac:dyDescent="0.5">
      <c r="A911" t="str">
        <f>"002450"</f>
        <v>002450</v>
      </c>
      <c r="B911" t="s">
        <v>1798</v>
      </c>
      <c r="C911">
        <v>4.9400000000000004</v>
      </c>
      <c r="D911">
        <v>8.2899999999999991</v>
      </c>
      <c r="E911">
        <v>7.22</v>
      </c>
      <c r="F911">
        <v>0.34</v>
      </c>
      <c r="G911">
        <v>7.22</v>
      </c>
      <c r="H911" t="s">
        <v>24</v>
      </c>
      <c r="I911" t="s">
        <v>1799</v>
      </c>
      <c r="J911">
        <v>0.05</v>
      </c>
      <c r="K911">
        <v>0.05</v>
      </c>
      <c r="L911">
        <v>7.22</v>
      </c>
      <c r="M911">
        <v>7.22</v>
      </c>
      <c r="N911">
        <v>7.22</v>
      </c>
    </row>
    <row r="912" spans="1:14" x14ac:dyDescent="0.5">
      <c r="A912" t="str">
        <f>"002451"</f>
        <v>002451</v>
      </c>
      <c r="B912" t="s">
        <v>1800</v>
      </c>
      <c r="C912">
        <v>1.94</v>
      </c>
      <c r="D912">
        <v>246.73</v>
      </c>
      <c r="E912">
        <v>14.22</v>
      </c>
      <c r="F912">
        <v>0.27</v>
      </c>
      <c r="G912">
        <v>14.21</v>
      </c>
      <c r="H912">
        <v>14.22</v>
      </c>
      <c r="I912" t="s">
        <v>1801</v>
      </c>
      <c r="J912">
        <v>7.49</v>
      </c>
      <c r="K912">
        <v>7.49</v>
      </c>
      <c r="L912">
        <v>14.08</v>
      </c>
      <c r="M912">
        <v>14.3</v>
      </c>
      <c r="N912">
        <v>14.02</v>
      </c>
    </row>
    <row r="913" spans="1:14" x14ac:dyDescent="0.5">
      <c r="A913" t="str">
        <f>"002452"</f>
        <v>002452</v>
      </c>
      <c r="B913" t="s">
        <v>1802</v>
      </c>
      <c r="C913">
        <v>2.16</v>
      </c>
      <c r="D913" t="s">
        <v>24</v>
      </c>
      <c r="E913">
        <v>4.26</v>
      </c>
      <c r="F913">
        <v>0.09</v>
      </c>
      <c r="G913">
        <v>4.25</v>
      </c>
      <c r="H913">
        <v>4.26</v>
      </c>
      <c r="I913" t="s">
        <v>1803</v>
      </c>
      <c r="J913">
        <v>2.14</v>
      </c>
      <c r="K913">
        <v>2.14</v>
      </c>
      <c r="L913">
        <v>4.1500000000000004</v>
      </c>
      <c r="M913">
        <v>4.2699999999999996</v>
      </c>
      <c r="N913">
        <v>4.1500000000000004</v>
      </c>
    </row>
    <row r="914" spans="1:14" x14ac:dyDescent="0.5">
      <c r="A914" t="str">
        <f>"002453"</f>
        <v>002453</v>
      </c>
      <c r="B914" t="s">
        <v>1804</v>
      </c>
      <c r="C914">
        <v>3.09</v>
      </c>
      <c r="D914">
        <v>103.7</v>
      </c>
      <c r="E914">
        <v>6.33</v>
      </c>
      <c r="F914">
        <v>0.19</v>
      </c>
      <c r="G914">
        <v>6.32</v>
      </c>
      <c r="H914">
        <v>6.33</v>
      </c>
      <c r="I914" t="s">
        <v>1583</v>
      </c>
      <c r="J914">
        <v>3.52</v>
      </c>
      <c r="K914">
        <v>3.52</v>
      </c>
      <c r="L914">
        <v>6.12</v>
      </c>
      <c r="M914">
        <v>6.36</v>
      </c>
      <c r="N914">
        <v>6.11</v>
      </c>
    </row>
    <row r="915" spans="1:14" x14ac:dyDescent="0.5">
      <c r="A915" t="str">
        <f>"002454"</f>
        <v>002454</v>
      </c>
      <c r="B915" t="s">
        <v>1805</v>
      </c>
      <c r="C915">
        <v>3.41</v>
      </c>
      <c r="D915">
        <v>11.46</v>
      </c>
      <c r="E915">
        <v>5.15</v>
      </c>
      <c r="F915">
        <v>0.17</v>
      </c>
      <c r="G915">
        <v>5.14</v>
      </c>
      <c r="H915">
        <v>5.15</v>
      </c>
      <c r="I915" t="s">
        <v>1806</v>
      </c>
      <c r="J915">
        <v>2.2000000000000002</v>
      </c>
      <c r="K915">
        <v>2.2000000000000002</v>
      </c>
      <c r="L915">
        <v>4.95</v>
      </c>
      <c r="M915">
        <v>5.15</v>
      </c>
      <c r="N915">
        <v>4.93</v>
      </c>
    </row>
    <row r="916" spans="1:14" x14ac:dyDescent="0.5">
      <c r="A916" t="str">
        <f>"002455"</f>
        <v>002455</v>
      </c>
      <c r="B916" t="s">
        <v>1807</v>
      </c>
      <c r="C916">
        <v>1.92</v>
      </c>
      <c r="D916">
        <v>27.73</v>
      </c>
      <c r="E916">
        <v>5.83</v>
      </c>
      <c r="F916">
        <v>0.11</v>
      </c>
      <c r="G916">
        <v>5.83</v>
      </c>
      <c r="H916">
        <v>5.84</v>
      </c>
      <c r="I916" t="s">
        <v>1618</v>
      </c>
      <c r="J916">
        <v>3.56</v>
      </c>
      <c r="K916">
        <v>3.56</v>
      </c>
      <c r="L916">
        <v>5.71</v>
      </c>
      <c r="M916">
        <v>5.84</v>
      </c>
      <c r="N916">
        <v>5.64</v>
      </c>
    </row>
    <row r="917" spans="1:14" x14ac:dyDescent="0.5">
      <c r="A917" t="str">
        <f>"002456"</f>
        <v>002456</v>
      </c>
      <c r="B917" t="s">
        <v>1808</v>
      </c>
      <c r="C917">
        <v>5.56</v>
      </c>
      <c r="D917">
        <v>31.78</v>
      </c>
      <c r="E917">
        <v>14.99</v>
      </c>
      <c r="F917">
        <v>0.79</v>
      </c>
      <c r="G917">
        <v>14.98</v>
      </c>
      <c r="H917">
        <v>14.99</v>
      </c>
      <c r="I917" t="s">
        <v>1809</v>
      </c>
      <c r="J917">
        <v>6.2</v>
      </c>
      <c r="K917">
        <v>6.2</v>
      </c>
      <c r="L917">
        <v>14.1</v>
      </c>
      <c r="M917">
        <v>14.99</v>
      </c>
      <c r="N917">
        <v>13.9</v>
      </c>
    </row>
    <row r="918" spans="1:14" x14ac:dyDescent="0.5">
      <c r="A918" t="str">
        <f>"002457"</f>
        <v>002457</v>
      </c>
      <c r="B918" t="s">
        <v>1810</v>
      </c>
      <c r="C918">
        <v>3</v>
      </c>
      <c r="D918">
        <v>23.46</v>
      </c>
      <c r="E918">
        <v>9.27</v>
      </c>
      <c r="F918">
        <v>0.27</v>
      </c>
      <c r="G918">
        <v>9.26</v>
      </c>
      <c r="H918">
        <v>9.27</v>
      </c>
      <c r="I918" t="s">
        <v>1811</v>
      </c>
      <c r="J918">
        <v>7.21</v>
      </c>
      <c r="K918">
        <v>7.21</v>
      </c>
      <c r="L918">
        <v>9.01</v>
      </c>
      <c r="M918">
        <v>9.4499999999999993</v>
      </c>
      <c r="N918">
        <v>9.01</v>
      </c>
    </row>
    <row r="919" spans="1:14" x14ac:dyDescent="0.5">
      <c r="A919" t="str">
        <f>"002458"</f>
        <v>002458</v>
      </c>
      <c r="B919" t="s">
        <v>1812</v>
      </c>
      <c r="C919">
        <v>4.6500000000000004</v>
      </c>
      <c r="D919">
        <v>34.57</v>
      </c>
      <c r="E919">
        <v>42.8</v>
      </c>
      <c r="F919">
        <v>1.9</v>
      </c>
      <c r="G919">
        <v>42.79</v>
      </c>
      <c r="H919">
        <v>42.8</v>
      </c>
      <c r="I919" t="s">
        <v>1813</v>
      </c>
      <c r="J919">
        <v>13.65</v>
      </c>
      <c r="K919">
        <v>13.65</v>
      </c>
      <c r="L919">
        <v>40.049999999999997</v>
      </c>
      <c r="M919">
        <v>44.62</v>
      </c>
      <c r="N919">
        <v>40.049999999999997</v>
      </c>
    </row>
    <row r="920" spans="1:14" x14ac:dyDescent="0.5">
      <c r="A920" t="str">
        <f>"002459"</f>
        <v>002459</v>
      </c>
      <c r="B920" t="s">
        <v>1814</v>
      </c>
      <c r="C920">
        <v>2.65</v>
      </c>
      <c r="D920">
        <v>157.30000000000001</v>
      </c>
      <c r="E920">
        <v>12.77</v>
      </c>
      <c r="F920">
        <v>0.33</v>
      </c>
      <c r="G920">
        <v>12.76</v>
      </c>
      <c r="H920">
        <v>12.77</v>
      </c>
      <c r="I920" t="s">
        <v>1815</v>
      </c>
      <c r="J920">
        <v>2.94</v>
      </c>
      <c r="K920">
        <v>2.94</v>
      </c>
      <c r="L920">
        <v>12.36</v>
      </c>
      <c r="M920">
        <v>12.79</v>
      </c>
      <c r="N920">
        <v>12.25</v>
      </c>
    </row>
    <row r="921" spans="1:14" x14ac:dyDescent="0.5">
      <c r="A921" t="str">
        <f>"002460"</f>
        <v>002460</v>
      </c>
      <c r="B921" t="s">
        <v>1816</v>
      </c>
      <c r="C921">
        <v>1.25</v>
      </c>
      <c r="D921">
        <v>22.55</v>
      </c>
      <c r="E921">
        <v>27.49</v>
      </c>
      <c r="F921">
        <v>0.34</v>
      </c>
      <c r="G921">
        <v>27.49</v>
      </c>
      <c r="H921">
        <v>27.5</v>
      </c>
      <c r="I921" t="s">
        <v>1817</v>
      </c>
      <c r="J921">
        <v>5.92</v>
      </c>
      <c r="K921">
        <v>5.92</v>
      </c>
      <c r="L921">
        <v>26.9</v>
      </c>
      <c r="M921">
        <v>27.5</v>
      </c>
      <c r="N921">
        <v>26.64</v>
      </c>
    </row>
    <row r="922" spans="1:14" x14ac:dyDescent="0.5">
      <c r="A922" t="str">
        <f>"002461"</f>
        <v>002461</v>
      </c>
      <c r="B922" t="s">
        <v>1818</v>
      </c>
      <c r="C922">
        <v>1.43</v>
      </c>
      <c r="D922">
        <v>36.65</v>
      </c>
      <c r="E922">
        <v>5.67</v>
      </c>
      <c r="F922">
        <v>0.08</v>
      </c>
      <c r="G922">
        <v>5.67</v>
      </c>
      <c r="H922">
        <v>5.68</v>
      </c>
      <c r="I922" t="s">
        <v>1819</v>
      </c>
      <c r="J922">
        <v>0.8</v>
      </c>
      <c r="K922">
        <v>0.8</v>
      </c>
      <c r="L922">
        <v>5.59</v>
      </c>
      <c r="M922">
        <v>5.7</v>
      </c>
      <c r="N922">
        <v>5.56</v>
      </c>
    </row>
    <row r="923" spans="1:14" x14ac:dyDescent="0.5">
      <c r="A923" t="str">
        <f>"002462"</f>
        <v>002462</v>
      </c>
      <c r="B923" t="s">
        <v>1820</v>
      </c>
      <c r="C923">
        <v>2.25</v>
      </c>
      <c r="D923">
        <v>12.43</v>
      </c>
      <c r="E923">
        <v>16.82</v>
      </c>
      <c r="F923">
        <v>0.37</v>
      </c>
      <c r="G923">
        <v>16.82</v>
      </c>
      <c r="H923">
        <v>16.829999999999998</v>
      </c>
      <c r="I923" t="s">
        <v>1821</v>
      </c>
      <c r="J923">
        <v>2.36</v>
      </c>
      <c r="K923">
        <v>2.36</v>
      </c>
      <c r="L923">
        <v>16.64</v>
      </c>
      <c r="M923">
        <v>16.940000000000001</v>
      </c>
      <c r="N923">
        <v>16.47</v>
      </c>
    </row>
    <row r="924" spans="1:14" x14ac:dyDescent="0.5">
      <c r="A924" t="str">
        <f>"002463"</f>
        <v>002463</v>
      </c>
      <c r="B924" t="s">
        <v>1822</v>
      </c>
      <c r="C924">
        <v>2.9</v>
      </c>
      <c r="D924">
        <v>44.26</v>
      </c>
      <c r="E924">
        <v>11.35</v>
      </c>
      <c r="F924">
        <v>0.32</v>
      </c>
      <c r="G924">
        <v>11.34</v>
      </c>
      <c r="H924">
        <v>11.35</v>
      </c>
      <c r="I924" t="s">
        <v>1823</v>
      </c>
      <c r="J924">
        <v>4.8899999999999997</v>
      </c>
      <c r="K924">
        <v>4.8899999999999997</v>
      </c>
      <c r="L924">
        <v>10.88</v>
      </c>
      <c r="M924">
        <v>11.37</v>
      </c>
      <c r="N924">
        <v>10.75</v>
      </c>
    </row>
    <row r="925" spans="1:14" x14ac:dyDescent="0.5">
      <c r="A925" t="str">
        <f>"002464"</f>
        <v>002464</v>
      </c>
      <c r="B925" t="s">
        <v>1824</v>
      </c>
      <c r="C925">
        <v>6.41</v>
      </c>
      <c r="D925">
        <v>18.18</v>
      </c>
      <c r="E925">
        <v>10.29</v>
      </c>
      <c r="F925">
        <v>0.62</v>
      </c>
      <c r="G925">
        <v>10.29</v>
      </c>
      <c r="H925">
        <v>10.3</v>
      </c>
      <c r="I925" t="s">
        <v>1825</v>
      </c>
      <c r="J925">
        <v>7.71</v>
      </c>
      <c r="K925">
        <v>7.71</v>
      </c>
      <c r="L925">
        <v>9.56</v>
      </c>
      <c r="M925">
        <v>10.48</v>
      </c>
      <c r="N925">
        <v>9.4700000000000006</v>
      </c>
    </row>
    <row r="926" spans="1:14" x14ac:dyDescent="0.5">
      <c r="A926" t="str">
        <f>"002465"</f>
        <v>002465</v>
      </c>
      <c r="B926" t="s">
        <v>1826</v>
      </c>
      <c r="C926">
        <v>3.36</v>
      </c>
      <c r="D926">
        <v>60.66</v>
      </c>
      <c r="E926">
        <v>10.15</v>
      </c>
      <c r="F926">
        <v>0.33</v>
      </c>
      <c r="G926">
        <v>10.14</v>
      </c>
      <c r="H926">
        <v>10.15</v>
      </c>
      <c r="I926" t="s">
        <v>1827</v>
      </c>
      <c r="J926">
        <v>3.08</v>
      </c>
      <c r="K926">
        <v>3.08</v>
      </c>
      <c r="L926">
        <v>9.83</v>
      </c>
      <c r="M926">
        <v>10.15</v>
      </c>
      <c r="N926">
        <v>9.75</v>
      </c>
    </row>
    <row r="927" spans="1:14" x14ac:dyDescent="0.5">
      <c r="A927" t="str">
        <f>"002466"</f>
        <v>002466</v>
      </c>
      <c r="B927" t="s">
        <v>1828</v>
      </c>
      <c r="C927">
        <v>0.45</v>
      </c>
      <c r="D927">
        <v>18.350000000000001</v>
      </c>
      <c r="E927">
        <v>37.549999999999997</v>
      </c>
      <c r="F927">
        <v>0.17</v>
      </c>
      <c r="G927">
        <v>37.549999999999997</v>
      </c>
      <c r="H927">
        <v>37.56</v>
      </c>
      <c r="I927" t="s">
        <v>1829</v>
      </c>
      <c r="J927">
        <v>3.16</v>
      </c>
      <c r="K927">
        <v>3.16</v>
      </c>
      <c r="L927">
        <v>37</v>
      </c>
      <c r="M927">
        <v>37.56</v>
      </c>
      <c r="N927">
        <v>36.5</v>
      </c>
    </row>
    <row r="928" spans="1:14" x14ac:dyDescent="0.5">
      <c r="A928" t="str">
        <f>"002467"</f>
        <v>002467</v>
      </c>
      <c r="B928" t="s">
        <v>1830</v>
      </c>
      <c r="C928">
        <v>7.07</v>
      </c>
      <c r="D928">
        <v>133.13999999999999</v>
      </c>
      <c r="E928">
        <v>6.66</v>
      </c>
      <c r="F928">
        <v>0.44</v>
      </c>
      <c r="G928">
        <v>6.65</v>
      </c>
      <c r="H928">
        <v>6.66</v>
      </c>
      <c r="I928" t="s">
        <v>1831</v>
      </c>
      <c r="J928">
        <v>7.52</v>
      </c>
      <c r="K928">
        <v>7.52</v>
      </c>
      <c r="L928">
        <v>6.18</v>
      </c>
      <c r="M928">
        <v>6.8</v>
      </c>
      <c r="N928">
        <v>6.08</v>
      </c>
    </row>
    <row r="929" spans="1:14" x14ac:dyDescent="0.5">
      <c r="A929" t="str">
        <f>"002468"</f>
        <v>002468</v>
      </c>
      <c r="B929" t="s">
        <v>1832</v>
      </c>
      <c r="C929">
        <v>0.13</v>
      </c>
      <c r="D929">
        <v>16.78</v>
      </c>
      <c r="E929">
        <v>22.5</v>
      </c>
      <c r="F929">
        <v>0.03</v>
      </c>
      <c r="G929">
        <v>22.5</v>
      </c>
      <c r="H929">
        <v>22.51</v>
      </c>
      <c r="I929" t="s">
        <v>1833</v>
      </c>
      <c r="J929">
        <v>2.4900000000000002</v>
      </c>
      <c r="K929">
        <v>2.4900000000000002</v>
      </c>
      <c r="L929">
        <v>22.58</v>
      </c>
      <c r="M929">
        <v>22.9</v>
      </c>
      <c r="N929">
        <v>22</v>
      </c>
    </row>
    <row r="930" spans="1:14" x14ac:dyDescent="0.5">
      <c r="A930" t="str">
        <f>"002469"</f>
        <v>002469</v>
      </c>
      <c r="B930" t="s">
        <v>1834</v>
      </c>
      <c r="C930">
        <v>3.13</v>
      </c>
      <c r="D930">
        <v>41</v>
      </c>
      <c r="E930">
        <v>4.6100000000000003</v>
      </c>
      <c r="F930">
        <v>0.14000000000000001</v>
      </c>
      <c r="G930">
        <v>4.5999999999999996</v>
      </c>
      <c r="H930">
        <v>4.6100000000000003</v>
      </c>
      <c r="I930" t="s">
        <v>956</v>
      </c>
      <c r="J930">
        <v>1.1200000000000001</v>
      </c>
      <c r="K930">
        <v>1.1200000000000001</v>
      </c>
      <c r="L930">
        <v>4.45</v>
      </c>
      <c r="M930">
        <v>4.6100000000000003</v>
      </c>
      <c r="N930">
        <v>4.45</v>
      </c>
    </row>
    <row r="931" spans="1:14" x14ac:dyDescent="0.5">
      <c r="A931" t="str">
        <f>"002470"</f>
        <v>002470</v>
      </c>
      <c r="B931" t="s">
        <v>1835</v>
      </c>
      <c r="C931">
        <v>2.44</v>
      </c>
      <c r="D931">
        <v>33.89</v>
      </c>
      <c r="E931">
        <v>7.98</v>
      </c>
      <c r="F931">
        <v>0.19</v>
      </c>
      <c r="G931">
        <v>7.95</v>
      </c>
      <c r="H931">
        <v>7.98</v>
      </c>
      <c r="I931" t="s">
        <v>1836</v>
      </c>
      <c r="J931">
        <v>0.39</v>
      </c>
      <c r="K931">
        <v>0.39</v>
      </c>
      <c r="L931">
        <v>7.83</v>
      </c>
      <c r="M931">
        <v>7.98</v>
      </c>
      <c r="N931">
        <v>7.76</v>
      </c>
    </row>
    <row r="932" spans="1:14" x14ac:dyDescent="0.5">
      <c r="A932" t="str">
        <f>"002471"</f>
        <v>002471</v>
      </c>
      <c r="B932" t="s">
        <v>1837</v>
      </c>
      <c r="C932">
        <v>2.74</v>
      </c>
      <c r="D932">
        <v>31.92</v>
      </c>
      <c r="E932">
        <v>3.38</v>
      </c>
      <c r="F932">
        <v>0.09</v>
      </c>
      <c r="G932">
        <v>3.37</v>
      </c>
      <c r="H932">
        <v>3.38</v>
      </c>
      <c r="I932" t="s">
        <v>1838</v>
      </c>
      <c r="J932">
        <v>3.19</v>
      </c>
      <c r="K932">
        <v>3.19</v>
      </c>
      <c r="L932">
        <v>3.24</v>
      </c>
      <c r="M932">
        <v>3.39</v>
      </c>
      <c r="N932">
        <v>3.24</v>
      </c>
    </row>
    <row r="933" spans="1:14" x14ac:dyDescent="0.5">
      <c r="A933" t="str">
        <f>"002472"</f>
        <v>002472</v>
      </c>
      <c r="B933" t="s">
        <v>1839</v>
      </c>
      <c r="C933">
        <v>5.07</v>
      </c>
      <c r="D933">
        <v>19.04</v>
      </c>
      <c r="E933">
        <v>7.46</v>
      </c>
      <c r="F933">
        <v>0.36</v>
      </c>
      <c r="G933">
        <v>7.45</v>
      </c>
      <c r="H933">
        <v>7.46</v>
      </c>
      <c r="I933" t="s">
        <v>1840</v>
      </c>
      <c r="J933">
        <v>4.92</v>
      </c>
      <c r="K933">
        <v>4.92</v>
      </c>
      <c r="L933">
        <v>7.14</v>
      </c>
      <c r="M933">
        <v>7.5</v>
      </c>
      <c r="N933">
        <v>7.04</v>
      </c>
    </row>
    <row r="934" spans="1:14" x14ac:dyDescent="0.5">
      <c r="A934" t="str">
        <f>"002473"</f>
        <v>002473</v>
      </c>
      <c r="B934" t="s">
        <v>1841</v>
      </c>
      <c r="C934">
        <v>1.94</v>
      </c>
      <c r="D934" t="s">
        <v>24</v>
      </c>
      <c r="E934">
        <v>8.92</v>
      </c>
      <c r="F934">
        <v>0.17</v>
      </c>
      <c r="G934">
        <v>8.92</v>
      </c>
      <c r="H934">
        <v>8.93</v>
      </c>
      <c r="I934" t="s">
        <v>1842</v>
      </c>
      <c r="J934">
        <v>1.75</v>
      </c>
      <c r="K934">
        <v>1.75</v>
      </c>
      <c r="L934">
        <v>8.65</v>
      </c>
      <c r="M934">
        <v>8.98</v>
      </c>
      <c r="N934">
        <v>8.6199999999999992</v>
      </c>
    </row>
    <row r="935" spans="1:14" x14ac:dyDescent="0.5">
      <c r="A935" t="str">
        <f>"002474"</f>
        <v>002474</v>
      </c>
      <c r="B935" t="s">
        <v>1843</v>
      </c>
      <c r="C935">
        <v>4.1399999999999997</v>
      </c>
      <c r="D935">
        <v>129.07</v>
      </c>
      <c r="E935">
        <v>8.3000000000000007</v>
      </c>
      <c r="F935">
        <v>0.33</v>
      </c>
      <c r="G935">
        <v>8.2899999999999991</v>
      </c>
      <c r="H935">
        <v>8.3000000000000007</v>
      </c>
      <c r="I935" t="s">
        <v>1844</v>
      </c>
      <c r="J935">
        <v>4.95</v>
      </c>
      <c r="K935">
        <v>4.95</v>
      </c>
      <c r="L935">
        <v>7.87</v>
      </c>
      <c r="M935">
        <v>8.32</v>
      </c>
      <c r="N935">
        <v>7.82</v>
      </c>
    </row>
    <row r="936" spans="1:14" x14ac:dyDescent="0.5">
      <c r="A936" t="str">
        <f>"002475"</f>
        <v>002475</v>
      </c>
      <c r="B936" t="s">
        <v>1845</v>
      </c>
      <c r="C936">
        <v>2.4300000000000002</v>
      </c>
      <c r="D936">
        <v>37.94</v>
      </c>
      <c r="E936">
        <v>21.46</v>
      </c>
      <c r="F936">
        <v>0.51</v>
      </c>
      <c r="G936">
        <v>21.46</v>
      </c>
      <c r="H936">
        <v>21.47</v>
      </c>
      <c r="I936" t="s">
        <v>1846</v>
      </c>
      <c r="J936">
        <v>1.49</v>
      </c>
      <c r="K936">
        <v>1.49</v>
      </c>
      <c r="L936">
        <v>20.8</v>
      </c>
      <c r="M936">
        <v>21.6</v>
      </c>
      <c r="N936">
        <v>20.6</v>
      </c>
    </row>
    <row r="937" spans="1:14" x14ac:dyDescent="0.5">
      <c r="A937" t="str">
        <f>"002476"</f>
        <v>002476</v>
      </c>
      <c r="B937" t="s">
        <v>1847</v>
      </c>
      <c r="C937">
        <v>1.87</v>
      </c>
      <c r="D937">
        <v>63.45</v>
      </c>
      <c r="E937">
        <v>5.45</v>
      </c>
      <c r="F937">
        <v>0.1</v>
      </c>
      <c r="G937">
        <v>5.44</v>
      </c>
      <c r="H937">
        <v>5.45</v>
      </c>
      <c r="I937" t="s">
        <v>1848</v>
      </c>
      <c r="J937">
        <v>2.1800000000000002</v>
      </c>
      <c r="K937">
        <v>2.1800000000000002</v>
      </c>
      <c r="L937">
        <v>5.36</v>
      </c>
      <c r="M937">
        <v>5.46</v>
      </c>
      <c r="N937">
        <v>5.29</v>
      </c>
    </row>
    <row r="938" spans="1:14" x14ac:dyDescent="0.5">
      <c r="A938" t="str">
        <f>"002477"</f>
        <v>002477</v>
      </c>
      <c r="B938" t="s">
        <v>1849</v>
      </c>
      <c r="C938">
        <v>1.6</v>
      </c>
      <c r="D938" t="s">
        <v>24</v>
      </c>
      <c r="E938">
        <v>2.54</v>
      </c>
      <c r="F938">
        <v>0.04</v>
      </c>
      <c r="G938">
        <v>2.5299999999999998</v>
      </c>
      <c r="H938">
        <v>2.54</v>
      </c>
      <c r="I938" t="s">
        <v>1850</v>
      </c>
      <c r="J938">
        <v>10.99</v>
      </c>
      <c r="K938">
        <v>10.99</v>
      </c>
      <c r="L938">
        <v>2.4900000000000002</v>
      </c>
      <c r="M938">
        <v>2.6</v>
      </c>
      <c r="N938">
        <v>2.4</v>
      </c>
    </row>
    <row r="939" spans="1:14" x14ac:dyDescent="0.5">
      <c r="A939" t="str">
        <f>"002478"</f>
        <v>002478</v>
      </c>
      <c r="B939" t="s">
        <v>1851</v>
      </c>
      <c r="C939">
        <v>0.89</v>
      </c>
      <c r="D939">
        <v>12.82</v>
      </c>
      <c r="E939">
        <v>5.64</v>
      </c>
      <c r="F939">
        <v>0.05</v>
      </c>
      <c r="G939">
        <v>5.63</v>
      </c>
      <c r="H939">
        <v>5.64</v>
      </c>
      <c r="I939" t="s">
        <v>1852</v>
      </c>
      <c r="J939">
        <v>1.93</v>
      </c>
      <c r="K939">
        <v>1.93</v>
      </c>
      <c r="L939">
        <v>5.57</v>
      </c>
      <c r="M939">
        <v>5.64</v>
      </c>
      <c r="N939">
        <v>5.52</v>
      </c>
    </row>
    <row r="940" spans="1:14" x14ac:dyDescent="0.5">
      <c r="A940" t="str">
        <f>"002479"</f>
        <v>002479</v>
      </c>
      <c r="B940" t="s">
        <v>1853</v>
      </c>
      <c r="C940">
        <v>2.2799999999999998</v>
      </c>
      <c r="D940">
        <v>16.98</v>
      </c>
      <c r="E940">
        <v>5.38</v>
      </c>
      <c r="F940">
        <v>0.12</v>
      </c>
      <c r="G940">
        <v>5.37</v>
      </c>
      <c r="H940">
        <v>5.38</v>
      </c>
      <c r="I940" t="s">
        <v>1854</v>
      </c>
      <c r="J940">
        <v>2.0699999999999998</v>
      </c>
      <c r="K940">
        <v>2.0699999999999998</v>
      </c>
      <c r="L940">
        <v>5.22</v>
      </c>
      <c r="M940">
        <v>5.4</v>
      </c>
      <c r="N940">
        <v>5.2</v>
      </c>
    </row>
    <row r="941" spans="1:14" x14ac:dyDescent="0.5">
      <c r="A941" t="str">
        <f>"002480"</f>
        <v>002480</v>
      </c>
      <c r="B941" t="s">
        <v>1855</v>
      </c>
      <c r="C941">
        <v>1.75</v>
      </c>
      <c r="D941">
        <v>32.39</v>
      </c>
      <c r="E941">
        <v>5.83</v>
      </c>
      <c r="F941">
        <v>0.1</v>
      </c>
      <c r="G941">
        <v>5.82</v>
      </c>
      <c r="H941">
        <v>5.83</v>
      </c>
      <c r="I941" t="s">
        <v>139</v>
      </c>
      <c r="J941">
        <v>1.95</v>
      </c>
      <c r="K941">
        <v>1.95</v>
      </c>
      <c r="L941">
        <v>5.68</v>
      </c>
      <c r="M941">
        <v>5.84</v>
      </c>
      <c r="N941">
        <v>5.64</v>
      </c>
    </row>
    <row r="942" spans="1:14" x14ac:dyDescent="0.5">
      <c r="A942" t="str">
        <f>"002481"</f>
        <v>002481</v>
      </c>
      <c r="B942" t="s">
        <v>1856</v>
      </c>
      <c r="C942">
        <v>1.45</v>
      </c>
      <c r="D942">
        <v>223.88</v>
      </c>
      <c r="E942">
        <v>3.51</v>
      </c>
      <c r="F942">
        <v>0.05</v>
      </c>
      <c r="G942">
        <v>3.5</v>
      </c>
      <c r="H942">
        <v>3.51</v>
      </c>
      <c r="I942" t="s">
        <v>1857</v>
      </c>
      <c r="J942">
        <v>1.18</v>
      </c>
      <c r="K942">
        <v>1.18</v>
      </c>
      <c r="L942">
        <v>3.42</v>
      </c>
      <c r="M942">
        <v>3.51</v>
      </c>
      <c r="N942">
        <v>3.41</v>
      </c>
    </row>
    <row r="943" spans="1:14" x14ac:dyDescent="0.5">
      <c r="A943" t="str">
        <f>"002482"</f>
        <v>002482</v>
      </c>
      <c r="B943" t="s">
        <v>1858</v>
      </c>
      <c r="C943">
        <v>1.36</v>
      </c>
      <c r="D943">
        <v>12.44</v>
      </c>
      <c r="E943">
        <v>5.98</v>
      </c>
      <c r="F943">
        <v>0.08</v>
      </c>
      <c r="G943">
        <v>5.98</v>
      </c>
      <c r="H943">
        <v>5.99</v>
      </c>
      <c r="I943" t="s">
        <v>1859</v>
      </c>
      <c r="J943">
        <v>1.41</v>
      </c>
      <c r="K943">
        <v>1.41</v>
      </c>
      <c r="L943">
        <v>5.89</v>
      </c>
      <c r="M943">
        <v>6.02</v>
      </c>
      <c r="N943">
        <v>5.84</v>
      </c>
    </row>
    <row r="944" spans="1:14" x14ac:dyDescent="0.5">
      <c r="A944" t="str">
        <f>"002483"</f>
        <v>002483</v>
      </c>
      <c r="B944" t="s">
        <v>1860</v>
      </c>
      <c r="C944">
        <v>1.59</v>
      </c>
      <c r="D944">
        <v>39.15</v>
      </c>
      <c r="E944">
        <v>4.46</v>
      </c>
      <c r="F944">
        <v>7.0000000000000007E-2</v>
      </c>
      <c r="G944">
        <v>4.45</v>
      </c>
      <c r="H944">
        <v>4.46</v>
      </c>
      <c r="I944" t="s">
        <v>1861</v>
      </c>
      <c r="J944">
        <v>2.0499999999999998</v>
      </c>
      <c r="K944">
        <v>2.0499999999999998</v>
      </c>
      <c r="L944">
        <v>4.4000000000000004</v>
      </c>
      <c r="M944">
        <v>4.47</v>
      </c>
      <c r="N944">
        <v>4.33</v>
      </c>
    </row>
    <row r="945" spans="1:14" x14ac:dyDescent="0.5">
      <c r="A945" t="str">
        <f>"002484"</f>
        <v>002484</v>
      </c>
      <c r="B945" t="s">
        <v>1862</v>
      </c>
      <c r="C945">
        <v>3.73</v>
      </c>
      <c r="D945">
        <v>27.62</v>
      </c>
      <c r="E945">
        <v>7.79</v>
      </c>
      <c r="F945">
        <v>0.28000000000000003</v>
      </c>
      <c r="G945">
        <v>7.79</v>
      </c>
      <c r="H945">
        <v>7.8</v>
      </c>
      <c r="I945" t="s">
        <v>1863</v>
      </c>
      <c r="J945">
        <v>2.31</v>
      </c>
      <c r="K945">
        <v>2.31</v>
      </c>
      <c r="L945">
        <v>7.45</v>
      </c>
      <c r="M945">
        <v>7.91</v>
      </c>
      <c r="N945">
        <v>7.37</v>
      </c>
    </row>
    <row r="946" spans="1:14" x14ac:dyDescent="0.5">
      <c r="A946" t="str">
        <f>"002485"</f>
        <v>002485</v>
      </c>
      <c r="B946" t="s">
        <v>1864</v>
      </c>
      <c r="C946">
        <v>0.73</v>
      </c>
      <c r="D946">
        <v>47.27</v>
      </c>
      <c r="E946">
        <v>8.2799999999999994</v>
      </c>
      <c r="F946">
        <v>0.06</v>
      </c>
      <c r="G946">
        <v>8.27</v>
      </c>
      <c r="H946">
        <v>8.2799999999999994</v>
      </c>
      <c r="I946" t="s">
        <v>1865</v>
      </c>
      <c r="J946">
        <v>2.58</v>
      </c>
      <c r="K946">
        <v>2.58</v>
      </c>
      <c r="L946">
        <v>8.2200000000000006</v>
      </c>
      <c r="M946">
        <v>8.2799999999999994</v>
      </c>
      <c r="N946">
        <v>8.1300000000000008</v>
      </c>
    </row>
    <row r="947" spans="1:14" x14ac:dyDescent="0.5">
      <c r="A947" t="str">
        <f>"002486"</f>
        <v>002486</v>
      </c>
      <c r="B947" t="s">
        <v>1866</v>
      </c>
      <c r="C947">
        <v>1.2</v>
      </c>
      <c r="D947">
        <v>46.11</v>
      </c>
      <c r="E947">
        <v>4.22</v>
      </c>
      <c r="F947">
        <v>0.05</v>
      </c>
      <c r="G947">
        <v>4.21</v>
      </c>
      <c r="H947">
        <v>4.22</v>
      </c>
      <c r="I947" t="s">
        <v>1867</v>
      </c>
      <c r="J947">
        <v>2.83</v>
      </c>
      <c r="K947">
        <v>2.83</v>
      </c>
      <c r="L947">
        <v>4.1500000000000004</v>
      </c>
      <c r="M947">
        <v>4.2300000000000004</v>
      </c>
      <c r="N947">
        <v>4.1100000000000003</v>
      </c>
    </row>
    <row r="948" spans="1:14" x14ac:dyDescent="0.5">
      <c r="A948" t="str">
        <f>"002487"</f>
        <v>002487</v>
      </c>
      <c r="B948" t="s">
        <v>1868</v>
      </c>
      <c r="C948">
        <v>0.4</v>
      </c>
      <c r="D948">
        <v>40.75</v>
      </c>
      <c r="E948">
        <v>5.0199999999999996</v>
      </c>
      <c r="F948">
        <v>0.02</v>
      </c>
      <c r="G948">
        <v>5.0199999999999996</v>
      </c>
      <c r="H948">
        <v>5.03</v>
      </c>
      <c r="I948" t="s">
        <v>1869</v>
      </c>
      <c r="J948">
        <v>3.97</v>
      </c>
      <c r="K948">
        <v>3.97</v>
      </c>
      <c r="L948">
        <v>4.96</v>
      </c>
      <c r="M948">
        <v>5.0999999999999996</v>
      </c>
      <c r="N948">
        <v>4.8499999999999996</v>
      </c>
    </row>
    <row r="949" spans="1:14" x14ac:dyDescent="0.5">
      <c r="A949" t="str">
        <f>"002488"</f>
        <v>002488</v>
      </c>
      <c r="B949" t="s">
        <v>1870</v>
      </c>
      <c r="C949">
        <v>9.99</v>
      </c>
      <c r="D949">
        <v>44.58</v>
      </c>
      <c r="E949">
        <v>9.4700000000000006</v>
      </c>
      <c r="F949">
        <v>0.86</v>
      </c>
      <c r="G949">
        <v>9.4700000000000006</v>
      </c>
      <c r="H949" t="s">
        <v>24</v>
      </c>
      <c r="I949" t="s">
        <v>1871</v>
      </c>
      <c r="J949">
        <v>0.41</v>
      </c>
      <c r="K949">
        <v>0.41</v>
      </c>
      <c r="L949">
        <v>9.4700000000000006</v>
      </c>
      <c r="M949">
        <v>9.4700000000000006</v>
      </c>
      <c r="N949">
        <v>9.4700000000000006</v>
      </c>
    </row>
    <row r="950" spans="1:14" x14ac:dyDescent="0.5">
      <c r="A950" t="str">
        <f>"002489"</f>
        <v>002489</v>
      </c>
      <c r="B950" t="s">
        <v>1872</v>
      </c>
      <c r="C950">
        <v>2.85</v>
      </c>
      <c r="D950" t="s">
        <v>24</v>
      </c>
      <c r="E950">
        <v>3.25</v>
      </c>
      <c r="F950">
        <v>0.09</v>
      </c>
      <c r="G950">
        <v>3.25</v>
      </c>
      <c r="H950">
        <v>3.26</v>
      </c>
      <c r="I950" t="s">
        <v>1873</v>
      </c>
      <c r="J950">
        <v>1.05</v>
      </c>
      <c r="K950">
        <v>1.05</v>
      </c>
      <c r="L950">
        <v>3.14</v>
      </c>
      <c r="M950">
        <v>3.26</v>
      </c>
      <c r="N950">
        <v>3.13</v>
      </c>
    </row>
    <row r="951" spans="1:14" x14ac:dyDescent="0.5">
      <c r="A951" t="str">
        <f>"002490"</f>
        <v>002490</v>
      </c>
      <c r="B951" t="s">
        <v>1874</v>
      </c>
      <c r="C951">
        <v>2.74</v>
      </c>
      <c r="D951">
        <v>35.06</v>
      </c>
      <c r="E951">
        <v>4.88</v>
      </c>
      <c r="F951">
        <v>0.13</v>
      </c>
      <c r="G951">
        <v>4.88</v>
      </c>
      <c r="H951">
        <v>4.8899999999999997</v>
      </c>
      <c r="I951" t="s">
        <v>500</v>
      </c>
      <c r="J951">
        <v>4.6900000000000004</v>
      </c>
      <c r="K951">
        <v>4.6900000000000004</v>
      </c>
      <c r="L951">
        <v>4.76</v>
      </c>
      <c r="M951">
        <v>4.9000000000000004</v>
      </c>
      <c r="N951">
        <v>4.7300000000000004</v>
      </c>
    </row>
    <row r="952" spans="1:14" x14ac:dyDescent="0.5">
      <c r="A952" t="str">
        <f>"002491"</f>
        <v>002491</v>
      </c>
      <c r="B952" t="s">
        <v>1875</v>
      </c>
      <c r="C952">
        <v>5.1100000000000003</v>
      </c>
      <c r="D952">
        <v>19.8</v>
      </c>
      <c r="E952">
        <v>10.5</v>
      </c>
      <c r="F952">
        <v>0.51</v>
      </c>
      <c r="G952">
        <v>10.49</v>
      </c>
      <c r="H952">
        <v>10.5</v>
      </c>
      <c r="I952" t="s">
        <v>1876</v>
      </c>
      <c r="J952">
        <v>5.52</v>
      </c>
      <c r="K952">
        <v>5.52</v>
      </c>
      <c r="L952">
        <v>9.85</v>
      </c>
      <c r="M952">
        <v>10.5</v>
      </c>
      <c r="N952">
        <v>9.83</v>
      </c>
    </row>
    <row r="953" spans="1:14" x14ac:dyDescent="0.5">
      <c r="A953" t="str">
        <f>"002492"</f>
        <v>002492</v>
      </c>
      <c r="B953" t="s">
        <v>1877</v>
      </c>
      <c r="C953">
        <v>3.55</v>
      </c>
      <c r="D953">
        <v>36.26</v>
      </c>
      <c r="E953">
        <v>6.41</v>
      </c>
      <c r="F953">
        <v>0.22</v>
      </c>
      <c r="G953">
        <v>6.41</v>
      </c>
      <c r="H953">
        <v>6.42</v>
      </c>
      <c r="I953" t="s">
        <v>1878</v>
      </c>
      <c r="J953">
        <v>5.9</v>
      </c>
      <c r="K953">
        <v>5.9</v>
      </c>
      <c r="L953">
        <v>6.15</v>
      </c>
      <c r="M953">
        <v>6.47</v>
      </c>
      <c r="N953">
        <v>6.11</v>
      </c>
    </row>
    <row r="954" spans="1:14" x14ac:dyDescent="0.5">
      <c r="A954" t="str">
        <f>"002493"</f>
        <v>002493</v>
      </c>
      <c r="B954" t="s">
        <v>1879</v>
      </c>
      <c r="C954">
        <v>-0.79</v>
      </c>
      <c r="D954">
        <v>32.29</v>
      </c>
      <c r="E954">
        <v>11.29</v>
      </c>
      <c r="F954">
        <v>-0.09</v>
      </c>
      <c r="G954">
        <v>11.29</v>
      </c>
      <c r="H954">
        <v>11.3</v>
      </c>
      <c r="I954" t="s">
        <v>1880</v>
      </c>
      <c r="J954">
        <v>0.22</v>
      </c>
      <c r="K954">
        <v>0.22</v>
      </c>
      <c r="L954">
        <v>11.47</v>
      </c>
      <c r="M954">
        <v>11.47</v>
      </c>
      <c r="N954">
        <v>11.14</v>
      </c>
    </row>
    <row r="955" spans="1:14" x14ac:dyDescent="0.5">
      <c r="A955" t="str">
        <f>"002494"</f>
        <v>002494</v>
      </c>
      <c r="B955" t="s">
        <v>1881</v>
      </c>
      <c r="C955">
        <v>1.67</v>
      </c>
      <c r="D955">
        <v>134.88</v>
      </c>
      <c r="E955">
        <v>6.1</v>
      </c>
      <c r="F955">
        <v>0.1</v>
      </c>
      <c r="G955">
        <v>6.1</v>
      </c>
      <c r="H955">
        <v>6.11</v>
      </c>
      <c r="I955" t="s">
        <v>1882</v>
      </c>
      <c r="J955">
        <v>3.03</v>
      </c>
      <c r="K955">
        <v>3.03</v>
      </c>
      <c r="L955">
        <v>6</v>
      </c>
      <c r="M955">
        <v>6.1</v>
      </c>
      <c r="N955">
        <v>5.93</v>
      </c>
    </row>
    <row r="956" spans="1:14" x14ac:dyDescent="0.5">
      <c r="A956" t="str">
        <f>"002495"</f>
        <v>002495</v>
      </c>
      <c r="B956" t="s">
        <v>1883</v>
      </c>
      <c r="C956">
        <v>1.37</v>
      </c>
      <c r="D956">
        <v>108.86</v>
      </c>
      <c r="E956">
        <v>3.71</v>
      </c>
      <c r="F956">
        <v>0.05</v>
      </c>
      <c r="G956">
        <v>3.7</v>
      </c>
      <c r="H956">
        <v>3.71</v>
      </c>
      <c r="I956" t="s">
        <v>848</v>
      </c>
      <c r="J956">
        <v>3.29</v>
      </c>
      <c r="K956">
        <v>3.29</v>
      </c>
      <c r="L956">
        <v>3.63</v>
      </c>
      <c r="M956">
        <v>3.74</v>
      </c>
      <c r="N956">
        <v>3.61</v>
      </c>
    </row>
    <row r="957" spans="1:14" x14ac:dyDescent="0.5">
      <c r="A957" t="str">
        <f>"002496"</f>
        <v>002496</v>
      </c>
      <c r="B957" t="s">
        <v>1884</v>
      </c>
      <c r="C957">
        <v>-0.67</v>
      </c>
      <c r="D957" t="s">
        <v>24</v>
      </c>
      <c r="E957">
        <v>2.96</v>
      </c>
      <c r="F957">
        <v>-0.02</v>
      </c>
      <c r="G957">
        <v>2.95</v>
      </c>
      <c r="H957">
        <v>2.96</v>
      </c>
      <c r="I957" t="s">
        <v>1885</v>
      </c>
      <c r="J957">
        <v>2.97</v>
      </c>
      <c r="K957">
        <v>2.97</v>
      </c>
      <c r="L957">
        <v>2.95</v>
      </c>
      <c r="M957">
        <v>2.97</v>
      </c>
      <c r="N957">
        <v>2.89</v>
      </c>
    </row>
    <row r="958" spans="1:14" x14ac:dyDescent="0.5">
      <c r="A958" t="str">
        <f>"002497"</f>
        <v>002497</v>
      </c>
      <c r="B958" t="s">
        <v>1886</v>
      </c>
      <c r="C958">
        <v>2.63</v>
      </c>
      <c r="D958">
        <v>30.32</v>
      </c>
      <c r="E958">
        <v>8.1999999999999993</v>
      </c>
      <c r="F958">
        <v>0.21</v>
      </c>
      <c r="G958">
        <v>8.1999999999999993</v>
      </c>
      <c r="H958">
        <v>8.2100000000000009</v>
      </c>
      <c r="I958" t="s">
        <v>1887</v>
      </c>
      <c r="J958">
        <v>5.55</v>
      </c>
      <c r="K958">
        <v>5.55</v>
      </c>
      <c r="L958">
        <v>7.94</v>
      </c>
      <c r="M958">
        <v>8.1999999999999993</v>
      </c>
      <c r="N958">
        <v>7.89</v>
      </c>
    </row>
    <row r="959" spans="1:14" x14ac:dyDescent="0.5">
      <c r="A959" t="str">
        <f>"002498"</f>
        <v>002498</v>
      </c>
      <c r="B959" t="s">
        <v>1888</v>
      </c>
      <c r="C959">
        <v>1.38</v>
      </c>
      <c r="D959">
        <v>56.71</v>
      </c>
      <c r="E959">
        <v>2.93</v>
      </c>
      <c r="F959">
        <v>0.04</v>
      </c>
      <c r="G959">
        <v>2.93</v>
      </c>
      <c r="H959">
        <v>2.94</v>
      </c>
      <c r="I959" t="s">
        <v>1889</v>
      </c>
      <c r="J959">
        <v>1.31</v>
      </c>
      <c r="K959">
        <v>1.31</v>
      </c>
      <c r="L959">
        <v>2.87</v>
      </c>
      <c r="M959">
        <v>2.93</v>
      </c>
      <c r="N959">
        <v>2.85</v>
      </c>
    </row>
    <row r="960" spans="1:14" x14ac:dyDescent="0.5">
      <c r="A960" t="str">
        <f>"002499"</f>
        <v>002499</v>
      </c>
      <c r="B960" t="s">
        <v>1890</v>
      </c>
      <c r="C960">
        <v>1.58</v>
      </c>
      <c r="D960">
        <v>82.34</v>
      </c>
      <c r="E960">
        <v>8.3800000000000008</v>
      </c>
      <c r="F960">
        <v>0.13</v>
      </c>
      <c r="G960">
        <v>8.3800000000000008</v>
      </c>
      <c r="H960">
        <v>8.4499999999999993</v>
      </c>
      <c r="I960" t="s">
        <v>1891</v>
      </c>
      <c r="J960">
        <v>3.29</v>
      </c>
      <c r="K960">
        <v>3.29</v>
      </c>
      <c r="L960">
        <v>8.3699999999999992</v>
      </c>
      <c r="M960">
        <v>8.48</v>
      </c>
      <c r="N960">
        <v>8.18</v>
      </c>
    </row>
    <row r="961" spans="1:14" x14ac:dyDescent="0.5">
      <c r="A961" t="str">
        <f>"002500"</f>
        <v>002500</v>
      </c>
      <c r="B961" t="s">
        <v>1892</v>
      </c>
      <c r="C961">
        <v>1.07</v>
      </c>
      <c r="D961">
        <v>162.86000000000001</v>
      </c>
      <c r="E961">
        <v>8.5299999999999994</v>
      </c>
      <c r="F961">
        <v>0.09</v>
      </c>
      <c r="G961">
        <v>8.52</v>
      </c>
      <c r="H961">
        <v>8.5299999999999994</v>
      </c>
      <c r="I961" t="s">
        <v>1893</v>
      </c>
      <c r="J961">
        <v>1.81</v>
      </c>
      <c r="K961">
        <v>1.81</v>
      </c>
      <c r="L961">
        <v>8.39</v>
      </c>
      <c r="M961">
        <v>8.56</v>
      </c>
      <c r="N961">
        <v>8.32</v>
      </c>
    </row>
    <row r="962" spans="1:14" x14ac:dyDescent="0.5">
      <c r="A962" t="str">
        <f>"002501"</f>
        <v>002501</v>
      </c>
      <c r="B962" t="s">
        <v>1894</v>
      </c>
      <c r="C962">
        <v>3.04</v>
      </c>
      <c r="D962" t="s">
        <v>24</v>
      </c>
      <c r="E962">
        <v>3.39</v>
      </c>
      <c r="F962">
        <v>0.1</v>
      </c>
      <c r="G962">
        <v>3.39</v>
      </c>
      <c r="H962">
        <v>3.4</v>
      </c>
      <c r="I962" t="s">
        <v>1895</v>
      </c>
      <c r="J962">
        <v>7.81</v>
      </c>
      <c r="K962">
        <v>7.81</v>
      </c>
      <c r="L962">
        <v>3.43</v>
      </c>
      <c r="M962">
        <v>3.6</v>
      </c>
      <c r="N962">
        <v>3.32</v>
      </c>
    </row>
    <row r="963" spans="1:14" x14ac:dyDescent="0.5">
      <c r="A963" t="str">
        <f>"002502"</f>
        <v>002502</v>
      </c>
      <c r="B963" t="s">
        <v>1896</v>
      </c>
      <c r="C963">
        <v>4.2300000000000004</v>
      </c>
      <c r="D963">
        <v>21.38</v>
      </c>
      <c r="E963">
        <v>4.4400000000000004</v>
      </c>
      <c r="F963">
        <v>0.18</v>
      </c>
      <c r="G963">
        <v>4.4400000000000004</v>
      </c>
      <c r="H963">
        <v>4.45</v>
      </c>
      <c r="I963" t="s">
        <v>1897</v>
      </c>
      <c r="J963">
        <v>7.3</v>
      </c>
      <c r="K963">
        <v>7.3</v>
      </c>
      <c r="L963">
        <v>4.26</v>
      </c>
      <c r="M963">
        <v>4.46</v>
      </c>
      <c r="N963">
        <v>4.2</v>
      </c>
    </row>
    <row r="964" spans="1:14" x14ac:dyDescent="0.5">
      <c r="A964" t="str">
        <f>"002503"</f>
        <v>002503</v>
      </c>
      <c r="B964" t="s">
        <v>1898</v>
      </c>
      <c r="C964">
        <v>6.74</v>
      </c>
      <c r="D964">
        <v>13.63</v>
      </c>
      <c r="E964">
        <v>3.01</v>
      </c>
      <c r="F964">
        <v>0.19</v>
      </c>
      <c r="G964">
        <v>3</v>
      </c>
      <c r="H964">
        <v>3.01</v>
      </c>
      <c r="I964" t="s">
        <v>1899</v>
      </c>
      <c r="J964">
        <v>4.0999999999999996</v>
      </c>
      <c r="K964">
        <v>4.0999999999999996</v>
      </c>
      <c r="L964">
        <v>2.8</v>
      </c>
      <c r="M964">
        <v>3.05</v>
      </c>
      <c r="N964">
        <v>2.77</v>
      </c>
    </row>
    <row r="965" spans="1:14" x14ac:dyDescent="0.5">
      <c r="A965" t="str">
        <f>"002504"</f>
        <v>002504</v>
      </c>
      <c r="B965" t="s">
        <v>1900</v>
      </c>
      <c r="C965">
        <v>6.2</v>
      </c>
      <c r="D965" t="s">
        <v>24</v>
      </c>
      <c r="E965">
        <v>4.28</v>
      </c>
      <c r="F965">
        <v>0.25</v>
      </c>
      <c r="G965">
        <v>4.28</v>
      </c>
      <c r="H965">
        <v>4.29</v>
      </c>
      <c r="I965" t="s">
        <v>1901</v>
      </c>
      <c r="J965">
        <v>10.91</v>
      </c>
      <c r="K965">
        <v>10.91</v>
      </c>
      <c r="L965">
        <v>3.99</v>
      </c>
      <c r="M965">
        <v>4.3499999999999996</v>
      </c>
      <c r="N965">
        <v>3.97</v>
      </c>
    </row>
    <row r="966" spans="1:14" x14ac:dyDescent="0.5">
      <c r="A966" t="str">
        <f>"002505"</f>
        <v>002505</v>
      </c>
      <c r="B966" t="s">
        <v>1902</v>
      </c>
      <c r="C966">
        <v>2.48</v>
      </c>
      <c r="D966">
        <v>260.01</v>
      </c>
      <c r="E966">
        <v>2.0699999999999998</v>
      </c>
      <c r="F966">
        <v>0.05</v>
      </c>
      <c r="G966">
        <v>2.06</v>
      </c>
      <c r="H966">
        <v>2.0699999999999998</v>
      </c>
      <c r="I966" t="s">
        <v>1903</v>
      </c>
      <c r="J966">
        <v>1.44</v>
      </c>
      <c r="K966">
        <v>1.44</v>
      </c>
      <c r="L966">
        <v>2.02</v>
      </c>
      <c r="M966">
        <v>2.1</v>
      </c>
      <c r="N966">
        <v>1.99</v>
      </c>
    </row>
    <row r="967" spans="1:14" x14ac:dyDescent="0.5">
      <c r="A967" t="str">
        <f>"002506"</f>
        <v>002506</v>
      </c>
      <c r="B967" t="s">
        <v>1904</v>
      </c>
      <c r="C967">
        <v>-0.19</v>
      </c>
      <c r="D967" t="s">
        <v>24</v>
      </c>
      <c r="E967">
        <v>5.26</v>
      </c>
      <c r="F967">
        <v>-0.01</v>
      </c>
      <c r="G967">
        <v>5.25</v>
      </c>
      <c r="H967">
        <v>5.26</v>
      </c>
      <c r="I967" t="s">
        <v>1905</v>
      </c>
      <c r="J967">
        <v>0.79</v>
      </c>
      <c r="K967">
        <v>0.79</v>
      </c>
      <c r="L967">
        <v>5.25</v>
      </c>
      <c r="M967">
        <v>5.29</v>
      </c>
      <c r="N967">
        <v>5.19</v>
      </c>
    </row>
    <row r="968" spans="1:14" x14ac:dyDescent="0.5">
      <c r="A968" t="str">
        <f>"002507"</f>
        <v>002507</v>
      </c>
      <c r="B968" t="s">
        <v>1906</v>
      </c>
      <c r="C968">
        <v>-0.4</v>
      </c>
      <c r="D968">
        <v>33.159999999999997</v>
      </c>
      <c r="E968">
        <v>27.08</v>
      </c>
      <c r="F968">
        <v>-0.11</v>
      </c>
      <c r="G968">
        <v>27.07</v>
      </c>
      <c r="H968">
        <v>27.08</v>
      </c>
      <c r="I968" t="s">
        <v>1907</v>
      </c>
      <c r="J968">
        <v>1.1299999999999999</v>
      </c>
      <c r="K968">
        <v>1.1299999999999999</v>
      </c>
      <c r="L968">
        <v>27.18</v>
      </c>
      <c r="M968">
        <v>27.5</v>
      </c>
      <c r="N968">
        <v>26.57</v>
      </c>
    </row>
    <row r="969" spans="1:14" x14ac:dyDescent="0.5">
      <c r="A969" t="str">
        <f>"002508"</f>
        <v>002508</v>
      </c>
      <c r="B969" t="s">
        <v>1908</v>
      </c>
      <c r="C969">
        <v>6.52</v>
      </c>
      <c r="D969">
        <v>15.91</v>
      </c>
      <c r="E969">
        <v>28.6</v>
      </c>
      <c r="F969">
        <v>1.75</v>
      </c>
      <c r="G969">
        <v>28.59</v>
      </c>
      <c r="H969">
        <v>28.6</v>
      </c>
      <c r="I969" t="s">
        <v>1909</v>
      </c>
      <c r="J969">
        <v>2.99</v>
      </c>
      <c r="K969">
        <v>2.99</v>
      </c>
      <c r="L969">
        <v>26.88</v>
      </c>
      <c r="M969">
        <v>28.65</v>
      </c>
      <c r="N969">
        <v>26.72</v>
      </c>
    </row>
    <row r="970" spans="1:14" x14ac:dyDescent="0.5">
      <c r="A970" t="str">
        <f>"002509"</f>
        <v>002509</v>
      </c>
      <c r="B970" t="s">
        <v>1910</v>
      </c>
      <c r="C970">
        <v>1.34</v>
      </c>
      <c r="D970">
        <v>16.41</v>
      </c>
      <c r="E970">
        <v>3.02</v>
      </c>
      <c r="F970">
        <v>0.04</v>
      </c>
      <c r="G970">
        <v>3.02</v>
      </c>
      <c r="H970">
        <v>3.03</v>
      </c>
      <c r="I970" t="s">
        <v>1911</v>
      </c>
      <c r="J970">
        <v>3.22</v>
      </c>
      <c r="K970">
        <v>3.22</v>
      </c>
      <c r="L970">
        <v>2.96</v>
      </c>
      <c r="M970">
        <v>3.03</v>
      </c>
      <c r="N970">
        <v>2.93</v>
      </c>
    </row>
    <row r="971" spans="1:14" x14ac:dyDescent="0.5">
      <c r="A971" t="str">
        <f>"002510"</f>
        <v>002510</v>
      </c>
      <c r="B971" t="s">
        <v>1912</v>
      </c>
      <c r="C971">
        <v>1.27</v>
      </c>
      <c r="D971">
        <v>39.08</v>
      </c>
      <c r="E971">
        <v>4.7699999999999996</v>
      </c>
      <c r="F971">
        <v>0.06</v>
      </c>
      <c r="G971">
        <v>4.76</v>
      </c>
      <c r="H971">
        <v>4.7699999999999996</v>
      </c>
      <c r="I971" t="s">
        <v>1913</v>
      </c>
      <c r="J971">
        <v>4.57</v>
      </c>
      <c r="K971">
        <v>4.57</v>
      </c>
      <c r="L971">
        <v>4.66</v>
      </c>
      <c r="M971">
        <v>4.79</v>
      </c>
      <c r="N971">
        <v>4.62</v>
      </c>
    </row>
    <row r="972" spans="1:14" x14ac:dyDescent="0.5">
      <c r="A972" t="str">
        <f>"002511"</f>
        <v>002511</v>
      </c>
      <c r="B972" t="s">
        <v>1914</v>
      </c>
      <c r="C972">
        <v>0.23</v>
      </c>
      <c r="D972">
        <v>26.93</v>
      </c>
      <c r="E972">
        <v>8.65</v>
      </c>
      <c r="F972">
        <v>0.02</v>
      </c>
      <c r="G972">
        <v>8.65</v>
      </c>
      <c r="H972">
        <v>8.66</v>
      </c>
      <c r="I972" t="s">
        <v>1915</v>
      </c>
      <c r="J972">
        <v>1.45</v>
      </c>
      <c r="K972">
        <v>1.45</v>
      </c>
      <c r="L972">
        <v>8.56</v>
      </c>
      <c r="M972">
        <v>8.65</v>
      </c>
      <c r="N972">
        <v>8.5</v>
      </c>
    </row>
    <row r="973" spans="1:14" x14ac:dyDescent="0.5">
      <c r="A973" t="str">
        <f>"002512"</f>
        <v>002512</v>
      </c>
      <c r="B973" t="s">
        <v>1916</v>
      </c>
      <c r="C973">
        <v>7.52</v>
      </c>
      <c r="D973" t="s">
        <v>24</v>
      </c>
      <c r="E973">
        <v>6.15</v>
      </c>
      <c r="F973">
        <v>0.43</v>
      </c>
      <c r="G973">
        <v>6.15</v>
      </c>
      <c r="H973">
        <v>6.16</v>
      </c>
      <c r="I973" t="s">
        <v>1917</v>
      </c>
      <c r="J973">
        <v>8.89</v>
      </c>
      <c r="K973">
        <v>8.89</v>
      </c>
      <c r="L973">
        <v>5.8</v>
      </c>
      <c r="M973">
        <v>6.17</v>
      </c>
      <c r="N973">
        <v>5.57</v>
      </c>
    </row>
    <row r="974" spans="1:14" x14ac:dyDescent="0.5">
      <c r="A974" t="str">
        <f>"002513"</f>
        <v>002513</v>
      </c>
      <c r="B974" t="s">
        <v>1918</v>
      </c>
      <c r="C974">
        <v>2.5299999999999998</v>
      </c>
      <c r="D974" t="s">
        <v>24</v>
      </c>
      <c r="E974">
        <v>6.08</v>
      </c>
      <c r="F974">
        <v>0.15</v>
      </c>
      <c r="G974">
        <v>6.08</v>
      </c>
      <c r="H974">
        <v>6.09</v>
      </c>
      <c r="I974" t="s">
        <v>1919</v>
      </c>
      <c r="J974">
        <v>1.1499999999999999</v>
      </c>
      <c r="K974">
        <v>1.1499999999999999</v>
      </c>
      <c r="L974">
        <v>5.94</v>
      </c>
      <c r="M974">
        <v>6.1</v>
      </c>
      <c r="N974">
        <v>5.92</v>
      </c>
    </row>
    <row r="975" spans="1:14" x14ac:dyDescent="0.5">
      <c r="A975" t="str">
        <f>"002514"</f>
        <v>002514</v>
      </c>
      <c r="B975" t="s">
        <v>1920</v>
      </c>
      <c r="C975">
        <v>1.69</v>
      </c>
      <c r="D975">
        <v>44.02</v>
      </c>
      <c r="E975">
        <v>6.02</v>
      </c>
      <c r="F975">
        <v>0.1</v>
      </c>
      <c r="G975">
        <v>6.02</v>
      </c>
      <c r="H975">
        <v>6.03</v>
      </c>
      <c r="I975" t="s">
        <v>1921</v>
      </c>
      <c r="J975">
        <v>2.77</v>
      </c>
      <c r="K975">
        <v>2.77</v>
      </c>
      <c r="L975">
        <v>5.89</v>
      </c>
      <c r="M975">
        <v>6.03</v>
      </c>
      <c r="N975">
        <v>5.86</v>
      </c>
    </row>
    <row r="976" spans="1:14" x14ac:dyDescent="0.5">
      <c r="A976" t="str">
        <f>"002515"</f>
        <v>002515</v>
      </c>
      <c r="B976" t="s">
        <v>1922</v>
      </c>
      <c r="C976">
        <v>0.19</v>
      </c>
      <c r="D976" t="s">
        <v>24</v>
      </c>
      <c r="E976">
        <v>5.22</v>
      </c>
      <c r="F976">
        <v>0.01</v>
      </c>
      <c r="G976">
        <v>5.22</v>
      </c>
      <c r="H976">
        <v>5.23</v>
      </c>
      <c r="I976" t="s">
        <v>1923</v>
      </c>
      <c r="J976">
        <v>1.64</v>
      </c>
      <c r="K976">
        <v>1.64</v>
      </c>
      <c r="L976">
        <v>5.21</v>
      </c>
      <c r="M976">
        <v>5.22</v>
      </c>
      <c r="N976">
        <v>5.0999999999999996</v>
      </c>
    </row>
    <row r="977" spans="1:14" x14ac:dyDescent="0.5">
      <c r="A977" t="str">
        <f>"002516"</f>
        <v>002516</v>
      </c>
      <c r="B977" t="s">
        <v>1924</v>
      </c>
      <c r="C977">
        <v>2.7</v>
      </c>
      <c r="D977">
        <v>15.64</v>
      </c>
      <c r="E977">
        <v>3.42</v>
      </c>
      <c r="F977">
        <v>0.09</v>
      </c>
      <c r="G977">
        <v>3.41</v>
      </c>
      <c r="H977">
        <v>3.42</v>
      </c>
      <c r="I977" t="s">
        <v>1925</v>
      </c>
      <c r="J977">
        <v>2.35</v>
      </c>
      <c r="K977">
        <v>2.35</v>
      </c>
      <c r="L977">
        <v>3.31</v>
      </c>
      <c r="M977">
        <v>3.44</v>
      </c>
      <c r="N977">
        <v>3.29</v>
      </c>
    </row>
    <row r="978" spans="1:14" x14ac:dyDescent="0.5">
      <c r="A978" t="str">
        <f>"002517"</f>
        <v>002517</v>
      </c>
      <c r="B978" t="s">
        <v>1926</v>
      </c>
      <c r="C978">
        <v>9.93</v>
      </c>
      <c r="D978">
        <v>8.59</v>
      </c>
      <c r="E978">
        <v>4.6500000000000004</v>
      </c>
      <c r="F978">
        <v>0.42</v>
      </c>
      <c r="G978">
        <v>4.6500000000000004</v>
      </c>
      <c r="H978" t="s">
        <v>24</v>
      </c>
      <c r="I978" t="s">
        <v>970</v>
      </c>
      <c r="J978">
        <v>10.32</v>
      </c>
      <c r="K978">
        <v>10.32</v>
      </c>
      <c r="L978">
        <v>4.24</v>
      </c>
      <c r="M978">
        <v>4.6500000000000004</v>
      </c>
      <c r="N978">
        <v>4.18</v>
      </c>
    </row>
    <row r="979" spans="1:14" x14ac:dyDescent="0.5">
      <c r="A979" t="str">
        <f>"002518"</f>
        <v>002518</v>
      </c>
      <c r="B979" t="s">
        <v>1927</v>
      </c>
      <c r="C979">
        <v>8.01</v>
      </c>
      <c r="D979">
        <v>17.16</v>
      </c>
      <c r="E979">
        <v>12.14</v>
      </c>
      <c r="F979">
        <v>0.9</v>
      </c>
      <c r="G979">
        <v>12.13</v>
      </c>
      <c r="H979">
        <v>12.14</v>
      </c>
      <c r="I979" t="s">
        <v>1928</v>
      </c>
      <c r="J979">
        <v>5.48</v>
      </c>
      <c r="K979">
        <v>5.48</v>
      </c>
      <c r="L979">
        <v>11.11</v>
      </c>
      <c r="M979">
        <v>12.36</v>
      </c>
      <c r="N979">
        <v>11</v>
      </c>
    </row>
    <row r="980" spans="1:14" x14ac:dyDescent="0.5">
      <c r="A980" t="str">
        <f>"002519"</f>
        <v>002519</v>
      </c>
      <c r="B980" t="s">
        <v>1929</v>
      </c>
      <c r="C980">
        <v>9.93</v>
      </c>
      <c r="D980">
        <v>24.21</v>
      </c>
      <c r="E980">
        <v>4.87</v>
      </c>
      <c r="F980">
        <v>0.44</v>
      </c>
      <c r="G980">
        <v>4.87</v>
      </c>
      <c r="H980" t="s">
        <v>24</v>
      </c>
      <c r="I980" t="s">
        <v>544</v>
      </c>
      <c r="J980">
        <v>7.32</v>
      </c>
      <c r="K980">
        <v>7.32</v>
      </c>
      <c r="L980">
        <v>4.53</v>
      </c>
      <c r="M980">
        <v>4.87</v>
      </c>
      <c r="N980">
        <v>4.38</v>
      </c>
    </row>
    <row r="981" spans="1:14" x14ac:dyDescent="0.5">
      <c r="A981" t="str">
        <f>"002520"</f>
        <v>002520</v>
      </c>
      <c r="B981" t="s">
        <v>1930</v>
      </c>
      <c r="C981">
        <v>2.2599999999999998</v>
      </c>
      <c r="D981">
        <v>81.819999999999993</v>
      </c>
      <c r="E981">
        <v>8.16</v>
      </c>
      <c r="F981">
        <v>0.18</v>
      </c>
      <c r="G981">
        <v>8.16</v>
      </c>
      <c r="H981">
        <v>8.17</v>
      </c>
      <c r="I981" t="s">
        <v>1931</v>
      </c>
      <c r="J981">
        <v>2.95</v>
      </c>
      <c r="K981">
        <v>2.95</v>
      </c>
      <c r="L981">
        <v>7.98</v>
      </c>
      <c r="M981">
        <v>8.2100000000000009</v>
      </c>
      <c r="N981">
        <v>7.92</v>
      </c>
    </row>
    <row r="982" spans="1:14" x14ac:dyDescent="0.5">
      <c r="A982" t="str">
        <f>"002521"</f>
        <v>002521</v>
      </c>
      <c r="B982" t="s">
        <v>1932</v>
      </c>
      <c r="C982">
        <v>1.94</v>
      </c>
      <c r="D982">
        <v>36</v>
      </c>
      <c r="E982">
        <v>6.29</v>
      </c>
      <c r="F982">
        <v>0.12</v>
      </c>
      <c r="G982">
        <v>6.28</v>
      </c>
      <c r="H982">
        <v>6.29</v>
      </c>
      <c r="I982" t="s">
        <v>1933</v>
      </c>
      <c r="J982">
        <v>3.39</v>
      </c>
      <c r="K982">
        <v>3.39</v>
      </c>
      <c r="L982">
        <v>6.19</v>
      </c>
      <c r="M982">
        <v>6.39</v>
      </c>
      <c r="N982">
        <v>6.17</v>
      </c>
    </row>
    <row r="983" spans="1:14" x14ac:dyDescent="0.5">
      <c r="A983" t="str">
        <f>"002522"</f>
        <v>002522</v>
      </c>
      <c r="B983" t="s">
        <v>1934</v>
      </c>
      <c r="C983">
        <v>9.9499999999999993</v>
      </c>
      <c r="D983">
        <v>125.18</v>
      </c>
      <c r="E983">
        <v>6.19</v>
      </c>
      <c r="F983">
        <v>0.56000000000000005</v>
      </c>
      <c r="G983">
        <v>6.19</v>
      </c>
      <c r="H983" t="s">
        <v>24</v>
      </c>
      <c r="I983" t="s">
        <v>1935</v>
      </c>
      <c r="J983">
        <v>4.12</v>
      </c>
      <c r="K983">
        <v>4.12</v>
      </c>
      <c r="L983">
        <v>5.7</v>
      </c>
      <c r="M983">
        <v>6.19</v>
      </c>
      <c r="N983">
        <v>5.62</v>
      </c>
    </row>
    <row r="984" spans="1:14" x14ac:dyDescent="0.5">
      <c r="A984" t="str">
        <f>"002523"</f>
        <v>002523</v>
      </c>
      <c r="B984" t="s">
        <v>1936</v>
      </c>
      <c r="C984">
        <v>1.0900000000000001</v>
      </c>
      <c r="D984">
        <v>44.28</v>
      </c>
      <c r="E984">
        <v>3.72</v>
      </c>
      <c r="F984">
        <v>0.04</v>
      </c>
      <c r="G984">
        <v>3.71</v>
      </c>
      <c r="H984">
        <v>3.72</v>
      </c>
      <c r="I984" t="s">
        <v>1937</v>
      </c>
      <c r="J984">
        <v>1.6</v>
      </c>
      <c r="K984">
        <v>1.6</v>
      </c>
      <c r="L984">
        <v>3.68</v>
      </c>
      <c r="M984">
        <v>3.72</v>
      </c>
      <c r="N984">
        <v>3.61</v>
      </c>
    </row>
    <row r="985" spans="1:14" x14ac:dyDescent="0.5">
      <c r="A985" t="str">
        <f>"002524"</f>
        <v>002524</v>
      </c>
      <c r="B985" t="s">
        <v>1938</v>
      </c>
      <c r="C985">
        <v>2.31</v>
      </c>
      <c r="D985">
        <v>64.03</v>
      </c>
      <c r="E985">
        <v>5.31</v>
      </c>
      <c r="F985">
        <v>0.12</v>
      </c>
      <c r="G985">
        <v>5.31</v>
      </c>
      <c r="H985">
        <v>5.32</v>
      </c>
      <c r="I985" t="s">
        <v>510</v>
      </c>
      <c r="J985">
        <v>3.09</v>
      </c>
      <c r="K985">
        <v>3.09</v>
      </c>
      <c r="L985">
        <v>5.19</v>
      </c>
      <c r="M985">
        <v>5.33</v>
      </c>
      <c r="N985">
        <v>5.14</v>
      </c>
    </row>
    <row r="986" spans="1:14" x14ac:dyDescent="0.5">
      <c r="A986" t="str">
        <f>"002526"</f>
        <v>002526</v>
      </c>
      <c r="B986" t="s">
        <v>1939</v>
      </c>
      <c r="C986">
        <v>9.35</v>
      </c>
      <c r="D986">
        <v>34.19</v>
      </c>
      <c r="E986">
        <v>3.39</v>
      </c>
      <c r="F986">
        <v>0.28999999999999998</v>
      </c>
      <c r="G986">
        <v>3.38</v>
      </c>
      <c r="H986">
        <v>3.39</v>
      </c>
      <c r="I986" t="s">
        <v>1940</v>
      </c>
      <c r="J986">
        <v>17.350000000000001</v>
      </c>
      <c r="K986">
        <v>17.350000000000001</v>
      </c>
      <c r="L986">
        <v>3.12</v>
      </c>
      <c r="M986">
        <v>3.41</v>
      </c>
      <c r="N986">
        <v>2.92</v>
      </c>
    </row>
    <row r="987" spans="1:14" x14ac:dyDescent="0.5">
      <c r="A987" t="str">
        <f>"002527"</f>
        <v>002527</v>
      </c>
      <c r="B987" t="s">
        <v>1941</v>
      </c>
      <c r="C987">
        <v>5.17</v>
      </c>
      <c r="D987">
        <v>130.72999999999999</v>
      </c>
      <c r="E987">
        <v>6.71</v>
      </c>
      <c r="F987">
        <v>0.33</v>
      </c>
      <c r="G987">
        <v>6.7</v>
      </c>
      <c r="H987">
        <v>6.71</v>
      </c>
      <c r="I987" t="s">
        <v>1942</v>
      </c>
      <c r="J987">
        <v>3.94</v>
      </c>
      <c r="K987">
        <v>3.94</v>
      </c>
      <c r="L987">
        <v>6.33</v>
      </c>
      <c r="M987">
        <v>6.74</v>
      </c>
      <c r="N987">
        <v>6.33</v>
      </c>
    </row>
    <row r="988" spans="1:14" x14ac:dyDescent="0.5">
      <c r="A988" t="str">
        <f>"002528"</f>
        <v>002528</v>
      </c>
      <c r="B988" t="s">
        <v>1943</v>
      </c>
      <c r="C988">
        <v>3.8</v>
      </c>
      <c r="D988">
        <v>42.84</v>
      </c>
      <c r="E988">
        <v>4.6399999999999997</v>
      </c>
      <c r="F988">
        <v>0.17</v>
      </c>
      <c r="G988">
        <v>4.6399999999999997</v>
      </c>
      <c r="H988">
        <v>4.6500000000000004</v>
      </c>
      <c r="I988" t="s">
        <v>1944</v>
      </c>
      <c r="J988">
        <v>2.93</v>
      </c>
      <c r="K988">
        <v>2.93</v>
      </c>
      <c r="L988">
        <v>4.46</v>
      </c>
      <c r="M988">
        <v>4.67</v>
      </c>
      <c r="N988">
        <v>4.3499999999999996</v>
      </c>
    </row>
    <row r="989" spans="1:14" x14ac:dyDescent="0.5">
      <c r="A989" t="str">
        <f>"002529"</f>
        <v>002529</v>
      </c>
      <c r="B989" t="s">
        <v>1945</v>
      </c>
      <c r="C989">
        <v>2.72</v>
      </c>
      <c r="D989" t="s">
        <v>24</v>
      </c>
      <c r="E989">
        <v>8.32</v>
      </c>
      <c r="F989">
        <v>0.22</v>
      </c>
      <c r="G989">
        <v>8.31</v>
      </c>
      <c r="H989">
        <v>8.32</v>
      </c>
      <c r="I989" t="s">
        <v>1946</v>
      </c>
      <c r="J989">
        <v>5.93</v>
      </c>
      <c r="K989">
        <v>5.93</v>
      </c>
      <c r="L989">
        <v>8.0399999999999991</v>
      </c>
      <c r="M989">
        <v>8.33</v>
      </c>
      <c r="N989">
        <v>7.91</v>
      </c>
    </row>
    <row r="990" spans="1:14" x14ac:dyDescent="0.5">
      <c r="A990" t="str">
        <f>"002530"</f>
        <v>002530</v>
      </c>
      <c r="B990" t="s">
        <v>1947</v>
      </c>
      <c r="C990">
        <v>9.9700000000000006</v>
      </c>
      <c r="D990">
        <v>25.74</v>
      </c>
      <c r="E990">
        <v>9.49</v>
      </c>
      <c r="F990">
        <v>0.86</v>
      </c>
      <c r="G990">
        <v>9.49</v>
      </c>
      <c r="H990" t="s">
        <v>24</v>
      </c>
      <c r="I990" t="s">
        <v>1948</v>
      </c>
      <c r="J990">
        <v>8.93</v>
      </c>
      <c r="K990">
        <v>8.93</v>
      </c>
      <c r="L990">
        <v>8.52</v>
      </c>
      <c r="M990">
        <v>9.49</v>
      </c>
      <c r="N990">
        <v>8.44</v>
      </c>
    </row>
    <row r="991" spans="1:14" x14ac:dyDescent="0.5">
      <c r="A991" t="str">
        <f>"002531"</f>
        <v>002531</v>
      </c>
      <c r="B991" t="s">
        <v>1949</v>
      </c>
      <c r="C991">
        <v>9.67</v>
      </c>
      <c r="D991">
        <v>19.989999999999998</v>
      </c>
      <c r="E991">
        <v>5.9</v>
      </c>
      <c r="F991">
        <v>0.52</v>
      </c>
      <c r="G991">
        <v>5.89</v>
      </c>
      <c r="H991">
        <v>5.9</v>
      </c>
      <c r="I991" t="s">
        <v>1950</v>
      </c>
      <c r="J991">
        <v>2.15</v>
      </c>
      <c r="K991">
        <v>2.15</v>
      </c>
      <c r="L991">
        <v>5.38</v>
      </c>
      <c r="M991">
        <v>5.92</v>
      </c>
      <c r="N991">
        <v>5.31</v>
      </c>
    </row>
    <row r="992" spans="1:14" x14ac:dyDescent="0.5">
      <c r="A992" t="str">
        <f>"002532"</f>
        <v>002532</v>
      </c>
      <c r="B992" t="s">
        <v>1951</v>
      </c>
      <c r="C992">
        <v>2.08</v>
      </c>
      <c r="D992">
        <v>25.96</v>
      </c>
      <c r="E992">
        <v>5.9</v>
      </c>
      <c r="F992">
        <v>0.12</v>
      </c>
      <c r="G992">
        <v>5.9</v>
      </c>
      <c r="H992">
        <v>5.91</v>
      </c>
      <c r="I992" t="s">
        <v>1952</v>
      </c>
      <c r="J992">
        <v>1.43</v>
      </c>
      <c r="K992">
        <v>1.43</v>
      </c>
      <c r="L992">
        <v>5.76</v>
      </c>
      <c r="M992">
        <v>5.9</v>
      </c>
      <c r="N992">
        <v>5.71</v>
      </c>
    </row>
    <row r="993" spans="1:14" x14ac:dyDescent="0.5">
      <c r="A993" t="str">
        <f>"002533"</f>
        <v>002533</v>
      </c>
      <c r="B993" t="s">
        <v>1953</v>
      </c>
      <c r="C993" t="s">
        <v>24</v>
      </c>
      <c r="D993">
        <v>22.91</v>
      </c>
      <c r="E993">
        <v>5.25</v>
      </c>
      <c r="F993" t="s">
        <v>24</v>
      </c>
      <c r="G993" t="s">
        <v>24</v>
      </c>
      <c r="H993" t="s">
        <v>24</v>
      </c>
      <c r="I993" t="s">
        <v>1954</v>
      </c>
      <c r="J993">
        <v>0</v>
      </c>
      <c r="K993">
        <v>0</v>
      </c>
      <c r="L993" t="s">
        <v>24</v>
      </c>
      <c r="M993" t="s">
        <v>24</v>
      </c>
      <c r="N993" t="s">
        <v>24</v>
      </c>
    </row>
    <row r="994" spans="1:14" x14ac:dyDescent="0.5">
      <c r="A994" t="str">
        <f>"002534"</f>
        <v>002534</v>
      </c>
      <c r="B994" t="s">
        <v>1955</v>
      </c>
      <c r="C994">
        <v>3.12</v>
      </c>
      <c r="D994">
        <v>18.760000000000002</v>
      </c>
      <c r="E994">
        <v>6.61</v>
      </c>
      <c r="F994">
        <v>0.2</v>
      </c>
      <c r="G994">
        <v>6.6</v>
      </c>
      <c r="H994">
        <v>6.61</v>
      </c>
      <c r="I994" t="s">
        <v>1956</v>
      </c>
      <c r="J994">
        <v>1.35</v>
      </c>
      <c r="K994">
        <v>1.35</v>
      </c>
      <c r="L994">
        <v>6.4</v>
      </c>
      <c r="M994">
        <v>6.62</v>
      </c>
      <c r="N994">
        <v>6.36</v>
      </c>
    </row>
    <row r="995" spans="1:14" x14ac:dyDescent="0.5">
      <c r="A995" t="str">
        <f>"002535"</f>
        <v>002535</v>
      </c>
      <c r="B995" t="s">
        <v>1957</v>
      </c>
      <c r="C995">
        <v>1.5</v>
      </c>
      <c r="D995">
        <v>40.82</v>
      </c>
      <c r="E995">
        <v>4.05</v>
      </c>
      <c r="F995">
        <v>0.06</v>
      </c>
      <c r="G995">
        <v>4.05</v>
      </c>
      <c r="H995">
        <v>4.0599999999999996</v>
      </c>
      <c r="I995" t="s">
        <v>1958</v>
      </c>
      <c r="J995">
        <v>3.47</v>
      </c>
      <c r="K995">
        <v>3.47</v>
      </c>
      <c r="L995">
        <v>3.98</v>
      </c>
      <c r="M995">
        <v>4.0599999999999996</v>
      </c>
      <c r="N995">
        <v>3.94</v>
      </c>
    </row>
    <row r="996" spans="1:14" x14ac:dyDescent="0.5">
      <c r="A996" t="str">
        <f>"002536"</f>
        <v>002536</v>
      </c>
      <c r="B996" t="s">
        <v>1959</v>
      </c>
      <c r="C996">
        <v>1.23</v>
      </c>
      <c r="D996">
        <v>15.22</v>
      </c>
      <c r="E996">
        <v>11.55</v>
      </c>
      <c r="F996">
        <v>0.14000000000000001</v>
      </c>
      <c r="G996">
        <v>11.55</v>
      </c>
      <c r="H996">
        <v>11.56</v>
      </c>
      <c r="I996" t="s">
        <v>1960</v>
      </c>
      <c r="J996">
        <v>2.39</v>
      </c>
      <c r="K996">
        <v>2.39</v>
      </c>
      <c r="L996">
        <v>11.44</v>
      </c>
      <c r="M996">
        <v>11.56</v>
      </c>
      <c r="N996">
        <v>11.37</v>
      </c>
    </row>
    <row r="997" spans="1:14" x14ac:dyDescent="0.5">
      <c r="A997" t="str">
        <f>"002537"</f>
        <v>002537</v>
      </c>
      <c r="B997" t="s">
        <v>1961</v>
      </c>
      <c r="C997">
        <v>1.87</v>
      </c>
      <c r="D997">
        <v>33.26</v>
      </c>
      <c r="E997">
        <v>11.97</v>
      </c>
      <c r="F997">
        <v>0.22</v>
      </c>
      <c r="G997">
        <v>11.97</v>
      </c>
      <c r="H997">
        <v>11.98</v>
      </c>
      <c r="I997" t="s">
        <v>1962</v>
      </c>
      <c r="J997">
        <v>0.75</v>
      </c>
      <c r="K997">
        <v>0.75</v>
      </c>
      <c r="L997">
        <v>11.78</v>
      </c>
      <c r="M997">
        <v>12.05</v>
      </c>
      <c r="N997">
        <v>11.61</v>
      </c>
    </row>
    <row r="998" spans="1:14" x14ac:dyDescent="0.5">
      <c r="A998" t="str">
        <f>"002538"</f>
        <v>002538</v>
      </c>
      <c r="B998" t="s">
        <v>1963</v>
      </c>
      <c r="C998">
        <v>0.88</v>
      </c>
      <c r="D998">
        <v>15.15</v>
      </c>
      <c r="E998">
        <v>5.72</v>
      </c>
      <c r="F998">
        <v>0.05</v>
      </c>
      <c r="G998">
        <v>5.72</v>
      </c>
      <c r="H998">
        <v>5.73</v>
      </c>
      <c r="I998" t="s">
        <v>1964</v>
      </c>
      <c r="J998">
        <v>2.68</v>
      </c>
      <c r="K998">
        <v>2.68</v>
      </c>
      <c r="L998">
        <v>5.64</v>
      </c>
      <c r="M998">
        <v>5.74</v>
      </c>
      <c r="N998">
        <v>5.59</v>
      </c>
    </row>
    <row r="999" spans="1:14" x14ac:dyDescent="0.5">
      <c r="A999" t="str">
        <f>"002539"</f>
        <v>002539</v>
      </c>
      <c r="B999" t="s">
        <v>1965</v>
      </c>
      <c r="C999">
        <v>0.95</v>
      </c>
      <c r="D999">
        <v>32.71</v>
      </c>
      <c r="E999">
        <v>5.31</v>
      </c>
      <c r="F999">
        <v>0.05</v>
      </c>
      <c r="G999">
        <v>5.31</v>
      </c>
      <c r="H999">
        <v>5.32</v>
      </c>
      <c r="I999" t="s">
        <v>1966</v>
      </c>
      <c r="J999">
        <v>2.2999999999999998</v>
      </c>
      <c r="K999">
        <v>2.2999999999999998</v>
      </c>
      <c r="L999">
        <v>5.22</v>
      </c>
      <c r="M999">
        <v>5.31</v>
      </c>
      <c r="N999">
        <v>5.18</v>
      </c>
    </row>
    <row r="1000" spans="1:14" x14ac:dyDescent="0.5">
      <c r="A1000" t="str">
        <f>"002540"</f>
        <v>002540</v>
      </c>
      <c r="B1000" t="s">
        <v>1967</v>
      </c>
      <c r="C1000">
        <v>1.87</v>
      </c>
      <c r="D1000">
        <v>17.71</v>
      </c>
      <c r="E1000">
        <v>5.44</v>
      </c>
      <c r="F1000">
        <v>0.1</v>
      </c>
      <c r="G1000">
        <v>5.43</v>
      </c>
      <c r="H1000">
        <v>5.44</v>
      </c>
      <c r="I1000" t="s">
        <v>1968</v>
      </c>
      <c r="J1000">
        <v>0.85</v>
      </c>
      <c r="K1000">
        <v>0.85</v>
      </c>
      <c r="L1000">
        <v>5.35</v>
      </c>
      <c r="M1000">
        <v>5.44</v>
      </c>
      <c r="N1000">
        <v>5.31</v>
      </c>
    </row>
    <row r="1001" spans="1:14" x14ac:dyDescent="0.5">
      <c r="A1001" t="str">
        <f>"002541"</f>
        <v>002541</v>
      </c>
      <c r="B1001" t="s">
        <v>1969</v>
      </c>
      <c r="C1001">
        <v>0.49</v>
      </c>
      <c r="D1001">
        <v>11.49</v>
      </c>
      <c r="E1001">
        <v>8.27</v>
      </c>
      <c r="F1001">
        <v>0.04</v>
      </c>
      <c r="G1001">
        <v>8.27</v>
      </c>
      <c r="H1001">
        <v>8.2799999999999994</v>
      </c>
      <c r="I1001" t="s">
        <v>1970</v>
      </c>
      <c r="J1001">
        <v>2.94</v>
      </c>
      <c r="K1001">
        <v>2.94</v>
      </c>
      <c r="L1001">
        <v>8.2100000000000009</v>
      </c>
      <c r="M1001">
        <v>8.2799999999999994</v>
      </c>
      <c r="N1001">
        <v>8.18</v>
      </c>
    </row>
    <row r="1002" spans="1:14" x14ac:dyDescent="0.5">
      <c r="A1002" t="str">
        <f>"002542"</f>
        <v>002542</v>
      </c>
      <c r="B1002" t="s">
        <v>1971</v>
      </c>
      <c r="C1002">
        <v>4.38</v>
      </c>
      <c r="D1002">
        <v>33.18</v>
      </c>
      <c r="E1002">
        <v>5</v>
      </c>
      <c r="F1002">
        <v>0.21</v>
      </c>
      <c r="G1002">
        <v>5</v>
      </c>
      <c r="H1002">
        <v>5.01</v>
      </c>
      <c r="I1002" t="s">
        <v>1972</v>
      </c>
      <c r="J1002">
        <v>3.39</v>
      </c>
      <c r="K1002">
        <v>3.39</v>
      </c>
      <c r="L1002">
        <v>4.82</v>
      </c>
      <c r="M1002">
        <v>5.08</v>
      </c>
      <c r="N1002">
        <v>4.8</v>
      </c>
    </row>
    <row r="1003" spans="1:14" x14ac:dyDescent="0.5">
      <c r="A1003" t="str">
        <f>"002543"</f>
        <v>002543</v>
      </c>
      <c r="B1003" t="s">
        <v>1973</v>
      </c>
      <c r="C1003">
        <v>1.75</v>
      </c>
      <c r="D1003">
        <v>15.83</v>
      </c>
      <c r="E1003">
        <v>14.5</v>
      </c>
      <c r="F1003">
        <v>0.25</v>
      </c>
      <c r="G1003">
        <v>14.49</v>
      </c>
      <c r="H1003">
        <v>14.5</v>
      </c>
      <c r="I1003" t="s">
        <v>1974</v>
      </c>
      <c r="J1003">
        <v>0.44</v>
      </c>
      <c r="K1003">
        <v>0.44</v>
      </c>
      <c r="L1003">
        <v>14.25</v>
      </c>
      <c r="M1003">
        <v>14.51</v>
      </c>
      <c r="N1003">
        <v>14.1</v>
      </c>
    </row>
    <row r="1004" spans="1:14" x14ac:dyDescent="0.5">
      <c r="A1004" t="str">
        <f>"002544"</f>
        <v>002544</v>
      </c>
      <c r="B1004" t="s">
        <v>1975</v>
      </c>
      <c r="C1004">
        <v>4.2300000000000004</v>
      </c>
      <c r="D1004">
        <v>45.11</v>
      </c>
      <c r="E1004">
        <v>13.81</v>
      </c>
      <c r="F1004">
        <v>0.56000000000000005</v>
      </c>
      <c r="G1004">
        <v>13.8</v>
      </c>
      <c r="H1004">
        <v>13.81</v>
      </c>
      <c r="I1004" t="s">
        <v>1976</v>
      </c>
      <c r="J1004">
        <v>2.39</v>
      </c>
      <c r="K1004">
        <v>2.39</v>
      </c>
      <c r="L1004">
        <v>13.25</v>
      </c>
      <c r="M1004">
        <v>13.83</v>
      </c>
      <c r="N1004">
        <v>13.16</v>
      </c>
    </row>
    <row r="1005" spans="1:14" x14ac:dyDescent="0.5">
      <c r="A1005" t="str">
        <f>"002545"</f>
        <v>002545</v>
      </c>
      <c r="B1005" t="s">
        <v>1977</v>
      </c>
      <c r="C1005">
        <v>0.52</v>
      </c>
      <c r="D1005">
        <v>29.11</v>
      </c>
      <c r="E1005">
        <v>7.72</v>
      </c>
      <c r="F1005">
        <v>0.04</v>
      </c>
      <c r="G1005">
        <v>7.72</v>
      </c>
      <c r="H1005">
        <v>7.73</v>
      </c>
      <c r="I1005" t="s">
        <v>1978</v>
      </c>
      <c r="J1005">
        <v>1.86</v>
      </c>
      <c r="K1005">
        <v>1.86</v>
      </c>
      <c r="L1005">
        <v>7.62</v>
      </c>
      <c r="M1005">
        <v>7.75</v>
      </c>
      <c r="N1005">
        <v>7.58</v>
      </c>
    </row>
    <row r="1006" spans="1:14" x14ac:dyDescent="0.5">
      <c r="A1006" t="str">
        <f>"002546"</f>
        <v>002546</v>
      </c>
      <c r="B1006" t="s">
        <v>1979</v>
      </c>
      <c r="C1006">
        <v>3.96</v>
      </c>
      <c r="D1006">
        <v>27.19</v>
      </c>
      <c r="E1006">
        <v>4.7300000000000004</v>
      </c>
      <c r="F1006">
        <v>0.18</v>
      </c>
      <c r="G1006">
        <v>4.72</v>
      </c>
      <c r="H1006">
        <v>4.7300000000000004</v>
      </c>
      <c r="I1006" t="s">
        <v>1980</v>
      </c>
      <c r="J1006">
        <v>2.2999999999999998</v>
      </c>
      <c r="K1006">
        <v>2.2999999999999998</v>
      </c>
      <c r="L1006">
        <v>4.5599999999999996</v>
      </c>
      <c r="M1006">
        <v>4.74</v>
      </c>
      <c r="N1006">
        <v>4.53</v>
      </c>
    </row>
    <row r="1007" spans="1:14" x14ac:dyDescent="0.5">
      <c r="A1007" t="str">
        <f>"002547"</f>
        <v>002547</v>
      </c>
      <c r="B1007" t="s">
        <v>1981</v>
      </c>
      <c r="C1007">
        <v>4.43</v>
      </c>
      <c r="D1007" t="s">
        <v>24</v>
      </c>
      <c r="E1007">
        <v>9.43</v>
      </c>
      <c r="F1007">
        <v>0.4</v>
      </c>
      <c r="G1007">
        <v>9.43</v>
      </c>
      <c r="H1007">
        <v>9.44</v>
      </c>
      <c r="I1007" t="s">
        <v>1982</v>
      </c>
      <c r="J1007">
        <v>17.809999999999999</v>
      </c>
      <c r="K1007">
        <v>17.809999999999999</v>
      </c>
      <c r="L1007">
        <v>8.83</v>
      </c>
      <c r="M1007">
        <v>9.57</v>
      </c>
      <c r="N1007">
        <v>8.7100000000000009</v>
      </c>
    </row>
    <row r="1008" spans="1:14" x14ac:dyDescent="0.5">
      <c r="A1008" t="str">
        <f>"002548"</f>
        <v>002548</v>
      </c>
      <c r="B1008" t="s">
        <v>1983</v>
      </c>
      <c r="C1008">
        <v>6.98</v>
      </c>
      <c r="D1008" t="s">
        <v>24</v>
      </c>
      <c r="E1008">
        <v>9.65</v>
      </c>
      <c r="F1008">
        <v>0.63</v>
      </c>
      <c r="G1008">
        <v>9.6</v>
      </c>
      <c r="H1008">
        <v>9.65</v>
      </c>
      <c r="I1008" t="s">
        <v>1274</v>
      </c>
      <c r="J1008">
        <v>5.62</v>
      </c>
      <c r="K1008">
        <v>5.62</v>
      </c>
      <c r="L1008">
        <v>8.9499999999999993</v>
      </c>
      <c r="M1008">
        <v>9.89</v>
      </c>
      <c r="N1008">
        <v>8.9</v>
      </c>
    </row>
    <row r="1009" spans="1:14" x14ac:dyDescent="0.5">
      <c r="A1009" t="str">
        <f>"002549"</f>
        <v>002549</v>
      </c>
      <c r="B1009" t="s">
        <v>1984</v>
      </c>
      <c r="C1009">
        <v>1.94</v>
      </c>
      <c r="D1009">
        <v>39.18</v>
      </c>
      <c r="E1009">
        <v>6.32</v>
      </c>
      <c r="F1009">
        <v>0.12</v>
      </c>
      <c r="G1009">
        <v>6.32</v>
      </c>
      <c r="H1009">
        <v>6.33</v>
      </c>
      <c r="I1009" t="s">
        <v>1985</v>
      </c>
      <c r="J1009">
        <v>2.37</v>
      </c>
      <c r="K1009">
        <v>2.37</v>
      </c>
      <c r="L1009">
        <v>6.2</v>
      </c>
      <c r="M1009">
        <v>6.35</v>
      </c>
      <c r="N1009">
        <v>6.16</v>
      </c>
    </row>
    <row r="1010" spans="1:14" x14ac:dyDescent="0.5">
      <c r="A1010" t="str">
        <f>"002550"</f>
        <v>002550</v>
      </c>
      <c r="B1010" t="s">
        <v>1986</v>
      </c>
      <c r="C1010">
        <v>1.92</v>
      </c>
      <c r="D1010">
        <v>26.19</v>
      </c>
      <c r="E1010">
        <v>4.7699999999999996</v>
      </c>
      <c r="F1010">
        <v>0.09</v>
      </c>
      <c r="G1010">
        <v>4.7699999999999996</v>
      </c>
      <c r="H1010">
        <v>4.78</v>
      </c>
      <c r="I1010" t="s">
        <v>1987</v>
      </c>
      <c r="J1010">
        <v>1.57</v>
      </c>
      <c r="K1010">
        <v>1.57</v>
      </c>
      <c r="L1010">
        <v>4.66</v>
      </c>
      <c r="M1010">
        <v>4.83</v>
      </c>
      <c r="N1010">
        <v>4.62</v>
      </c>
    </row>
    <row r="1011" spans="1:14" x14ac:dyDescent="0.5">
      <c r="A1011" t="str">
        <f>"002551"</f>
        <v>002551</v>
      </c>
      <c r="B1011" t="s">
        <v>1988</v>
      </c>
      <c r="C1011">
        <v>5.98</v>
      </c>
      <c r="D1011">
        <v>29.9</v>
      </c>
      <c r="E1011">
        <v>6.03</v>
      </c>
      <c r="F1011">
        <v>0.34</v>
      </c>
      <c r="G1011">
        <v>6.01</v>
      </c>
      <c r="H1011">
        <v>6.03</v>
      </c>
      <c r="I1011" t="s">
        <v>1377</v>
      </c>
      <c r="J1011">
        <v>3.51</v>
      </c>
      <c r="K1011">
        <v>3.51</v>
      </c>
      <c r="L1011">
        <v>5.69</v>
      </c>
      <c r="M1011">
        <v>6.05</v>
      </c>
      <c r="N1011">
        <v>5.6</v>
      </c>
    </row>
    <row r="1012" spans="1:14" x14ac:dyDescent="0.5">
      <c r="A1012" t="str">
        <f>"002552"</f>
        <v>002552</v>
      </c>
      <c r="B1012" t="s">
        <v>1989</v>
      </c>
      <c r="C1012" t="s">
        <v>24</v>
      </c>
      <c r="D1012">
        <v>82.19</v>
      </c>
      <c r="E1012">
        <v>8.09</v>
      </c>
      <c r="F1012" t="s">
        <v>24</v>
      </c>
      <c r="G1012" t="s">
        <v>24</v>
      </c>
      <c r="H1012" t="s">
        <v>24</v>
      </c>
      <c r="I1012" t="s">
        <v>1990</v>
      </c>
      <c r="J1012">
        <v>0</v>
      </c>
      <c r="K1012">
        <v>0</v>
      </c>
      <c r="L1012" t="s">
        <v>24</v>
      </c>
      <c r="M1012" t="s">
        <v>24</v>
      </c>
      <c r="N1012" t="s">
        <v>24</v>
      </c>
    </row>
    <row r="1013" spans="1:14" x14ac:dyDescent="0.5">
      <c r="A1013" t="str">
        <f>"002553"</f>
        <v>002553</v>
      </c>
      <c r="B1013" t="s">
        <v>1991</v>
      </c>
      <c r="C1013">
        <v>2.6</v>
      </c>
      <c r="D1013">
        <v>19.5</v>
      </c>
      <c r="E1013">
        <v>6.32</v>
      </c>
      <c r="F1013">
        <v>0.16</v>
      </c>
      <c r="G1013">
        <v>6.32</v>
      </c>
      <c r="H1013">
        <v>6.33</v>
      </c>
      <c r="I1013" t="s">
        <v>1992</v>
      </c>
      <c r="J1013">
        <v>2.78</v>
      </c>
      <c r="K1013">
        <v>2.78</v>
      </c>
      <c r="L1013">
        <v>6.13</v>
      </c>
      <c r="M1013">
        <v>6.35</v>
      </c>
      <c r="N1013">
        <v>6.1</v>
      </c>
    </row>
    <row r="1014" spans="1:14" x14ac:dyDescent="0.5">
      <c r="A1014" t="str">
        <f>"002554"</f>
        <v>002554</v>
      </c>
      <c r="B1014" t="s">
        <v>1993</v>
      </c>
      <c r="C1014">
        <v>2.31</v>
      </c>
      <c r="D1014">
        <v>79.180000000000007</v>
      </c>
      <c r="E1014">
        <v>3.1</v>
      </c>
      <c r="F1014">
        <v>7.0000000000000007E-2</v>
      </c>
      <c r="G1014">
        <v>3.1</v>
      </c>
      <c r="H1014">
        <v>3.11</v>
      </c>
      <c r="I1014" t="s">
        <v>1994</v>
      </c>
      <c r="J1014">
        <v>3.64</v>
      </c>
      <c r="K1014">
        <v>3.64</v>
      </c>
      <c r="L1014">
        <v>3.05</v>
      </c>
      <c r="M1014">
        <v>3.11</v>
      </c>
      <c r="N1014">
        <v>3.01</v>
      </c>
    </row>
    <row r="1015" spans="1:14" x14ac:dyDescent="0.5">
      <c r="A1015" t="str">
        <f>"002555"</f>
        <v>002555</v>
      </c>
      <c r="B1015" t="s">
        <v>1995</v>
      </c>
      <c r="C1015">
        <v>0.37</v>
      </c>
      <c r="D1015">
        <v>18.28</v>
      </c>
      <c r="E1015">
        <v>13.6</v>
      </c>
      <c r="F1015">
        <v>0.05</v>
      </c>
      <c r="G1015">
        <v>13.59</v>
      </c>
      <c r="H1015">
        <v>13.6</v>
      </c>
      <c r="I1015" t="s">
        <v>1996</v>
      </c>
      <c r="J1015">
        <v>1.33</v>
      </c>
      <c r="K1015">
        <v>1.33</v>
      </c>
      <c r="L1015">
        <v>13.56</v>
      </c>
      <c r="M1015">
        <v>13.74</v>
      </c>
      <c r="N1015">
        <v>13.2</v>
      </c>
    </row>
    <row r="1016" spans="1:14" x14ac:dyDescent="0.5">
      <c r="A1016" t="str">
        <f>"002556"</f>
        <v>002556</v>
      </c>
      <c r="B1016" t="s">
        <v>1997</v>
      </c>
      <c r="C1016">
        <v>1.54</v>
      </c>
      <c r="D1016">
        <v>27.04</v>
      </c>
      <c r="E1016">
        <v>5.95</v>
      </c>
      <c r="F1016">
        <v>0.09</v>
      </c>
      <c r="G1016">
        <v>5.94</v>
      </c>
      <c r="H1016">
        <v>5.95</v>
      </c>
      <c r="I1016" t="s">
        <v>1050</v>
      </c>
      <c r="J1016">
        <v>1.82</v>
      </c>
      <c r="K1016">
        <v>1.82</v>
      </c>
      <c r="L1016">
        <v>5.88</v>
      </c>
      <c r="M1016">
        <v>5.95</v>
      </c>
      <c r="N1016">
        <v>5.82</v>
      </c>
    </row>
    <row r="1017" spans="1:14" x14ac:dyDescent="0.5">
      <c r="A1017" t="str">
        <f>"002557"</f>
        <v>002557</v>
      </c>
      <c r="B1017" t="s">
        <v>1998</v>
      </c>
      <c r="C1017">
        <v>-0.14000000000000001</v>
      </c>
      <c r="D1017">
        <v>29.58</v>
      </c>
      <c r="E1017">
        <v>22.15</v>
      </c>
      <c r="F1017">
        <v>-0.03</v>
      </c>
      <c r="G1017">
        <v>22.14</v>
      </c>
      <c r="H1017">
        <v>22.15</v>
      </c>
      <c r="I1017" t="s">
        <v>1999</v>
      </c>
      <c r="J1017">
        <v>2.0099999999999998</v>
      </c>
      <c r="K1017">
        <v>2.0099999999999998</v>
      </c>
      <c r="L1017">
        <v>22.15</v>
      </c>
      <c r="M1017">
        <v>22.18</v>
      </c>
      <c r="N1017">
        <v>21.6</v>
      </c>
    </row>
    <row r="1018" spans="1:14" x14ac:dyDescent="0.5">
      <c r="A1018" t="str">
        <f>"002558"</f>
        <v>002558</v>
      </c>
      <c r="B1018" t="s">
        <v>2000</v>
      </c>
      <c r="C1018">
        <v>1.51</v>
      </c>
      <c r="D1018">
        <v>35.25</v>
      </c>
      <c r="E1018">
        <v>22.84</v>
      </c>
      <c r="F1018">
        <v>0.34</v>
      </c>
      <c r="G1018">
        <v>22.83</v>
      </c>
      <c r="H1018">
        <v>22.84</v>
      </c>
      <c r="I1018" t="s">
        <v>2001</v>
      </c>
      <c r="J1018">
        <v>3.46</v>
      </c>
      <c r="K1018">
        <v>3.46</v>
      </c>
      <c r="L1018">
        <v>22.5</v>
      </c>
      <c r="M1018">
        <v>23.4</v>
      </c>
      <c r="N1018">
        <v>22.3</v>
      </c>
    </row>
    <row r="1019" spans="1:14" x14ac:dyDescent="0.5">
      <c r="A1019" t="str">
        <f>"002559"</f>
        <v>002559</v>
      </c>
      <c r="B1019" t="s">
        <v>2002</v>
      </c>
      <c r="C1019">
        <v>2.54</v>
      </c>
      <c r="D1019">
        <v>24.48</v>
      </c>
      <c r="E1019">
        <v>8.07</v>
      </c>
      <c r="F1019">
        <v>0.2</v>
      </c>
      <c r="G1019">
        <v>8.06</v>
      </c>
      <c r="H1019">
        <v>8.07</v>
      </c>
      <c r="I1019" t="s">
        <v>1698</v>
      </c>
      <c r="J1019">
        <v>2.2599999999999998</v>
      </c>
      <c r="K1019">
        <v>2.2599999999999998</v>
      </c>
      <c r="L1019">
        <v>7.89</v>
      </c>
      <c r="M1019">
        <v>8.08</v>
      </c>
      <c r="N1019">
        <v>7.85</v>
      </c>
    </row>
    <row r="1020" spans="1:14" x14ac:dyDescent="0.5">
      <c r="A1020" t="str">
        <f>"002560"</f>
        <v>002560</v>
      </c>
      <c r="B1020" t="s">
        <v>2003</v>
      </c>
      <c r="C1020">
        <v>1.06</v>
      </c>
      <c r="D1020">
        <v>82.25</v>
      </c>
      <c r="E1020">
        <v>5.72</v>
      </c>
      <c r="F1020">
        <v>0.06</v>
      </c>
      <c r="G1020">
        <v>5.72</v>
      </c>
      <c r="H1020">
        <v>5.73</v>
      </c>
      <c r="I1020" t="s">
        <v>1329</v>
      </c>
      <c r="J1020">
        <v>5.0599999999999996</v>
      </c>
      <c r="K1020">
        <v>5.0599999999999996</v>
      </c>
      <c r="L1020">
        <v>5.57</v>
      </c>
      <c r="M1020">
        <v>5.73</v>
      </c>
      <c r="N1020">
        <v>5.53</v>
      </c>
    </row>
    <row r="1021" spans="1:14" x14ac:dyDescent="0.5">
      <c r="A1021" t="str">
        <f>"002561"</f>
        <v>002561</v>
      </c>
      <c r="B1021" t="s">
        <v>2004</v>
      </c>
      <c r="C1021">
        <v>2.13</v>
      </c>
      <c r="D1021">
        <v>15.13</v>
      </c>
      <c r="E1021">
        <v>9.1199999999999992</v>
      </c>
      <c r="F1021">
        <v>0.19</v>
      </c>
      <c r="G1021">
        <v>9.1199999999999992</v>
      </c>
      <c r="H1021">
        <v>9.1300000000000008</v>
      </c>
      <c r="I1021" t="s">
        <v>2005</v>
      </c>
      <c r="J1021">
        <v>1.1299999999999999</v>
      </c>
      <c r="K1021">
        <v>1.1299999999999999</v>
      </c>
      <c r="L1021">
        <v>8.92</v>
      </c>
      <c r="M1021">
        <v>9.14</v>
      </c>
      <c r="N1021">
        <v>8.8800000000000008</v>
      </c>
    </row>
    <row r="1022" spans="1:14" x14ac:dyDescent="0.5">
      <c r="A1022" t="str">
        <f>"002562"</f>
        <v>002562</v>
      </c>
      <c r="B1022" t="s">
        <v>2006</v>
      </c>
      <c r="C1022">
        <v>9.94</v>
      </c>
      <c r="D1022">
        <v>17.61</v>
      </c>
      <c r="E1022">
        <v>5.09</v>
      </c>
      <c r="F1022">
        <v>0.46</v>
      </c>
      <c r="G1022">
        <v>5.08</v>
      </c>
      <c r="H1022">
        <v>5.09</v>
      </c>
      <c r="I1022" t="s">
        <v>2007</v>
      </c>
      <c r="J1022">
        <v>7.99</v>
      </c>
      <c r="K1022">
        <v>7.99</v>
      </c>
      <c r="L1022">
        <v>4.6100000000000003</v>
      </c>
      <c r="M1022">
        <v>5.09</v>
      </c>
      <c r="N1022">
        <v>4.57</v>
      </c>
    </row>
    <row r="1023" spans="1:14" x14ac:dyDescent="0.5">
      <c r="A1023" t="str">
        <f>"002563"</f>
        <v>002563</v>
      </c>
      <c r="B1023" t="s">
        <v>2008</v>
      </c>
      <c r="C1023">
        <v>5.61</v>
      </c>
      <c r="D1023">
        <v>20.3</v>
      </c>
      <c r="E1023">
        <v>11.11</v>
      </c>
      <c r="F1023">
        <v>0.59</v>
      </c>
      <c r="G1023">
        <v>11.11</v>
      </c>
      <c r="H1023">
        <v>11.12</v>
      </c>
      <c r="I1023" t="s">
        <v>2009</v>
      </c>
      <c r="J1023">
        <v>0.81</v>
      </c>
      <c r="K1023">
        <v>0.81</v>
      </c>
      <c r="L1023">
        <v>10.5</v>
      </c>
      <c r="M1023">
        <v>11.12</v>
      </c>
      <c r="N1023">
        <v>10.44</v>
      </c>
    </row>
    <row r="1024" spans="1:14" x14ac:dyDescent="0.5">
      <c r="A1024" t="str">
        <f>"002564"</f>
        <v>002564</v>
      </c>
      <c r="B1024" t="s">
        <v>2010</v>
      </c>
      <c r="C1024">
        <v>5.58</v>
      </c>
      <c r="D1024">
        <v>25.43</v>
      </c>
      <c r="E1024">
        <v>6.05</v>
      </c>
      <c r="F1024">
        <v>0.32</v>
      </c>
      <c r="G1024">
        <v>6.05</v>
      </c>
      <c r="H1024">
        <v>6.06</v>
      </c>
      <c r="I1024" t="s">
        <v>2011</v>
      </c>
      <c r="J1024">
        <v>12.31</v>
      </c>
      <c r="K1024">
        <v>12.31</v>
      </c>
      <c r="L1024">
        <v>5.9</v>
      </c>
      <c r="M1024">
        <v>6.3</v>
      </c>
      <c r="N1024">
        <v>5.8</v>
      </c>
    </row>
    <row r="1025" spans="1:14" x14ac:dyDescent="0.5">
      <c r="A1025" t="str">
        <f>"002565"</f>
        <v>002565</v>
      </c>
      <c r="B1025" t="s">
        <v>2012</v>
      </c>
      <c r="C1025">
        <v>10</v>
      </c>
      <c r="D1025">
        <v>51.77</v>
      </c>
      <c r="E1025">
        <v>11.44</v>
      </c>
      <c r="F1025">
        <v>1.04</v>
      </c>
      <c r="G1025">
        <v>11.44</v>
      </c>
      <c r="H1025" t="s">
        <v>24</v>
      </c>
      <c r="I1025" t="s">
        <v>2013</v>
      </c>
      <c r="J1025">
        <v>18.03</v>
      </c>
      <c r="K1025">
        <v>18.03</v>
      </c>
      <c r="L1025">
        <v>10.28</v>
      </c>
      <c r="M1025">
        <v>11.44</v>
      </c>
      <c r="N1025">
        <v>9.83</v>
      </c>
    </row>
    <row r="1026" spans="1:14" x14ac:dyDescent="0.5">
      <c r="A1026" t="str">
        <f>"002566"</f>
        <v>002566</v>
      </c>
      <c r="B1026" t="s">
        <v>2014</v>
      </c>
      <c r="C1026">
        <v>6.26</v>
      </c>
      <c r="D1026">
        <v>31.72</v>
      </c>
      <c r="E1026">
        <v>7.13</v>
      </c>
      <c r="F1026">
        <v>0.42</v>
      </c>
      <c r="G1026">
        <v>7.05</v>
      </c>
      <c r="H1026">
        <v>7.13</v>
      </c>
      <c r="I1026" t="s">
        <v>2015</v>
      </c>
      <c r="J1026">
        <v>2.69</v>
      </c>
      <c r="K1026">
        <v>2.69</v>
      </c>
      <c r="L1026">
        <v>6.66</v>
      </c>
      <c r="M1026">
        <v>7.13</v>
      </c>
      <c r="N1026">
        <v>6.66</v>
      </c>
    </row>
    <row r="1027" spans="1:14" x14ac:dyDescent="0.5">
      <c r="A1027" t="str">
        <f>"002567"</f>
        <v>002567</v>
      </c>
      <c r="B1027" t="s">
        <v>2016</v>
      </c>
      <c r="C1027">
        <v>1.74</v>
      </c>
      <c r="D1027">
        <v>31.4</v>
      </c>
      <c r="E1027">
        <v>9.33</v>
      </c>
      <c r="F1027">
        <v>0.16</v>
      </c>
      <c r="G1027">
        <v>9.32</v>
      </c>
      <c r="H1027">
        <v>9.33</v>
      </c>
      <c r="I1027" t="s">
        <v>2017</v>
      </c>
      <c r="J1027">
        <v>5.79</v>
      </c>
      <c r="K1027">
        <v>5.79</v>
      </c>
      <c r="L1027">
        <v>9.02</v>
      </c>
      <c r="M1027">
        <v>9.77</v>
      </c>
      <c r="N1027">
        <v>8.93</v>
      </c>
    </row>
    <row r="1028" spans="1:14" x14ac:dyDescent="0.5">
      <c r="A1028" t="str">
        <f>"002568"</f>
        <v>002568</v>
      </c>
      <c r="B1028" t="s">
        <v>2018</v>
      </c>
      <c r="C1028">
        <v>1.65</v>
      </c>
      <c r="D1028">
        <v>34.61</v>
      </c>
      <c r="E1028">
        <v>14.16</v>
      </c>
      <c r="F1028">
        <v>0.23</v>
      </c>
      <c r="G1028">
        <v>14.16</v>
      </c>
      <c r="H1028">
        <v>14.17</v>
      </c>
      <c r="I1028" t="s">
        <v>2019</v>
      </c>
      <c r="J1028">
        <v>1.28</v>
      </c>
      <c r="K1028">
        <v>1.28</v>
      </c>
      <c r="L1028">
        <v>14.19</v>
      </c>
      <c r="M1028">
        <v>14.28</v>
      </c>
      <c r="N1028">
        <v>13.68</v>
      </c>
    </row>
    <row r="1029" spans="1:14" x14ac:dyDescent="0.5">
      <c r="A1029" t="str">
        <f>"002569"</f>
        <v>002569</v>
      </c>
      <c r="B1029" t="s">
        <v>2020</v>
      </c>
      <c r="C1029">
        <v>0.08</v>
      </c>
      <c r="D1029" t="s">
        <v>24</v>
      </c>
      <c r="E1029">
        <v>11.89</v>
      </c>
      <c r="F1029">
        <v>0.01</v>
      </c>
      <c r="G1029">
        <v>11.88</v>
      </c>
      <c r="H1029">
        <v>11.89</v>
      </c>
      <c r="I1029" t="s">
        <v>2021</v>
      </c>
      <c r="J1029">
        <v>4.82</v>
      </c>
      <c r="K1029">
        <v>4.82</v>
      </c>
      <c r="L1029">
        <v>11.82</v>
      </c>
      <c r="M1029">
        <v>11.92</v>
      </c>
      <c r="N1029">
        <v>11.63</v>
      </c>
    </row>
    <row r="1030" spans="1:14" x14ac:dyDescent="0.5">
      <c r="A1030" t="str">
        <f>"002570"</f>
        <v>002570</v>
      </c>
      <c r="B1030" t="s">
        <v>2022</v>
      </c>
      <c r="C1030">
        <v>2.0499999999999998</v>
      </c>
      <c r="D1030" t="s">
        <v>24</v>
      </c>
      <c r="E1030">
        <v>5.98</v>
      </c>
      <c r="F1030">
        <v>0.12</v>
      </c>
      <c r="G1030">
        <v>5.98</v>
      </c>
      <c r="H1030">
        <v>5.99</v>
      </c>
      <c r="I1030" t="s">
        <v>2023</v>
      </c>
      <c r="J1030">
        <v>1.1499999999999999</v>
      </c>
      <c r="K1030">
        <v>1.1499999999999999</v>
      </c>
      <c r="L1030">
        <v>5.8</v>
      </c>
      <c r="M1030">
        <v>5.99</v>
      </c>
      <c r="N1030">
        <v>5.78</v>
      </c>
    </row>
    <row r="1031" spans="1:14" x14ac:dyDescent="0.5">
      <c r="A1031" t="str">
        <f>"002571"</f>
        <v>002571</v>
      </c>
      <c r="B1031" t="s">
        <v>2024</v>
      </c>
      <c r="C1031">
        <v>3.79</v>
      </c>
      <c r="D1031" t="s">
        <v>24</v>
      </c>
      <c r="E1031">
        <v>5.48</v>
      </c>
      <c r="F1031">
        <v>0.2</v>
      </c>
      <c r="G1031">
        <v>5.47</v>
      </c>
      <c r="H1031">
        <v>5.48</v>
      </c>
      <c r="I1031" t="s">
        <v>2025</v>
      </c>
      <c r="J1031">
        <v>4.8899999999999997</v>
      </c>
      <c r="K1031">
        <v>4.8899999999999997</v>
      </c>
      <c r="L1031">
        <v>5.3</v>
      </c>
      <c r="M1031">
        <v>5.48</v>
      </c>
      <c r="N1031">
        <v>5.24</v>
      </c>
    </row>
    <row r="1032" spans="1:14" x14ac:dyDescent="0.5">
      <c r="A1032" t="str">
        <f>"002572"</f>
        <v>002572</v>
      </c>
      <c r="B1032" t="s">
        <v>2026</v>
      </c>
      <c r="C1032">
        <v>9.44</v>
      </c>
      <c r="D1032">
        <v>16.88</v>
      </c>
      <c r="E1032">
        <v>21.91</v>
      </c>
      <c r="F1032">
        <v>1.89</v>
      </c>
      <c r="G1032">
        <v>21.9</v>
      </c>
      <c r="H1032">
        <v>21.91</v>
      </c>
      <c r="I1032" t="s">
        <v>2027</v>
      </c>
      <c r="J1032">
        <v>5.13</v>
      </c>
      <c r="K1032">
        <v>5.13</v>
      </c>
      <c r="L1032">
        <v>20.25</v>
      </c>
      <c r="M1032">
        <v>21.97</v>
      </c>
      <c r="N1032">
        <v>19.95</v>
      </c>
    </row>
    <row r="1033" spans="1:14" x14ac:dyDescent="0.5">
      <c r="A1033" t="str">
        <f>"002573"</f>
        <v>002573</v>
      </c>
      <c r="B1033" t="s">
        <v>2028</v>
      </c>
      <c r="C1033">
        <v>0.86</v>
      </c>
      <c r="D1033">
        <v>17.84</v>
      </c>
      <c r="E1033">
        <v>9.41</v>
      </c>
      <c r="F1033">
        <v>0.08</v>
      </c>
      <c r="G1033">
        <v>9.41</v>
      </c>
      <c r="H1033">
        <v>9.42</v>
      </c>
      <c r="I1033" t="s">
        <v>2029</v>
      </c>
      <c r="J1033">
        <v>3.03</v>
      </c>
      <c r="K1033">
        <v>3.03</v>
      </c>
      <c r="L1033">
        <v>9.27</v>
      </c>
      <c r="M1033">
        <v>9.42</v>
      </c>
      <c r="N1033">
        <v>9.1</v>
      </c>
    </row>
    <row r="1034" spans="1:14" x14ac:dyDescent="0.5">
      <c r="A1034" t="str">
        <f>"002574"</f>
        <v>002574</v>
      </c>
      <c r="B1034" t="s">
        <v>2030</v>
      </c>
      <c r="C1034">
        <v>1.56</v>
      </c>
      <c r="D1034">
        <v>33.270000000000003</v>
      </c>
      <c r="E1034">
        <v>5.87</v>
      </c>
      <c r="F1034">
        <v>0.09</v>
      </c>
      <c r="G1034">
        <v>5.86</v>
      </c>
      <c r="H1034">
        <v>5.87</v>
      </c>
      <c r="I1034" t="s">
        <v>2031</v>
      </c>
      <c r="J1034">
        <v>1.61</v>
      </c>
      <c r="K1034">
        <v>1.61</v>
      </c>
      <c r="L1034">
        <v>5.75</v>
      </c>
      <c r="M1034">
        <v>5.89</v>
      </c>
      <c r="N1034">
        <v>5.71</v>
      </c>
    </row>
    <row r="1035" spans="1:14" x14ac:dyDescent="0.5">
      <c r="A1035" t="str">
        <f>"002575"</f>
        <v>002575</v>
      </c>
      <c r="B1035" t="s">
        <v>2032</v>
      </c>
      <c r="C1035">
        <v>2.64</v>
      </c>
      <c r="D1035">
        <v>817.36</v>
      </c>
      <c r="E1035">
        <v>10.09</v>
      </c>
      <c r="F1035">
        <v>0.26</v>
      </c>
      <c r="G1035">
        <v>10.09</v>
      </c>
      <c r="H1035">
        <v>10.1</v>
      </c>
      <c r="I1035" t="s">
        <v>2033</v>
      </c>
      <c r="J1035">
        <v>9.5399999999999991</v>
      </c>
      <c r="K1035">
        <v>9.5399999999999991</v>
      </c>
      <c r="L1035">
        <v>9.65</v>
      </c>
      <c r="M1035">
        <v>10.24</v>
      </c>
      <c r="N1035">
        <v>9.57</v>
      </c>
    </row>
    <row r="1036" spans="1:14" x14ac:dyDescent="0.5">
      <c r="A1036" t="str">
        <f>"002576"</f>
        <v>002576</v>
      </c>
      <c r="B1036" t="s">
        <v>2034</v>
      </c>
      <c r="C1036">
        <v>1.99</v>
      </c>
      <c r="D1036">
        <v>101.29</v>
      </c>
      <c r="E1036">
        <v>12.3</v>
      </c>
      <c r="F1036">
        <v>0.24</v>
      </c>
      <c r="G1036">
        <v>12.3</v>
      </c>
      <c r="H1036">
        <v>12.31</v>
      </c>
      <c r="I1036" t="s">
        <v>2035</v>
      </c>
      <c r="J1036">
        <v>4.49</v>
      </c>
      <c r="K1036">
        <v>4.49</v>
      </c>
      <c r="L1036">
        <v>12.01</v>
      </c>
      <c r="M1036">
        <v>12.3</v>
      </c>
      <c r="N1036">
        <v>11.91</v>
      </c>
    </row>
    <row r="1037" spans="1:14" x14ac:dyDescent="0.5">
      <c r="A1037" t="str">
        <f>"002577"</f>
        <v>002577</v>
      </c>
      <c r="B1037" t="s">
        <v>2036</v>
      </c>
      <c r="C1037">
        <v>0</v>
      </c>
      <c r="D1037">
        <v>160.6</v>
      </c>
      <c r="E1037">
        <v>12.75</v>
      </c>
      <c r="F1037">
        <v>0</v>
      </c>
      <c r="G1037">
        <v>12.74</v>
      </c>
      <c r="H1037">
        <v>12.75</v>
      </c>
      <c r="I1037" t="s">
        <v>2037</v>
      </c>
      <c r="J1037">
        <v>3.23</v>
      </c>
      <c r="K1037">
        <v>3.23</v>
      </c>
      <c r="L1037">
        <v>12.7</v>
      </c>
      <c r="M1037">
        <v>12.78</v>
      </c>
      <c r="N1037">
        <v>12.4</v>
      </c>
    </row>
    <row r="1038" spans="1:14" x14ac:dyDescent="0.5">
      <c r="A1038" t="str">
        <f>"002578"</f>
        <v>002578</v>
      </c>
      <c r="B1038" t="s">
        <v>2038</v>
      </c>
      <c r="C1038">
        <v>1.97</v>
      </c>
      <c r="D1038">
        <v>91.09</v>
      </c>
      <c r="E1038">
        <v>3.62</v>
      </c>
      <c r="F1038">
        <v>7.0000000000000007E-2</v>
      </c>
      <c r="G1038">
        <v>3.61</v>
      </c>
      <c r="H1038">
        <v>3.62</v>
      </c>
      <c r="I1038" t="s">
        <v>2039</v>
      </c>
      <c r="J1038">
        <v>1.97</v>
      </c>
      <c r="K1038">
        <v>1.97</v>
      </c>
      <c r="L1038">
        <v>3.54</v>
      </c>
      <c r="M1038">
        <v>3.62</v>
      </c>
      <c r="N1038">
        <v>3.51</v>
      </c>
    </row>
    <row r="1039" spans="1:14" x14ac:dyDescent="0.5">
      <c r="A1039" t="str">
        <f>"002579"</f>
        <v>002579</v>
      </c>
      <c r="B1039" t="s">
        <v>2040</v>
      </c>
      <c r="C1039">
        <v>3.81</v>
      </c>
      <c r="D1039">
        <v>54.48</v>
      </c>
      <c r="E1039">
        <v>11.43</v>
      </c>
      <c r="F1039">
        <v>0.42</v>
      </c>
      <c r="G1039">
        <v>11.42</v>
      </c>
      <c r="H1039">
        <v>11.43</v>
      </c>
      <c r="I1039" t="s">
        <v>2041</v>
      </c>
      <c r="J1039">
        <v>5.67</v>
      </c>
      <c r="K1039">
        <v>5.67</v>
      </c>
      <c r="L1039">
        <v>11.04</v>
      </c>
      <c r="M1039">
        <v>11.46</v>
      </c>
      <c r="N1039">
        <v>10.88</v>
      </c>
    </row>
    <row r="1040" spans="1:14" x14ac:dyDescent="0.5">
      <c r="A1040" t="str">
        <f>"002580"</f>
        <v>002580</v>
      </c>
      <c r="B1040" t="s">
        <v>2042</v>
      </c>
      <c r="C1040">
        <v>3.51</v>
      </c>
      <c r="D1040">
        <v>106.45</v>
      </c>
      <c r="E1040">
        <v>6.2</v>
      </c>
      <c r="F1040">
        <v>0.21</v>
      </c>
      <c r="G1040">
        <v>6.19</v>
      </c>
      <c r="H1040">
        <v>6.2</v>
      </c>
      <c r="I1040" t="s">
        <v>2043</v>
      </c>
      <c r="J1040">
        <v>6.28</v>
      </c>
      <c r="K1040">
        <v>6.28</v>
      </c>
      <c r="L1040">
        <v>5.99</v>
      </c>
      <c r="M1040">
        <v>6.25</v>
      </c>
      <c r="N1040">
        <v>5.94</v>
      </c>
    </row>
    <row r="1041" spans="1:14" x14ac:dyDescent="0.5">
      <c r="A1041" t="str">
        <f>"002581"</f>
        <v>002581</v>
      </c>
      <c r="B1041" t="s">
        <v>2044</v>
      </c>
      <c r="C1041">
        <v>4.63</v>
      </c>
      <c r="D1041">
        <v>38.24</v>
      </c>
      <c r="E1041">
        <v>8.59</v>
      </c>
      <c r="F1041">
        <v>0.38</v>
      </c>
      <c r="G1041">
        <v>8.59</v>
      </c>
      <c r="H1041">
        <v>8.6</v>
      </c>
      <c r="I1041" t="s">
        <v>75</v>
      </c>
      <c r="J1041">
        <v>7.91</v>
      </c>
      <c r="K1041">
        <v>7.91</v>
      </c>
      <c r="L1041">
        <v>8.2100000000000009</v>
      </c>
      <c r="M1041">
        <v>8.7799999999999994</v>
      </c>
      <c r="N1041">
        <v>8.0500000000000007</v>
      </c>
    </row>
    <row r="1042" spans="1:14" x14ac:dyDescent="0.5">
      <c r="A1042" t="str">
        <f>"002582"</f>
        <v>002582</v>
      </c>
      <c r="B1042" t="s">
        <v>2045</v>
      </c>
      <c r="C1042">
        <v>1.89</v>
      </c>
      <c r="D1042">
        <v>36.369999999999997</v>
      </c>
      <c r="E1042">
        <v>9.16</v>
      </c>
      <c r="F1042">
        <v>0.17</v>
      </c>
      <c r="G1042">
        <v>9.15</v>
      </c>
      <c r="H1042">
        <v>9.16</v>
      </c>
      <c r="I1042" t="s">
        <v>2046</v>
      </c>
      <c r="J1042">
        <v>3.25</v>
      </c>
      <c r="K1042">
        <v>3.25</v>
      </c>
      <c r="L1042">
        <v>8.99</v>
      </c>
      <c r="M1042">
        <v>9.17</v>
      </c>
      <c r="N1042">
        <v>8.9</v>
      </c>
    </row>
    <row r="1043" spans="1:14" x14ac:dyDescent="0.5">
      <c r="A1043" t="str">
        <f>"002583"</f>
        <v>002583</v>
      </c>
      <c r="B1043" t="s">
        <v>2047</v>
      </c>
      <c r="C1043">
        <v>0.17</v>
      </c>
      <c r="D1043">
        <v>64.86</v>
      </c>
      <c r="E1043">
        <v>11.75</v>
      </c>
      <c r="F1043">
        <v>0.02</v>
      </c>
      <c r="G1043">
        <v>11.75</v>
      </c>
      <c r="H1043">
        <v>11.76</v>
      </c>
      <c r="I1043" t="s">
        <v>2048</v>
      </c>
      <c r="J1043">
        <v>2.0299999999999998</v>
      </c>
      <c r="K1043">
        <v>2.0299999999999998</v>
      </c>
      <c r="L1043">
        <v>11.56</v>
      </c>
      <c r="M1043">
        <v>11.95</v>
      </c>
      <c r="N1043">
        <v>11.56</v>
      </c>
    </row>
    <row r="1044" spans="1:14" x14ac:dyDescent="0.5">
      <c r="A1044" t="str">
        <f>"002584"</f>
        <v>002584</v>
      </c>
      <c r="B1044" t="s">
        <v>2049</v>
      </c>
      <c r="C1044">
        <v>5.84</v>
      </c>
      <c r="D1044">
        <v>37.49</v>
      </c>
      <c r="E1044">
        <v>7.07</v>
      </c>
      <c r="F1044">
        <v>0.39</v>
      </c>
      <c r="G1044">
        <v>7.07</v>
      </c>
      <c r="H1044">
        <v>7.08</v>
      </c>
      <c r="I1044" t="s">
        <v>876</v>
      </c>
      <c r="J1044">
        <v>11.67</v>
      </c>
      <c r="K1044">
        <v>11.67</v>
      </c>
      <c r="L1044">
        <v>6.65</v>
      </c>
      <c r="M1044">
        <v>7.28</v>
      </c>
      <c r="N1044">
        <v>6.55</v>
      </c>
    </row>
    <row r="1045" spans="1:14" x14ac:dyDescent="0.5">
      <c r="A1045" t="str">
        <f>"002585"</f>
        <v>002585</v>
      </c>
      <c r="B1045" t="s">
        <v>2050</v>
      </c>
      <c r="C1045">
        <v>5.45</v>
      </c>
      <c r="D1045">
        <v>33.770000000000003</v>
      </c>
      <c r="E1045">
        <v>6.58</v>
      </c>
      <c r="F1045">
        <v>0.34</v>
      </c>
      <c r="G1045">
        <v>6.57</v>
      </c>
      <c r="H1045">
        <v>6.58</v>
      </c>
      <c r="I1045" t="s">
        <v>2051</v>
      </c>
      <c r="J1045">
        <v>7.12</v>
      </c>
      <c r="K1045">
        <v>7.12</v>
      </c>
      <c r="L1045">
        <v>6.19</v>
      </c>
      <c r="M1045">
        <v>6.79</v>
      </c>
      <c r="N1045">
        <v>6.19</v>
      </c>
    </row>
    <row r="1046" spans="1:14" x14ac:dyDescent="0.5">
      <c r="A1046" t="str">
        <f>"002586"</f>
        <v>002586</v>
      </c>
      <c r="B1046" t="s">
        <v>2052</v>
      </c>
      <c r="C1046">
        <v>2.9</v>
      </c>
      <c r="D1046">
        <v>17.55</v>
      </c>
      <c r="E1046">
        <v>5.33</v>
      </c>
      <c r="F1046">
        <v>0.15</v>
      </c>
      <c r="G1046">
        <v>5.33</v>
      </c>
      <c r="H1046">
        <v>5.34</v>
      </c>
      <c r="I1046" t="s">
        <v>2053</v>
      </c>
      <c r="J1046">
        <v>2.67</v>
      </c>
      <c r="K1046">
        <v>2.67</v>
      </c>
      <c r="L1046">
        <v>5.17</v>
      </c>
      <c r="M1046">
        <v>5.4</v>
      </c>
      <c r="N1046">
        <v>5.15</v>
      </c>
    </row>
    <row r="1047" spans="1:14" x14ac:dyDescent="0.5">
      <c r="A1047" t="str">
        <f>"002587"</f>
        <v>002587</v>
      </c>
      <c r="B1047" t="s">
        <v>2054</v>
      </c>
      <c r="C1047">
        <v>1.67</v>
      </c>
      <c r="D1047">
        <v>24.74</v>
      </c>
      <c r="E1047">
        <v>6.68</v>
      </c>
      <c r="F1047">
        <v>0.11</v>
      </c>
      <c r="G1047">
        <v>6.68</v>
      </c>
      <c r="H1047">
        <v>6.69</v>
      </c>
      <c r="I1047" t="s">
        <v>2055</v>
      </c>
      <c r="J1047">
        <v>6.66</v>
      </c>
      <c r="K1047">
        <v>6.66</v>
      </c>
      <c r="L1047">
        <v>6.45</v>
      </c>
      <c r="M1047">
        <v>6.85</v>
      </c>
      <c r="N1047">
        <v>6.45</v>
      </c>
    </row>
    <row r="1048" spans="1:14" x14ac:dyDescent="0.5">
      <c r="A1048" t="str">
        <f>"002588"</f>
        <v>002588</v>
      </c>
      <c r="B1048" t="s">
        <v>2056</v>
      </c>
      <c r="C1048">
        <v>1.03</v>
      </c>
      <c r="D1048">
        <v>24.52</v>
      </c>
      <c r="E1048">
        <v>4.91</v>
      </c>
      <c r="F1048">
        <v>0.05</v>
      </c>
      <c r="G1048">
        <v>4.9000000000000004</v>
      </c>
      <c r="H1048">
        <v>4.91</v>
      </c>
      <c r="I1048" t="s">
        <v>2057</v>
      </c>
      <c r="J1048">
        <v>2.19</v>
      </c>
      <c r="K1048">
        <v>2.19</v>
      </c>
      <c r="L1048">
        <v>4.8499999999999996</v>
      </c>
      <c r="M1048">
        <v>4.91</v>
      </c>
      <c r="N1048">
        <v>4.8099999999999996</v>
      </c>
    </row>
    <row r="1049" spans="1:14" x14ac:dyDescent="0.5">
      <c r="A1049" t="str">
        <f>"002589"</f>
        <v>002589</v>
      </c>
      <c r="B1049" t="s">
        <v>2058</v>
      </c>
      <c r="C1049">
        <v>3.49</v>
      </c>
      <c r="D1049">
        <v>9.8000000000000007</v>
      </c>
      <c r="E1049">
        <v>7.72</v>
      </c>
      <c r="F1049">
        <v>0.26</v>
      </c>
      <c r="G1049">
        <v>7.71</v>
      </c>
      <c r="H1049">
        <v>7.72</v>
      </c>
      <c r="I1049" t="s">
        <v>271</v>
      </c>
      <c r="J1049">
        <v>4.28</v>
      </c>
      <c r="K1049">
        <v>4.28</v>
      </c>
      <c r="L1049">
        <v>7.4</v>
      </c>
      <c r="M1049">
        <v>7.72</v>
      </c>
      <c r="N1049">
        <v>7.35</v>
      </c>
    </row>
    <row r="1050" spans="1:14" x14ac:dyDescent="0.5">
      <c r="A1050" t="str">
        <f>"002590"</f>
        <v>002590</v>
      </c>
      <c r="B1050" t="s">
        <v>2059</v>
      </c>
      <c r="C1050">
        <v>2.95</v>
      </c>
      <c r="D1050">
        <v>35.909999999999997</v>
      </c>
      <c r="E1050">
        <v>8.73</v>
      </c>
      <c r="F1050">
        <v>0.25</v>
      </c>
      <c r="G1050">
        <v>8.73</v>
      </c>
      <c r="H1050">
        <v>8.74</v>
      </c>
      <c r="I1050" t="s">
        <v>2060</v>
      </c>
      <c r="J1050">
        <v>4.76</v>
      </c>
      <c r="K1050">
        <v>4.76</v>
      </c>
      <c r="L1050">
        <v>8.3000000000000007</v>
      </c>
      <c r="M1050">
        <v>8.9600000000000009</v>
      </c>
      <c r="N1050">
        <v>8.25</v>
      </c>
    </row>
    <row r="1051" spans="1:14" x14ac:dyDescent="0.5">
      <c r="A1051" t="str">
        <f>"002591"</f>
        <v>002591</v>
      </c>
      <c r="B1051" t="s">
        <v>2061</v>
      </c>
      <c r="C1051">
        <v>3.94</v>
      </c>
      <c r="D1051">
        <v>52.2</v>
      </c>
      <c r="E1051">
        <v>7.91</v>
      </c>
      <c r="F1051">
        <v>0.3</v>
      </c>
      <c r="G1051">
        <v>7.9</v>
      </c>
      <c r="H1051">
        <v>7.91</v>
      </c>
      <c r="I1051" t="s">
        <v>2062</v>
      </c>
      <c r="J1051">
        <v>5.25</v>
      </c>
      <c r="K1051">
        <v>5.25</v>
      </c>
      <c r="L1051">
        <v>7.65</v>
      </c>
      <c r="M1051">
        <v>7.93</v>
      </c>
      <c r="N1051">
        <v>7.6</v>
      </c>
    </row>
    <row r="1052" spans="1:14" x14ac:dyDescent="0.5">
      <c r="A1052" t="str">
        <f>"002592"</f>
        <v>002592</v>
      </c>
      <c r="B1052" t="s">
        <v>2063</v>
      </c>
      <c r="C1052">
        <v>0.4</v>
      </c>
      <c r="D1052">
        <v>121.93</v>
      </c>
      <c r="E1052">
        <v>19.88</v>
      </c>
      <c r="F1052">
        <v>0.08</v>
      </c>
      <c r="G1052">
        <v>19.88</v>
      </c>
      <c r="H1052">
        <v>19.89</v>
      </c>
      <c r="I1052" t="s">
        <v>2064</v>
      </c>
      <c r="J1052">
        <v>1.58</v>
      </c>
      <c r="K1052">
        <v>1.58</v>
      </c>
      <c r="L1052">
        <v>20</v>
      </c>
      <c r="M1052">
        <v>20.350000000000001</v>
      </c>
      <c r="N1052">
        <v>19.78</v>
      </c>
    </row>
    <row r="1053" spans="1:14" x14ac:dyDescent="0.5">
      <c r="A1053" t="str">
        <f>"002593"</f>
        <v>002593</v>
      </c>
      <c r="B1053" t="s">
        <v>2065</v>
      </c>
      <c r="C1053">
        <v>1.61</v>
      </c>
      <c r="D1053">
        <v>30.69</v>
      </c>
      <c r="E1053">
        <v>3.78</v>
      </c>
      <c r="F1053">
        <v>0.06</v>
      </c>
      <c r="G1053">
        <v>3.77</v>
      </c>
      <c r="H1053">
        <v>3.78</v>
      </c>
      <c r="I1053" t="s">
        <v>2066</v>
      </c>
      <c r="J1053">
        <v>1.2</v>
      </c>
      <c r="K1053">
        <v>1.2</v>
      </c>
      <c r="L1053">
        <v>3.71</v>
      </c>
      <c r="M1053">
        <v>3.8</v>
      </c>
      <c r="N1053">
        <v>3.67</v>
      </c>
    </row>
    <row r="1054" spans="1:14" x14ac:dyDescent="0.5">
      <c r="A1054" t="str">
        <f>"002594"</f>
        <v>002594</v>
      </c>
      <c r="B1054" t="s">
        <v>2067</v>
      </c>
      <c r="C1054">
        <v>0.75</v>
      </c>
      <c r="D1054">
        <v>52.38</v>
      </c>
      <c r="E1054">
        <v>54.08</v>
      </c>
      <c r="F1054">
        <v>0.4</v>
      </c>
      <c r="G1054">
        <v>54.08</v>
      </c>
      <c r="H1054">
        <v>54.09</v>
      </c>
      <c r="I1054" t="s">
        <v>2068</v>
      </c>
      <c r="J1054">
        <v>1.72</v>
      </c>
      <c r="K1054">
        <v>1.72</v>
      </c>
      <c r="L1054">
        <v>53.66</v>
      </c>
      <c r="M1054">
        <v>54.23</v>
      </c>
      <c r="N1054">
        <v>53</v>
      </c>
    </row>
    <row r="1055" spans="1:14" x14ac:dyDescent="0.5">
      <c r="A1055" t="str">
        <f>"002595"</f>
        <v>002595</v>
      </c>
      <c r="B1055" t="s">
        <v>2069</v>
      </c>
      <c r="C1055">
        <v>-0.51</v>
      </c>
      <c r="D1055">
        <v>22.07</v>
      </c>
      <c r="E1055">
        <v>19.57</v>
      </c>
      <c r="F1055">
        <v>-0.1</v>
      </c>
      <c r="G1055">
        <v>19.559999999999999</v>
      </c>
      <c r="H1055">
        <v>19.57</v>
      </c>
      <c r="I1055" t="s">
        <v>2070</v>
      </c>
      <c r="J1055">
        <v>0.35</v>
      </c>
      <c r="K1055">
        <v>0.35</v>
      </c>
      <c r="L1055">
        <v>19.63</v>
      </c>
      <c r="M1055">
        <v>19.63</v>
      </c>
      <c r="N1055">
        <v>19.25</v>
      </c>
    </row>
    <row r="1056" spans="1:14" x14ac:dyDescent="0.5">
      <c r="A1056" t="str">
        <f>"002596"</f>
        <v>002596</v>
      </c>
      <c r="B1056" t="s">
        <v>2071</v>
      </c>
      <c r="C1056">
        <v>5.85</v>
      </c>
      <c r="D1056">
        <v>56.17</v>
      </c>
      <c r="E1056">
        <v>10.31</v>
      </c>
      <c r="F1056">
        <v>0.56999999999999995</v>
      </c>
      <c r="G1056">
        <v>10.31</v>
      </c>
      <c r="H1056">
        <v>10.32</v>
      </c>
      <c r="I1056" t="s">
        <v>2072</v>
      </c>
      <c r="J1056">
        <v>8.61</v>
      </c>
      <c r="K1056">
        <v>8.61</v>
      </c>
      <c r="L1056">
        <v>9.77</v>
      </c>
      <c r="M1056">
        <v>10.67</v>
      </c>
      <c r="N1056">
        <v>9.64</v>
      </c>
    </row>
    <row r="1057" spans="1:14" x14ac:dyDescent="0.5">
      <c r="A1057" t="str">
        <f>"002597"</f>
        <v>002597</v>
      </c>
      <c r="B1057" t="s">
        <v>2073</v>
      </c>
      <c r="C1057">
        <v>3.36</v>
      </c>
      <c r="D1057">
        <v>8.6999999999999993</v>
      </c>
      <c r="E1057">
        <v>17.52</v>
      </c>
      <c r="F1057">
        <v>0.56999999999999995</v>
      </c>
      <c r="G1057">
        <v>17.52</v>
      </c>
      <c r="H1057">
        <v>17.53</v>
      </c>
      <c r="I1057" t="s">
        <v>1339</v>
      </c>
      <c r="J1057">
        <v>2.48</v>
      </c>
      <c r="K1057">
        <v>2.48</v>
      </c>
      <c r="L1057">
        <v>16.86</v>
      </c>
      <c r="M1057">
        <v>17.53</v>
      </c>
      <c r="N1057">
        <v>16.739999999999998</v>
      </c>
    </row>
    <row r="1058" spans="1:14" x14ac:dyDescent="0.5">
      <c r="A1058" t="str">
        <f>"002598"</f>
        <v>002598</v>
      </c>
      <c r="B1058" t="s">
        <v>2074</v>
      </c>
      <c r="C1058">
        <v>1.2</v>
      </c>
      <c r="D1058">
        <v>28.98</v>
      </c>
      <c r="E1058">
        <v>7.59</v>
      </c>
      <c r="F1058">
        <v>0.09</v>
      </c>
      <c r="G1058">
        <v>7.59</v>
      </c>
      <c r="H1058">
        <v>7.6</v>
      </c>
      <c r="I1058" t="s">
        <v>414</v>
      </c>
      <c r="J1058">
        <v>1.61</v>
      </c>
      <c r="K1058">
        <v>1.61</v>
      </c>
      <c r="L1058">
        <v>7.46</v>
      </c>
      <c r="M1058">
        <v>7.6</v>
      </c>
      <c r="N1058">
        <v>7.45</v>
      </c>
    </row>
    <row r="1059" spans="1:14" x14ac:dyDescent="0.5">
      <c r="A1059" t="str">
        <f>"002599"</f>
        <v>002599</v>
      </c>
      <c r="B1059" t="s">
        <v>2075</v>
      </c>
      <c r="C1059">
        <v>1.98</v>
      </c>
      <c r="D1059">
        <v>31.7</v>
      </c>
      <c r="E1059">
        <v>11.34</v>
      </c>
      <c r="F1059">
        <v>0.22</v>
      </c>
      <c r="G1059">
        <v>11.32</v>
      </c>
      <c r="H1059">
        <v>11.34</v>
      </c>
      <c r="I1059" t="s">
        <v>2076</v>
      </c>
      <c r="J1059">
        <v>1.88</v>
      </c>
      <c r="K1059">
        <v>1.88</v>
      </c>
      <c r="L1059">
        <v>11.12</v>
      </c>
      <c r="M1059">
        <v>11.47</v>
      </c>
      <c r="N1059">
        <v>10.98</v>
      </c>
    </row>
    <row r="1060" spans="1:14" x14ac:dyDescent="0.5">
      <c r="A1060" t="str">
        <f>"002600"</f>
        <v>002600</v>
      </c>
      <c r="B1060" t="s">
        <v>2077</v>
      </c>
      <c r="C1060">
        <v>10</v>
      </c>
      <c r="D1060">
        <v>2422.64</v>
      </c>
      <c r="E1060">
        <v>6.6</v>
      </c>
      <c r="F1060">
        <v>0.6</v>
      </c>
      <c r="G1060">
        <v>6.6</v>
      </c>
      <c r="H1060" t="s">
        <v>24</v>
      </c>
      <c r="I1060" t="s">
        <v>2078</v>
      </c>
      <c r="J1060">
        <v>13.13</v>
      </c>
      <c r="K1060">
        <v>13.13</v>
      </c>
      <c r="L1060">
        <v>6.34</v>
      </c>
      <c r="M1060">
        <v>6.6</v>
      </c>
      <c r="N1060">
        <v>6.28</v>
      </c>
    </row>
    <row r="1061" spans="1:14" x14ac:dyDescent="0.5">
      <c r="A1061" t="str">
        <f>"002601"</f>
        <v>002601</v>
      </c>
      <c r="B1061" t="s">
        <v>2079</v>
      </c>
      <c r="C1061">
        <v>1.54</v>
      </c>
      <c r="D1061">
        <v>11.29</v>
      </c>
      <c r="E1061">
        <v>14.47</v>
      </c>
      <c r="F1061">
        <v>0.22</v>
      </c>
      <c r="G1061">
        <v>14.46</v>
      </c>
      <c r="H1061">
        <v>14.47</v>
      </c>
      <c r="I1061" t="s">
        <v>2080</v>
      </c>
      <c r="J1061">
        <v>1.35</v>
      </c>
      <c r="K1061">
        <v>1.35</v>
      </c>
      <c r="L1061">
        <v>14.25</v>
      </c>
      <c r="M1061">
        <v>14.54</v>
      </c>
      <c r="N1061">
        <v>14.18</v>
      </c>
    </row>
    <row r="1062" spans="1:14" x14ac:dyDescent="0.5">
      <c r="A1062" t="str">
        <f>"002602"</f>
        <v>002602</v>
      </c>
      <c r="B1062" t="s">
        <v>2081</v>
      </c>
      <c r="C1062">
        <v>1.62</v>
      </c>
      <c r="D1062">
        <v>49.78</v>
      </c>
      <c r="E1062">
        <v>20.66</v>
      </c>
      <c r="F1062">
        <v>0.33</v>
      </c>
      <c r="G1062">
        <v>20.65</v>
      </c>
      <c r="H1062">
        <v>20.66</v>
      </c>
      <c r="I1062" t="s">
        <v>2082</v>
      </c>
      <c r="J1062">
        <v>0.97</v>
      </c>
      <c r="K1062">
        <v>0.97</v>
      </c>
      <c r="L1062">
        <v>20.36</v>
      </c>
      <c r="M1062">
        <v>20.88</v>
      </c>
      <c r="N1062">
        <v>20.3</v>
      </c>
    </row>
    <row r="1063" spans="1:14" x14ac:dyDescent="0.5">
      <c r="A1063" t="str">
        <f>"002603"</f>
        <v>002603</v>
      </c>
      <c r="B1063" t="s">
        <v>2083</v>
      </c>
      <c r="C1063">
        <v>1.1200000000000001</v>
      </c>
      <c r="D1063">
        <v>23</v>
      </c>
      <c r="E1063">
        <v>12.59</v>
      </c>
      <c r="F1063">
        <v>0.14000000000000001</v>
      </c>
      <c r="G1063">
        <v>12.58</v>
      </c>
      <c r="H1063">
        <v>12.59</v>
      </c>
      <c r="I1063" t="s">
        <v>2084</v>
      </c>
      <c r="J1063">
        <v>1.07</v>
      </c>
      <c r="K1063">
        <v>1.07</v>
      </c>
      <c r="L1063">
        <v>12.39</v>
      </c>
      <c r="M1063">
        <v>12.59</v>
      </c>
      <c r="N1063">
        <v>12.25</v>
      </c>
    </row>
    <row r="1064" spans="1:14" x14ac:dyDescent="0.5">
      <c r="A1064" t="str">
        <f>"002604"</f>
        <v>002604</v>
      </c>
      <c r="B1064" t="s">
        <v>2085</v>
      </c>
      <c r="C1064">
        <v>-0.56000000000000005</v>
      </c>
      <c r="D1064" t="s">
        <v>24</v>
      </c>
      <c r="E1064">
        <v>1.77</v>
      </c>
      <c r="F1064">
        <v>-0.01</v>
      </c>
      <c r="G1064">
        <v>1.77</v>
      </c>
      <c r="H1064">
        <v>1.78</v>
      </c>
      <c r="I1064" t="s">
        <v>2086</v>
      </c>
      <c r="J1064">
        <v>3.24</v>
      </c>
      <c r="K1064">
        <v>3.24</v>
      </c>
      <c r="L1064">
        <v>1.78</v>
      </c>
      <c r="M1064">
        <v>1.78</v>
      </c>
      <c r="N1064">
        <v>1.73</v>
      </c>
    </row>
    <row r="1065" spans="1:14" x14ac:dyDescent="0.5">
      <c r="A1065" t="str">
        <f>"002605"</f>
        <v>002605</v>
      </c>
      <c r="B1065" t="s">
        <v>2087</v>
      </c>
      <c r="C1065">
        <v>0.18</v>
      </c>
      <c r="D1065">
        <v>39.53</v>
      </c>
      <c r="E1065">
        <v>11.12</v>
      </c>
      <c r="F1065">
        <v>0.02</v>
      </c>
      <c r="G1065">
        <v>11.11</v>
      </c>
      <c r="H1065">
        <v>11.12</v>
      </c>
      <c r="I1065" t="s">
        <v>2088</v>
      </c>
      <c r="J1065">
        <v>7.86</v>
      </c>
      <c r="K1065">
        <v>7.86</v>
      </c>
      <c r="L1065">
        <v>10.64</v>
      </c>
      <c r="M1065">
        <v>11.54</v>
      </c>
      <c r="N1065">
        <v>10.59</v>
      </c>
    </row>
    <row r="1066" spans="1:14" x14ac:dyDescent="0.5">
      <c r="A1066" t="str">
        <f>"002606"</f>
        <v>002606</v>
      </c>
      <c r="B1066" t="s">
        <v>2089</v>
      </c>
      <c r="C1066">
        <v>-0.42</v>
      </c>
      <c r="D1066" t="s">
        <v>24</v>
      </c>
      <c r="E1066">
        <v>7.05</v>
      </c>
      <c r="F1066">
        <v>-0.03</v>
      </c>
      <c r="G1066">
        <v>7.05</v>
      </c>
      <c r="H1066">
        <v>7.06</v>
      </c>
      <c r="I1066" t="s">
        <v>2090</v>
      </c>
      <c r="J1066">
        <v>7.73</v>
      </c>
      <c r="K1066">
        <v>7.73</v>
      </c>
      <c r="L1066">
        <v>7.07</v>
      </c>
      <c r="M1066">
        <v>7.07</v>
      </c>
      <c r="N1066">
        <v>6.94</v>
      </c>
    </row>
    <row r="1067" spans="1:14" x14ac:dyDescent="0.5">
      <c r="A1067" t="str">
        <f>"002607"</f>
        <v>002607</v>
      </c>
      <c r="B1067" t="s">
        <v>2091</v>
      </c>
      <c r="C1067">
        <v>0.24</v>
      </c>
      <c r="D1067">
        <v>1280.8699999999999</v>
      </c>
      <c r="E1067">
        <v>12.33</v>
      </c>
      <c r="F1067">
        <v>0.03</v>
      </c>
      <c r="G1067">
        <v>12.33</v>
      </c>
      <c r="H1067">
        <v>12.34</v>
      </c>
      <c r="I1067" t="s">
        <v>2092</v>
      </c>
      <c r="J1067">
        <v>3.88</v>
      </c>
      <c r="K1067">
        <v>3.88</v>
      </c>
      <c r="L1067">
        <v>12.3</v>
      </c>
      <c r="M1067">
        <v>12.43</v>
      </c>
      <c r="N1067">
        <v>12.01</v>
      </c>
    </row>
    <row r="1068" spans="1:14" x14ac:dyDescent="0.5">
      <c r="A1068" t="str">
        <f>"002608"</f>
        <v>002608</v>
      </c>
      <c r="B1068" t="s">
        <v>2093</v>
      </c>
      <c r="C1068">
        <v>0</v>
      </c>
      <c r="D1068">
        <v>15.93</v>
      </c>
      <c r="E1068">
        <v>10.130000000000001</v>
      </c>
      <c r="F1068">
        <v>0</v>
      </c>
      <c r="G1068">
        <v>10.130000000000001</v>
      </c>
      <c r="H1068">
        <v>10.14</v>
      </c>
      <c r="I1068" t="s">
        <v>2094</v>
      </c>
      <c r="J1068">
        <v>3.15</v>
      </c>
      <c r="K1068">
        <v>3.15</v>
      </c>
      <c r="L1068">
        <v>9.9</v>
      </c>
      <c r="M1068">
        <v>10.27</v>
      </c>
      <c r="N1068">
        <v>9.82</v>
      </c>
    </row>
    <row r="1069" spans="1:14" x14ac:dyDescent="0.5">
      <c r="A1069" t="str">
        <f>"002609"</f>
        <v>002609</v>
      </c>
      <c r="B1069" t="s">
        <v>2095</v>
      </c>
      <c r="C1069">
        <v>6.65</v>
      </c>
      <c r="D1069">
        <v>32.729999999999997</v>
      </c>
      <c r="E1069">
        <v>7.38</v>
      </c>
      <c r="F1069">
        <v>0.46</v>
      </c>
      <c r="G1069">
        <v>7.38</v>
      </c>
      <c r="H1069">
        <v>7.39</v>
      </c>
      <c r="I1069" t="s">
        <v>43</v>
      </c>
      <c r="J1069">
        <v>5.45</v>
      </c>
      <c r="K1069">
        <v>5.45</v>
      </c>
      <c r="L1069">
        <v>6.91</v>
      </c>
      <c r="M1069">
        <v>7.48</v>
      </c>
      <c r="N1069">
        <v>6.88</v>
      </c>
    </row>
    <row r="1070" spans="1:14" x14ac:dyDescent="0.5">
      <c r="A1070" t="str">
        <f>"002610"</f>
        <v>002610</v>
      </c>
      <c r="B1070" t="s">
        <v>2096</v>
      </c>
      <c r="C1070">
        <v>0.99</v>
      </c>
      <c r="D1070">
        <v>97.76</v>
      </c>
      <c r="E1070">
        <v>2.0499999999999998</v>
      </c>
      <c r="F1070">
        <v>0.02</v>
      </c>
      <c r="G1070">
        <v>2.04</v>
      </c>
      <c r="H1070">
        <v>2.0499999999999998</v>
      </c>
      <c r="I1070" t="s">
        <v>2097</v>
      </c>
      <c r="J1070">
        <v>3.54</v>
      </c>
      <c r="K1070">
        <v>3.54</v>
      </c>
      <c r="L1070">
        <v>2.02</v>
      </c>
      <c r="M1070">
        <v>2.0499999999999998</v>
      </c>
      <c r="N1070">
        <v>2</v>
      </c>
    </row>
    <row r="1071" spans="1:14" x14ac:dyDescent="0.5">
      <c r="A1071" t="str">
        <f>"002611"</f>
        <v>002611</v>
      </c>
      <c r="B1071" t="s">
        <v>2098</v>
      </c>
      <c r="C1071">
        <v>2.66</v>
      </c>
      <c r="D1071">
        <v>11.67</v>
      </c>
      <c r="E1071">
        <v>4.25</v>
      </c>
      <c r="F1071">
        <v>0.11</v>
      </c>
      <c r="G1071">
        <v>4.25</v>
      </c>
      <c r="H1071">
        <v>4.26</v>
      </c>
      <c r="I1071" t="s">
        <v>2099</v>
      </c>
      <c r="J1071">
        <v>5.12</v>
      </c>
      <c r="K1071">
        <v>5.12</v>
      </c>
      <c r="L1071">
        <v>4.1500000000000004</v>
      </c>
      <c r="M1071">
        <v>4.28</v>
      </c>
      <c r="N1071">
        <v>4.12</v>
      </c>
    </row>
    <row r="1072" spans="1:14" x14ac:dyDescent="0.5">
      <c r="A1072" t="str">
        <f>"002612"</f>
        <v>002612</v>
      </c>
      <c r="B1072" t="s">
        <v>2100</v>
      </c>
      <c r="C1072">
        <v>0.98</v>
      </c>
      <c r="D1072">
        <v>14.83</v>
      </c>
      <c r="E1072">
        <v>10.28</v>
      </c>
      <c r="F1072">
        <v>0.1</v>
      </c>
      <c r="G1072">
        <v>10.27</v>
      </c>
      <c r="H1072">
        <v>10.28</v>
      </c>
      <c r="I1072" t="s">
        <v>2101</v>
      </c>
      <c r="J1072">
        <v>2.08</v>
      </c>
      <c r="K1072">
        <v>2.08</v>
      </c>
      <c r="L1072">
        <v>10.23</v>
      </c>
      <c r="M1072">
        <v>10.3</v>
      </c>
      <c r="N1072">
        <v>10.1</v>
      </c>
    </row>
    <row r="1073" spans="1:14" x14ac:dyDescent="0.5">
      <c r="A1073" t="str">
        <f>"002613"</f>
        <v>002613</v>
      </c>
      <c r="B1073" t="s">
        <v>2102</v>
      </c>
      <c r="C1073">
        <v>3.33</v>
      </c>
      <c r="D1073">
        <v>69.58</v>
      </c>
      <c r="E1073">
        <v>3.41</v>
      </c>
      <c r="F1073">
        <v>0.11</v>
      </c>
      <c r="G1073">
        <v>3.41</v>
      </c>
      <c r="H1073">
        <v>3.42</v>
      </c>
      <c r="I1073" t="s">
        <v>2103</v>
      </c>
      <c r="J1073">
        <v>2.2000000000000002</v>
      </c>
      <c r="K1073">
        <v>2.2000000000000002</v>
      </c>
      <c r="L1073">
        <v>3.32</v>
      </c>
      <c r="M1073">
        <v>3.42</v>
      </c>
      <c r="N1073">
        <v>3.27</v>
      </c>
    </row>
    <row r="1074" spans="1:14" x14ac:dyDescent="0.5">
      <c r="A1074" t="str">
        <f>"002614"</f>
        <v>002614</v>
      </c>
      <c r="B1074" t="s">
        <v>2104</v>
      </c>
      <c r="C1074">
        <v>-0.34</v>
      </c>
      <c r="D1074">
        <v>21.71</v>
      </c>
      <c r="E1074">
        <v>17.77</v>
      </c>
      <c r="F1074">
        <v>-0.06</v>
      </c>
      <c r="G1074">
        <v>17.77</v>
      </c>
      <c r="H1074">
        <v>17.78</v>
      </c>
      <c r="I1074" t="s">
        <v>2105</v>
      </c>
      <c r="J1074">
        <v>2.09</v>
      </c>
      <c r="K1074">
        <v>2.09</v>
      </c>
      <c r="L1074">
        <v>17.72</v>
      </c>
      <c r="M1074">
        <v>18.100000000000001</v>
      </c>
      <c r="N1074">
        <v>17.46</v>
      </c>
    </row>
    <row r="1075" spans="1:14" x14ac:dyDescent="0.5">
      <c r="A1075" t="str">
        <f>"002615"</f>
        <v>002615</v>
      </c>
      <c r="B1075" t="s">
        <v>2106</v>
      </c>
      <c r="C1075">
        <v>1.29</v>
      </c>
      <c r="D1075">
        <v>29.92</v>
      </c>
      <c r="E1075">
        <v>6.28</v>
      </c>
      <c r="F1075">
        <v>0.08</v>
      </c>
      <c r="G1075">
        <v>6.28</v>
      </c>
      <c r="H1075">
        <v>6.29</v>
      </c>
      <c r="I1075" t="s">
        <v>2107</v>
      </c>
      <c r="J1075">
        <v>1.67</v>
      </c>
      <c r="K1075">
        <v>1.67</v>
      </c>
      <c r="L1075">
        <v>6.23</v>
      </c>
      <c r="M1075">
        <v>6.3</v>
      </c>
      <c r="N1075">
        <v>6.19</v>
      </c>
    </row>
    <row r="1076" spans="1:14" x14ac:dyDescent="0.5">
      <c r="A1076" t="str">
        <f>"002616"</f>
        <v>002616</v>
      </c>
      <c r="B1076" t="s">
        <v>2108</v>
      </c>
      <c r="C1076">
        <v>1.1200000000000001</v>
      </c>
      <c r="D1076">
        <v>35.89</v>
      </c>
      <c r="E1076">
        <v>8.14</v>
      </c>
      <c r="F1076">
        <v>0.09</v>
      </c>
      <c r="G1076">
        <v>8.14</v>
      </c>
      <c r="H1076">
        <v>8.15</v>
      </c>
      <c r="I1076" t="s">
        <v>2109</v>
      </c>
      <c r="J1076">
        <v>1.01</v>
      </c>
      <c r="K1076">
        <v>1.01</v>
      </c>
      <c r="L1076">
        <v>8.06</v>
      </c>
      <c r="M1076">
        <v>8.17</v>
      </c>
      <c r="N1076">
        <v>8.06</v>
      </c>
    </row>
    <row r="1077" spans="1:14" x14ac:dyDescent="0.5">
      <c r="A1077" t="str">
        <f>"002617"</f>
        <v>002617</v>
      </c>
      <c r="B1077" t="s">
        <v>2110</v>
      </c>
      <c r="C1077">
        <v>5.52</v>
      </c>
      <c r="D1077">
        <v>19.809999999999999</v>
      </c>
      <c r="E1077">
        <v>4.59</v>
      </c>
      <c r="F1077">
        <v>0.24</v>
      </c>
      <c r="G1077">
        <v>4.59</v>
      </c>
      <c r="H1077">
        <v>4.5999999999999996</v>
      </c>
      <c r="I1077" t="s">
        <v>2111</v>
      </c>
      <c r="J1077">
        <v>6.91</v>
      </c>
      <c r="K1077">
        <v>6.91</v>
      </c>
      <c r="L1077">
        <v>4.37</v>
      </c>
      <c r="M1077">
        <v>4.6900000000000004</v>
      </c>
      <c r="N1077">
        <v>4.3</v>
      </c>
    </row>
    <row r="1078" spans="1:14" x14ac:dyDescent="0.5">
      <c r="A1078" t="str">
        <f>"002618"</f>
        <v>002618</v>
      </c>
      <c r="B1078" t="s">
        <v>2112</v>
      </c>
      <c r="C1078">
        <v>4.3499999999999996</v>
      </c>
      <c r="D1078">
        <v>249.35</v>
      </c>
      <c r="E1078">
        <v>16.329999999999998</v>
      </c>
      <c r="F1078">
        <v>0.68</v>
      </c>
      <c r="G1078">
        <v>16.32</v>
      </c>
      <c r="H1078">
        <v>16.329999999999998</v>
      </c>
      <c r="I1078" t="s">
        <v>2113</v>
      </c>
      <c r="J1078">
        <v>4.16</v>
      </c>
      <c r="K1078">
        <v>4.16</v>
      </c>
      <c r="L1078">
        <v>15.65</v>
      </c>
      <c r="M1078">
        <v>16.399999999999999</v>
      </c>
      <c r="N1078">
        <v>15.59</v>
      </c>
    </row>
    <row r="1079" spans="1:14" x14ac:dyDescent="0.5">
      <c r="A1079" t="str">
        <f>"002619"</f>
        <v>002619</v>
      </c>
      <c r="B1079" t="s">
        <v>2114</v>
      </c>
      <c r="C1079">
        <v>6.22</v>
      </c>
      <c r="D1079">
        <v>14.49</v>
      </c>
      <c r="E1079">
        <v>4.4400000000000004</v>
      </c>
      <c r="F1079">
        <v>0.26</v>
      </c>
      <c r="G1079">
        <v>4.43</v>
      </c>
      <c r="H1079">
        <v>4.4400000000000004</v>
      </c>
      <c r="I1079" t="s">
        <v>2115</v>
      </c>
      <c r="J1079">
        <v>4.38</v>
      </c>
      <c r="K1079">
        <v>4.38</v>
      </c>
      <c r="L1079">
        <v>4.18</v>
      </c>
      <c r="M1079">
        <v>4.51</v>
      </c>
      <c r="N1079">
        <v>4.1399999999999997</v>
      </c>
    </row>
    <row r="1080" spans="1:14" x14ac:dyDescent="0.5">
      <c r="A1080" t="str">
        <f>"002620"</f>
        <v>002620</v>
      </c>
      <c r="B1080" t="s">
        <v>2116</v>
      </c>
      <c r="C1080">
        <v>2.64</v>
      </c>
      <c r="D1080">
        <v>15.85</v>
      </c>
      <c r="E1080">
        <v>7</v>
      </c>
      <c r="F1080">
        <v>0.18</v>
      </c>
      <c r="G1080">
        <v>6.99</v>
      </c>
      <c r="H1080">
        <v>7</v>
      </c>
      <c r="I1080" t="s">
        <v>2117</v>
      </c>
      <c r="J1080">
        <v>2.61</v>
      </c>
      <c r="K1080">
        <v>2.61</v>
      </c>
      <c r="L1080">
        <v>6.82</v>
      </c>
      <c r="M1080">
        <v>7.03</v>
      </c>
      <c r="N1080">
        <v>6.76</v>
      </c>
    </row>
    <row r="1081" spans="1:14" x14ac:dyDescent="0.5">
      <c r="A1081" t="str">
        <f>"002621"</f>
        <v>002621</v>
      </c>
      <c r="B1081" t="s">
        <v>2118</v>
      </c>
      <c r="C1081">
        <v>0.59</v>
      </c>
      <c r="D1081">
        <v>1449.94</v>
      </c>
      <c r="E1081">
        <v>22.28</v>
      </c>
      <c r="F1081">
        <v>0.13</v>
      </c>
      <c r="G1081">
        <v>22.26</v>
      </c>
      <c r="H1081">
        <v>22.28</v>
      </c>
      <c r="I1081" t="s">
        <v>2119</v>
      </c>
      <c r="J1081">
        <v>1.0900000000000001</v>
      </c>
      <c r="K1081">
        <v>1.0900000000000001</v>
      </c>
      <c r="L1081">
        <v>22.16</v>
      </c>
      <c r="M1081">
        <v>22.54</v>
      </c>
      <c r="N1081">
        <v>22.11</v>
      </c>
    </row>
    <row r="1082" spans="1:14" x14ac:dyDescent="0.5">
      <c r="A1082" t="str">
        <f>"002622"</f>
        <v>002622</v>
      </c>
      <c r="B1082" t="s">
        <v>2120</v>
      </c>
      <c r="C1082">
        <v>6.47</v>
      </c>
      <c r="D1082">
        <v>56.13</v>
      </c>
      <c r="E1082">
        <v>4.28</v>
      </c>
      <c r="F1082">
        <v>0.26</v>
      </c>
      <c r="G1082">
        <v>4.2699999999999996</v>
      </c>
      <c r="H1082">
        <v>4.28</v>
      </c>
      <c r="I1082" t="s">
        <v>2121</v>
      </c>
      <c r="J1082">
        <v>10.47</v>
      </c>
      <c r="K1082">
        <v>10.47</v>
      </c>
      <c r="L1082">
        <v>3.98</v>
      </c>
      <c r="M1082">
        <v>4.29</v>
      </c>
      <c r="N1082">
        <v>3.92</v>
      </c>
    </row>
    <row r="1083" spans="1:14" x14ac:dyDescent="0.5">
      <c r="A1083" t="str">
        <f>"002623"</f>
        <v>002623</v>
      </c>
      <c r="B1083" t="s">
        <v>2122</v>
      </c>
      <c r="C1083">
        <v>1.76</v>
      </c>
      <c r="D1083">
        <v>87.7</v>
      </c>
      <c r="E1083">
        <v>17.96</v>
      </c>
      <c r="F1083">
        <v>0.31</v>
      </c>
      <c r="G1083">
        <v>17.920000000000002</v>
      </c>
      <c r="H1083">
        <v>17.96</v>
      </c>
      <c r="I1083" t="s">
        <v>2123</v>
      </c>
      <c r="J1083">
        <v>1.61</v>
      </c>
      <c r="K1083">
        <v>1.61</v>
      </c>
      <c r="L1083">
        <v>17.649999999999999</v>
      </c>
      <c r="M1083">
        <v>17.98</v>
      </c>
      <c r="N1083">
        <v>17.55</v>
      </c>
    </row>
    <row r="1084" spans="1:14" x14ac:dyDescent="0.5">
      <c r="A1084" t="str">
        <f>"002624"</f>
        <v>002624</v>
      </c>
      <c r="B1084" t="s">
        <v>2124</v>
      </c>
      <c r="C1084">
        <v>-0.26</v>
      </c>
      <c r="D1084">
        <v>22.47</v>
      </c>
      <c r="E1084">
        <v>30.8</v>
      </c>
      <c r="F1084">
        <v>-0.08</v>
      </c>
      <c r="G1084">
        <v>30.8</v>
      </c>
      <c r="H1084">
        <v>30.83</v>
      </c>
      <c r="I1084" t="s">
        <v>2125</v>
      </c>
      <c r="J1084">
        <v>0.85</v>
      </c>
      <c r="K1084">
        <v>0.85</v>
      </c>
      <c r="L1084">
        <v>30.89</v>
      </c>
      <c r="M1084">
        <v>30.94</v>
      </c>
      <c r="N1084">
        <v>30.05</v>
      </c>
    </row>
    <row r="1085" spans="1:14" x14ac:dyDescent="0.5">
      <c r="A1085" t="str">
        <f>"002625"</f>
        <v>002625</v>
      </c>
      <c r="B1085" t="s">
        <v>2126</v>
      </c>
      <c r="C1085">
        <v>3.84</v>
      </c>
      <c r="D1085">
        <v>618.55999999999995</v>
      </c>
      <c r="E1085">
        <v>11.91</v>
      </c>
      <c r="F1085">
        <v>0.44</v>
      </c>
      <c r="G1085">
        <v>11.91</v>
      </c>
      <c r="H1085">
        <v>11.92</v>
      </c>
      <c r="I1085" t="s">
        <v>2127</v>
      </c>
      <c r="J1085">
        <v>3.98</v>
      </c>
      <c r="K1085">
        <v>3.98</v>
      </c>
      <c r="L1085">
        <v>11.48</v>
      </c>
      <c r="M1085">
        <v>11.91</v>
      </c>
      <c r="N1085">
        <v>11.34</v>
      </c>
    </row>
    <row r="1086" spans="1:14" x14ac:dyDescent="0.5">
      <c r="A1086" t="str">
        <f>"002626"</f>
        <v>002626</v>
      </c>
      <c r="B1086" t="s">
        <v>2128</v>
      </c>
      <c r="C1086">
        <v>1.5</v>
      </c>
      <c r="D1086">
        <v>9.68</v>
      </c>
      <c r="E1086">
        <v>14.18</v>
      </c>
      <c r="F1086">
        <v>0.21</v>
      </c>
      <c r="G1086">
        <v>14.17</v>
      </c>
      <c r="H1086">
        <v>14.18</v>
      </c>
      <c r="I1086" t="s">
        <v>2129</v>
      </c>
      <c r="J1086">
        <v>1.2</v>
      </c>
      <c r="K1086">
        <v>1.2</v>
      </c>
      <c r="L1086">
        <v>13.9</v>
      </c>
      <c r="M1086">
        <v>14.2</v>
      </c>
      <c r="N1086">
        <v>13.81</v>
      </c>
    </row>
    <row r="1087" spans="1:14" x14ac:dyDescent="0.5">
      <c r="A1087" t="str">
        <f>"002627"</f>
        <v>002627</v>
      </c>
      <c r="B1087" t="s">
        <v>2130</v>
      </c>
      <c r="C1087">
        <v>1.37</v>
      </c>
      <c r="D1087">
        <v>22.64</v>
      </c>
      <c r="E1087">
        <v>7.38</v>
      </c>
      <c r="F1087">
        <v>0.1</v>
      </c>
      <c r="G1087">
        <v>7.37</v>
      </c>
      <c r="H1087">
        <v>7.38</v>
      </c>
      <c r="I1087" t="s">
        <v>2131</v>
      </c>
      <c r="J1087">
        <v>2.0299999999999998</v>
      </c>
      <c r="K1087">
        <v>2.0299999999999998</v>
      </c>
      <c r="L1087">
        <v>7.21</v>
      </c>
      <c r="M1087">
        <v>7.42</v>
      </c>
      <c r="N1087">
        <v>7.21</v>
      </c>
    </row>
    <row r="1088" spans="1:14" x14ac:dyDescent="0.5">
      <c r="A1088" t="str">
        <f>"002628"</f>
        <v>002628</v>
      </c>
      <c r="B1088" t="s">
        <v>2132</v>
      </c>
      <c r="C1088">
        <v>0.67</v>
      </c>
      <c r="D1088">
        <v>203.67</v>
      </c>
      <c r="E1088">
        <v>5.99</v>
      </c>
      <c r="F1088">
        <v>0.04</v>
      </c>
      <c r="G1088">
        <v>5.99</v>
      </c>
      <c r="H1088">
        <v>6</v>
      </c>
      <c r="I1088" t="s">
        <v>2133</v>
      </c>
      <c r="J1088">
        <v>8.35</v>
      </c>
      <c r="K1088">
        <v>8.35</v>
      </c>
      <c r="L1088">
        <v>5.81</v>
      </c>
      <c r="M1088">
        <v>6.16</v>
      </c>
      <c r="N1088">
        <v>5.76</v>
      </c>
    </row>
    <row r="1089" spans="1:14" x14ac:dyDescent="0.5">
      <c r="A1089" t="str">
        <f>"002629"</f>
        <v>002629</v>
      </c>
      <c r="B1089" t="s">
        <v>2134</v>
      </c>
      <c r="C1089">
        <v>4.74</v>
      </c>
      <c r="D1089" t="s">
        <v>24</v>
      </c>
      <c r="E1089">
        <v>4.2</v>
      </c>
      <c r="F1089">
        <v>0.19</v>
      </c>
      <c r="G1089">
        <v>4.2</v>
      </c>
      <c r="H1089">
        <v>4.21</v>
      </c>
      <c r="I1089" t="s">
        <v>2135</v>
      </c>
      <c r="J1089">
        <v>5.2</v>
      </c>
      <c r="K1089">
        <v>5.2</v>
      </c>
      <c r="L1089">
        <v>4.0199999999999996</v>
      </c>
      <c r="M1089">
        <v>4.3</v>
      </c>
      <c r="N1089">
        <v>4.01</v>
      </c>
    </row>
    <row r="1090" spans="1:14" x14ac:dyDescent="0.5">
      <c r="A1090" t="str">
        <f>"002630"</f>
        <v>002630</v>
      </c>
      <c r="B1090" t="s">
        <v>2136</v>
      </c>
      <c r="C1090">
        <v>3.46</v>
      </c>
      <c r="D1090">
        <v>20.99</v>
      </c>
      <c r="E1090">
        <v>3.59</v>
      </c>
      <c r="F1090">
        <v>0.12</v>
      </c>
      <c r="G1090">
        <v>3.59</v>
      </c>
      <c r="H1090">
        <v>3.6</v>
      </c>
      <c r="I1090" t="s">
        <v>2137</v>
      </c>
      <c r="J1090">
        <v>11.86</v>
      </c>
      <c r="K1090">
        <v>11.86</v>
      </c>
      <c r="L1090">
        <v>3.43</v>
      </c>
      <c r="M1090">
        <v>3.62</v>
      </c>
      <c r="N1090">
        <v>3.41</v>
      </c>
    </row>
    <row r="1091" spans="1:14" x14ac:dyDescent="0.5">
      <c r="A1091" t="str">
        <f>"002631"</f>
        <v>002631</v>
      </c>
      <c r="B1091" t="s">
        <v>2138</v>
      </c>
      <c r="C1091">
        <v>4.09</v>
      </c>
      <c r="D1091">
        <v>59.37</v>
      </c>
      <c r="E1091">
        <v>8.15</v>
      </c>
      <c r="F1091">
        <v>0.32</v>
      </c>
      <c r="G1091">
        <v>8.15</v>
      </c>
      <c r="H1091">
        <v>8.16</v>
      </c>
      <c r="I1091" t="s">
        <v>2139</v>
      </c>
      <c r="J1091">
        <v>2.0499999999999998</v>
      </c>
      <c r="K1091">
        <v>2.0499999999999998</v>
      </c>
      <c r="L1091">
        <v>7.75</v>
      </c>
      <c r="M1091">
        <v>8.2899999999999991</v>
      </c>
      <c r="N1091">
        <v>7.71</v>
      </c>
    </row>
    <row r="1092" spans="1:14" x14ac:dyDescent="0.5">
      <c r="A1092" t="str">
        <f>"002632"</f>
        <v>002632</v>
      </c>
      <c r="B1092" t="s">
        <v>2140</v>
      </c>
      <c r="C1092">
        <v>2.3199999999999998</v>
      </c>
      <c r="D1092">
        <v>25.63</v>
      </c>
      <c r="E1092">
        <v>8.83</v>
      </c>
      <c r="F1092">
        <v>0.2</v>
      </c>
      <c r="G1092">
        <v>8.82</v>
      </c>
      <c r="H1092">
        <v>8.83</v>
      </c>
      <c r="I1092" t="s">
        <v>2141</v>
      </c>
      <c r="J1092">
        <v>1.52</v>
      </c>
      <c r="K1092">
        <v>1.52</v>
      </c>
      <c r="L1092">
        <v>8.57</v>
      </c>
      <c r="M1092">
        <v>8.85</v>
      </c>
      <c r="N1092">
        <v>8.52</v>
      </c>
    </row>
    <row r="1093" spans="1:14" x14ac:dyDescent="0.5">
      <c r="A1093" t="str">
        <f>"002633"</f>
        <v>002633</v>
      </c>
      <c r="B1093" t="s">
        <v>2142</v>
      </c>
      <c r="C1093">
        <v>2.6</v>
      </c>
      <c r="D1093">
        <v>291.11</v>
      </c>
      <c r="E1093">
        <v>9.09</v>
      </c>
      <c r="F1093">
        <v>0.23</v>
      </c>
      <c r="G1093">
        <v>9.09</v>
      </c>
      <c r="H1093">
        <v>9.1</v>
      </c>
      <c r="I1093" t="s">
        <v>2143</v>
      </c>
      <c r="J1093">
        <v>1.43</v>
      </c>
      <c r="K1093">
        <v>1.43</v>
      </c>
      <c r="L1093">
        <v>8.82</v>
      </c>
      <c r="M1093">
        <v>9.14</v>
      </c>
      <c r="N1093">
        <v>8.82</v>
      </c>
    </row>
    <row r="1094" spans="1:14" x14ac:dyDescent="0.5">
      <c r="A1094" t="str">
        <f>"002634"</f>
        <v>002634</v>
      </c>
      <c r="B1094" t="s">
        <v>2144</v>
      </c>
      <c r="C1094">
        <v>2.77</v>
      </c>
      <c r="D1094">
        <v>62.93</v>
      </c>
      <c r="E1094">
        <v>5.2</v>
      </c>
      <c r="F1094">
        <v>0.14000000000000001</v>
      </c>
      <c r="G1094">
        <v>5.2</v>
      </c>
      <c r="H1094">
        <v>5.21</v>
      </c>
      <c r="I1094" t="s">
        <v>2145</v>
      </c>
      <c r="J1094">
        <v>1.83</v>
      </c>
      <c r="K1094">
        <v>1.83</v>
      </c>
      <c r="L1094">
        <v>5.08</v>
      </c>
      <c r="M1094">
        <v>5.2</v>
      </c>
      <c r="N1094">
        <v>5.0199999999999996</v>
      </c>
    </row>
    <row r="1095" spans="1:14" x14ac:dyDescent="0.5">
      <c r="A1095" t="str">
        <f>"002635"</f>
        <v>002635</v>
      </c>
      <c r="B1095" t="s">
        <v>2146</v>
      </c>
      <c r="C1095">
        <v>3.4</v>
      </c>
      <c r="D1095">
        <v>22.62</v>
      </c>
      <c r="E1095">
        <v>15.21</v>
      </c>
      <c r="F1095">
        <v>0.5</v>
      </c>
      <c r="G1095">
        <v>15.2</v>
      </c>
      <c r="H1095">
        <v>15.21</v>
      </c>
      <c r="I1095" t="s">
        <v>2147</v>
      </c>
      <c r="J1095">
        <v>6.23</v>
      </c>
      <c r="K1095">
        <v>6.23</v>
      </c>
      <c r="L1095">
        <v>14.65</v>
      </c>
      <c r="M1095">
        <v>15.26</v>
      </c>
      <c r="N1095">
        <v>14.53</v>
      </c>
    </row>
    <row r="1096" spans="1:14" x14ac:dyDescent="0.5">
      <c r="A1096" t="str">
        <f>"002636"</f>
        <v>002636</v>
      </c>
      <c r="B1096" t="s">
        <v>2148</v>
      </c>
      <c r="C1096">
        <v>2.16</v>
      </c>
      <c r="D1096">
        <v>17.82</v>
      </c>
      <c r="E1096">
        <v>9.4600000000000009</v>
      </c>
      <c r="F1096">
        <v>0.2</v>
      </c>
      <c r="G1096">
        <v>9.4499999999999993</v>
      </c>
      <c r="H1096">
        <v>9.4600000000000009</v>
      </c>
      <c r="I1096" t="s">
        <v>2149</v>
      </c>
      <c r="J1096">
        <v>5.0199999999999996</v>
      </c>
      <c r="K1096">
        <v>5.0199999999999996</v>
      </c>
      <c r="L1096">
        <v>9.15</v>
      </c>
      <c r="M1096">
        <v>9.48</v>
      </c>
      <c r="N1096">
        <v>9.07</v>
      </c>
    </row>
    <row r="1097" spans="1:14" x14ac:dyDescent="0.5">
      <c r="A1097" t="str">
        <f>"002637"</f>
        <v>002637</v>
      </c>
      <c r="B1097" t="s">
        <v>2150</v>
      </c>
      <c r="C1097">
        <v>0.99</v>
      </c>
      <c r="D1097">
        <v>14.99</v>
      </c>
      <c r="E1097">
        <v>8.18</v>
      </c>
      <c r="F1097">
        <v>0.08</v>
      </c>
      <c r="G1097">
        <v>8.18</v>
      </c>
      <c r="H1097">
        <v>8.19</v>
      </c>
      <c r="I1097" t="s">
        <v>2151</v>
      </c>
      <c r="J1097">
        <v>2.1</v>
      </c>
      <c r="K1097">
        <v>2.1</v>
      </c>
      <c r="L1097">
        <v>8.1</v>
      </c>
      <c r="M1097">
        <v>8.18</v>
      </c>
      <c r="N1097">
        <v>8.0500000000000007</v>
      </c>
    </row>
    <row r="1098" spans="1:14" x14ac:dyDescent="0.5">
      <c r="A1098" t="str">
        <f>"002638"</f>
        <v>002638</v>
      </c>
      <c r="B1098" t="s">
        <v>2152</v>
      </c>
      <c r="C1098">
        <v>4.97</v>
      </c>
      <c r="D1098">
        <v>83.68</v>
      </c>
      <c r="E1098">
        <v>3.17</v>
      </c>
      <c r="F1098">
        <v>0.15</v>
      </c>
      <c r="G1098">
        <v>3.16</v>
      </c>
      <c r="H1098">
        <v>3.17</v>
      </c>
      <c r="I1098" t="s">
        <v>2153</v>
      </c>
      <c r="J1098">
        <v>8.2200000000000006</v>
      </c>
      <c r="K1098">
        <v>8.2200000000000006</v>
      </c>
      <c r="L1098">
        <v>2.98</v>
      </c>
      <c r="M1098">
        <v>3.19</v>
      </c>
      <c r="N1098">
        <v>2.97</v>
      </c>
    </row>
    <row r="1099" spans="1:14" x14ac:dyDescent="0.5">
      <c r="A1099" t="str">
        <f>"002639"</f>
        <v>002639</v>
      </c>
      <c r="B1099" t="s">
        <v>2154</v>
      </c>
      <c r="C1099">
        <v>-0.49</v>
      </c>
      <c r="D1099" t="s">
        <v>24</v>
      </c>
      <c r="E1099">
        <v>8.1</v>
      </c>
      <c r="F1099">
        <v>-0.04</v>
      </c>
      <c r="G1099">
        <v>8.1</v>
      </c>
      <c r="H1099">
        <v>8.11</v>
      </c>
      <c r="I1099" t="s">
        <v>2155</v>
      </c>
      <c r="J1099">
        <v>4.55</v>
      </c>
      <c r="K1099">
        <v>4.55</v>
      </c>
      <c r="L1099">
        <v>8.02</v>
      </c>
      <c r="M1099">
        <v>8.16</v>
      </c>
      <c r="N1099">
        <v>7.99</v>
      </c>
    </row>
    <row r="1100" spans="1:14" x14ac:dyDescent="0.5">
      <c r="A1100" t="str">
        <f>"002640"</f>
        <v>002640</v>
      </c>
      <c r="B1100" t="s">
        <v>2156</v>
      </c>
      <c r="C1100">
        <v>7.9</v>
      </c>
      <c r="D1100">
        <v>16.920000000000002</v>
      </c>
      <c r="E1100">
        <v>12.7</v>
      </c>
      <c r="F1100">
        <v>0.93</v>
      </c>
      <c r="G1100">
        <v>12.7</v>
      </c>
      <c r="H1100">
        <v>12.71</v>
      </c>
      <c r="I1100" t="s">
        <v>2157</v>
      </c>
      <c r="J1100">
        <v>5.34</v>
      </c>
      <c r="K1100">
        <v>5.34</v>
      </c>
      <c r="L1100">
        <v>11.78</v>
      </c>
      <c r="M1100">
        <v>12.75</v>
      </c>
      <c r="N1100">
        <v>11.72</v>
      </c>
    </row>
    <row r="1101" spans="1:14" x14ac:dyDescent="0.5">
      <c r="A1101" t="str">
        <f>"002641"</f>
        <v>002641</v>
      </c>
      <c r="B1101" t="s">
        <v>2158</v>
      </c>
      <c r="C1101">
        <v>1.06</v>
      </c>
      <c r="D1101">
        <v>18.77</v>
      </c>
      <c r="E1101">
        <v>3.8</v>
      </c>
      <c r="F1101">
        <v>0.04</v>
      </c>
      <c r="G1101">
        <v>3.79</v>
      </c>
      <c r="H1101">
        <v>3.8</v>
      </c>
      <c r="I1101" t="s">
        <v>1373</v>
      </c>
      <c r="J1101">
        <v>0.65</v>
      </c>
      <c r="K1101">
        <v>0.65</v>
      </c>
      <c r="L1101">
        <v>3.76</v>
      </c>
      <c r="M1101">
        <v>3.8</v>
      </c>
      <c r="N1101">
        <v>3.73</v>
      </c>
    </row>
    <row r="1102" spans="1:14" x14ac:dyDescent="0.5">
      <c r="A1102" t="str">
        <f>"002642"</f>
        <v>002642</v>
      </c>
      <c r="B1102" t="s">
        <v>2159</v>
      </c>
      <c r="C1102">
        <v>9.9700000000000006</v>
      </c>
      <c r="D1102" t="s">
        <v>24</v>
      </c>
      <c r="E1102">
        <v>7.5</v>
      </c>
      <c r="F1102">
        <v>0.68</v>
      </c>
      <c r="G1102">
        <v>7.5</v>
      </c>
      <c r="H1102" t="s">
        <v>24</v>
      </c>
      <c r="I1102" t="s">
        <v>2160</v>
      </c>
      <c r="J1102">
        <v>9.8000000000000007</v>
      </c>
      <c r="K1102">
        <v>9.8000000000000007</v>
      </c>
      <c r="L1102">
        <v>6.76</v>
      </c>
      <c r="M1102">
        <v>7.5</v>
      </c>
      <c r="N1102">
        <v>6.71</v>
      </c>
    </row>
    <row r="1103" spans="1:14" x14ac:dyDescent="0.5">
      <c r="A1103" t="str">
        <f>"002643"</f>
        <v>002643</v>
      </c>
      <c r="B1103" t="s">
        <v>2161</v>
      </c>
      <c r="C1103">
        <v>4.01</v>
      </c>
      <c r="D1103">
        <v>26.11</v>
      </c>
      <c r="E1103">
        <v>11.67</v>
      </c>
      <c r="F1103">
        <v>0.45</v>
      </c>
      <c r="G1103">
        <v>11.66</v>
      </c>
      <c r="H1103">
        <v>11.67</v>
      </c>
      <c r="I1103" t="s">
        <v>2162</v>
      </c>
      <c r="J1103">
        <v>2.42</v>
      </c>
      <c r="K1103">
        <v>2.42</v>
      </c>
      <c r="L1103">
        <v>11.22</v>
      </c>
      <c r="M1103">
        <v>11.68</v>
      </c>
      <c r="N1103">
        <v>11.18</v>
      </c>
    </row>
    <row r="1104" spans="1:14" x14ac:dyDescent="0.5">
      <c r="A1104" t="str">
        <f>"002644"</f>
        <v>002644</v>
      </c>
      <c r="B1104" t="s">
        <v>2163</v>
      </c>
      <c r="C1104">
        <v>0.92</v>
      </c>
      <c r="D1104">
        <v>55.53</v>
      </c>
      <c r="E1104">
        <v>8.74</v>
      </c>
      <c r="F1104">
        <v>0.08</v>
      </c>
      <c r="G1104">
        <v>8.74</v>
      </c>
      <c r="H1104">
        <v>8.75</v>
      </c>
      <c r="I1104" t="s">
        <v>2164</v>
      </c>
      <c r="J1104">
        <v>0.8</v>
      </c>
      <c r="K1104">
        <v>0.8</v>
      </c>
      <c r="L1104">
        <v>8.67</v>
      </c>
      <c r="M1104">
        <v>8.74</v>
      </c>
      <c r="N1104">
        <v>8.6199999999999992</v>
      </c>
    </row>
    <row r="1105" spans="1:14" x14ac:dyDescent="0.5">
      <c r="A1105" t="str">
        <f>"002645"</f>
        <v>002645</v>
      </c>
      <c r="B1105" t="s">
        <v>2165</v>
      </c>
      <c r="C1105">
        <v>3</v>
      </c>
      <c r="D1105">
        <v>18.41</v>
      </c>
      <c r="E1105">
        <v>8.58</v>
      </c>
      <c r="F1105">
        <v>0.25</v>
      </c>
      <c r="G1105">
        <v>8.58</v>
      </c>
      <c r="H1105">
        <v>8.59</v>
      </c>
      <c r="I1105" t="s">
        <v>2166</v>
      </c>
      <c r="J1105">
        <v>1.77</v>
      </c>
      <c r="K1105">
        <v>1.77</v>
      </c>
      <c r="L1105">
        <v>8.3699999999999992</v>
      </c>
      <c r="M1105">
        <v>8.6</v>
      </c>
      <c r="N1105">
        <v>8.3000000000000007</v>
      </c>
    </row>
    <row r="1106" spans="1:14" x14ac:dyDescent="0.5">
      <c r="A1106" t="str">
        <f>"002646"</f>
        <v>002646</v>
      </c>
      <c r="B1106" t="s">
        <v>2167</v>
      </c>
      <c r="C1106">
        <v>0.66</v>
      </c>
      <c r="D1106" t="s">
        <v>24</v>
      </c>
      <c r="E1106">
        <v>12.16</v>
      </c>
      <c r="F1106">
        <v>0.08</v>
      </c>
      <c r="G1106">
        <v>12.15</v>
      </c>
      <c r="H1106">
        <v>12.16</v>
      </c>
      <c r="I1106" t="s">
        <v>2168</v>
      </c>
      <c r="J1106">
        <v>0.87</v>
      </c>
      <c r="K1106">
        <v>0.87</v>
      </c>
      <c r="L1106">
        <v>12.02</v>
      </c>
      <c r="M1106">
        <v>12.17</v>
      </c>
      <c r="N1106">
        <v>12.02</v>
      </c>
    </row>
    <row r="1107" spans="1:14" x14ac:dyDescent="0.5">
      <c r="A1107" t="str">
        <f>"002647"</f>
        <v>002647</v>
      </c>
      <c r="B1107" t="s">
        <v>2169</v>
      </c>
      <c r="C1107">
        <v>-0.53</v>
      </c>
      <c r="D1107" t="s">
        <v>24</v>
      </c>
      <c r="E1107">
        <v>14.88</v>
      </c>
      <c r="F1107">
        <v>-0.08</v>
      </c>
      <c r="G1107">
        <v>14.88</v>
      </c>
      <c r="H1107">
        <v>14.89</v>
      </c>
      <c r="I1107" t="s">
        <v>2170</v>
      </c>
      <c r="J1107">
        <v>0.59</v>
      </c>
      <c r="K1107">
        <v>0.59</v>
      </c>
      <c r="L1107">
        <v>14.78</v>
      </c>
      <c r="M1107">
        <v>14.96</v>
      </c>
      <c r="N1107">
        <v>14.72</v>
      </c>
    </row>
    <row r="1108" spans="1:14" x14ac:dyDescent="0.5">
      <c r="A1108" t="str">
        <f>"002648"</f>
        <v>002648</v>
      </c>
      <c r="B1108" t="s">
        <v>2171</v>
      </c>
      <c r="C1108">
        <v>3.27</v>
      </c>
      <c r="D1108">
        <v>16.5</v>
      </c>
      <c r="E1108">
        <v>13.9</v>
      </c>
      <c r="F1108">
        <v>0.44</v>
      </c>
      <c r="G1108">
        <v>13.9</v>
      </c>
      <c r="H1108">
        <v>13.91</v>
      </c>
      <c r="I1108" t="s">
        <v>2172</v>
      </c>
      <c r="J1108">
        <v>0.97</v>
      </c>
      <c r="K1108">
        <v>0.97</v>
      </c>
      <c r="L1108">
        <v>13.43</v>
      </c>
      <c r="M1108">
        <v>13.94</v>
      </c>
      <c r="N1108">
        <v>13.36</v>
      </c>
    </row>
    <row r="1109" spans="1:14" x14ac:dyDescent="0.5">
      <c r="A1109" t="str">
        <f>"002649"</f>
        <v>002649</v>
      </c>
      <c r="B1109" t="s">
        <v>2173</v>
      </c>
      <c r="C1109">
        <v>4.91</v>
      </c>
      <c r="D1109">
        <v>18.14</v>
      </c>
      <c r="E1109">
        <v>9.41</v>
      </c>
      <c r="F1109">
        <v>0.44</v>
      </c>
      <c r="G1109">
        <v>9.4</v>
      </c>
      <c r="H1109">
        <v>9.41</v>
      </c>
      <c r="I1109" t="s">
        <v>2174</v>
      </c>
      <c r="J1109">
        <v>6.82</v>
      </c>
      <c r="K1109">
        <v>6.82</v>
      </c>
      <c r="L1109">
        <v>8.9</v>
      </c>
      <c r="M1109">
        <v>9.4600000000000009</v>
      </c>
      <c r="N1109">
        <v>8.8800000000000008</v>
      </c>
    </row>
    <row r="1110" spans="1:14" x14ac:dyDescent="0.5">
      <c r="A1110" t="str">
        <f>"002650"</f>
        <v>002650</v>
      </c>
      <c r="B1110" t="s">
        <v>2175</v>
      </c>
      <c r="C1110">
        <v>1.55</v>
      </c>
      <c r="D1110">
        <v>32.659999999999997</v>
      </c>
      <c r="E1110">
        <v>3.92</v>
      </c>
      <c r="F1110">
        <v>0.06</v>
      </c>
      <c r="G1110">
        <v>3.91</v>
      </c>
      <c r="H1110">
        <v>3.92</v>
      </c>
      <c r="I1110" t="s">
        <v>287</v>
      </c>
      <c r="J1110">
        <v>3.52</v>
      </c>
      <c r="K1110">
        <v>3.52</v>
      </c>
      <c r="L1110">
        <v>3.84</v>
      </c>
      <c r="M1110">
        <v>3.95</v>
      </c>
      <c r="N1110">
        <v>3.79</v>
      </c>
    </row>
    <row r="1111" spans="1:14" x14ac:dyDescent="0.5">
      <c r="A1111" t="str">
        <f>"002651"</f>
        <v>002651</v>
      </c>
      <c r="B1111" t="s">
        <v>2176</v>
      </c>
      <c r="C1111">
        <v>10.039999999999999</v>
      </c>
      <c r="D1111">
        <v>35.22</v>
      </c>
      <c r="E1111">
        <v>5.81</v>
      </c>
      <c r="F1111">
        <v>0.53</v>
      </c>
      <c r="G1111">
        <v>5.81</v>
      </c>
      <c r="H1111" t="s">
        <v>24</v>
      </c>
      <c r="I1111" t="s">
        <v>2177</v>
      </c>
      <c r="J1111">
        <v>3.1</v>
      </c>
      <c r="K1111">
        <v>3.1</v>
      </c>
      <c r="L1111">
        <v>5.28</v>
      </c>
      <c r="M1111">
        <v>5.81</v>
      </c>
      <c r="N1111">
        <v>5.28</v>
      </c>
    </row>
    <row r="1112" spans="1:14" x14ac:dyDescent="0.5">
      <c r="A1112" t="str">
        <f>"002652"</f>
        <v>002652</v>
      </c>
      <c r="B1112" t="s">
        <v>2178</v>
      </c>
      <c r="C1112">
        <v>1.38</v>
      </c>
      <c r="D1112">
        <v>34.159999999999997</v>
      </c>
      <c r="E1112">
        <v>5.15</v>
      </c>
      <c r="F1112">
        <v>7.0000000000000007E-2</v>
      </c>
      <c r="G1112">
        <v>5.14</v>
      </c>
      <c r="H1112">
        <v>5.15</v>
      </c>
      <c r="I1112" t="s">
        <v>2179</v>
      </c>
      <c r="J1112">
        <v>2.64</v>
      </c>
      <c r="K1112">
        <v>2.64</v>
      </c>
      <c r="L1112">
        <v>5.01</v>
      </c>
      <c r="M1112">
        <v>5.15</v>
      </c>
      <c r="N1112">
        <v>4.9800000000000004</v>
      </c>
    </row>
    <row r="1113" spans="1:14" x14ac:dyDescent="0.5">
      <c r="A1113" t="str">
        <f>"002653"</f>
        <v>002653</v>
      </c>
      <c r="B1113" t="s">
        <v>2180</v>
      </c>
      <c r="C1113">
        <v>0.7</v>
      </c>
      <c r="D1113">
        <v>36.35</v>
      </c>
      <c r="E1113">
        <v>11.58</v>
      </c>
      <c r="F1113">
        <v>0.08</v>
      </c>
      <c r="G1113">
        <v>11.57</v>
      </c>
      <c r="H1113">
        <v>11.58</v>
      </c>
      <c r="I1113" t="s">
        <v>343</v>
      </c>
      <c r="J1113">
        <v>0.95</v>
      </c>
      <c r="K1113">
        <v>0.95</v>
      </c>
      <c r="L1113">
        <v>11.62</v>
      </c>
      <c r="M1113">
        <v>11.62</v>
      </c>
      <c r="N1113">
        <v>11.38</v>
      </c>
    </row>
    <row r="1114" spans="1:14" x14ac:dyDescent="0.5">
      <c r="A1114" t="str">
        <f>"002654"</f>
        <v>002654</v>
      </c>
      <c r="B1114" t="s">
        <v>2181</v>
      </c>
      <c r="C1114">
        <v>3.33</v>
      </c>
      <c r="D1114">
        <v>29.45</v>
      </c>
      <c r="E1114">
        <v>4.96</v>
      </c>
      <c r="F1114">
        <v>0.16</v>
      </c>
      <c r="G1114">
        <v>4.96</v>
      </c>
      <c r="H1114">
        <v>4.97</v>
      </c>
      <c r="I1114" t="s">
        <v>1443</v>
      </c>
      <c r="J1114">
        <v>3.03</v>
      </c>
      <c r="K1114">
        <v>3.03</v>
      </c>
      <c r="L1114">
        <v>4.8</v>
      </c>
      <c r="M1114">
        <v>4.97</v>
      </c>
      <c r="N1114">
        <v>4.78</v>
      </c>
    </row>
    <row r="1115" spans="1:14" x14ac:dyDescent="0.5">
      <c r="A1115" t="str">
        <f>"002655"</f>
        <v>002655</v>
      </c>
      <c r="B1115" t="s">
        <v>2182</v>
      </c>
      <c r="C1115">
        <v>4.95</v>
      </c>
      <c r="D1115" t="s">
        <v>24</v>
      </c>
      <c r="E1115">
        <v>7.64</v>
      </c>
      <c r="F1115">
        <v>0.36</v>
      </c>
      <c r="G1115">
        <v>7.64</v>
      </c>
      <c r="H1115">
        <v>7.65</v>
      </c>
      <c r="I1115" t="s">
        <v>2183</v>
      </c>
      <c r="J1115">
        <v>4.91</v>
      </c>
      <c r="K1115">
        <v>4.91</v>
      </c>
      <c r="L1115">
        <v>7.3</v>
      </c>
      <c r="M1115">
        <v>7.77</v>
      </c>
      <c r="N1115">
        <v>7.23</v>
      </c>
    </row>
    <row r="1116" spans="1:14" x14ac:dyDescent="0.5">
      <c r="A1116" t="str">
        <f>"002656"</f>
        <v>002656</v>
      </c>
      <c r="B1116" t="s">
        <v>2184</v>
      </c>
      <c r="C1116">
        <v>1.0900000000000001</v>
      </c>
      <c r="D1116">
        <v>71.7</v>
      </c>
      <c r="E1116">
        <v>7.4</v>
      </c>
      <c r="F1116">
        <v>0.08</v>
      </c>
      <c r="G1116">
        <v>7.4</v>
      </c>
      <c r="H1116">
        <v>7.41</v>
      </c>
      <c r="I1116" t="s">
        <v>2185</v>
      </c>
      <c r="J1116">
        <v>9.0399999999999991</v>
      </c>
      <c r="K1116">
        <v>9.0399999999999991</v>
      </c>
      <c r="L1116">
        <v>7.33</v>
      </c>
      <c r="M1116">
        <v>7.48</v>
      </c>
      <c r="N1116">
        <v>7.11</v>
      </c>
    </row>
    <row r="1117" spans="1:14" x14ac:dyDescent="0.5">
      <c r="A1117" t="str">
        <f>"002657"</f>
        <v>002657</v>
      </c>
      <c r="B1117" t="s">
        <v>2186</v>
      </c>
      <c r="C1117">
        <v>2.19</v>
      </c>
      <c r="D1117" t="s">
        <v>24</v>
      </c>
      <c r="E1117">
        <v>18.190000000000001</v>
      </c>
      <c r="F1117">
        <v>0.39</v>
      </c>
      <c r="G1117">
        <v>18.190000000000001</v>
      </c>
      <c r="H1117">
        <v>18.2</v>
      </c>
      <c r="I1117" t="s">
        <v>2187</v>
      </c>
      <c r="J1117">
        <v>9.7799999999999994</v>
      </c>
      <c r="K1117">
        <v>9.7799999999999994</v>
      </c>
      <c r="L1117">
        <v>17.3</v>
      </c>
      <c r="M1117">
        <v>18.34</v>
      </c>
      <c r="N1117">
        <v>17.010000000000002</v>
      </c>
    </row>
    <row r="1118" spans="1:14" x14ac:dyDescent="0.5">
      <c r="A1118" t="str">
        <f>"002658"</f>
        <v>002658</v>
      </c>
      <c r="B1118" t="s">
        <v>2188</v>
      </c>
      <c r="C1118">
        <v>1.33</v>
      </c>
      <c r="D1118">
        <v>20.32</v>
      </c>
      <c r="E1118">
        <v>8.4</v>
      </c>
      <c r="F1118">
        <v>0.11</v>
      </c>
      <c r="G1118">
        <v>8.39</v>
      </c>
      <c r="H1118">
        <v>8.4</v>
      </c>
      <c r="I1118" t="s">
        <v>2189</v>
      </c>
      <c r="J1118">
        <v>2.37</v>
      </c>
      <c r="K1118">
        <v>2.37</v>
      </c>
      <c r="L1118">
        <v>8.2200000000000006</v>
      </c>
      <c r="M1118">
        <v>8.42</v>
      </c>
      <c r="N1118">
        <v>8.14</v>
      </c>
    </row>
    <row r="1119" spans="1:14" x14ac:dyDescent="0.5">
      <c r="A1119" t="str">
        <f>"002659"</f>
        <v>002659</v>
      </c>
      <c r="B1119" t="s">
        <v>2190</v>
      </c>
      <c r="C1119">
        <v>0.98</v>
      </c>
      <c r="D1119">
        <v>288.22000000000003</v>
      </c>
      <c r="E1119">
        <v>8.2100000000000009</v>
      </c>
      <c r="F1119">
        <v>0.08</v>
      </c>
      <c r="G1119">
        <v>8.2100000000000009</v>
      </c>
      <c r="H1119">
        <v>8.2200000000000006</v>
      </c>
      <c r="I1119" t="s">
        <v>2191</v>
      </c>
      <c r="J1119">
        <v>3.67</v>
      </c>
      <c r="K1119">
        <v>3.67</v>
      </c>
      <c r="L1119">
        <v>8.24</v>
      </c>
      <c r="M1119">
        <v>8.58</v>
      </c>
      <c r="N1119">
        <v>8.08</v>
      </c>
    </row>
    <row r="1120" spans="1:14" x14ac:dyDescent="0.5">
      <c r="A1120" t="str">
        <f>"002660"</f>
        <v>002660</v>
      </c>
      <c r="B1120" t="s">
        <v>2192</v>
      </c>
      <c r="C1120">
        <v>2.09</v>
      </c>
      <c r="D1120">
        <v>1033.7</v>
      </c>
      <c r="E1120">
        <v>7.31</v>
      </c>
      <c r="F1120">
        <v>0.15</v>
      </c>
      <c r="G1120">
        <v>7.3</v>
      </c>
      <c r="H1120">
        <v>7.31</v>
      </c>
      <c r="I1120" t="s">
        <v>2193</v>
      </c>
      <c r="J1120">
        <v>8.51</v>
      </c>
      <c r="K1120">
        <v>8.51</v>
      </c>
      <c r="L1120">
        <v>7.17</v>
      </c>
      <c r="M1120">
        <v>7.38</v>
      </c>
      <c r="N1120">
        <v>7.04</v>
      </c>
    </row>
    <row r="1121" spans="1:14" x14ac:dyDescent="0.5">
      <c r="A1121" t="str">
        <f>"002661"</f>
        <v>002661</v>
      </c>
      <c r="B1121" t="s">
        <v>2194</v>
      </c>
      <c r="C1121">
        <v>0.72</v>
      </c>
      <c r="D1121">
        <v>26.44</v>
      </c>
      <c r="E1121">
        <v>14.03</v>
      </c>
      <c r="F1121">
        <v>0.1</v>
      </c>
      <c r="G1121">
        <v>14.02</v>
      </c>
      <c r="H1121">
        <v>14.03</v>
      </c>
      <c r="I1121" t="s">
        <v>2195</v>
      </c>
      <c r="J1121">
        <v>1.05</v>
      </c>
      <c r="K1121">
        <v>1.05</v>
      </c>
      <c r="L1121">
        <v>13.93</v>
      </c>
      <c r="M1121">
        <v>14.07</v>
      </c>
      <c r="N1121">
        <v>13.83</v>
      </c>
    </row>
    <row r="1122" spans="1:14" x14ac:dyDescent="0.5">
      <c r="A1122" t="str">
        <f>"002662"</f>
        <v>002662</v>
      </c>
      <c r="B1122" t="s">
        <v>2196</v>
      </c>
      <c r="C1122">
        <v>3.92</v>
      </c>
      <c r="D1122">
        <v>7.97</v>
      </c>
      <c r="E1122">
        <v>4.7699999999999996</v>
      </c>
      <c r="F1122">
        <v>0.18</v>
      </c>
      <c r="G1122">
        <v>4.7699999999999996</v>
      </c>
      <c r="H1122">
        <v>4.78</v>
      </c>
      <c r="I1122" t="s">
        <v>2197</v>
      </c>
      <c r="J1122">
        <v>3.48</v>
      </c>
      <c r="K1122">
        <v>3.48</v>
      </c>
      <c r="L1122">
        <v>4.53</v>
      </c>
      <c r="M1122">
        <v>4.78</v>
      </c>
      <c r="N1122">
        <v>4.51</v>
      </c>
    </row>
    <row r="1123" spans="1:14" x14ac:dyDescent="0.5">
      <c r="A1123" t="str">
        <f>"002663"</f>
        <v>002663</v>
      </c>
      <c r="B1123" t="s">
        <v>2198</v>
      </c>
      <c r="C1123">
        <v>4.18</v>
      </c>
      <c r="D1123">
        <v>37.42</v>
      </c>
      <c r="E1123">
        <v>3.49</v>
      </c>
      <c r="F1123">
        <v>0.14000000000000001</v>
      </c>
      <c r="G1123">
        <v>3.48</v>
      </c>
      <c r="H1123">
        <v>3.49</v>
      </c>
      <c r="I1123" t="s">
        <v>2199</v>
      </c>
      <c r="J1123">
        <v>5.76</v>
      </c>
      <c r="K1123">
        <v>5.76</v>
      </c>
      <c r="L1123">
        <v>3.29</v>
      </c>
      <c r="M1123">
        <v>3.53</v>
      </c>
      <c r="N1123">
        <v>3.26</v>
      </c>
    </row>
    <row r="1124" spans="1:14" x14ac:dyDescent="0.5">
      <c r="A1124" t="str">
        <f>"002664"</f>
        <v>002664</v>
      </c>
      <c r="B1124" t="s">
        <v>2200</v>
      </c>
      <c r="C1124">
        <v>2.84</v>
      </c>
      <c r="D1124">
        <v>20.61</v>
      </c>
      <c r="E1124">
        <v>14.1</v>
      </c>
      <c r="F1124">
        <v>0.39</v>
      </c>
      <c r="G1124">
        <v>14.09</v>
      </c>
      <c r="H1124">
        <v>14.1</v>
      </c>
      <c r="I1124" t="s">
        <v>2201</v>
      </c>
      <c r="J1124">
        <v>3.43</v>
      </c>
      <c r="K1124">
        <v>3.43</v>
      </c>
      <c r="L1124">
        <v>13.61</v>
      </c>
      <c r="M1124">
        <v>14.17</v>
      </c>
      <c r="N1124">
        <v>13.54</v>
      </c>
    </row>
    <row r="1125" spans="1:14" x14ac:dyDescent="0.5">
      <c r="A1125" t="str">
        <f>"002665"</f>
        <v>002665</v>
      </c>
      <c r="B1125" t="s">
        <v>2202</v>
      </c>
      <c r="C1125">
        <v>3.5</v>
      </c>
      <c r="D1125" t="s">
        <v>24</v>
      </c>
      <c r="E1125">
        <v>3.25</v>
      </c>
      <c r="F1125">
        <v>0.11</v>
      </c>
      <c r="G1125">
        <v>3.24</v>
      </c>
      <c r="H1125">
        <v>3.25</v>
      </c>
      <c r="I1125" t="s">
        <v>2203</v>
      </c>
      <c r="J1125">
        <v>4.05</v>
      </c>
      <c r="K1125">
        <v>4.05</v>
      </c>
      <c r="L1125">
        <v>3.14</v>
      </c>
      <c r="M1125">
        <v>3.25</v>
      </c>
      <c r="N1125">
        <v>3.1</v>
      </c>
    </row>
    <row r="1126" spans="1:14" x14ac:dyDescent="0.5">
      <c r="A1126" t="str">
        <f>"002666"</f>
        <v>002666</v>
      </c>
      <c r="B1126" t="s">
        <v>2204</v>
      </c>
      <c r="C1126">
        <v>3.41</v>
      </c>
      <c r="D1126">
        <v>23.5</v>
      </c>
      <c r="E1126">
        <v>5.15</v>
      </c>
      <c r="F1126">
        <v>0.17</v>
      </c>
      <c r="G1126">
        <v>5.14</v>
      </c>
      <c r="H1126">
        <v>5.15</v>
      </c>
      <c r="I1126" t="s">
        <v>2205</v>
      </c>
      <c r="J1126">
        <v>5.26</v>
      </c>
      <c r="K1126">
        <v>5.26</v>
      </c>
      <c r="L1126">
        <v>4.99</v>
      </c>
      <c r="M1126">
        <v>5.2</v>
      </c>
      <c r="N1126">
        <v>4.93</v>
      </c>
    </row>
    <row r="1127" spans="1:14" x14ac:dyDescent="0.5">
      <c r="A1127" t="str">
        <f>"002667"</f>
        <v>002667</v>
      </c>
      <c r="B1127" t="s">
        <v>2206</v>
      </c>
      <c r="C1127">
        <v>2.2000000000000002</v>
      </c>
      <c r="D1127">
        <v>102.24</v>
      </c>
      <c r="E1127">
        <v>7.88</v>
      </c>
      <c r="F1127">
        <v>0.17</v>
      </c>
      <c r="G1127">
        <v>7.87</v>
      </c>
      <c r="H1127">
        <v>7.88</v>
      </c>
      <c r="I1127" t="s">
        <v>2207</v>
      </c>
      <c r="J1127">
        <v>3.2</v>
      </c>
      <c r="K1127">
        <v>3.2</v>
      </c>
      <c r="L1127">
        <v>7.71</v>
      </c>
      <c r="M1127">
        <v>7.89</v>
      </c>
      <c r="N1127">
        <v>7.63</v>
      </c>
    </row>
    <row r="1128" spans="1:14" x14ac:dyDescent="0.5">
      <c r="A1128" t="str">
        <f>"002668"</f>
        <v>002668</v>
      </c>
      <c r="B1128" t="s">
        <v>2208</v>
      </c>
      <c r="C1128">
        <v>5.4</v>
      </c>
      <c r="D1128">
        <v>16.54</v>
      </c>
      <c r="E1128">
        <v>6.25</v>
      </c>
      <c r="F1128">
        <v>0.32</v>
      </c>
      <c r="G1128">
        <v>6.25</v>
      </c>
      <c r="H1128">
        <v>6.26</v>
      </c>
      <c r="I1128" t="s">
        <v>2209</v>
      </c>
      <c r="J1128">
        <v>30.99</v>
      </c>
      <c r="K1128">
        <v>30.99</v>
      </c>
      <c r="L1128">
        <v>5.88</v>
      </c>
      <c r="M1128">
        <v>6.5</v>
      </c>
      <c r="N1128">
        <v>5.69</v>
      </c>
    </row>
    <row r="1129" spans="1:14" x14ac:dyDescent="0.5">
      <c r="A1129" t="str">
        <f>"002669"</f>
        <v>002669</v>
      </c>
      <c r="B1129" t="s">
        <v>2210</v>
      </c>
      <c r="C1129">
        <v>1.39</v>
      </c>
      <c r="D1129">
        <v>59.96</v>
      </c>
      <c r="E1129">
        <v>13.88</v>
      </c>
      <c r="F1129">
        <v>0.19</v>
      </c>
      <c r="G1129">
        <v>13.88</v>
      </c>
      <c r="H1129">
        <v>13.89</v>
      </c>
      <c r="I1129" t="s">
        <v>2211</v>
      </c>
      <c r="J1129">
        <v>5.66</v>
      </c>
      <c r="K1129">
        <v>5.66</v>
      </c>
      <c r="L1129">
        <v>13.68</v>
      </c>
      <c r="M1129">
        <v>13.9</v>
      </c>
      <c r="N1129">
        <v>13.28</v>
      </c>
    </row>
    <row r="1130" spans="1:14" x14ac:dyDescent="0.5">
      <c r="A1130" t="str">
        <f>"002670"</f>
        <v>002670</v>
      </c>
      <c r="B1130" t="s">
        <v>2212</v>
      </c>
      <c r="C1130">
        <v>10</v>
      </c>
      <c r="D1130" t="s">
        <v>24</v>
      </c>
      <c r="E1130">
        <v>14.74</v>
      </c>
      <c r="F1130">
        <v>1.34</v>
      </c>
      <c r="G1130">
        <v>14.73</v>
      </c>
      <c r="H1130">
        <v>14.74</v>
      </c>
      <c r="I1130" t="s">
        <v>2213</v>
      </c>
      <c r="J1130">
        <v>16.329999999999998</v>
      </c>
      <c r="K1130">
        <v>16.329999999999998</v>
      </c>
      <c r="L1130">
        <v>13.15</v>
      </c>
      <c r="M1130">
        <v>14.74</v>
      </c>
      <c r="N1130">
        <v>12.68</v>
      </c>
    </row>
    <row r="1131" spans="1:14" x14ac:dyDescent="0.5">
      <c r="A1131" t="str">
        <f>"002671"</f>
        <v>002671</v>
      </c>
      <c r="B1131" t="s">
        <v>2214</v>
      </c>
      <c r="C1131">
        <v>1.69</v>
      </c>
      <c r="D1131">
        <v>22.9</v>
      </c>
      <c r="E1131">
        <v>4.8</v>
      </c>
      <c r="F1131">
        <v>0.08</v>
      </c>
      <c r="G1131">
        <v>4.79</v>
      </c>
      <c r="H1131">
        <v>4.8</v>
      </c>
      <c r="I1131" t="s">
        <v>2215</v>
      </c>
      <c r="J1131">
        <v>1.92</v>
      </c>
      <c r="K1131">
        <v>1.92</v>
      </c>
      <c r="L1131">
        <v>4.72</v>
      </c>
      <c r="M1131">
        <v>4.8099999999999996</v>
      </c>
      <c r="N1131">
        <v>4.66</v>
      </c>
    </row>
    <row r="1132" spans="1:14" x14ac:dyDescent="0.5">
      <c r="A1132" t="str">
        <f>"002672"</f>
        <v>002672</v>
      </c>
      <c r="B1132" t="s">
        <v>2216</v>
      </c>
      <c r="C1132">
        <v>-0.24</v>
      </c>
      <c r="D1132">
        <v>20.309999999999999</v>
      </c>
      <c r="E1132">
        <v>12.51</v>
      </c>
      <c r="F1132">
        <v>-0.03</v>
      </c>
      <c r="G1132">
        <v>12.51</v>
      </c>
      <c r="H1132">
        <v>12.52</v>
      </c>
      <c r="I1132" t="s">
        <v>2217</v>
      </c>
      <c r="J1132">
        <v>1.32</v>
      </c>
      <c r="K1132">
        <v>1.32</v>
      </c>
      <c r="L1132">
        <v>12.6</v>
      </c>
      <c r="M1132">
        <v>12.66</v>
      </c>
      <c r="N1132">
        <v>12.38</v>
      </c>
    </row>
    <row r="1133" spans="1:14" x14ac:dyDescent="0.5">
      <c r="A1133" t="str">
        <f>"002673"</f>
        <v>002673</v>
      </c>
      <c r="B1133" t="s">
        <v>2218</v>
      </c>
      <c r="C1133">
        <v>0.09</v>
      </c>
      <c r="D1133">
        <v>95.74</v>
      </c>
      <c r="E1133">
        <v>10.65</v>
      </c>
      <c r="F1133">
        <v>0.01</v>
      </c>
      <c r="G1133">
        <v>10.65</v>
      </c>
      <c r="H1133">
        <v>10.66</v>
      </c>
      <c r="I1133" t="s">
        <v>2219</v>
      </c>
      <c r="J1133">
        <v>1.99</v>
      </c>
      <c r="K1133">
        <v>1.99</v>
      </c>
      <c r="L1133">
        <v>10.5</v>
      </c>
      <c r="M1133">
        <v>10.7</v>
      </c>
      <c r="N1133">
        <v>10.42</v>
      </c>
    </row>
    <row r="1134" spans="1:14" x14ac:dyDescent="0.5">
      <c r="A1134" t="str">
        <f>"002674"</f>
        <v>002674</v>
      </c>
      <c r="B1134" t="s">
        <v>2220</v>
      </c>
      <c r="C1134">
        <v>0.56000000000000005</v>
      </c>
      <c r="D1134">
        <v>48.49</v>
      </c>
      <c r="E1134">
        <v>10.68</v>
      </c>
      <c r="F1134">
        <v>0.06</v>
      </c>
      <c r="G1134">
        <v>10.68</v>
      </c>
      <c r="H1134">
        <v>10.69</v>
      </c>
      <c r="I1134" t="s">
        <v>2221</v>
      </c>
      <c r="J1134">
        <v>0.8</v>
      </c>
      <c r="K1134">
        <v>0.8</v>
      </c>
      <c r="L1134">
        <v>10.72</v>
      </c>
      <c r="M1134">
        <v>10.72</v>
      </c>
      <c r="N1134">
        <v>10.52</v>
      </c>
    </row>
    <row r="1135" spans="1:14" x14ac:dyDescent="0.5">
      <c r="A1135" t="str">
        <f>"002675"</f>
        <v>002675</v>
      </c>
      <c r="B1135" t="s">
        <v>2222</v>
      </c>
      <c r="C1135">
        <v>6.74</v>
      </c>
      <c r="D1135">
        <v>31.07</v>
      </c>
      <c r="E1135">
        <v>12.36</v>
      </c>
      <c r="F1135">
        <v>0.78</v>
      </c>
      <c r="G1135">
        <v>12.36</v>
      </c>
      <c r="H1135">
        <v>12.37</v>
      </c>
      <c r="I1135" t="s">
        <v>2223</v>
      </c>
      <c r="J1135">
        <v>3.03</v>
      </c>
      <c r="K1135">
        <v>3.03</v>
      </c>
      <c r="L1135">
        <v>11.58</v>
      </c>
      <c r="M1135">
        <v>12.6</v>
      </c>
      <c r="N1135">
        <v>11.51</v>
      </c>
    </row>
    <row r="1136" spans="1:14" x14ac:dyDescent="0.5">
      <c r="A1136" t="str">
        <f>"002676"</f>
        <v>002676</v>
      </c>
      <c r="B1136" t="s">
        <v>2224</v>
      </c>
      <c r="C1136">
        <v>3.64</v>
      </c>
      <c r="D1136" t="s">
        <v>24</v>
      </c>
      <c r="E1136">
        <v>3.7</v>
      </c>
      <c r="F1136">
        <v>0.13</v>
      </c>
      <c r="G1136">
        <v>3.69</v>
      </c>
      <c r="H1136">
        <v>3.7</v>
      </c>
      <c r="I1136" t="s">
        <v>1076</v>
      </c>
      <c r="J1136">
        <v>3.5</v>
      </c>
      <c r="K1136">
        <v>3.5</v>
      </c>
      <c r="L1136">
        <v>3.56</v>
      </c>
      <c r="M1136">
        <v>3.7</v>
      </c>
      <c r="N1136">
        <v>3.5</v>
      </c>
    </row>
    <row r="1137" spans="1:14" x14ac:dyDescent="0.5">
      <c r="A1137" t="str">
        <f>"002677"</f>
        <v>002677</v>
      </c>
      <c r="B1137" t="s">
        <v>2225</v>
      </c>
      <c r="C1137">
        <v>1.1599999999999999</v>
      </c>
      <c r="D1137">
        <v>22.19</v>
      </c>
      <c r="E1137">
        <v>13.08</v>
      </c>
      <c r="F1137">
        <v>0.15</v>
      </c>
      <c r="G1137">
        <v>13.07</v>
      </c>
      <c r="H1137">
        <v>13.08</v>
      </c>
      <c r="I1137" t="s">
        <v>2109</v>
      </c>
      <c r="J1137">
        <v>3.73</v>
      </c>
      <c r="K1137">
        <v>3.73</v>
      </c>
      <c r="L1137">
        <v>13</v>
      </c>
      <c r="M1137">
        <v>13.17</v>
      </c>
      <c r="N1137">
        <v>12.84</v>
      </c>
    </row>
    <row r="1138" spans="1:14" x14ac:dyDescent="0.5">
      <c r="A1138" t="str">
        <f>"002678"</f>
        <v>002678</v>
      </c>
      <c r="B1138" t="s">
        <v>2226</v>
      </c>
      <c r="C1138">
        <v>1.98</v>
      </c>
      <c r="D1138">
        <v>49.43</v>
      </c>
      <c r="E1138">
        <v>6.68</v>
      </c>
      <c r="F1138">
        <v>0.13</v>
      </c>
      <c r="G1138">
        <v>6.67</v>
      </c>
      <c r="H1138">
        <v>6.68</v>
      </c>
      <c r="I1138" t="s">
        <v>2227</v>
      </c>
      <c r="J1138">
        <v>0.36</v>
      </c>
      <c r="K1138">
        <v>0.36</v>
      </c>
      <c r="L1138">
        <v>6.55</v>
      </c>
      <c r="M1138">
        <v>6.78</v>
      </c>
      <c r="N1138">
        <v>6.47</v>
      </c>
    </row>
    <row r="1139" spans="1:14" x14ac:dyDescent="0.5">
      <c r="A1139" t="str">
        <f>"002679"</f>
        <v>002679</v>
      </c>
      <c r="B1139" t="s">
        <v>2228</v>
      </c>
      <c r="C1139">
        <v>0.66</v>
      </c>
      <c r="D1139">
        <v>68.86</v>
      </c>
      <c r="E1139">
        <v>23</v>
      </c>
      <c r="F1139">
        <v>0.15</v>
      </c>
      <c r="G1139">
        <v>23</v>
      </c>
      <c r="H1139">
        <v>23.01</v>
      </c>
      <c r="I1139" t="s">
        <v>2229</v>
      </c>
      <c r="J1139">
        <v>2.65</v>
      </c>
      <c r="K1139">
        <v>2.65</v>
      </c>
      <c r="L1139">
        <v>22.86</v>
      </c>
      <c r="M1139">
        <v>23.5</v>
      </c>
      <c r="N1139">
        <v>22.63</v>
      </c>
    </row>
    <row r="1140" spans="1:14" x14ac:dyDescent="0.5">
      <c r="A1140" t="str">
        <f>"002680"</f>
        <v>002680</v>
      </c>
      <c r="B1140" t="s">
        <v>2230</v>
      </c>
      <c r="C1140">
        <v>0.67</v>
      </c>
      <c r="D1140">
        <v>2.67</v>
      </c>
      <c r="E1140">
        <v>1.51</v>
      </c>
      <c r="F1140">
        <v>0.01</v>
      </c>
      <c r="G1140">
        <v>1.5</v>
      </c>
      <c r="H1140">
        <v>1.51</v>
      </c>
      <c r="I1140" t="s">
        <v>2231</v>
      </c>
      <c r="J1140">
        <v>9.51</v>
      </c>
      <c r="K1140">
        <v>9.51</v>
      </c>
      <c r="L1140">
        <v>1.48</v>
      </c>
      <c r="M1140">
        <v>1.51</v>
      </c>
      <c r="N1140">
        <v>1.43</v>
      </c>
    </row>
    <row r="1141" spans="1:14" x14ac:dyDescent="0.5">
      <c r="A1141" t="str">
        <f>"002681"</f>
        <v>002681</v>
      </c>
      <c r="B1141" t="s">
        <v>2232</v>
      </c>
      <c r="C1141">
        <v>10.11</v>
      </c>
      <c r="D1141">
        <v>22.34</v>
      </c>
      <c r="E1141">
        <v>5.23</v>
      </c>
      <c r="F1141">
        <v>0.48</v>
      </c>
      <c r="G1141">
        <v>5.23</v>
      </c>
      <c r="H1141" t="s">
        <v>24</v>
      </c>
      <c r="I1141" t="s">
        <v>2233</v>
      </c>
      <c r="J1141">
        <v>4.8099999999999996</v>
      </c>
      <c r="K1141">
        <v>4.8099999999999996</v>
      </c>
      <c r="L1141">
        <v>4.75</v>
      </c>
      <c r="M1141">
        <v>5.23</v>
      </c>
      <c r="N1141">
        <v>4.7</v>
      </c>
    </row>
    <row r="1142" spans="1:14" x14ac:dyDescent="0.5">
      <c r="A1142" t="str">
        <f>"002682"</f>
        <v>002682</v>
      </c>
      <c r="B1142" t="s">
        <v>2234</v>
      </c>
      <c r="C1142">
        <v>2.14</v>
      </c>
      <c r="D1142">
        <v>18.75</v>
      </c>
      <c r="E1142">
        <v>5.26</v>
      </c>
      <c r="F1142">
        <v>0.11</v>
      </c>
      <c r="G1142">
        <v>5.26</v>
      </c>
      <c r="H1142">
        <v>5.27</v>
      </c>
      <c r="I1142" t="s">
        <v>2235</v>
      </c>
      <c r="J1142">
        <v>1.64</v>
      </c>
      <c r="K1142">
        <v>1.64</v>
      </c>
      <c r="L1142">
        <v>5.14</v>
      </c>
      <c r="M1142">
        <v>5.28</v>
      </c>
      <c r="N1142">
        <v>5.0999999999999996</v>
      </c>
    </row>
    <row r="1143" spans="1:14" x14ac:dyDescent="0.5">
      <c r="A1143" t="str">
        <f>"002683"</f>
        <v>002683</v>
      </c>
      <c r="B1143" t="s">
        <v>2236</v>
      </c>
      <c r="C1143">
        <v>2.58</v>
      </c>
      <c r="D1143">
        <v>31.99</v>
      </c>
      <c r="E1143">
        <v>10.72</v>
      </c>
      <c r="F1143">
        <v>0.27</v>
      </c>
      <c r="G1143">
        <v>10.72</v>
      </c>
      <c r="H1143">
        <v>10.73</v>
      </c>
      <c r="I1143" t="s">
        <v>2237</v>
      </c>
      <c r="J1143">
        <v>5.44</v>
      </c>
      <c r="K1143">
        <v>5.44</v>
      </c>
      <c r="L1143">
        <v>10.210000000000001</v>
      </c>
      <c r="M1143">
        <v>11.4</v>
      </c>
      <c r="N1143">
        <v>10.199999999999999</v>
      </c>
    </row>
    <row r="1144" spans="1:14" x14ac:dyDescent="0.5">
      <c r="A1144" t="str">
        <f>"002684"</f>
        <v>002684</v>
      </c>
      <c r="B1144" t="s">
        <v>2238</v>
      </c>
      <c r="C1144">
        <v>3.24</v>
      </c>
      <c r="D1144" t="s">
        <v>24</v>
      </c>
      <c r="E1144">
        <v>7.01</v>
      </c>
      <c r="F1144">
        <v>0.22</v>
      </c>
      <c r="G1144">
        <v>7.01</v>
      </c>
      <c r="H1144">
        <v>7.02</v>
      </c>
      <c r="I1144" t="s">
        <v>2239</v>
      </c>
      <c r="J1144">
        <v>7.5</v>
      </c>
      <c r="K1144">
        <v>7.5</v>
      </c>
      <c r="L1144">
        <v>6.82</v>
      </c>
      <c r="M1144">
        <v>7.05</v>
      </c>
      <c r="N1144">
        <v>6.78</v>
      </c>
    </row>
    <row r="1145" spans="1:14" x14ac:dyDescent="0.5">
      <c r="A1145" t="str">
        <f>"002685"</f>
        <v>002685</v>
      </c>
      <c r="B1145" t="s">
        <v>2240</v>
      </c>
      <c r="C1145">
        <v>0.96</v>
      </c>
      <c r="D1145">
        <v>13.87</v>
      </c>
      <c r="E1145">
        <v>6.28</v>
      </c>
      <c r="F1145">
        <v>0.06</v>
      </c>
      <c r="G1145">
        <v>6.28</v>
      </c>
      <c r="H1145">
        <v>6.29</v>
      </c>
      <c r="I1145" t="s">
        <v>2241</v>
      </c>
      <c r="J1145">
        <v>1.32</v>
      </c>
      <c r="K1145">
        <v>1.32</v>
      </c>
      <c r="L1145">
        <v>6.22</v>
      </c>
      <c r="M1145">
        <v>6.29</v>
      </c>
      <c r="N1145">
        <v>6.12</v>
      </c>
    </row>
    <row r="1146" spans="1:14" x14ac:dyDescent="0.5">
      <c r="A1146" t="str">
        <f>"002686"</f>
        <v>002686</v>
      </c>
      <c r="B1146" t="s">
        <v>2242</v>
      </c>
      <c r="C1146">
        <v>0.83</v>
      </c>
      <c r="D1146">
        <v>28.47</v>
      </c>
      <c r="E1146">
        <v>7.28</v>
      </c>
      <c r="F1146">
        <v>0.06</v>
      </c>
      <c r="G1146">
        <v>7.28</v>
      </c>
      <c r="H1146">
        <v>7.29</v>
      </c>
      <c r="I1146" t="s">
        <v>2243</v>
      </c>
      <c r="J1146">
        <v>0.93</v>
      </c>
      <c r="K1146">
        <v>0.93</v>
      </c>
      <c r="L1146">
        <v>7.13</v>
      </c>
      <c r="M1146">
        <v>7.28</v>
      </c>
      <c r="N1146">
        <v>7.13</v>
      </c>
    </row>
    <row r="1147" spans="1:14" x14ac:dyDescent="0.5">
      <c r="A1147" t="str">
        <f>"002687"</f>
        <v>002687</v>
      </c>
      <c r="B1147" t="s">
        <v>2244</v>
      </c>
      <c r="C1147">
        <v>2.16</v>
      </c>
      <c r="D1147">
        <v>26.21</v>
      </c>
      <c r="E1147">
        <v>6.63</v>
      </c>
      <c r="F1147">
        <v>0.14000000000000001</v>
      </c>
      <c r="G1147">
        <v>6.63</v>
      </c>
      <c r="H1147">
        <v>6.64</v>
      </c>
      <c r="I1147" t="s">
        <v>1492</v>
      </c>
      <c r="J1147">
        <v>5.69</v>
      </c>
      <c r="K1147">
        <v>5.69</v>
      </c>
      <c r="L1147">
        <v>6.44</v>
      </c>
      <c r="M1147">
        <v>6.64</v>
      </c>
      <c r="N1147">
        <v>6.35</v>
      </c>
    </row>
    <row r="1148" spans="1:14" x14ac:dyDescent="0.5">
      <c r="A1148" t="str">
        <f>"002688"</f>
        <v>002688</v>
      </c>
      <c r="B1148" t="s">
        <v>2245</v>
      </c>
      <c r="C1148">
        <v>1.34</v>
      </c>
      <c r="D1148">
        <v>23.88</v>
      </c>
      <c r="E1148">
        <v>5.3</v>
      </c>
      <c r="F1148">
        <v>7.0000000000000007E-2</v>
      </c>
      <c r="G1148">
        <v>5.29</v>
      </c>
      <c r="H1148">
        <v>5.3</v>
      </c>
      <c r="I1148" t="s">
        <v>2246</v>
      </c>
      <c r="J1148">
        <v>0.85</v>
      </c>
      <c r="K1148">
        <v>0.85</v>
      </c>
      <c r="L1148">
        <v>5.2</v>
      </c>
      <c r="M1148">
        <v>5.3</v>
      </c>
      <c r="N1148">
        <v>5.18</v>
      </c>
    </row>
    <row r="1149" spans="1:14" x14ac:dyDescent="0.5">
      <c r="A1149" t="str">
        <f>"002689"</f>
        <v>002689</v>
      </c>
      <c r="B1149" t="s">
        <v>2247</v>
      </c>
      <c r="C1149">
        <v>4.5999999999999996</v>
      </c>
      <c r="D1149" t="s">
        <v>24</v>
      </c>
      <c r="E1149">
        <v>5.46</v>
      </c>
      <c r="F1149">
        <v>0.24</v>
      </c>
      <c r="G1149">
        <v>5.46</v>
      </c>
      <c r="H1149">
        <v>5.47</v>
      </c>
      <c r="I1149" t="s">
        <v>872</v>
      </c>
      <c r="J1149">
        <v>5.98</v>
      </c>
      <c r="K1149">
        <v>5.98</v>
      </c>
      <c r="L1149">
        <v>5.15</v>
      </c>
      <c r="M1149">
        <v>5.67</v>
      </c>
      <c r="N1149">
        <v>5.08</v>
      </c>
    </row>
    <row r="1150" spans="1:14" x14ac:dyDescent="0.5">
      <c r="A1150" t="str">
        <f>"002690"</f>
        <v>002690</v>
      </c>
      <c r="B1150" t="s">
        <v>2248</v>
      </c>
      <c r="C1150">
        <v>0.84</v>
      </c>
      <c r="D1150">
        <v>38.44</v>
      </c>
      <c r="E1150">
        <v>25.16</v>
      </c>
      <c r="F1150">
        <v>0.21</v>
      </c>
      <c r="G1150">
        <v>25.15</v>
      </c>
      <c r="H1150">
        <v>25.16</v>
      </c>
      <c r="I1150" t="s">
        <v>2249</v>
      </c>
      <c r="J1150">
        <v>1.88</v>
      </c>
      <c r="K1150">
        <v>1.88</v>
      </c>
      <c r="L1150">
        <v>24.85</v>
      </c>
      <c r="M1150">
        <v>25.23</v>
      </c>
      <c r="N1150">
        <v>24.41</v>
      </c>
    </row>
    <row r="1151" spans="1:14" x14ac:dyDescent="0.5">
      <c r="A1151" t="str">
        <f>"002691"</f>
        <v>002691</v>
      </c>
      <c r="B1151" t="s">
        <v>2250</v>
      </c>
      <c r="C1151">
        <v>3.06</v>
      </c>
      <c r="D1151">
        <v>203.56</v>
      </c>
      <c r="E1151">
        <v>8.09</v>
      </c>
      <c r="F1151">
        <v>0.24</v>
      </c>
      <c r="G1151">
        <v>8.08</v>
      </c>
      <c r="H1151">
        <v>8.09</v>
      </c>
      <c r="I1151" t="s">
        <v>2251</v>
      </c>
      <c r="J1151">
        <v>3.38</v>
      </c>
      <c r="K1151">
        <v>3.38</v>
      </c>
      <c r="L1151">
        <v>7.88</v>
      </c>
      <c r="M1151">
        <v>8.1</v>
      </c>
      <c r="N1151">
        <v>7.86</v>
      </c>
    </row>
    <row r="1152" spans="1:14" x14ac:dyDescent="0.5">
      <c r="A1152" t="str">
        <f>"002692"</f>
        <v>002692</v>
      </c>
      <c r="B1152" t="s">
        <v>2252</v>
      </c>
      <c r="C1152">
        <v>2.7</v>
      </c>
      <c r="D1152">
        <v>49.26</v>
      </c>
      <c r="E1152">
        <v>4.5599999999999996</v>
      </c>
      <c r="F1152">
        <v>0.12</v>
      </c>
      <c r="G1152">
        <v>4.5599999999999996</v>
      </c>
      <c r="H1152">
        <v>4.57</v>
      </c>
      <c r="I1152" t="s">
        <v>2253</v>
      </c>
      <c r="J1152">
        <v>2.92</v>
      </c>
      <c r="K1152">
        <v>2.92</v>
      </c>
      <c r="L1152">
        <v>4.4400000000000004</v>
      </c>
      <c r="M1152">
        <v>4.58</v>
      </c>
      <c r="N1152">
        <v>4.41</v>
      </c>
    </row>
    <row r="1153" spans="1:14" x14ac:dyDescent="0.5">
      <c r="A1153" t="str">
        <f>"002693"</f>
        <v>002693</v>
      </c>
      <c r="B1153" t="s">
        <v>2254</v>
      </c>
      <c r="C1153">
        <v>5.33</v>
      </c>
      <c r="D1153" t="s">
        <v>24</v>
      </c>
      <c r="E1153">
        <v>4.9400000000000004</v>
      </c>
      <c r="F1153">
        <v>0.25</v>
      </c>
      <c r="G1153">
        <v>4.93</v>
      </c>
      <c r="H1153">
        <v>4.9400000000000004</v>
      </c>
      <c r="I1153" t="s">
        <v>2255</v>
      </c>
      <c r="J1153">
        <v>3.08</v>
      </c>
      <c r="K1153">
        <v>3.08</v>
      </c>
      <c r="L1153">
        <v>4.6900000000000004</v>
      </c>
      <c r="M1153">
        <v>4.95</v>
      </c>
      <c r="N1153">
        <v>4.6100000000000003</v>
      </c>
    </row>
    <row r="1154" spans="1:14" x14ac:dyDescent="0.5">
      <c r="A1154" t="str">
        <f>"002694"</f>
        <v>002694</v>
      </c>
      <c r="B1154" t="s">
        <v>2256</v>
      </c>
      <c r="C1154">
        <v>3.4</v>
      </c>
      <c r="D1154">
        <v>24.84</v>
      </c>
      <c r="E1154">
        <v>4.8600000000000003</v>
      </c>
      <c r="F1154">
        <v>0.16</v>
      </c>
      <c r="G1154">
        <v>4.8600000000000003</v>
      </c>
      <c r="H1154">
        <v>4.87</v>
      </c>
      <c r="I1154" t="s">
        <v>2257</v>
      </c>
      <c r="J1154">
        <v>5.62</v>
      </c>
      <c r="K1154">
        <v>5.62</v>
      </c>
      <c r="L1154">
        <v>4.67</v>
      </c>
      <c r="M1154">
        <v>4.8899999999999997</v>
      </c>
      <c r="N1154">
        <v>4.62</v>
      </c>
    </row>
    <row r="1155" spans="1:14" x14ac:dyDescent="0.5">
      <c r="A1155" t="str">
        <f>"002695"</f>
        <v>002695</v>
      </c>
      <c r="B1155" t="s">
        <v>2258</v>
      </c>
      <c r="C1155">
        <v>1.74</v>
      </c>
      <c r="D1155">
        <v>34.39</v>
      </c>
      <c r="E1155">
        <v>12.84</v>
      </c>
      <c r="F1155">
        <v>0.22</v>
      </c>
      <c r="G1155">
        <v>12.83</v>
      </c>
      <c r="H1155">
        <v>12.84</v>
      </c>
      <c r="I1155" t="s">
        <v>2259</v>
      </c>
      <c r="J1155">
        <v>1.64</v>
      </c>
      <c r="K1155">
        <v>1.64</v>
      </c>
      <c r="L1155">
        <v>12.58</v>
      </c>
      <c r="M1155">
        <v>12.94</v>
      </c>
      <c r="N1155">
        <v>12.4</v>
      </c>
    </row>
    <row r="1156" spans="1:14" x14ac:dyDescent="0.5">
      <c r="A1156" t="str">
        <f>"002696"</f>
        <v>002696</v>
      </c>
      <c r="B1156" t="s">
        <v>2260</v>
      </c>
      <c r="C1156">
        <v>3.79</v>
      </c>
      <c r="D1156">
        <v>18.14</v>
      </c>
      <c r="E1156">
        <v>9.32</v>
      </c>
      <c r="F1156">
        <v>0.34</v>
      </c>
      <c r="G1156">
        <v>9.31</v>
      </c>
      <c r="H1156">
        <v>9.32</v>
      </c>
      <c r="I1156" t="s">
        <v>2261</v>
      </c>
      <c r="J1156">
        <v>3.48</v>
      </c>
      <c r="K1156">
        <v>3.48</v>
      </c>
      <c r="L1156">
        <v>8.8800000000000008</v>
      </c>
      <c r="M1156">
        <v>9.41</v>
      </c>
      <c r="N1156">
        <v>8.8800000000000008</v>
      </c>
    </row>
    <row r="1157" spans="1:14" x14ac:dyDescent="0.5">
      <c r="A1157" t="str">
        <f>"002697"</f>
        <v>002697</v>
      </c>
      <c r="B1157" t="s">
        <v>2262</v>
      </c>
      <c r="C1157">
        <v>0.35</v>
      </c>
      <c r="D1157">
        <v>26.85</v>
      </c>
      <c r="E1157">
        <v>5.66</v>
      </c>
      <c r="F1157">
        <v>0.02</v>
      </c>
      <c r="G1157">
        <v>5.65</v>
      </c>
      <c r="H1157">
        <v>5.66</v>
      </c>
      <c r="I1157" t="s">
        <v>2263</v>
      </c>
      <c r="J1157">
        <v>1.47</v>
      </c>
      <c r="K1157">
        <v>1.47</v>
      </c>
      <c r="L1157">
        <v>5.6</v>
      </c>
      <c r="M1157">
        <v>5.67</v>
      </c>
      <c r="N1157">
        <v>5.57</v>
      </c>
    </row>
    <row r="1158" spans="1:14" x14ac:dyDescent="0.5">
      <c r="A1158" t="str">
        <f>"002698"</f>
        <v>002698</v>
      </c>
      <c r="B1158" t="s">
        <v>2264</v>
      </c>
      <c r="C1158">
        <v>2.61</v>
      </c>
      <c r="D1158">
        <v>45.02</v>
      </c>
      <c r="E1158">
        <v>11.79</v>
      </c>
      <c r="F1158">
        <v>0.3</v>
      </c>
      <c r="G1158">
        <v>11.79</v>
      </c>
      <c r="H1158">
        <v>11.8</v>
      </c>
      <c r="I1158" t="s">
        <v>177</v>
      </c>
      <c r="J1158">
        <v>0.75</v>
      </c>
      <c r="K1158">
        <v>0.75</v>
      </c>
      <c r="L1158">
        <v>11.49</v>
      </c>
      <c r="M1158">
        <v>11.84</v>
      </c>
      <c r="N1158">
        <v>11.39</v>
      </c>
    </row>
    <row r="1159" spans="1:14" x14ac:dyDescent="0.5">
      <c r="A1159" t="str">
        <f>"002699"</f>
        <v>002699</v>
      </c>
      <c r="B1159" t="s">
        <v>2265</v>
      </c>
      <c r="C1159">
        <v>4.16</v>
      </c>
      <c r="D1159">
        <v>2564.8200000000002</v>
      </c>
      <c r="E1159">
        <v>6.51</v>
      </c>
      <c r="F1159">
        <v>0.26</v>
      </c>
      <c r="G1159">
        <v>6.51</v>
      </c>
      <c r="H1159">
        <v>6.52</v>
      </c>
      <c r="I1159" t="s">
        <v>2266</v>
      </c>
      <c r="J1159">
        <v>4.03</v>
      </c>
      <c r="K1159">
        <v>4.03</v>
      </c>
      <c r="L1159">
        <v>6.26</v>
      </c>
      <c r="M1159">
        <v>6.53</v>
      </c>
      <c r="N1159">
        <v>6.26</v>
      </c>
    </row>
    <row r="1160" spans="1:14" x14ac:dyDescent="0.5">
      <c r="A1160" t="str">
        <f>"002700"</f>
        <v>002700</v>
      </c>
      <c r="B1160" t="s">
        <v>2267</v>
      </c>
      <c r="C1160">
        <v>-0.47</v>
      </c>
      <c r="D1160">
        <v>62.29</v>
      </c>
      <c r="E1160">
        <v>10.65</v>
      </c>
      <c r="F1160">
        <v>-0.05</v>
      </c>
      <c r="G1160">
        <v>10.64</v>
      </c>
      <c r="H1160">
        <v>10.65</v>
      </c>
      <c r="I1160" t="s">
        <v>1576</v>
      </c>
      <c r="J1160">
        <v>4.2300000000000004</v>
      </c>
      <c r="K1160">
        <v>4.2300000000000004</v>
      </c>
      <c r="L1160">
        <v>10.56</v>
      </c>
      <c r="M1160">
        <v>10.68</v>
      </c>
      <c r="N1160">
        <v>10.46</v>
      </c>
    </row>
    <row r="1161" spans="1:14" x14ac:dyDescent="0.5">
      <c r="A1161" t="str">
        <f>"002701"</f>
        <v>002701</v>
      </c>
      <c r="B1161" t="s">
        <v>2268</v>
      </c>
      <c r="C1161">
        <v>2.82</v>
      </c>
      <c r="D1161">
        <v>16.43</v>
      </c>
      <c r="E1161">
        <v>5.46</v>
      </c>
      <c r="F1161">
        <v>0.15</v>
      </c>
      <c r="G1161">
        <v>5.46</v>
      </c>
      <c r="H1161">
        <v>5.47</v>
      </c>
      <c r="I1161" t="s">
        <v>2269</v>
      </c>
      <c r="J1161">
        <v>2.0699999999999998</v>
      </c>
      <c r="K1161">
        <v>2.0699999999999998</v>
      </c>
      <c r="L1161">
        <v>5.3</v>
      </c>
      <c r="M1161">
        <v>5.57</v>
      </c>
      <c r="N1161">
        <v>5.28</v>
      </c>
    </row>
    <row r="1162" spans="1:14" x14ac:dyDescent="0.5">
      <c r="A1162" t="str">
        <f>"002702"</f>
        <v>002702</v>
      </c>
      <c r="B1162" t="s">
        <v>2270</v>
      </c>
      <c r="C1162">
        <v>5.91</v>
      </c>
      <c r="D1162">
        <v>88.4</v>
      </c>
      <c r="E1162">
        <v>4.84</v>
      </c>
      <c r="F1162">
        <v>0.27</v>
      </c>
      <c r="G1162">
        <v>4.83</v>
      </c>
      <c r="H1162">
        <v>4.84</v>
      </c>
      <c r="I1162" t="s">
        <v>2271</v>
      </c>
      <c r="J1162">
        <v>7.06</v>
      </c>
      <c r="K1162">
        <v>7.06</v>
      </c>
      <c r="L1162">
        <v>4.55</v>
      </c>
      <c r="M1162">
        <v>4.8499999999999996</v>
      </c>
      <c r="N1162">
        <v>4.53</v>
      </c>
    </row>
    <row r="1163" spans="1:14" x14ac:dyDescent="0.5">
      <c r="A1163" t="str">
        <f>"002703"</f>
        <v>002703</v>
      </c>
      <c r="B1163" t="s">
        <v>2272</v>
      </c>
      <c r="C1163">
        <v>2.0099999999999998</v>
      </c>
      <c r="D1163" t="s">
        <v>24</v>
      </c>
      <c r="E1163">
        <v>6.08</v>
      </c>
      <c r="F1163">
        <v>0.12</v>
      </c>
      <c r="G1163">
        <v>6.07</v>
      </c>
      <c r="H1163">
        <v>6.08</v>
      </c>
      <c r="I1163" t="s">
        <v>2273</v>
      </c>
      <c r="J1163">
        <v>7.33</v>
      </c>
      <c r="K1163">
        <v>7.33</v>
      </c>
      <c r="L1163">
        <v>5.8</v>
      </c>
      <c r="M1163">
        <v>6.18</v>
      </c>
      <c r="N1163">
        <v>5.73</v>
      </c>
    </row>
    <row r="1164" spans="1:14" x14ac:dyDescent="0.5">
      <c r="A1164" t="str">
        <f>"002705"</f>
        <v>002705</v>
      </c>
      <c r="B1164" t="s">
        <v>2274</v>
      </c>
      <c r="C1164">
        <v>0.47</v>
      </c>
      <c r="D1164">
        <v>19.62</v>
      </c>
      <c r="E1164">
        <v>10.65</v>
      </c>
      <c r="F1164">
        <v>0.05</v>
      </c>
      <c r="G1164">
        <v>10.65</v>
      </c>
      <c r="H1164">
        <v>10.66</v>
      </c>
      <c r="I1164" t="s">
        <v>2275</v>
      </c>
      <c r="J1164">
        <v>0.34</v>
      </c>
      <c r="K1164">
        <v>0.34</v>
      </c>
      <c r="L1164">
        <v>10.79</v>
      </c>
      <c r="M1164">
        <v>10.82</v>
      </c>
      <c r="N1164">
        <v>10.59</v>
      </c>
    </row>
    <row r="1165" spans="1:14" x14ac:dyDescent="0.5">
      <c r="A1165" t="str">
        <f>"002706"</f>
        <v>002706</v>
      </c>
      <c r="B1165" t="s">
        <v>2276</v>
      </c>
      <c r="C1165">
        <v>1.6</v>
      </c>
      <c r="D1165">
        <v>19.27</v>
      </c>
      <c r="E1165">
        <v>6.35</v>
      </c>
      <c r="F1165">
        <v>0.1</v>
      </c>
      <c r="G1165">
        <v>6.35</v>
      </c>
      <c r="H1165">
        <v>6.36</v>
      </c>
      <c r="I1165" t="s">
        <v>2277</v>
      </c>
      <c r="J1165">
        <v>2.1</v>
      </c>
      <c r="K1165">
        <v>2.1</v>
      </c>
      <c r="L1165">
        <v>6.2</v>
      </c>
      <c r="M1165">
        <v>6.37</v>
      </c>
      <c r="N1165">
        <v>6.18</v>
      </c>
    </row>
    <row r="1166" spans="1:14" x14ac:dyDescent="0.5">
      <c r="A1166" t="str">
        <f>"002707"</f>
        <v>002707</v>
      </c>
      <c r="B1166" t="s">
        <v>2278</v>
      </c>
      <c r="C1166">
        <v>0.85</v>
      </c>
      <c r="D1166">
        <v>24.12</v>
      </c>
      <c r="E1166">
        <v>7.13</v>
      </c>
      <c r="F1166">
        <v>0.06</v>
      </c>
      <c r="G1166">
        <v>7.13</v>
      </c>
      <c r="H1166">
        <v>7.14</v>
      </c>
      <c r="I1166" t="s">
        <v>2279</v>
      </c>
      <c r="J1166">
        <v>3.26</v>
      </c>
      <c r="K1166">
        <v>3.26</v>
      </c>
      <c r="L1166">
        <v>7.07</v>
      </c>
      <c r="M1166">
        <v>7.14</v>
      </c>
      <c r="N1166">
        <v>6.91</v>
      </c>
    </row>
    <row r="1167" spans="1:14" x14ac:dyDescent="0.5">
      <c r="A1167" t="str">
        <f>"002708"</f>
        <v>002708</v>
      </c>
      <c r="B1167" t="s">
        <v>2280</v>
      </c>
      <c r="C1167">
        <v>7.03</v>
      </c>
      <c r="D1167">
        <v>277.74</v>
      </c>
      <c r="E1167">
        <v>9.9</v>
      </c>
      <c r="F1167">
        <v>0.65</v>
      </c>
      <c r="G1167">
        <v>9.9</v>
      </c>
      <c r="H1167">
        <v>9.91</v>
      </c>
      <c r="I1167" t="s">
        <v>2281</v>
      </c>
      <c r="J1167">
        <v>9.26</v>
      </c>
      <c r="K1167">
        <v>9.26</v>
      </c>
      <c r="L1167">
        <v>9.4</v>
      </c>
      <c r="M1167">
        <v>9.9600000000000009</v>
      </c>
      <c r="N1167">
        <v>9.39</v>
      </c>
    </row>
    <row r="1168" spans="1:14" x14ac:dyDescent="0.5">
      <c r="A1168" t="str">
        <f>"002709"</f>
        <v>002709</v>
      </c>
      <c r="B1168" t="s">
        <v>2282</v>
      </c>
      <c r="C1168">
        <v>-1.44</v>
      </c>
      <c r="D1168">
        <v>23.3</v>
      </c>
      <c r="E1168">
        <v>33.549999999999997</v>
      </c>
      <c r="F1168">
        <v>-0.49</v>
      </c>
      <c r="G1168">
        <v>33.54</v>
      </c>
      <c r="H1168">
        <v>33.549999999999997</v>
      </c>
      <c r="I1168" t="s">
        <v>2283</v>
      </c>
      <c r="J1168">
        <v>2.96</v>
      </c>
      <c r="K1168">
        <v>2.96</v>
      </c>
      <c r="L1168">
        <v>33.81</v>
      </c>
      <c r="M1168">
        <v>33.81</v>
      </c>
      <c r="N1168">
        <v>32.76</v>
      </c>
    </row>
    <row r="1169" spans="1:14" x14ac:dyDescent="0.5">
      <c r="A1169" t="str">
        <f>"002711"</f>
        <v>002711</v>
      </c>
      <c r="B1169" t="s">
        <v>2284</v>
      </c>
      <c r="C1169">
        <v>6.58</v>
      </c>
      <c r="D1169">
        <v>16.100000000000001</v>
      </c>
      <c r="E1169">
        <v>4.21</v>
      </c>
      <c r="F1169">
        <v>0.26</v>
      </c>
      <c r="G1169">
        <v>4.2</v>
      </c>
      <c r="H1169">
        <v>4.21</v>
      </c>
      <c r="I1169" t="s">
        <v>2285</v>
      </c>
      <c r="J1169">
        <v>6.8</v>
      </c>
      <c r="K1169">
        <v>6.8</v>
      </c>
      <c r="L1169">
        <v>3.99</v>
      </c>
      <c r="M1169">
        <v>4.2300000000000004</v>
      </c>
      <c r="N1169">
        <v>3.99</v>
      </c>
    </row>
    <row r="1170" spans="1:14" x14ac:dyDescent="0.5">
      <c r="A1170" t="str">
        <f>"002712"</f>
        <v>002712</v>
      </c>
      <c r="B1170" t="s">
        <v>2286</v>
      </c>
      <c r="C1170">
        <v>3.28</v>
      </c>
      <c r="D1170">
        <v>18.940000000000001</v>
      </c>
      <c r="E1170">
        <v>8.19</v>
      </c>
      <c r="F1170">
        <v>0.26</v>
      </c>
      <c r="G1170">
        <v>8.19</v>
      </c>
      <c r="H1170">
        <v>8.1999999999999993</v>
      </c>
      <c r="I1170" t="s">
        <v>2287</v>
      </c>
      <c r="J1170">
        <v>11.87</v>
      </c>
      <c r="K1170">
        <v>11.87</v>
      </c>
      <c r="L1170">
        <v>7.81</v>
      </c>
      <c r="M1170">
        <v>8.33</v>
      </c>
      <c r="N1170">
        <v>7.72</v>
      </c>
    </row>
    <row r="1171" spans="1:14" x14ac:dyDescent="0.5">
      <c r="A1171" t="str">
        <f>"002713"</f>
        <v>002713</v>
      </c>
      <c r="B1171" t="s">
        <v>2288</v>
      </c>
      <c r="C1171">
        <v>2.1</v>
      </c>
      <c r="D1171">
        <v>17.649999999999999</v>
      </c>
      <c r="E1171">
        <v>17.98</v>
      </c>
      <c r="F1171">
        <v>0.37</v>
      </c>
      <c r="G1171">
        <v>17.96</v>
      </c>
      <c r="H1171">
        <v>17.98</v>
      </c>
      <c r="I1171" t="s">
        <v>2289</v>
      </c>
      <c r="J1171">
        <v>1.1100000000000001</v>
      </c>
      <c r="K1171">
        <v>1.1100000000000001</v>
      </c>
      <c r="L1171">
        <v>17.5</v>
      </c>
      <c r="M1171">
        <v>17.98</v>
      </c>
      <c r="N1171">
        <v>17.5</v>
      </c>
    </row>
    <row r="1172" spans="1:14" x14ac:dyDescent="0.5">
      <c r="A1172" t="str">
        <f>"002714"</f>
        <v>002714</v>
      </c>
      <c r="B1172" t="s">
        <v>2290</v>
      </c>
      <c r="C1172">
        <v>5.34</v>
      </c>
      <c r="D1172">
        <v>106.16</v>
      </c>
      <c r="E1172">
        <v>53.3</v>
      </c>
      <c r="F1172">
        <v>2.7</v>
      </c>
      <c r="G1172">
        <v>53.29</v>
      </c>
      <c r="H1172">
        <v>53.3</v>
      </c>
      <c r="I1172" t="s">
        <v>2291</v>
      </c>
      <c r="J1172">
        <v>2.19</v>
      </c>
      <c r="K1172">
        <v>2.19</v>
      </c>
      <c r="L1172">
        <v>52.59</v>
      </c>
      <c r="M1172">
        <v>55.66</v>
      </c>
      <c r="N1172">
        <v>50.9</v>
      </c>
    </row>
    <row r="1173" spans="1:14" x14ac:dyDescent="0.5">
      <c r="A1173" t="str">
        <f>"002715"</f>
        <v>002715</v>
      </c>
      <c r="B1173" t="s">
        <v>2292</v>
      </c>
      <c r="C1173">
        <v>1.65</v>
      </c>
      <c r="D1173">
        <v>147.13</v>
      </c>
      <c r="E1173">
        <v>18.440000000000001</v>
      </c>
      <c r="F1173">
        <v>0.3</v>
      </c>
      <c r="G1173">
        <v>18.43</v>
      </c>
      <c r="H1173">
        <v>18.440000000000001</v>
      </c>
      <c r="I1173" t="s">
        <v>2293</v>
      </c>
      <c r="J1173">
        <v>2.62</v>
      </c>
      <c r="K1173">
        <v>2.62</v>
      </c>
      <c r="L1173">
        <v>18.14</v>
      </c>
      <c r="M1173">
        <v>18.45</v>
      </c>
      <c r="N1173">
        <v>18.09</v>
      </c>
    </row>
    <row r="1174" spans="1:14" x14ac:dyDescent="0.5">
      <c r="A1174" t="str">
        <f>"002716"</f>
        <v>002716</v>
      </c>
      <c r="B1174" t="s">
        <v>2294</v>
      </c>
      <c r="C1174">
        <v>-0.12</v>
      </c>
      <c r="D1174">
        <v>27.33</v>
      </c>
      <c r="E1174">
        <v>8.15</v>
      </c>
      <c r="F1174">
        <v>-0.01</v>
      </c>
      <c r="G1174">
        <v>8.15</v>
      </c>
      <c r="H1174">
        <v>8.16</v>
      </c>
      <c r="I1174" t="s">
        <v>2295</v>
      </c>
      <c r="J1174">
        <v>13.22</v>
      </c>
      <c r="K1174">
        <v>13.22</v>
      </c>
      <c r="L1174">
        <v>8.01</v>
      </c>
      <c r="M1174">
        <v>8.27</v>
      </c>
      <c r="N1174">
        <v>8</v>
      </c>
    </row>
    <row r="1175" spans="1:14" x14ac:dyDescent="0.5">
      <c r="A1175" t="str">
        <f>"002717"</f>
        <v>002717</v>
      </c>
      <c r="B1175" t="s">
        <v>2296</v>
      </c>
      <c r="C1175">
        <v>1.72</v>
      </c>
      <c r="D1175">
        <v>11.13</v>
      </c>
      <c r="E1175">
        <v>8.85</v>
      </c>
      <c r="F1175">
        <v>0.15</v>
      </c>
      <c r="G1175">
        <v>8.85</v>
      </c>
      <c r="H1175">
        <v>8.86</v>
      </c>
      <c r="I1175" t="s">
        <v>2297</v>
      </c>
      <c r="J1175">
        <v>3.46</v>
      </c>
      <c r="K1175">
        <v>3.46</v>
      </c>
      <c r="L1175">
        <v>8.6999999999999993</v>
      </c>
      <c r="M1175">
        <v>8.86</v>
      </c>
      <c r="N1175">
        <v>8.56</v>
      </c>
    </row>
    <row r="1176" spans="1:14" x14ac:dyDescent="0.5">
      <c r="A1176" t="str">
        <f>"002718"</f>
        <v>002718</v>
      </c>
      <c r="B1176" t="s">
        <v>2298</v>
      </c>
      <c r="C1176">
        <v>1.36</v>
      </c>
      <c r="D1176">
        <v>19.23</v>
      </c>
      <c r="E1176">
        <v>29.78</v>
      </c>
      <c r="F1176">
        <v>0.4</v>
      </c>
      <c r="G1176">
        <v>29.78</v>
      </c>
      <c r="H1176">
        <v>29.79</v>
      </c>
      <c r="I1176" t="s">
        <v>2299</v>
      </c>
      <c r="J1176">
        <v>1.58</v>
      </c>
      <c r="K1176">
        <v>1.58</v>
      </c>
      <c r="L1176">
        <v>29.05</v>
      </c>
      <c r="M1176">
        <v>29.86</v>
      </c>
      <c r="N1176">
        <v>29.05</v>
      </c>
    </row>
    <row r="1177" spans="1:14" x14ac:dyDescent="0.5">
      <c r="A1177" t="str">
        <f>"002719"</f>
        <v>002719</v>
      </c>
      <c r="B1177" t="s">
        <v>2300</v>
      </c>
      <c r="C1177">
        <v>2.86</v>
      </c>
      <c r="D1177">
        <v>101</v>
      </c>
      <c r="E1177">
        <v>12.6</v>
      </c>
      <c r="F1177">
        <v>0.35</v>
      </c>
      <c r="G1177">
        <v>12.6</v>
      </c>
      <c r="H1177">
        <v>12.61</v>
      </c>
      <c r="I1177" t="s">
        <v>385</v>
      </c>
      <c r="J1177">
        <v>3.75</v>
      </c>
      <c r="K1177">
        <v>3.75</v>
      </c>
      <c r="L1177">
        <v>12.12</v>
      </c>
      <c r="M1177">
        <v>12.67</v>
      </c>
      <c r="N1177">
        <v>12.12</v>
      </c>
    </row>
    <row r="1178" spans="1:14" x14ac:dyDescent="0.5">
      <c r="A1178" t="str">
        <f>"002721"</f>
        <v>002721</v>
      </c>
      <c r="B1178" t="s">
        <v>2301</v>
      </c>
      <c r="C1178">
        <v>2.0099999999999998</v>
      </c>
      <c r="D1178">
        <v>48.59</v>
      </c>
      <c r="E1178">
        <v>6.6</v>
      </c>
      <c r="F1178">
        <v>0.13</v>
      </c>
      <c r="G1178">
        <v>6.59</v>
      </c>
      <c r="H1178">
        <v>6.6</v>
      </c>
      <c r="I1178" t="s">
        <v>2302</v>
      </c>
      <c r="J1178">
        <v>3.63</v>
      </c>
      <c r="K1178">
        <v>3.63</v>
      </c>
      <c r="L1178">
        <v>6.41</v>
      </c>
      <c r="M1178">
        <v>6.6</v>
      </c>
      <c r="N1178">
        <v>6.38</v>
      </c>
    </row>
    <row r="1179" spans="1:14" x14ac:dyDescent="0.5">
      <c r="A1179" t="str">
        <f>"002722"</f>
        <v>002722</v>
      </c>
      <c r="B1179" t="s">
        <v>2303</v>
      </c>
      <c r="C1179">
        <v>2.64</v>
      </c>
      <c r="D1179">
        <v>32.71</v>
      </c>
      <c r="E1179">
        <v>17.079999999999998</v>
      </c>
      <c r="F1179">
        <v>0.44</v>
      </c>
      <c r="G1179">
        <v>17.079999999999998</v>
      </c>
      <c r="H1179">
        <v>17.09</v>
      </c>
      <c r="I1179" t="s">
        <v>2304</v>
      </c>
      <c r="J1179">
        <v>2.81</v>
      </c>
      <c r="K1179">
        <v>2.81</v>
      </c>
      <c r="L1179">
        <v>16.5</v>
      </c>
      <c r="M1179">
        <v>17.11</v>
      </c>
      <c r="N1179">
        <v>16.36</v>
      </c>
    </row>
    <row r="1180" spans="1:14" x14ac:dyDescent="0.5">
      <c r="A1180" t="str">
        <f>"002723"</f>
        <v>002723</v>
      </c>
      <c r="B1180" t="s">
        <v>2305</v>
      </c>
      <c r="C1180">
        <v>3.16</v>
      </c>
      <c r="D1180" t="s">
        <v>24</v>
      </c>
      <c r="E1180">
        <v>9.8000000000000007</v>
      </c>
      <c r="F1180">
        <v>0.3</v>
      </c>
      <c r="G1180">
        <v>9.7899999999999991</v>
      </c>
      <c r="H1180">
        <v>9.8000000000000007</v>
      </c>
      <c r="I1180" t="s">
        <v>2306</v>
      </c>
      <c r="J1180">
        <v>4.21</v>
      </c>
      <c r="K1180">
        <v>4.21</v>
      </c>
      <c r="L1180">
        <v>9.49</v>
      </c>
      <c r="M1180">
        <v>9.8000000000000007</v>
      </c>
      <c r="N1180">
        <v>9.36</v>
      </c>
    </row>
    <row r="1181" spans="1:14" x14ac:dyDescent="0.5">
      <c r="A1181" t="str">
        <f>"002724"</f>
        <v>002724</v>
      </c>
      <c r="B1181" t="s">
        <v>2307</v>
      </c>
      <c r="C1181">
        <v>2.4900000000000002</v>
      </c>
      <c r="D1181">
        <v>27.88</v>
      </c>
      <c r="E1181">
        <v>6.58</v>
      </c>
      <c r="F1181">
        <v>0.16</v>
      </c>
      <c r="G1181">
        <v>6.58</v>
      </c>
      <c r="H1181">
        <v>6.59</v>
      </c>
      <c r="I1181" t="s">
        <v>2308</v>
      </c>
      <c r="J1181">
        <v>1.68</v>
      </c>
      <c r="K1181">
        <v>1.68</v>
      </c>
      <c r="L1181">
        <v>6.4</v>
      </c>
      <c r="M1181">
        <v>6.59</v>
      </c>
      <c r="N1181">
        <v>6.35</v>
      </c>
    </row>
    <row r="1182" spans="1:14" x14ac:dyDescent="0.5">
      <c r="A1182" t="str">
        <f>"002725"</f>
        <v>002725</v>
      </c>
      <c r="B1182" t="s">
        <v>2309</v>
      </c>
      <c r="C1182">
        <v>1.1100000000000001</v>
      </c>
      <c r="D1182">
        <v>118.16</v>
      </c>
      <c r="E1182">
        <v>10.9</v>
      </c>
      <c r="F1182">
        <v>0.12</v>
      </c>
      <c r="G1182">
        <v>10.9</v>
      </c>
      <c r="H1182">
        <v>10.91</v>
      </c>
      <c r="I1182" t="s">
        <v>1931</v>
      </c>
      <c r="J1182">
        <v>9.86</v>
      </c>
      <c r="K1182">
        <v>9.86</v>
      </c>
      <c r="L1182">
        <v>10.55</v>
      </c>
      <c r="M1182">
        <v>10.98</v>
      </c>
      <c r="N1182">
        <v>10.45</v>
      </c>
    </row>
    <row r="1183" spans="1:14" x14ac:dyDescent="0.5">
      <c r="A1183" t="str">
        <f>"002726"</f>
        <v>002726</v>
      </c>
      <c r="B1183" t="s">
        <v>2310</v>
      </c>
      <c r="C1183">
        <v>3.72</v>
      </c>
      <c r="D1183">
        <v>42.35</v>
      </c>
      <c r="E1183">
        <v>8.93</v>
      </c>
      <c r="F1183">
        <v>0.32</v>
      </c>
      <c r="G1183">
        <v>8.93</v>
      </c>
      <c r="H1183">
        <v>8.94</v>
      </c>
      <c r="I1183" t="s">
        <v>2311</v>
      </c>
      <c r="J1183">
        <v>2.1</v>
      </c>
      <c r="K1183">
        <v>2.1</v>
      </c>
      <c r="L1183">
        <v>8.61</v>
      </c>
      <c r="M1183">
        <v>8.9499999999999993</v>
      </c>
      <c r="N1183">
        <v>8.5399999999999991</v>
      </c>
    </row>
    <row r="1184" spans="1:14" x14ac:dyDescent="0.5">
      <c r="A1184" t="str">
        <f>"002727"</f>
        <v>002727</v>
      </c>
      <c r="B1184" t="s">
        <v>2312</v>
      </c>
      <c r="C1184">
        <v>1.1499999999999999</v>
      </c>
      <c r="D1184">
        <v>25.82</v>
      </c>
      <c r="E1184">
        <v>25.4</v>
      </c>
      <c r="F1184">
        <v>0.28999999999999998</v>
      </c>
      <c r="G1184">
        <v>25.38</v>
      </c>
      <c r="H1184">
        <v>25.4</v>
      </c>
      <c r="I1184" t="s">
        <v>2313</v>
      </c>
      <c r="J1184">
        <v>2.27</v>
      </c>
      <c r="K1184">
        <v>2.27</v>
      </c>
      <c r="L1184">
        <v>24.9</v>
      </c>
      <c r="M1184">
        <v>25.65</v>
      </c>
      <c r="N1184">
        <v>24.65</v>
      </c>
    </row>
    <row r="1185" spans="1:14" x14ac:dyDescent="0.5">
      <c r="A1185" t="str">
        <f>"002728"</f>
        <v>002728</v>
      </c>
      <c r="B1185" t="s">
        <v>2314</v>
      </c>
      <c r="C1185">
        <v>4.8600000000000003</v>
      </c>
      <c r="D1185">
        <v>20.39</v>
      </c>
      <c r="E1185">
        <v>17.03</v>
      </c>
      <c r="F1185">
        <v>0.79</v>
      </c>
      <c r="G1185">
        <v>17.02</v>
      </c>
      <c r="H1185">
        <v>17.03</v>
      </c>
      <c r="I1185" t="s">
        <v>2315</v>
      </c>
      <c r="J1185">
        <v>3.31</v>
      </c>
      <c r="K1185">
        <v>3.31</v>
      </c>
      <c r="L1185">
        <v>16.399999999999999</v>
      </c>
      <c r="M1185">
        <v>17.18</v>
      </c>
      <c r="N1185">
        <v>16.3</v>
      </c>
    </row>
    <row r="1186" spans="1:14" x14ac:dyDescent="0.5">
      <c r="A1186" t="str">
        <f>"002729"</f>
        <v>002729</v>
      </c>
      <c r="B1186" t="s">
        <v>2316</v>
      </c>
      <c r="C1186">
        <v>2.9</v>
      </c>
      <c r="D1186">
        <v>90.63</v>
      </c>
      <c r="E1186">
        <v>24.13</v>
      </c>
      <c r="F1186">
        <v>0.68</v>
      </c>
      <c r="G1186">
        <v>24.12</v>
      </c>
      <c r="H1186">
        <v>24.13</v>
      </c>
      <c r="I1186" t="s">
        <v>2317</v>
      </c>
      <c r="J1186">
        <v>2.31</v>
      </c>
      <c r="K1186">
        <v>2.31</v>
      </c>
      <c r="L1186">
        <v>23.29</v>
      </c>
      <c r="M1186">
        <v>24.26</v>
      </c>
      <c r="N1186">
        <v>23.21</v>
      </c>
    </row>
    <row r="1187" spans="1:14" x14ac:dyDescent="0.5">
      <c r="A1187" t="str">
        <f>"002730"</f>
        <v>002730</v>
      </c>
      <c r="B1187" t="s">
        <v>2318</v>
      </c>
      <c r="C1187">
        <v>2.86</v>
      </c>
      <c r="D1187">
        <v>36.74</v>
      </c>
      <c r="E1187">
        <v>7.91</v>
      </c>
      <c r="F1187">
        <v>0.22</v>
      </c>
      <c r="G1187">
        <v>7.9</v>
      </c>
      <c r="H1187">
        <v>7.91</v>
      </c>
      <c r="I1187" t="s">
        <v>2319</v>
      </c>
      <c r="J1187">
        <v>1.32</v>
      </c>
      <c r="K1187">
        <v>1.32</v>
      </c>
      <c r="L1187">
        <v>7.7</v>
      </c>
      <c r="M1187">
        <v>7.95</v>
      </c>
      <c r="N1187">
        <v>7.66</v>
      </c>
    </row>
    <row r="1188" spans="1:14" x14ac:dyDescent="0.5">
      <c r="A1188" t="str">
        <f>"002731"</f>
        <v>002731</v>
      </c>
      <c r="B1188" t="s">
        <v>2320</v>
      </c>
      <c r="C1188">
        <v>-0.56000000000000005</v>
      </c>
      <c r="D1188">
        <v>62.1</v>
      </c>
      <c r="E1188">
        <v>19.670000000000002</v>
      </c>
      <c r="F1188">
        <v>-0.11</v>
      </c>
      <c r="G1188">
        <v>19.63</v>
      </c>
      <c r="H1188">
        <v>19.670000000000002</v>
      </c>
      <c r="I1188" t="s">
        <v>848</v>
      </c>
      <c r="J1188">
        <v>0.78</v>
      </c>
      <c r="K1188">
        <v>0.78</v>
      </c>
      <c r="L1188">
        <v>19.82</v>
      </c>
      <c r="M1188">
        <v>19.829999999999998</v>
      </c>
      <c r="N1188">
        <v>19.579999999999998</v>
      </c>
    </row>
    <row r="1189" spans="1:14" x14ac:dyDescent="0.5">
      <c r="A1189" t="str">
        <f>"002732"</f>
        <v>002732</v>
      </c>
      <c r="B1189" t="s">
        <v>2321</v>
      </c>
      <c r="C1189">
        <v>0.57999999999999996</v>
      </c>
      <c r="D1189">
        <v>34.479999999999997</v>
      </c>
      <c r="E1189">
        <v>17.489999999999998</v>
      </c>
      <c r="F1189">
        <v>0.1</v>
      </c>
      <c r="G1189">
        <v>17.48</v>
      </c>
      <c r="H1189">
        <v>17.489999999999998</v>
      </c>
      <c r="I1189" t="s">
        <v>2322</v>
      </c>
      <c r="J1189">
        <v>0.92</v>
      </c>
      <c r="K1189">
        <v>0.92</v>
      </c>
      <c r="L1189">
        <v>17.309999999999999</v>
      </c>
      <c r="M1189">
        <v>17.5</v>
      </c>
      <c r="N1189">
        <v>17.2</v>
      </c>
    </row>
    <row r="1190" spans="1:14" x14ac:dyDescent="0.5">
      <c r="A1190" t="str">
        <f>"002733"</f>
        <v>002733</v>
      </c>
      <c r="B1190" t="s">
        <v>2323</v>
      </c>
      <c r="C1190">
        <v>-0.53</v>
      </c>
      <c r="D1190">
        <v>218.24</v>
      </c>
      <c r="E1190">
        <v>24.5</v>
      </c>
      <c r="F1190">
        <v>-0.13</v>
      </c>
      <c r="G1190">
        <v>24.5</v>
      </c>
      <c r="H1190">
        <v>24.51</v>
      </c>
      <c r="I1190" t="s">
        <v>2324</v>
      </c>
      <c r="J1190">
        <v>8.26</v>
      </c>
      <c r="K1190">
        <v>8.26</v>
      </c>
      <c r="L1190">
        <v>24.23</v>
      </c>
      <c r="M1190">
        <v>24.8</v>
      </c>
      <c r="N1190">
        <v>23.8</v>
      </c>
    </row>
    <row r="1191" spans="1:14" x14ac:dyDescent="0.5">
      <c r="A1191" t="str">
        <f>"002734"</f>
        <v>002734</v>
      </c>
      <c r="B1191" t="s">
        <v>2325</v>
      </c>
      <c r="C1191">
        <v>0.53</v>
      </c>
      <c r="D1191">
        <v>20.76</v>
      </c>
      <c r="E1191">
        <v>13.27</v>
      </c>
      <c r="F1191">
        <v>7.0000000000000007E-2</v>
      </c>
      <c r="G1191">
        <v>13.23</v>
      </c>
      <c r="H1191">
        <v>13.27</v>
      </c>
      <c r="I1191" t="s">
        <v>2326</v>
      </c>
      <c r="J1191">
        <v>1.24</v>
      </c>
      <c r="K1191">
        <v>1.24</v>
      </c>
      <c r="L1191">
        <v>13.19</v>
      </c>
      <c r="M1191">
        <v>13.35</v>
      </c>
      <c r="N1191">
        <v>13.02</v>
      </c>
    </row>
    <row r="1192" spans="1:14" x14ac:dyDescent="0.5">
      <c r="A1192" t="str">
        <f>"002735"</f>
        <v>002735</v>
      </c>
      <c r="B1192" t="s">
        <v>2327</v>
      </c>
      <c r="C1192">
        <v>0.81</v>
      </c>
      <c r="D1192">
        <v>50.18</v>
      </c>
      <c r="E1192">
        <v>23.61</v>
      </c>
      <c r="F1192">
        <v>0.19</v>
      </c>
      <c r="G1192">
        <v>23.61</v>
      </c>
      <c r="H1192">
        <v>23.62</v>
      </c>
      <c r="I1192" t="s">
        <v>2328</v>
      </c>
      <c r="J1192">
        <v>2.0699999999999998</v>
      </c>
      <c r="K1192">
        <v>2.0699999999999998</v>
      </c>
      <c r="L1192">
        <v>23.42</v>
      </c>
      <c r="M1192">
        <v>23.61</v>
      </c>
      <c r="N1192">
        <v>23.25</v>
      </c>
    </row>
    <row r="1193" spans="1:14" x14ac:dyDescent="0.5">
      <c r="A1193" t="str">
        <f>"002736"</f>
        <v>002736</v>
      </c>
      <c r="B1193" t="s">
        <v>2329</v>
      </c>
      <c r="C1193">
        <v>0</v>
      </c>
      <c r="D1193">
        <v>30.91</v>
      </c>
      <c r="E1193">
        <v>12</v>
      </c>
      <c r="F1193">
        <v>0</v>
      </c>
      <c r="G1193">
        <v>11.99</v>
      </c>
      <c r="H1193">
        <v>12</v>
      </c>
      <c r="I1193" t="s">
        <v>2330</v>
      </c>
      <c r="J1193">
        <v>0.38</v>
      </c>
      <c r="K1193">
        <v>0.38</v>
      </c>
      <c r="L1193">
        <v>11.85</v>
      </c>
      <c r="M1193">
        <v>12.02</v>
      </c>
      <c r="N1193">
        <v>11.8</v>
      </c>
    </row>
    <row r="1194" spans="1:14" x14ac:dyDescent="0.5">
      <c r="A1194" t="str">
        <f>"002737"</f>
        <v>002737</v>
      </c>
      <c r="B1194" t="s">
        <v>2331</v>
      </c>
      <c r="C1194">
        <v>1.71</v>
      </c>
      <c r="D1194">
        <v>17.95</v>
      </c>
      <c r="E1194">
        <v>16.66</v>
      </c>
      <c r="F1194">
        <v>0.28000000000000003</v>
      </c>
      <c r="G1194">
        <v>16.66</v>
      </c>
      <c r="H1194">
        <v>16.670000000000002</v>
      </c>
      <c r="I1194" t="s">
        <v>2332</v>
      </c>
      <c r="J1194">
        <v>2.52</v>
      </c>
      <c r="K1194">
        <v>2.52</v>
      </c>
      <c r="L1194">
        <v>16.399999999999999</v>
      </c>
      <c r="M1194">
        <v>16.670000000000002</v>
      </c>
      <c r="N1194">
        <v>16.2</v>
      </c>
    </row>
    <row r="1195" spans="1:14" x14ac:dyDescent="0.5">
      <c r="A1195" t="str">
        <f>"002738"</f>
        <v>002738</v>
      </c>
      <c r="B1195" t="s">
        <v>2333</v>
      </c>
      <c r="C1195">
        <v>0.61</v>
      </c>
      <c r="D1195">
        <v>47.39</v>
      </c>
      <c r="E1195">
        <v>16.600000000000001</v>
      </c>
      <c r="F1195">
        <v>0.1</v>
      </c>
      <c r="G1195">
        <v>16.59</v>
      </c>
      <c r="H1195">
        <v>16.600000000000001</v>
      </c>
      <c r="I1195" t="s">
        <v>2334</v>
      </c>
      <c r="J1195">
        <v>1.36</v>
      </c>
      <c r="K1195">
        <v>1.36</v>
      </c>
      <c r="L1195">
        <v>16.62</v>
      </c>
      <c r="M1195">
        <v>16.649999999999999</v>
      </c>
      <c r="N1195">
        <v>16.38</v>
      </c>
    </row>
    <row r="1196" spans="1:14" x14ac:dyDescent="0.5">
      <c r="A1196" t="str">
        <f>"002739"</f>
        <v>002739</v>
      </c>
      <c r="B1196" t="s">
        <v>2335</v>
      </c>
      <c r="C1196">
        <v>1.04</v>
      </c>
      <c r="D1196">
        <v>26.63</v>
      </c>
      <c r="E1196">
        <v>23.25</v>
      </c>
      <c r="F1196">
        <v>0.24</v>
      </c>
      <c r="G1196">
        <v>23.24</v>
      </c>
      <c r="H1196">
        <v>23.25</v>
      </c>
      <c r="I1196" t="s">
        <v>2336</v>
      </c>
      <c r="J1196">
        <v>1.47</v>
      </c>
      <c r="K1196">
        <v>1.47</v>
      </c>
      <c r="L1196">
        <v>22.81</v>
      </c>
      <c r="M1196">
        <v>23.3</v>
      </c>
      <c r="N1196">
        <v>22.64</v>
      </c>
    </row>
    <row r="1197" spans="1:14" x14ac:dyDescent="0.5">
      <c r="A1197" t="str">
        <f>"002740"</f>
        <v>002740</v>
      </c>
      <c r="B1197" t="s">
        <v>2337</v>
      </c>
      <c r="C1197">
        <v>1.36</v>
      </c>
      <c r="D1197">
        <v>55.58</v>
      </c>
      <c r="E1197">
        <v>6.73</v>
      </c>
      <c r="F1197">
        <v>0.09</v>
      </c>
      <c r="G1197">
        <v>6.72</v>
      </c>
      <c r="H1197">
        <v>6.73</v>
      </c>
      <c r="I1197" t="s">
        <v>2338</v>
      </c>
      <c r="J1197">
        <v>3.87</v>
      </c>
      <c r="K1197">
        <v>3.87</v>
      </c>
      <c r="L1197">
        <v>6.65</v>
      </c>
      <c r="M1197">
        <v>6.73</v>
      </c>
      <c r="N1197">
        <v>6.56</v>
      </c>
    </row>
    <row r="1198" spans="1:14" x14ac:dyDescent="0.5">
      <c r="A1198" t="str">
        <f>"002741"</f>
        <v>002741</v>
      </c>
      <c r="B1198" t="s">
        <v>2339</v>
      </c>
      <c r="C1198">
        <v>0.97</v>
      </c>
      <c r="D1198">
        <v>36.86</v>
      </c>
      <c r="E1198">
        <v>15.65</v>
      </c>
      <c r="F1198">
        <v>0.15</v>
      </c>
      <c r="G1198">
        <v>15.64</v>
      </c>
      <c r="H1198">
        <v>15.65</v>
      </c>
      <c r="I1198" t="s">
        <v>2340</v>
      </c>
      <c r="J1198">
        <v>1.54</v>
      </c>
      <c r="K1198">
        <v>1.54</v>
      </c>
      <c r="L1198">
        <v>15.47</v>
      </c>
      <c r="M1198">
        <v>15.66</v>
      </c>
      <c r="N1198">
        <v>15.3</v>
      </c>
    </row>
    <row r="1199" spans="1:14" x14ac:dyDescent="0.5">
      <c r="A1199" t="str">
        <f>"002742"</f>
        <v>002742</v>
      </c>
      <c r="B1199" t="s">
        <v>2341</v>
      </c>
      <c r="C1199">
        <v>1</v>
      </c>
      <c r="D1199">
        <v>26.08</v>
      </c>
      <c r="E1199">
        <v>8.08</v>
      </c>
      <c r="F1199">
        <v>0.08</v>
      </c>
      <c r="G1199">
        <v>8.08</v>
      </c>
      <c r="H1199">
        <v>8.09</v>
      </c>
      <c r="I1199" t="s">
        <v>2342</v>
      </c>
      <c r="J1199">
        <v>3.61</v>
      </c>
      <c r="K1199">
        <v>3.61</v>
      </c>
      <c r="L1199">
        <v>8</v>
      </c>
      <c r="M1199">
        <v>8.1</v>
      </c>
      <c r="N1199">
        <v>7.94</v>
      </c>
    </row>
    <row r="1200" spans="1:14" x14ac:dyDescent="0.5">
      <c r="A1200" t="str">
        <f>"002743"</f>
        <v>002743</v>
      </c>
      <c r="B1200" t="s">
        <v>2343</v>
      </c>
      <c r="C1200">
        <v>2.73</v>
      </c>
      <c r="D1200">
        <v>27.26</v>
      </c>
      <c r="E1200">
        <v>6.77</v>
      </c>
      <c r="F1200">
        <v>0.18</v>
      </c>
      <c r="G1200">
        <v>6.77</v>
      </c>
      <c r="H1200">
        <v>6.78</v>
      </c>
      <c r="I1200" t="s">
        <v>2344</v>
      </c>
      <c r="J1200">
        <v>3.22</v>
      </c>
      <c r="K1200">
        <v>3.22</v>
      </c>
      <c r="L1200">
        <v>6.72</v>
      </c>
      <c r="M1200">
        <v>6.93</v>
      </c>
      <c r="N1200">
        <v>6.7</v>
      </c>
    </row>
    <row r="1201" spans="1:14" x14ac:dyDescent="0.5">
      <c r="A1201" t="str">
        <f>"002745"</f>
        <v>002745</v>
      </c>
      <c r="B1201" t="s">
        <v>2345</v>
      </c>
      <c r="C1201">
        <v>0.39</v>
      </c>
      <c r="D1201">
        <v>22.84</v>
      </c>
      <c r="E1201">
        <v>15.5</v>
      </c>
      <c r="F1201">
        <v>0.06</v>
      </c>
      <c r="G1201">
        <v>15.5</v>
      </c>
      <c r="H1201">
        <v>15.51</v>
      </c>
      <c r="I1201" t="s">
        <v>2346</v>
      </c>
      <c r="J1201">
        <v>5.0599999999999996</v>
      </c>
      <c r="K1201">
        <v>5.0599999999999996</v>
      </c>
      <c r="L1201">
        <v>15.22</v>
      </c>
      <c r="M1201">
        <v>15.89</v>
      </c>
      <c r="N1201">
        <v>15.13</v>
      </c>
    </row>
    <row r="1202" spans="1:14" x14ac:dyDescent="0.5">
      <c r="A1202" t="str">
        <f>"002746"</f>
        <v>002746</v>
      </c>
      <c r="B1202" t="s">
        <v>2347</v>
      </c>
      <c r="C1202">
        <v>0.04</v>
      </c>
      <c r="D1202">
        <v>28.15</v>
      </c>
      <c r="E1202">
        <v>24.58</v>
      </c>
      <c r="F1202">
        <v>0.01</v>
      </c>
      <c r="G1202">
        <v>24.58</v>
      </c>
      <c r="H1202">
        <v>24.59</v>
      </c>
      <c r="I1202" t="s">
        <v>2348</v>
      </c>
      <c r="J1202">
        <v>5.42</v>
      </c>
      <c r="K1202">
        <v>5.42</v>
      </c>
      <c r="L1202">
        <v>24.2</v>
      </c>
      <c r="M1202">
        <v>25.5</v>
      </c>
      <c r="N1202">
        <v>23.7</v>
      </c>
    </row>
    <row r="1203" spans="1:14" x14ac:dyDescent="0.5">
      <c r="A1203" t="str">
        <f>"002747"</f>
        <v>002747</v>
      </c>
      <c r="B1203" t="s">
        <v>2349</v>
      </c>
      <c r="C1203">
        <v>10</v>
      </c>
      <c r="D1203">
        <v>80.92</v>
      </c>
      <c r="E1203">
        <v>11.33</v>
      </c>
      <c r="F1203">
        <v>1.03</v>
      </c>
      <c r="G1203">
        <v>11.33</v>
      </c>
      <c r="H1203" t="s">
        <v>24</v>
      </c>
      <c r="I1203" t="s">
        <v>2350</v>
      </c>
      <c r="J1203">
        <v>2.77</v>
      </c>
      <c r="K1203">
        <v>2.77</v>
      </c>
      <c r="L1203">
        <v>10.45</v>
      </c>
      <c r="M1203">
        <v>11.33</v>
      </c>
      <c r="N1203">
        <v>10.35</v>
      </c>
    </row>
    <row r="1204" spans="1:14" x14ac:dyDescent="0.5">
      <c r="A1204" t="str">
        <f>"002748"</f>
        <v>002748</v>
      </c>
      <c r="B1204" t="s">
        <v>2351</v>
      </c>
      <c r="C1204">
        <v>1.96</v>
      </c>
      <c r="D1204">
        <v>41.21</v>
      </c>
      <c r="E1204">
        <v>8.33</v>
      </c>
      <c r="F1204">
        <v>0.16</v>
      </c>
      <c r="G1204">
        <v>8.32</v>
      </c>
      <c r="H1204">
        <v>8.33</v>
      </c>
      <c r="I1204" t="s">
        <v>2352</v>
      </c>
      <c r="J1204">
        <v>1.32</v>
      </c>
      <c r="K1204">
        <v>1.32</v>
      </c>
      <c r="L1204">
        <v>8.1</v>
      </c>
      <c r="M1204">
        <v>8.35</v>
      </c>
      <c r="N1204">
        <v>8.1</v>
      </c>
    </row>
    <row r="1205" spans="1:14" x14ac:dyDescent="0.5">
      <c r="A1205" t="str">
        <f>"002749"</f>
        <v>002749</v>
      </c>
      <c r="B1205" t="s">
        <v>2353</v>
      </c>
      <c r="C1205">
        <v>6.25</v>
      </c>
      <c r="D1205">
        <v>22.8</v>
      </c>
      <c r="E1205">
        <v>22.6</v>
      </c>
      <c r="F1205">
        <v>1.33</v>
      </c>
      <c r="G1205">
        <v>22.58</v>
      </c>
      <c r="H1205">
        <v>22.6</v>
      </c>
      <c r="I1205" t="s">
        <v>2354</v>
      </c>
      <c r="J1205">
        <v>2.7</v>
      </c>
      <c r="K1205">
        <v>2.7</v>
      </c>
      <c r="L1205">
        <v>21.28</v>
      </c>
      <c r="M1205">
        <v>23.4</v>
      </c>
      <c r="N1205">
        <v>21.2</v>
      </c>
    </row>
    <row r="1206" spans="1:14" x14ac:dyDescent="0.5">
      <c r="A1206" t="str">
        <f>"002750"</f>
        <v>002750</v>
      </c>
      <c r="B1206" t="s">
        <v>2355</v>
      </c>
      <c r="C1206">
        <v>9.9600000000000009</v>
      </c>
      <c r="D1206">
        <v>184.91</v>
      </c>
      <c r="E1206">
        <v>10.6</v>
      </c>
      <c r="F1206">
        <v>0.96</v>
      </c>
      <c r="G1206">
        <v>10.6</v>
      </c>
      <c r="H1206" t="s">
        <v>24</v>
      </c>
      <c r="I1206" t="s">
        <v>2356</v>
      </c>
      <c r="J1206">
        <v>0.09</v>
      </c>
      <c r="K1206">
        <v>0.09</v>
      </c>
      <c r="L1206">
        <v>10.6</v>
      </c>
      <c r="M1206">
        <v>10.6</v>
      </c>
      <c r="N1206">
        <v>10.6</v>
      </c>
    </row>
    <row r="1207" spans="1:14" x14ac:dyDescent="0.5">
      <c r="A1207" t="str">
        <f>"002751"</f>
        <v>002751</v>
      </c>
      <c r="B1207" t="s">
        <v>2357</v>
      </c>
      <c r="C1207">
        <v>5.31</v>
      </c>
      <c r="D1207">
        <v>51.87</v>
      </c>
      <c r="E1207">
        <v>26.18</v>
      </c>
      <c r="F1207">
        <v>1.32</v>
      </c>
      <c r="G1207">
        <v>26.17</v>
      </c>
      <c r="H1207">
        <v>26.18</v>
      </c>
      <c r="I1207" t="s">
        <v>2358</v>
      </c>
      <c r="J1207">
        <v>10.36</v>
      </c>
      <c r="K1207">
        <v>10.36</v>
      </c>
      <c r="L1207">
        <v>25.05</v>
      </c>
      <c r="M1207">
        <v>26.85</v>
      </c>
      <c r="N1207">
        <v>24.9</v>
      </c>
    </row>
    <row r="1208" spans="1:14" x14ac:dyDescent="0.5">
      <c r="A1208" t="str">
        <f>"002752"</f>
        <v>002752</v>
      </c>
      <c r="B1208" t="s">
        <v>2359</v>
      </c>
      <c r="C1208">
        <v>2.4300000000000002</v>
      </c>
      <c r="D1208">
        <v>100.9</v>
      </c>
      <c r="E1208">
        <v>7.58</v>
      </c>
      <c r="F1208">
        <v>0.18</v>
      </c>
      <c r="G1208">
        <v>7.57</v>
      </c>
      <c r="H1208">
        <v>7.58</v>
      </c>
      <c r="I1208" t="s">
        <v>2360</v>
      </c>
      <c r="J1208">
        <v>2.91</v>
      </c>
      <c r="K1208">
        <v>2.91</v>
      </c>
      <c r="L1208">
        <v>7.35</v>
      </c>
      <c r="M1208">
        <v>7.59</v>
      </c>
      <c r="N1208">
        <v>7.33</v>
      </c>
    </row>
    <row r="1209" spans="1:14" x14ac:dyDescent="0.5">
      <c r="A1209" t="str">
        <f>"002753"</f>
        <v>002753</v>
      </c>
      <c r="B1209" t="s">
        <v>2361</v>
      </c>
      <c r="C1209">
        <v>0.38</v>
      </c>
      <c r="D1209">
        <v>10.54</v>
      </c>
      <c r="E1209">
        <v>10.43</v>
      </c>
      <c r="F1209">
        <v>0.04</v>
      </c>
      <c r="G1209">
        <v>10.43</v>
      </c>
      <c r="H1209">
        <v>10.44</v>
      </c>
      <c r="I1209" t="s">
        <v>2362</v>
      </c>
      <c r="J1209">
        <v>2.11</v>
      </c>
      <c r="K1209">
        <v>2.11</v>
      </c>
      <c r="L1209">
        <v>10.38</v>
      </c>
      <c r="M1209">
        <v>10.45</v>
      </c>
      <c r="N1209">
        <v>10.25</v>
      </c>
    </row>
    <row r="1210" spans="1:14" x14ac:dyDescent="0.5">
      <c r="A1210" t="str">
        <f>"002755"</f>
        <v>002755</v>
      </c>
      <c r="B1210" t="s">
        <v>2363</v>
      </c>
      <c r="C1210">
        <v>0.67</v>
      </c>
      <c r="D1210">
        <v>1117.52</v>
      </c>
      <c r="E1210">
        <v>16.61</v>
      </c>
      <c r="F1210">
        <v>0.11</v>
      </c>
      <c r="G1210">
        <v>16.61</v>
      </c>
      <c r="H1210">
        <v>16.62</v>
      </c>
      <c r="I1210" t="s">
        <v>1409</v>
      </c>
      <c r="J1210">
        <v>3.88</v>
      </c>
      <c r="K1210">
        <v>3.88</v>
      </c>
      <c r="L1210">
        <v>16.510000000000002</v>
      </c>
      <c r="M1210">
        <v>16.63</v>
      </c>
      <c r="N1210">
        <v>16.260000000000002</v>
      </c>
    </row>
    <row r="1211" spans="1:14" x14ac:dyDescent="0.5">
      <c r="A1211" t="str">
        <f>"002756"</f>
        <v>002756</v>
      </c>
      <c r="B1211" t="s">
        <v>2364</v>
      </c>
      <c r="C1211">
        <v>0.38</v>
      </c>
      <c r="D1211">
        <v>13.3</v>
      </c>
      <c r="E1211">
        <v>15.74</v>
      </c>
      <c r="F1211">
        <v>0.06</v>
      </c>
      <c r="G1211">
        <v>15.74</v>
      </c>
      <c r="H1211">
        <v>15.75</v>
      </c>
      <c r="I1211" t="s">
        <v>2365</v>
      </c>
      <c r="J1211">
        <v>2.42</v>
      </c>
      <c r="K1211">
        <v>2.42</v>
      </c>
      <c r="L1211">
        <v>15.62</v>
      </c>
      <c r="M1211">
        <v>15.76</v>
      </c>
      <c r="N1211">
        <v>15.41</v>
      </c>
    </row>
    <row r="1212" spans="1:14" x14ac:dyDescent="0.5">
      <c r="A1212" t="str">
        <f>"002757"</f>
        <v>002757</v>
      </c>
      <c r="B1212" t="s">
        <v>2366</v>
      </c>
      <c r="C1212">
        <v>-0.38</v>
      </c>
      <c r="D1212">
        <v>27.57</v>
      </c>
      <c r="E1212">
        <v>31.55</v>
      </c>
      <c r="F1212">
        <v>-0.12</v>
      </c>
      <c r="G1212">
        <v>31.55</v>
      </c>
      <c r="H1212">
        <v>31.56</v>
      </c>
      <c r="I1212" t="s">
        <v>2367</v>
      </c>
      <c r="J1212">
        <v>1.44</v>
      </c>
      <c r="K1212">
        <v>1.44</v>
      </c>
      <c r="L1212">
        <v>31.45</v>
      </c>
      <c r="M1212">
        <v>31.79</v>
      </c>
      <c r="N1212">
        <v>31.03</v>
      </c>
    </row>
    <row r="1213" spans="1:14" x14ac:dyDescent="0.5">
      <c r="A1213" t="str">
        <f>"002758"</f>
        <v>002758</v>
      </c>
      <c r="B1213" t="s">
        <v>2368</v>
      </c>
      <c r="C1213">
        <v>0.59</v>
      </c>
      <c r="D1213">
        <v>60.29</v>
      </c>
      <c r="E1213">
        <v>10.18</v>
      </c>
      <c r="F1213">
        <v>0.06</v>
      </c>
      <c r="G1213">
        <v>10.16</v>
      </c>
      <c r="H1213">
        <v>10.18</v>
      </c>
      <c r="I1213" t="s">
        <v>2369</v>
      </c>
      <c r="J1213">
        <v>1.95</v>
      </c>
      <c r="K1213">
        <v>1.95</v>
      </c>
      <c r="L1213">
        <v>10.119999999999999</v>
      </c>
      <c r="M1213">
        <v>10.25</v>
      </c>
      <c r="N1213">
        <v>9.9600000000000009</v>
      </c>
    </row>
    <row r="1214" spans="1:14" x14ac:dyDescent="0.5">
      <c r="A1214" t="str">
        <f>"002759"</f>
        <v>002759</v>
      </c>
      <c r="B1214" t="s">
        <v>2370</v>
      </c>
      <c r="C1214">
        <v>0.11</v>
      </c>
      <c r="D1214" t="s">
        <v>24</v>
      </c>
      <c r="E1214">
        <v>8.98</v>
      </c>
      <c r="F1214">
        <v>0.01</v>
      </c>
      <c r="G1214">
        <v>8.98</v>
      </c>
      <c r="H1214">
        <v>8.99</v>
      </c>
      <c r="I1214" t="s">
        <v>2371</v>
      </c>
      <c r="J1214">
        <v>5.03</v>
      </c>
      <c r="K1214">
        <v>5.03</v>
      </c>
      <c r="L1214">
        <v>8.81</v>
      </c>
      <c r="M1214">
        <v>9.08</v>
      </c>
      <c r="N1214">
        <v>8.67</v>
      </c>
    </row>
    <row r="1215" spans="1:14" x14ac:dyDescent="0.5">
      <c r="A1215" t="str">
        <f>"002760"</f>
        <v>002760</v>
      </c>
      <c r="B1215" t="s">
        <v>2372</v>
      </c>
      <c r="C1215">
        <v>1.28</v>
      </c>
      <c r="D1215" t="s">
        <v>24</v>
      </c>
      <c r="E1215">
        <v>16.600000000000001</v>
      </c>
      <c r="F1215">
        <v>0.21</v>
      </c>
      <c r="G1215">
        <v>16.59</v>
      </c>
      <c r="H1215">
        <v>16.600000000000001</v>
      </c>
      <c r="I1215" t="s">
        <v>2373</v>
      </c>
      <c r="J1215">
        <v>2.52</v>
      </c>
      <c r="K1215">
        <v>2.52</v>
      </c>
      <c r="L1215">
        <v>16.329999999999998</v>
      </c>
      <c r="M1215">
        <v>16.690000000000001</v>
      </c>
      <c r="N1215">
        <v>16.25</v>
      </c>
    </row>
    <row r="1216" spans="1:14" x14ac:dyDescent="0.5">
      <c r="A1216" t="str">
        <f>"002761"</f>
        <v>002761</v>
      </c>
      <c r="B1216" t="s">
        <v>2374</v>
      </c>
      <c r="C1216">
        <v>1.22</v>
      </c>
      <c r="D1216">
        <v>75.42</v>
      </c>
      <c r="E1216">
        <v>17.489999999999998</v>
      </c>
      <c r="F1216">
        <v>0.21</v>
      </c>
      <c r="G1216">
        <v>17.489999999999998</v>
      </c>
      <c r="H1216">
        <v>17.5</v>
      </c>
      <c r="I1216" t="s">
        <v>2375</v>
      </c>
      <c r="J1216">
        <v>6.23</v>
      </c>
      <c r="K1216">
        <v>6.23</v>
      </c>
      <c r="L1216">
        <v>17.12</v>
      </c>
      <c r="M1216">
        <v>17.55</v>
      </c>
      <c r="N1216">
        <v>16.8</v>
      </c>
    </row>
    <row r="1217" spans="1:14" x14ac:dyDescent="0.5">
      <c r="A1217" t="str">
        <f>"002762"</f>
        <v>002762</v>
      </c>
      <c r="B1217" t="s">
        <v>2376</v>
      </c>
      <c r="C1217">
        <v>-1.32</v>
      </c>
      <c r="D1217">
        <v>27.2</v>
      </c>
      <c r="E1217">
        <v>7.46</v>
      </c>
      <c r="F1217">
        <v>-0.1</v>
      </c>
      <c r="G1217">
        <v>7.46</v>
      </c>
      <c r="H1217">
        <v>7.47</v>
      </c>
      <c r="I1217" t="s">
        <v>2377</v>
      </c>
      <c r="J1217">
        <v>10.52</v>
      </c>
      <c r="K1217">
        <v>10.52</v>
      </c>
      <c r="L1217">
        <v>7.4</v>
      </c>
      <c r="M1217">
        <v>7.55</v>
      </c>
      <c r="N1217">
        <v>7.22</v>
      </c>
    </row>
    <row r="1218" spans="1:14" x14ac:dyDescent="0.5">
      <c r="A1218" t="str">
        <f>"002763"</f>
        <v>002763</v>
      </c>
      <c r="B1218" t="s">
        <v>2378</v>
      </c>
      <c r="C1218">
        <v>1.79</v>
      </c>
      <c r="D1218">
        <v>19.41</v>
      </c>
      <c r="E1218">
        <v>9.08</v>
      </c>
      <c r="F1218">
        <v>0.16</v>
      </c>
      <c r="G1218">
        <v>9.08</v>
      </c>
      <c r="H1218">
        <v>9.09</v>
      </c>
      <c r="I1218" t="s">
        <v>2379</v>
      </c>
      <c r="J1218">
        <v>1.98</v>
      </c>
      <c r="K1218">
        <v>1.98</v>
      </c>
      <c r="L1218">
        <v>8.92</v>
      </c>
      <c r="M1218">
        <v>9.1</v>
      </c>
      <c r="N1218">
        <v>8.85</v>
      </c>
    </row>
    <row r="1219" spans="1:14" x14ac:dyDescent="0.5">
      <c r="A1219" t="str">
        <f>"002765"</f>
        <v>002765</v>
      </c>
      <c r="B1219" t="s">
        <v>2380</v>
      </c>
      <c r="C1219">
        <v>0.96</v>
      </c>
      <c r="D1219">
        <v>38.64</v>
      </c>
      <c r="E1219">
        <v>7.36</v>
      </c>
      <c r="F1219">
        <v>7.0000000000000007E-2</v>
      </c>
      <c r="G1219">
        <v>7.36</v>
      </c>
      <c r="H1219">
        <v>7.37</v>
      </c>
      <c r="I1219" t="s">
        <v>2381</v>
      </c>
      <c r="J1219">
        <v>1.1599999999999999</v>
      </c>
      <c r="K1219">
        <v>1.1599999999999999</v>
      </c>
      <c r="L1219">
        <v>7.28</v>
      </c>
      <c r="M1219">
        <v>7.38</v>
      </c>
      <c r="N1219">
        <v>7.2</v>
      </c>
    </row>
    <row r="1220" spans="1:14" x14ac:dyDescent="0.5">
      <c r="A1220" t="str">
        <f>"002766"</f>
        <v>002766</v>
      </c>
      <c r="B1220" t="s">
        <v>2382</v>
      </c>
      <c r="C1220">
        <v>4.67</v>
      </c>
      <c r="D1220">
        <v>25.17</v>
      </c>
      <c r="E1220">
        <v>6.28</v>
      </c>
      <c r="F1220">
        <v>0.28000000000000003</v>
      </c>
      <c r="G1220">
        <v>6.27</v>
      </c>
      <c r="H1220">
        <v>6.28</v>
      </c>
      <c r="I1220" t="s">
        <v>2383</v>
      </c>
      <c r="J1220">
        <v>10.7</v>
      </c>
      <c r="K1220">
        <v>10.7</v>
      </c>
      <c r="L1220">
        <v>6</v>
      </c>
      <c r="M1220">
        <v>6.36</v>
      </c>
      <c r="N1220">
        <v>5.96</v>
      </c>
    </row>
    <row r="1221" spans="1:14" x14ac:dyDescent="0.5">
      <c r="A1221" t="str">
        <f>"002767"</f>
        <v>002767</v>
      </c>
      <c r="B1221" t="s">
        <v>2384</v>
      </c>
      <c r="C1221">
        <v>0.31</v>
      </c>
      <c r="D1221">
        <v>62.54</v>
      </c>
      <c r="E1221">
        <v>16.010000000000002</v>
      </c>
      <c r="F1221">
        <v>0.05</v>
      </c>
      <c r="G1221">
        <v>16</v>
      </c>
      <c r="H1221">
        <v>16.010000000000002</v>
      </c>
      <c r="I1221" t="s">
        <v>2385</v>
      </c>
      <c r="J1221">
        <v>1.65</v>
      </c>
      <c r="K1221">
        <v>1.65</v>
      </c>
      <c r="L1221">
        <v>15.87</v>
      </c>
      <c r="M1221">
        <v>16.059999999999999</v>
      </c>
      <c r="N1221">
        <v>15.71</v>
      </c>
    </row>
    <row r="1222" spans="1:14" x14ac:dyDescent="0.5">
      <c r="A1222" t="str">
        <f>"002768"</f>
        <v>002768</v>
      </c>
      <c r="B1222" t="s">
        <v>2386</v>
      </c>
      <c r="C1222">
        <v>2.89</v>
      </c>
      <c r="D1222">
        <v>24.21</v>
      </c>
      <c r="E1222">
        <v>25.3</v>
      </c>
      <c r="F1222">
        <v>0.71</v>
      </c>
      <c r="G1222">
        <v>25.25</v>
      </c>
      <c r="H1222">
        <v>25.3</v>
      </c>
      <c r="I1222" t="s">
        <v>2387</v>
      </c>
      <c r="J1222">
        <v>1.69</v>
      </c>
      <c r="K1222">
        <v>1.69</v>
      </c>
      <c r="L1222">
        <v>24.49</v>
      </c>
      <c r="M1222">
        <v>25.47</v>
      </c>
      <c r="N1222">
        <v>24.2</v>
      </c>
    </row>
    <row r="1223" spans="1:14" x14ac:dyDescent="0.5">
      <c r="A1223" t="str">
        <f>"002769"</f>
        <v>002769</v>
      </c>
      <c r="B1223" t="s">
        <v>2388</v>
      </c>
      <c r="C1223">
        <v>2.0499999999999998</v>
      </c>
      <c r="D1223">
        <v>242.22</v>
      </c>
      <c r="E1223">
        <v>11.93</v>
      </c>
      <c r="F1223">
        <v>0.24</v>
      </c>
      <c r="G1223">
        <v>11.93</v>
      </c>
      <c r="H1223">
        <v>11.94</v>
      </c>
      <c r="I1223" t="s">
        <v>2389</v>
      </c>
      <c r="J1223">
        <v>7.27</v>
      </c>
      <c r="K1223">
        <v>7.27</v>
      </c>
      <c r="L1223">
        <v>11.62</v>
      </c>
      <c r="M1223">
        <v>11.94</v>
      </c>
      <c r="N1223">
        <v>11.4</v>
      </c>
    </row>
    <row r="1224" spans="1:14" x14ac:dyDescent="0.5">
      <c r="A1224" t="str">
        <f>"002770"</f>
        <v>002770</v>
      </c>
      <c r="B1224" t="s">
        <v>2390</v>
      </c>
      <c r="C1224">
        <v>1.08</v>
      </c>
      <c r="D1224">
        <v>30.63</v>
      </c>
      <c r="E1224">
        <v>3.73</v>
      </c>
      <c r="F1224">
        <v>0.04</v>
      </c>
      <c r="G1224">
        <v>3.72</v>
      </c>
      <c r="H1224">
        <v>3.73</v>
      </c>
      <c r="I1224" t="s">
        <v>2391</v>
      </c>
      <c r="J1224">
        <v>6.34</v>
      </c>
      <c r="K1224">
        <v>6.34</v>
      </c>
      <c r="L1224">
        <v>3.64</v>
      </c>
      <c r="M1224">
        <v>3.74</v>
      </c>
      <c r="N1224">
        <v>3.6</v>
      </c>
    </row>
    <row r="1225" spans="1:14" x14ac:dyDescent="0.5">
      <c r="A1225" t="str">
        <f>"002771"</f>
        <v>002771</v>
      </c>
      <c r="B1225" t="s">
        <v>2392</v>
      </c>
      <c r="C1225">
        <v>10.01</v>
      </c>
      <c r="D1225">
        <v>39.700000000000003</v>
      </c>
      <c r="E1225">
        <v>16.809999999999999</v>
      </c>
      <c r="F1225">
        <v>1.53</v>
      </c>
      <c r="G1225">
        <v>16.809999999999999</v>
      </c>
      <c r="H1225" t="s">
        <v>24</v>
      </c>
      <c r="I1225" t="s">
        <v>2393</v>
      </c>
      <c r="J1225">
        <v>7.65</v>
      </c>
      <c r="K1225">
        <v>7.65</v>
      </c>
      <c r="L1225">
        <v>16.100000000000001</v>
      </c>
      <c r="M1225">
        <v>16.809999999999999</v>
      </c>
      <c r="N1225">
        <v>15.78</v>
      </c>
    </row>
    <row r="1226" spans="1:14" x14ac:dyDescent="0.5">
      <c r="A1226" t="str">
        <f>"002772"</f>
        <v>002772</v>
      </c>
      <c r="B1226" t="s">
        <v>2394</v>
      </c>
      <c r="C1226">
        <v>1.19</v>
      </c>
      <c r="D1226">
        <v>19.78</v>
      </c>
      <c r="E1226">
        <v>7.67</v>
      </c>
      <c r="F1226">
        <v>0.09</v>
      </c>
      <c r="G1226">
        <v>7.67</v>
      </c>
      <c r="H1226">
        <v>7.68</v>
      </c>
      <c r="I1226" t="s">
        <v>2395</v>
      </c>
      <c r="J1226">
        <v>2.62</v>
      </c>
      <c r="K1226">
        <v>2.62</v>
      </c>
      <c r="L1226">
        <v>7.55</v>
      </c>
      <c r="M1226">
        <v>7.68</v>
      </c>
      <c r="N1226">
        <v>7.51</v>
      </c>
    </row>
    <row r="1227" spans="1:14" x14ac:dyDescent="0.5">
      <c r="A1227" t="str">
        <f>"002773"</f>
        <v>002773</v>
      </c>
      <c r="B1227" t="s">
        <v>2396</v>
      </c>
      <c r="C1227">
        <v>2.46</v>
      </c>
      <c r="D1227">
        <v>36.79</v>
      </c>
      <c r="E1227">
        <v>43.76</v>
      </c>
      <c r="F1227">
        <v>1.05</v>
      </c>
      <c r="G1227">
        <v>43.76</v>
      </c>
      <c r="H1227">
        <v>43.79</v>
      </c>
      <c r="I1227" t="s">
        <v>2397</v>
      </c>
      <c r="J1227">
        <v>1.4</v>
      </c>
      <c r="K1227">
        <v>1.4</v>
      </c>
      <c r="L1227">
        <v>43.4</v>
      </c>
      <c r="M1227">
        <v>44.53</v>
      </c>
      <c r="N1227">
        <v>42.71</v>
      </c>
    </row>
    <row r="1228" spans="1:14" x14ac:dyDescent="0.5">
      <c r="A1228" t="str">
        <f>"002774"</f>
        <v>002774</v>
      </c>
      <c r="B1228" t="s">
        <v>2398</v>
      </c>
      <c r="C1228">
        <v>7.39</v>
      </c>
      <c r="D1228">
        <v>60.35</v>
      </c>
      <c r="E1228">
        <v>10.76</v>
      </c>
      <c r="F1228">
        <v>0.74</v>
      </c>
      <c r="G1228">
        <v>10.75</v>
      </c>
      <c r="H1228">
        <v>10.76</v>
      </c>
      <c r="I1228" t="s">
        <v>2399</v>
      </c>
      <c r="J1228">
        <v>19.68</v>
      </c>
      <c r="K1228">
        <v>19.68</v>
      </c>
      <c r="L1228">
        <v>9.93</v>
      </c>
      <c r="M1228">
        <v>10.85</v>
      </c>
      <c r="N1228">
        <v>9.8800000000000008</v>
      </c>
    </row>
    <row r="1229" spans="1:14" x14ac:dyDescent="0.5">
      <c r="A1229" t="str">
        <f>"002775"</f>
        <v>002775</v>
      </c>
      <c r="B1229" t="s">
        <v>2400</v>
      </c>
      <c r="C1229">
        <v>1.88</v>
      </c>
      <c r="D1229">
        <v>13.3</v>
      </c>
      <c r="E1229">
        <v>7.04</v>
      </c>
      <c r="F1229">
        <v>0.13</v>
      </c>
      <c r="G1229">
        <v>7.03</v>
      </c>
      <c r="H1229">
        <v>7.04</v>
      </c>
      <c r="I1229" t="s">
        <v>2401</v>
      </c>
      <c r="J1229">
        <v>1.94</v>
      </c>
      <c r="K1229">
        <v>1.94</v>
      </c>
      <c r="L1229">
        <v>6.88</v>
      </c>
      <c r="M1229">
        <v>7.04</v>
      </c>
      <c r="N1229">
        <v>6.84</v>
      </c>
    </row>
    <row r="1230" spans="1:14" x14ac:dyDescent="0.5">
      <c r="A1230" t="str">
        <f>"002776"</f>
        <v>002776</v>
      </c>
      <c r="B1230" t="s">
        <v>2402</v>
      </c>
      <c r="C1230">
        <v>-0.04</v>
      </c>
      <c r="D1230">
        <v>59.25</v>
      </c>
      <c r="E1230">
        <v>25.11</v>
      </c>
      <c r="F1230">
        <v>-0.01</v>
      </c>
      <c r="G1230">
        <v>25.1</v>
      </c>
      <c r="H1230">
        <v>25.11</v>
      </c>
      <c r="I1230" t="s">
        <v>2403</v>
      </c>
      <c r="J1230">
        <v>1.69</v>
      </c>
      <c r="K1230">
        <v>1.69</v>
      </c>
      <c r="L1230">
        <v>25.4</v>
      </c>
      <c r="M1230">
        <v>25.48</v>
      </c>
      <c r="N1230">
        <v>24.92</v>
      </c>
    </row>
    <row r="1231" spans="1:14" x14ac:dyDescent="0.5">
      <c r="A1231" t="str">
        <f>"002777"</f>
        <v>002777</v>
      </c>
      <c r="B1231" t="s">
        <v>2404</v>
      </c>
      <c r="C1231">
        <v>2.89</v>
      </c>
      <c r="D1231">
        <v>48.02</v>
      </c>
      <c r="E1231">
        <v>30.31</v>
      </c>
      <c r="F1231">
        <v>0.85</v>
      </c>
      <c r="G1231">
        <v>30.3</v>
      </c>
      <c r="H1231">
        <v>30.31</v>
      </c>
      <c r="I1231" t="s">
        <v>2405</v>
      </c>
      <c r="J1231">
        <v>1.25</v>
      </c>
      <c r="K1231">
        <v>1.25</v>
      </c>
      <c r="L1231">
        <v>29.35</v>
      </c>
      <c r="M1231">
        <v>30.34</v>
      </c>
      <c r="N1231">
        <v>29.11</v>
      </c>
    </row>
    <row r="1232" spans="1:14" x14ac:dyDescent="0.5">
      <c r="A1232" t="str">
        <f>"002778"</f>
        <v>002778</v>
      </c>
      <c r="B1232" t="s">
        <v>2406</v>
      </c>
      <c r="C1232">
        <v>6.46</v>
      </c>
      <c r="D1232">
        <v>62.18</v>
      </c>
      <c r="E1232">
        <v>21.6</v>
      </c>
      <c r="F1232">
        <v>1.31</v>
      </c>
      <c r="G1232">
        <v>21.6</v>
      </c>
      <c r="H1232">
        <v>21.61</v>
      </c>
      <c r="I1232" t="s">
        <v>2407</v>
      </c>
      <c r="J1232">
        <v>3.67</v>
      </c>
      <c r="K1232">
        <v>3.67</v>
      </c>
      <c r="L1232">
        <v>20.29</v>
      </c>
      <c r="M1232">
        <v>22</v>
      </c>
      <c r="N1232">
        <v>20.100000000000001</v>
      </c>
    </row>
    <row r="1233" spans="1:14" x14ac:dyDescent="0.5">
      <c r="A1233" t="str">
        <f>"002779"</f>
        <v>002779</v>
      </c>
      <c r="B1233" t="s">
        <v>2408</v>
      </c>
      <c r="C1233">
        <v>5.69</v>
      </c>
      <c r="D1233">
        <v>511.08</v>
      </c>
      <c r="E1233">
        <v>19.489999999999998</v>
      </c>
      <c r="F1233">
        <v>1.05</v>
      </c>
      <c r="G1233">
        <v>19.41</v>
      </c>
      <c r="H1233">
        <v>19.489999999999998</v>
      </c>
      <c r="I1233" t="s">
        <v>2409</v>
      </c>
      <c r="J1233">
        <v>1.5</v>
      </c>
      <c r="K1233">
        <v>1.5</v>
      </c>
      <c r="L1233">
        <v>18.260000000000002</v>
      </c>
      <c r="M1233">
        <v>19.5</v>
      </c>
      <c r="N1233">
        <v>18.260000000000002</v>
      </c>
    </row>
    <row r="1234" spans="1:14" x14ac:dyDescent="0.5">
      <c r="A1234" t="str">
        <f>"002780"</f>
        <v>002780</v>
      </c>
      <c r="B1234" t="s">
        <v>2410</v>
      </c>
      <c r="C1234">
        <v>8.51</v>
      </c>
      <c r="D1234" t="s">
        <v>24</v>
      </c>
      <c r="E1234">
        <v>18.36</v>
      </c>
      <c r="F1234">
        <v>1.44</v>
      </c>
      <c r="G1234">
        <v>18.36</v>
      </c>
      <c r="H1234">
        <v>18.37</v>
      </c>
      <c r="I1234" t="s">
        <v>2411</v>
      </c>
      <c r="J1234">
        <v>5.44</v>
      </c>
      <c r="K1234">
        <v>5.44</v>
      </c>
      <c r="L1234">
        <v>16.920000000000002</v>
      </c>
      <c r="M1234">
        <v>18.48</v>
      </c>
      <c r="N1234">
        <v>16.8</v>
      </c>
    </row>
    <row r="1235" spans="1:14" x14ac:dyDescent="0.5">
      <c r="A1235" t="str">
        <f>"002781"</f>
        <v>002781</v>
      </c>
      <c r="B1235" t="s">
        <v>2412</v>
      </c>
      <c r="C1235">
        <v>-0.28999999999999998</v>
      </c>
      <c r="D1235">
        <v>23.31</v>
      </c>
      <c r="E1235">
        <v>17.399999999999999</v>
      </c>
      <c r="F1235">
        <v>-0.05</v>
      </c>
      <c r="G1235">
        <v>17.399999999999999</v>
      </c>
      <c r="H1235">
        <v>17.41</v>
      </c>
      <c r="I1235" t="s">
        <v>2413</v>
      </c>
      <c r="J1235">
        <v>1.5</v>
      </c>
      <c r="K1235">
        <v>1.5</v>
      </c>
      <c r="L1235">
        <v>17.36</v>
      </c>
      <c r="M1235">
        <v>17.43</v>
      </c>
      <c r="N1235">
        <v>17.05</v>
      </c>
    </row>
    <row r="1236" spans="1:14" x14ac:dyDescent="0.5">
      <c r="A1236" t="str">
        <f>"002782"</f>
        <v>002782</v>
      </c>
      <c r="B1236" t="s">
        <v>2414</v>
      </c>
      <c r="C1236">
        <v>7.41</v>
      </c>
      <c r="D1236">
        <v>60.79</v>
      </c>
      <c r="E1236">
        <v>14.5</v>
      </c>
      <c r="F1236">
        <v>1</v>
      </c>
      <c r="G1236">
        <v>14.5</v>
      </c>
      <c r="H1236">
        <v>14.51</v>
      </c>
      <c r="I1236" t="s">
        <v>2415</v>
      </c>
      <c r="J1236">
        <v>4.7</v>
      </c>
      <c r="K1236">
        <v>4.7</v>
      </c>
      <c r="L1236">
        <v>13.42</v>
      </c>
      <c r="M1236">
        <v>14.54</v>
      </c>
      <c r="N1236">
        <v>13.33</v>
      </c>
    </row>
    <row r="1237" spans="1:14" x14ac:dyDescent="0.5">
      <c r="A1237" t="str">
        <f>"002783"</f>
        <v>002783</v>
      </c>
      <c r="B1237" t="s">
        <v>2416</v>
      </c>
      <c r="C1237">
        <v>1.98</v>
      </c>
      <c r="D1237">
        <v>22.28</v>
      </c>
      <c r="E1237">
        <v>8.23</v>
      </c>
      <c r="F1237">
        <v>0.16</v>
      </c>
      <c r="G1237">
        <v>8.23</v>
      </c>
      <c r="H1237">
        <v>8.24</v>
      </c>
      <c r="I1237" t="s">
        <v>2417</v>
      </c>
      <c r="J1237">
        <v>2.52</v>
      </c>
      <c r="K1237">
        <v>2.52</v>
      </c>
      <c r="L1237">
        <v>8.07</v>
      </c>
      <c r="M1237">
        <v>8.23</v>
      </c>
      <c r="N1237">
        <v>8.0299999999999994</v>
      </c>
    </row>
    <row r="1238" spans="1:14" x14ac:dyDescent="0.5">
      <c r="A1238" t="str">
        <f>"002785"</f>
        <v>002785</v>
      </c>
      <c r="B1238" t="s">
        <v>2418</v>
      </c>
      <c r="C1238">
        <v>0.84</v>
      </c>
      <c r="D1238" t="s">
        <v>24</v>
      </c>
      <c r="E1238">
        <v>10.77</v>
      </c>
      <c r="F1238">
        <v>0.09</v>
      </c>
      <c r="G1238">
        <v>10.77</v>
      </c>
      <c r="H1238">
        <v>10.78</v>
      </c>
      <c r="I1238" t="s">
        <v>2419</v>
      </c>
      <c r="J1238">
        <v>3.18</v>
      </c>
      <c r="K1238">
        <v>3.18</v>
      </c>
      <c r="L1238">
        <v>10.47</v>
      </c>
      <c r="M1238">
        <v>10.8</v>
      </c>
      <c r="N1238">
        <v>10.46</v>
      </c>
    </row>
    <row r="1239" spans="1:14" x14ac:dyDescent="0.5">
      <c r="A1239" t="str">
        <f>"002786"</f>
        <v>002786</v>
      </c>
      <c r="B1239" t="s">
        <v>2420</v>
      </c>
      <c r="C1239">
        <v>3.05</v>
      </c>
      <c r="D1239">
        <v>110.56</v>
      </c>
      <c r="E1239">
        <v>10.46</v>
      </c>
      <c r="F1239">
        <v>0.31</v>
      </c>
      <c r="G1239">
        <v>10.46</v>
      </c>
      <c r="H1239">
        <v>10.47</v>
      </c>
      <c r="I1239" t="s">
        <v>2421</v>
      </c>
      <c r="J1239">
        <v>3.52</v>
      </c>
      <c r="K1239">
        <v>3.52</v>
      </c>
      <c r="L1239">
        <v>10.25</v>
      </c>
      <c r="M1239">
        <v>10.46</v>
      </c>
      <c r="N1239">
        <v>10</v>
      </c>
    </row>
    <row r="1240" spans="1:14" x14ac:dyDescent="0.5">
      <c r="A1240" t="str">
        <f>"002787"</f>
        <v>002787</v>
      </c>
      <c r="B1240" t="s">
        <v>2422</v>
      </c>
      <c r="C1240">
        <v>4.01</v>
      </c>
      <c r="D1240">
        <v>34.04</v>
      </c>
      <c r="E1240">
        <v>8.0500000000000007</v>
      </c>
      <c r="F1240">
        <v>0.31</v>
      </c>
      <c r="G1240">
        <v>8.0500000000000007</v>
      </c>
      <c r="H1240">
        <v>8.06</v>
      </c>
      <c r="I1240" t="s">
        <v>2423</v>
      </c>
      <c r="J1240">
        <v>5.24</v>
      </c>
      <c r="K1240">
        <v>5.24</v>
      </c>
      <c r="L1240">
        <v>7.69</v>
      </c>
      <c r="M1240">
        <v>8.0500000000000007</v>
      </c>
      <c r="N1240">
        <v>7.69</v>
      </c>
    </row>
    <row r="1241" spans="1:14" x14ac:dyDescent="0.5">
      <c r="A1241" t="str">
        <f>"002788"</f>
        <v>002788</v>
      </c>
      <c r="B1241" t="s">
        <v>2424</v>
      </c>
      <c r="C1241">
        <v>1.91</v>
      </c>
      <c r="D1241">
        <v>16.3</v>
      </c>
      <c r="E1241">
        <v>14.94</v>
      </c>
      <c r="F1241">
        <v>0.28000000000000003</v>
      </c>
      <c r="G1241">
        <v>14.93</v>
      </c>
      <c r="H1241">
        <v>14.94</v>
      </c>
      <c r="I1241" t="s">
        <v>297</v>
      </c>
      <c r="J1241">
        <v>2.2799999999999998</v>
      </c>
      <c r="K1241">
        <v>2.2799999999999998</v>
      </c>
      <c r="L1241">
        <v>14.66</v>
      </c>
      <c r="M1241">
        <v>14.96</v>
      </c>
      <c r="N1241">
        <v>14.51</v>
      </c>
    </row>
    <row r="1242" spans="1:14" x14ac:dyDescent="0.5">
      <c r="A1242" t="str">
        <f>"002789"</f>
        <v>002789</v>
      </c>
      <c r="B1242" t="s">
        <v>2425</v>
      </c>
      <c r="C1242">
        <v>0.83</v>
      </c>
      <c r="D1242">
        <v>25.55</v>
      </c>
      <c r="E1242">
        <v>18.28</v>
      </c>
      <c r="F1242">
        <v>0.15</v>
      </c>
      <c r="G1242">
        <v>18.28</v>
      </c>
      <c r="H1242">
        <v>18.29</v>
      </c>
      <c r="I1242" t="s">
        <v>2426</v>
      </c>
      <c r="J1242">
        <v>2.97</v>
      </c>
      <c r="K1242">
        <v>2.97</v>
      </c>
      <c r="L1242">
        <v>18.13</v>
      </c>
      <c r="M1242">
        <v>18.32</v>
      </c>
      <c r="N1242">
        <v>18.059999999999999</v>
      </c>
    </row>
    <row r="1243" spans="1:14" x14ac:dyDescent="0.5">
      <c r="A1243" t="str">
        <f>"002790"</f>
        <v>002790</v>
      </c>
      <c r="B1243" t="s">
        <v>2427</v>
      </c>
      <c r="C1243">
        <v>3.12</v>
      </c>
      <c r="D1243">
        <v>20.71</v>
      </c>
      <c r="E1243">
        <v>12.55</v>
      </c>
      <c r="F1243">
        <v>0.38</v>
      </c>
      <c r="G1243">
        <v>12.55</v>
      </c>
      <c r="H1243">
        <v>12.56</v>
      </c>
      <c r="I1243" t="s">
        <v>2428</v>
      </c>
      <c r="J1243">
        <v>8.2200000000000006</v>
      </c>
      <c r="K1243">
        <v>8.2200000000000006</v>
      </c>
      <c r="L1243">
        <v>12.17</v>
      </c>
      <c r="M1243">
        <v>12.56</v>
      </c>
      <c r="N1243">
        <v>12.03</v>
      </c>
    </row>
    <row r="1244" spans="1:14" x14ac:dyDescent="0.5">
      <c r="A1244" t="str">
        <f>"002791"</f>
        <v>002791</v>
      </c>
      <c r="B1244" t="s">
        <v>2429</v>
      </c>
      <c r="C1244">
        <v>0.61</v>
      </c>
      <c r="D1244">
        <v>34.51</v>
      </c>
      <c r="E1244">
        <v>13.09</v>
      </c>
      <c r="F1244">
        <v>0.08</v>
      </c>
      <c r="G1244">
        <v>13.08</v>
      </c>
      <c r="H1244">
        <v>13.09</v>
      </c>
      <c r="I1244" t="s">
        <v>2430</v>
      </c>
      <c r="J1244">
        <v>3.09</v>
      </c>
      <c r="K1244">
        <v>3.09</v>
      </c>
      <c r="L1244">
        <v>13.09</v>
      </c>
      <c r="M1244">
        <v>13.1</v>
      </c>
      <c r="N1244">
        <v>12.85</v>
      </c>
    </row>
    <row r="1245" spans="1:14" x14ac:dyDescent="0.5">
      <c r="A1245" t="str">
        <f>"002792"</f>
        <v>002792</v>
      </c>
      <c r="B1245" t="s">
        <v>2431</v>
      </c>
      <c r="C1245">
        <v>2.0099999999999998</v>
      </c>
      <c r="D1245">
        <v>164.22</v>
      </c>
      <c r="E1245">
        <v>36.01</v>
      </c>
      <c r="F1245">
        <v>0.71</v>
      </c>
      <c r="G1245">
        <v>36.01</v>
      </c>
      <c r="H1245">
        <v>36.020000000000003</v>
      </c>
      <c r="I1245" t="s">
        <v>2432</v>
      </c>
      <c r="J1245">
        <v>8.58</v>
      </c>
      <c r="K1245">
        <v>8.58</v>
      </c>
      <c r="L1245">
        <v>35</v>
      </c>
      <c r="M1245">
        <v>36.01</v>
      </c>
      <c r="N1245">
        <v>34.6</v>
      </c>
    </row>
    <row r="1246" spans="1:14" x14ac:dyDescent="0.5">
      <c r="A1246" t="str">
        <f>"002793"</f>
        <v>002793</v>
      </c>
      <c r="B1246" t="s">
        <v>2433</v>
      </c>
      <c r="C1246">
        <v>3.01</v>
      </c>
      <c r="D1246">
        <v>20.82</v>
      </c>
      <c r="E1246">
        <v>11.97</v>
      </c>
      <c r="F1246">
        <v>0.35</v>
      </c>
      <c r="G1246">
        <v>11.96</v>
      </c>
      <c r="H1246">
        <v>11.97</v>
      </c>
      <c r="I1246" t="s">
        <v>2434</v>
      </c>
      <c r="J1246">
        <v>6.43</v>
      </c>
      <c r="K1246">
        <v>6.43</v>
      </c>
      <c r="L1246">
        <v>11.62</v>
      </c>
      <c r="M1246">
        <v>11.97</v>
      </c>
      <c r="N1246">
        <v>11.54</v>
      </c>
    </row>
    <row r="1247" spans="1:14" x14ac:dyDescent="0.5">
      <c r="A1247" t="str">
        <f>"002795"</f>
        <v>002795</v>
      </c>
      <c r="B1247" t="s">
        <v>2435</v>
      </c>
      <c r="C1247">
        <v>2.6</v>
      </c>
      <c r="D1247">
        <v>39.71</v>
      </c>
      <c r="E1247">
        <v>16.600000000000001</v>
      </c>
      <c r="F1247">
        <v>0.42</v>
      </c>
      <c r="G1247">
        <v>16.59</v>
      </c>
      <c r="H1247">
        <v>16.600000000000001</v>
      </c>
      <c r="I1247" t="s">
        <v>2436</v>
      </c>
      <c r="J1247">
        <v>11.72</v>
      </c>
      <c r="K1247">
        <v>11.72</v>
      </c>
      <c r="L1247">
        <v>16.03</v>
      </c>
      <c r="M1247">
        <v>16.64</v>
      </c>
      <c r="N1247">
        <v>16.010000000000002</v>
      </c>
    </row>
    <row r="1248" spans="1:14" x14ac:dyDescent="0.5">
      <c r="A1248" t="str">
        <f>"002796"</f>
        <v>002796</v>
      </c>
      <c r="B1248" t="s">
        <v>2437</v>
      </c>
      <c r="C1248">
        <v>2.15</v>
      </c>
      <c r="D1248">
        <v>112.96</v>
      </c>
      <c r="E1248">
        <v>49.36</v>
      </c>
      <c r="F1248">
        <v>1.04</v>
      </c>
      <c r="G1248">
        <v>49.36</v>
      </c>
      <c r="H1248">
        <v>49.38</v>
      </c>
      <c r="I1248" t="s">
        <v>2438</v>
      </c>
      <c r="J1248">
        <v>7.15</v>
      </c>
      <c r="K1248">
        <v>7.15</v>
      </c>
      <c r="L1248">
        <v>48.5</v>
      </c>
      <c r="M1248">
        <v>49.4</v>
      </c>
      <c r="N1248">
        <v>48.35</v>
      </c>
    </row>
    <row r="1249" spans="1:14" x14ac:dyDescent="0.5">
      <c r="A1249" t="str">
        <f>"002797"</f>
        <v>002797</v>
      </c>
      <c r="B1249" t="s">
        <v>2439</v>
      </c>
      <c r="C1249">
        <v>-0.26</v>
      </c>
      <c r="D1249">
        <v>106.76</v>
      </c>
      <c r="E1249">
        <v>7.63</v>
      </c>
      <c r="F1249">
        <v>-0.02</v>
      </c>
      <c r="G1249">
        <v>7.63</v>
      </c>
      <c r="H1249">
        <v>7.64</v>
      </c>
      <c r="I1249" t="s">
        <v>2440</v>
      </c>
      <c r="J1249">
        <v>7.78</v>
      </c>
      <c r="K1249">
        <v>7.78</v>
      </c>
      <c r="L1249">
        <v>7.51</v>
      </c>
      <c r="M1249">
        <v>7.68</v>
      </c>
      <c r="N1249">
        <v>7.46</v>
      </c>
    </row>
    <row r="1250" spans="1:14" x14ac:dyDescent="0.5">
      <c r="A1250" t="str">
        <f>"002798"</f>
        <v>002798</v>
      </c>
      <c r="B1250" t="s">
        <v>2441</v>
      </c>
      <c r="C1250">
        <v>3.34</v>
      </c>
      <c r="D1250">
        <v>22.51</v>
      </c>
      <c r="E1250">
        <v>19.21</v>
      </c>
      <c r="F1250">
        <v>0.62</v>
      </c>
      <c r="G1250">
        <v>19.2</v>
      </c>
      <c r="H1250">
        <v>19.21</v>
      </c>
      <c r="I1250" t="s">
        <v>674</v>
      </c>
      <c r="J1250">
        <v>3.33</v>
      </c>
      <c r="K1250">
        <v>3.33</v>
      </c>
      <c r="L1250">
        <v>18.420000000000002</v>
      </c>
      <c r="M1250">
        <v>19.440000000000001</v>
      </c>
      <c r="N1250">
        <v>18.2</v>
      </c>
    </row>
    <row r="1251" spans="1:14" x14ac:dyDescent="0.5">
      <c r="A1251" t="str">
        <f>"002799"</f>
        <v>002799</v>
      </c>
      <c r="B1251" t="s">
        <v>2442</v>
      </c>
      <c r="C1251">
        <v>2.58</v>
      </c>
      <c r="D1251">
        <v>87.4</v>
      </c>
      <c r="E1251">
        <v>13.9</v>
      </c>
      <c r="F1251">
        <v>0.35</v>
      </c>
      <c r="G1251">
        <v>13.89</v>
      </c>
      <c r="H1251">
        <v>13.9</v>
      </c>
      <c r="I1251" t="s">
        <v>2443</v>
      </c>
      <c r="J1251">
        <v>2.04</v>
      </c>
      <c r="K1251">
        <v>2.04</v>
      </c>
      <c r="L1251">
        <v>13.64</v>
      </c>
      <c r="M1251">
        <v>13.92</v>
      </c>
      <c r="N1251">
        <v>13.61</v>
      </c>
    </row>
    <row r="1252" spans="1:14" x14ac:dyDescent="0.5">
      <c r="A1252" t="str">
        <f>"002800"</f>
        <v>002800</v>
      </c>
      <c r="B1252" t="s">
        <v>2444</v>
      </c>
      <c r="C1252">
        <v>1.43</v>
      </c>
      <c r="D1252">
        <v>250.33</v>
      </c>
      <c r="E1252">
        <v>19.149999999999999</v>
      </c>
      <c r="F1252">
        <v>0.27</v>
      </c>
      <c r="G1252">
        <v>19.14</v>
      </c>
      <c r="H1252">
        <v>19.149999999999999</v>
      </c>
      <c r="I1252" t="s">
        <v>2445</v>
      </c>
      <c r="J1252">
        <v>4.55</v>
      </c>
      <c r="K1252">
        <v>4.55</v>
      </c>
      <c r="L1252">
        <v>18.809999999999999</v>
      </c>
      <c r="M1252">
        <v>19.3</v>
      </c>
      <c r="N1252">
        <v>18.61</v>
      </c>
    </row>
    <row r="1253" spans="1:14" x14ac:dyDescent="0.5">
      <c r="A1253" t="str">
        <f>"002801"</f>
        <v>002801</v>
      </c>
      <c r="B1253" t="s">
        <v>2446</v>
      </c>
      <c r="C1253">
        <v>2.85</v>
      </c>
      <c r="D1253">
        <v>25.66</v>
      </c>
      <c r="E1253">
        <v>24.53</v>
      </c>
      <c r="F1253">
        <v>0.68</v>
      </c>
      <c r="G1253">
        <v>24.53</v>
      </c>
      <c r="H1253">
        <v>24.57</v>
      </c>
      <c r="I1253" t="s">
        <v>2447</v>
      </c>
      <c r="J1253">
        <v>3.36</v>
      </c>
      <c r="K1253">
        <v>3.36</v>
      </c>
      <c r="L1253">
        <v>24.03</v>
      </c>
      <c r="M1253">
        <v>24.88</v>
      </c>
      <c r="N1253">
        <v>23.85</v>
      </c>
    </row>
    <row r="1254" spans="1:14" x14ac:dyDescent="0.5">
      <c r="A1254" t="str">
        <f>"002802"</f>
        <v>002802</v>
      </c>
      <c r="B1254" t="s">
        <v>2448</v>
      </c>
      <c r="C1254">
        <v>-0.46</v>
      </c>
      <c r="D1254">
        <v>35.380000000000003</v>
      </c>
      <c r="E1254">
        <v>23.72</v>
      </c>
      <c r="F1254">
        <v>-0.11</v>
      </c>
      <c r="G1254">
        <v>23.72</v>
      </c>
      <c r="H1254">
        <v>23.73</v>
      </c>
      <c r="I1254" t="s">
        <v>2449</v>
      </c>
      <c r="J1254">
        <v>3.05</v>
      </c>
      <c r="K1254">
        <v>3.05</v>
      </c>
      <c r="L1254">
        <v>23.83</v>
      </c>
      <c r="M1254">
        <v>23.83</v>
      </c>
      <c r="N1254">
        <v>23.55</v>
      </c>
    </row>
    <row r="1255" spans="1:14" x14ac:dyDescent="0.5">
      <c r="A1255" t="str">
        <f>"002803"</f>
        <v>002803</v>
      </c>
      <c r="B1255" t="s">
        <v>2450</v>
      </c>
      <c r="C1255">
        <v>0.55000000000000004</v>
      </c>
      <c r="D1255">
        <v>20.52</v>
      </c>
      <c r="E1255">
        <v>18.149999999999999</v>
      </c>
      <c r="F1255">
        <v>0.1</v>
      </c>
      <c r="G1255">
        <v>18.149999999999999</v>
      </c>
      <c r="H1255">
        <v>18.16</v>
      </c>
      <c r="I1255" t="s">
        <v>2451</v>
      </c>
      <c r="J1255">
        <v>6.66</v>
      </c>
      <c r="K1255">
        <v>6.66</v>
      </c>
      <c r="L1255">
        <v>17.809999999999999</v>
      </c>
      <c r="M1255">
        <v>18.3</v>
      </c>
      <c r="N1255">
        <v>17.71</v>
      </c>
    </row>
    <row r="1256" spans="1:14" x14ac:dyDescent="0.5">
      <c r="A1256" t="str">
        <f>"002805"</f>
        <v>002805</v>
      </c>
      <c r="B1256" t="s">
        <v>2452</v>
      </c>
      <c r="C1256">
        <v>5.33</v>
      </c>
      <c r="D1256">
        <v>59.47</v>
      </c>
      <c r="E1256">
        <v>16.98</v>
      </c>
      <c r="F1256">
        <v>0.86</v>
      </c>
      <c r="G1256">
        <v>16.98</v>
      </c>
      <c r="H1256">
        <v>16.989999999999998</v>
      </c>
      <c r="I1256" t="s">
        <v>2453</v>
      </c>
      <c r="J1256">
        <v>6.72</v>
      </c>
      <c r="K1256">
        <v>6.72</v>
      </c>
      <c r="L1256">
        <v>16.12</v>
      </c>
      <c r="M1256">
        <v>17.260000000000002</v>
      </c>
      <c r="N1256">
        <v>16.059999999999999</v>
      </c>
    </row>
    <row r="1257" spans="1:14" x14ac:dyDescent="0.5">
      <c r="A1257" t="str">
        <f>"002806"</f>
        <v>002806</v>
      </c>
      <c r="B1257" t="s">
        <v>2454</v>
      </c>
      <c r="C1257">
        <v>1.05</v>
      </c>
      <c r="D1257">
        <v>104.5</v>
      </c>
      <c r="E1257">
        <v>20.25</v>
      </c>
      <c r="F1257">
        <v>0.21</v>
      </c>
      <c r="G1257">
        <v>20.25</v>
      </c>
      <c r="H1257">
        <v>20.260000000000002</v>
      </c>
      <c r="I1257" t="s">
        <v>2455</v>
      </c>
      <c r="J1257">
        <v>12.98</v>
      </c>
      <c r="K1257">
        <v>12.98</v>
      </c>
      <c r="L1257">
        <v>19.8</v>
      </c>
      <c r="M1257">
        <v>20.3</v>
      </c>
      <c r="N1257">
        <v>19.7</v>
      </c>
    </row>
    <row r="1258" spans="1:14" x14ac:dyDescent="0.5">
      <c r="A1258" t="str">
        <f>"002807"</f>
        <v>002807</v>
      </c>
      <c r="B1258" t="s">
        <v>2456</v>
      </c>
      <c r="C1258">
        <v>-0.45</v>
      </c>
      <c r="D1258">
        <v>13.8</v>
      </c>
      <c r="E1258">
        <v>6.61</v>
      </c>
      <c r="F1258">
        <v>-0.03</v>
      </c>
      <c r="G1258">
        <v>6.61</v>
      </c>
      <c r="H1258">
        <v>6.62</v>
      </c>
      <c r="I1258" t="s">
        <v>790</v>
      </c>
      <c r="J1258">
        <v>5.15</v>
      </c>
      <c r="K1258">
        <v>5.15</v>
      </c>
      <c r="L1258">
        <v>6.5</v>
      </c>
      <c r="M1258">
        <v>6.62</v>
      </c>
      <c r="N1258">
        <v>6.42</v>
      </c>
    </row>
    <row r="1259" spans="1:14" x14ac:dyDescent="0.5">
      <c r="A1259" t="str">
        <f>"002808"</f>
        <v>002808</v>
      </c>
      <c r="B1259" t="s">
        <v>2457</v>
      </c>
      <c r="C1259">
        <v>0.14000000000000001</v>
      </c>
      <c r="D1259">
        <v>78.7</v>
      </c>
      <c r="E1259">
        <v>14.38</v>
      </c>
      <c r="F1259">
        <v>0.02</v>
      </c>
      <c r="G1259">
        <v>14.38</v>
      </c>
      <c r="H1259">
        <v>14.39</v>
      </c>
      <c r="I1259" t="s">
        <v>2458</v>
      </c>
      <c r="J1259">
        <v>4.99</v>
      </c>
      <c r="K1259">
        <v>4.99</v>
      </c>
      <c r="L1259">
        <v>14.44</v>
      </c>
      <c r="M1259">
        <v>14.44</v>
      </c>
      <c r="N1259">
        <v>14.17</v>
      </c>
    </row>
    <row r="1260" spans="1:14" x14ac:dyDescent="0.5">
      <c r="A1260" t="str">
        <f>"002809"</f>
        <v>002809</v>
      </c>
      <c r="B1260" t="s">
        <v>2459</v>
      </c>
      <c r="C1260">
        <v>3.09</v>
      </c>
      <c r="D1260">
        <v>20.48</v>
      </c>
      <c r="E1260">
        <v>17.7</v>
      </c>
      <c r="F1260">
        <v>0.53</v>
      </c>
      <c r="G1260">
        <v>17.690000000000001</v>
      </c>
      <c r="H1260">
        <v>17.7</v>
      </c>
      <c r="I1260" t="s">
        <v>2460</v>
      </c>
      <c r="J1260">
        <v>4.66</v>
      </c>
      <c r="K1260">
        <v>4.66</v>
      </c>
      <c r="L1260">
        <v>17.170000000000002</v>
      </c>
      <c r="M1260">
        <v>17.77</v>
      </c>
      <c r="N1260">
        <v>17.079999999999998</v>
      </c>
    </row>
    <row r="1261" spans="1:14" x14ac:dyDescent="0.5">
      <c r="A1261" t="str">
        <f>"002810"</f>
        <v>002810</v>
      </c>
      <c r="B1261" t="s">
        <v>2461</v>
      </c>
      <c r="C1261">
        <v>2.02</v>
      </c>
      <c r="D1261">
        <v>38.9</v>
      </c>
      <c r="E1261">
        <v>22.19</v>
      </c>
      <c r="F1261">
        <v>0.44</v>
      </c>
      <c r="G1261">
        <v>22.19</v>
      </c>
      <c r="H1261">
        <v>22.2</v>
      </c>
      <c r="I1261" t="s">
        <v>2462</v>
      </c>
      <c r="J1261">
        <v>2.8</v>
      </c>
      <c r="K1261">
        <v>2.8</v>
      </c>
      <c r="L1261">
        <v>21.6</v>
      </c>
      <c r="M1261">
        <v>22.35</v>
      </c>
      <c r="N1261">
        <v>21.32</v>
      </c>
    </row>
    <row r="1262" spans="1:14" x14ac:dyDescent="0.5">
      <c r="A1262" t="str">
        <f>"002811"</f>
        <v>002811</v>
      </c>
      <c r="B1262" t="s">
        <v>2463</v>
      </c>
      <c r="C1262">
        <v>1.33</v>
      </c>
      <c r="D1262">
        <v>23.57</v>
      </c>
      <c r="E1262">
        <v>16.73</v>
      </c>
      <c r="F1262">
        <v>0.22</v>
      </c>
      <c r="G1262">
        <v>16.73</v>
      </c>
      <c r="H1262">
        <v>16.739999999999998</v>
      </c>
      <c r="I1262" t="s">
        <v>2464</v>
      </c>
      <c r="J1262">
        <v>6</v>
      </c>
      <c r="K1262">
        <v>6</v>
      </c>
      <c r="L1262">
        <v>16.5</v>
      </c>
      <c r="M1262">
        <v>16.77</v>
      </c>
      <c r="N1262">
        <v>16.45</v>
      </c>
    </row>
    <row r="1263" spans="1:14" x14ac:dyDescent="0.5">
      <c r="A1263" t="str">
        <f>"002812"</f>
        <v>002812</v>
      </c>
      <c r="B1263" t="s">
        <v>2465</v>
      </c>
      <c r="C1263">
        <v>-0.16</v>
      </c>
      <c r="D1263">
        <v>151.49</v>
      </c>
      <c r="E1263">
        <v>61</v>
      </c>
      <c r="F1263">
        <v>-0.1</v>
      </c>
      <c r="G1263">
        <v>60.98</v>
      </c>
      <c r="H1263">
        <v>61</v>
      </c>
      <c r="I1263" t="s">
        <v>2466</v>
      </c>
      <c r="J1263">
        <v>2.3199999999999998</v>
      </c>
      <c r="K1263">
        <v>2.3199999999999998</v>
      </c>
      <c r="L1263">
        <v>61.47</v>
      </c>
      <c r="M1263">
        <v>63.3</v>
      </c>
      <c r="N1263">
        <v>60.51</v>
      </c>
    </row>
    <row r="1264" spans="1:14" x14ac:dyDescent="0.5">
      <c r="A1264" t="str">
        <f>"002813"</f>
        <v>002813</v>
      </c>
      <c r="B1264" t="s">
        <v>2467</v>
      </c>
      <c r="C1264">
        <v>1.8</v>
      </c>
      <c r="D1264" t="s">
        <v>24</v>
      </c>
      <c r="E1264">
        <v>27.13</v>
      </c>
      <c r="F1264">
        <v>0.48</v>
      </c>
      <c r="G1264">
        <v>27.12</v>
      </c>
      <c r="H1264">
        <v>27.13</v>
      </c>
      <c r="I1264" t="s">
        <v>2468</v>
      </c>
      <c r="J1264">
        <v>12.25</v>
      </c>
      <c r="K1264">
        <v>12.25</v>
      </c>
      <c r="L1264">
        <v>26.29</v>
      </c>
      <c r="M1264">
        <v>27.2</v>
      </c>
      <c r="N1264">
        <v>26.2</v>
      </c>
    </row>
    <row r="1265" spans="1:14" x14ac:dyDescent="0.5">
      <c r="A1265" t="str">
        <f>"002815"</f>
        <v>002815</v>
      </c>
      <c r="B1265" t="s">
        <v>2469</v>
      </c>
      <c r="C1265">
        <v>5.33</v>
      </c>
      <c r="D1265">
        <v>24.83</v>
      </c>
      <c r="E1265">
        <v>17.77</v>
      </c>
      <c r="F1265">
        <v>0.9</v>
      </c>
      <c r="G1265">
        <v>17.760000000000002</v>
      </c>
      <c r="H1265">
        <v>17.77</v>
      </c>
      <c r="I1265" t="s">
        <v>2470</v>
      </c>
      <c r="J1265">
        <v>6.38</v>
      </c>
      <c r="K1265">
        <v>6.38</v>
      </c>
      <c r="L1265">
        <v>16.75</v>
      </c>
      <c r="M1265">
        <v>18</v>
      </c>
      <c r="N1265">
        <v>16.61</v>
      </c>
    </row>
    <row r="1266" spans="1:14" x14ac:dyDescent="0.5">
      <c r="A1266" t="str">
        <f>"002816"</f>
        <v>002816</v>
      </c>
      <c r="B1266" t="s">
        <v>2471</v>
      </c>
      <c r="C1266">
        <v>0.42</v>
      </c>
      <c r="D1266">
        <v>148.72</v>
      </c>
      <c r="E1266">
        <v>19</v>
      </c>
      <c r="F1266">
        <v>0.08</v>
      </c>
      <c r="G1266">
        <v>18.989999999999998</v>
      </c>
      <c r="H1266">
        <v>19</v>
      </c>
      <c r="I1266" t="s">
        <v>2472</v>
      </c>
      <c r="J1266">
        <v>4.6900000000000004</v>
      </c>
      <c r="K1266">
        <v>4.6900000000000004</v>
      </c>
      <c r="L1266">
        <v>18.91</v>
      </c>
      <c r="M1266">
        <v>19.16</v>
      </c>
      <c r="N1266">
        <v>18.41</v>
      </c>
    </row>
    <row r="1267" spans="1:14" x14ac:dyDescent="0.5">
      <c r="A1267" t="str">
        <f>"002817"</f>
        <v>002817</v>
      </c>
      <c r="B1267" t="s">
        <v>2473</v>
      </c>
      <c r="C1267">
        <v>1.03</v>
      </c>
      <c r="D1267">
        <v>44.75</v>
      </c>
      <c r="E1267">
        <v>19.649999999999999</v>
      </c>
      <c r="F1267">
        <v>0.2</v>
      </c>
      <c r="G1267">
        <v>19.62</v>
      </c>
      <c r="H1267">
        <v>19.649999999999999</v>
      </c>
      <c r="I1267" t="s">
        <v>2474</v>
      </c>
      <c r="J1267">
        <v>3.22</v>
      </c>
      <c r="K1267">
        <v>3.22</v>
      </c>
      <c r="L1267">
        <v>19.350000000000001</v>
      </c>
      <c r="M1267">
        <v>19.68</v>
      </c>
      <c r="N1267">
        <v>19.18</v>
      </c>
    </row>
    <row r="1268" spans="1:14" x14ac:dyDescent="0.5">
      <c r="A1268" t="str">
        <f>"002818"</f>
        <v>002818</v>
      </c>
      <c r="B1268" t="s">
        <v>2475</v>
      </c>
      <c r="C1268">
        <v>1.78</v>
      </c>
      <c r="D1268">
        <v>14.88</v>
      </c>
      <c r="E1268">
        <v>24.02</v>
      </c>
      <c r="F1268">
        <v>0.42</v>
      </c>
      <c r="G1268">
        <v>24.02</v>
      </c>
      <c r="H1268">
        <v>24.03</v>
      </c>
      <c r="I1268" t="s">
        <v>2476</v>
      </c>
      <c r="J1268">
        <v>2.66</v>
      </c>
      <c r="K1268">
        <v>2.66</v>
      </c>
      <c r="L1268">
        <v>23.52</v>
      </c>
      <c r="M1268">
        <v>24.1</v>
      </c>
      <c r="N1268">
        <v>23.38</v>
      </c>
    </row>
    <row r="1269" spans="1:14" x14ac:dyDescent="0.5">
      <c r="A1269" t="str">
        <f>"002819"</f>
        <v>002819</v>
      </c>
      <c r="B1269" t="s">
        <v>2477</v>
      </c>
      <c r="C1269">
        <v>8.4</v>
      </c>
      <c r="D1269">
        <v>88.84</v>
      </c>
      <c r="E1269">
        <v>25.69</v>
      </c>
      <c r="F1269">
        <v>1.99</v>
      </c>
      <c r="G1269">
        <v>25.53</v>
      </c>
      <c r="H1269">
        <v>25.69</v>
      </c>
      <c r="I1269" t="s">
        <v>2478</v>
      </c>
      <c r="J1269">
        <v>5.0199999999999996</v>
      </c>
      <c r="K1269">
        <v>5.0199999999999996</v>
      </c>
      <c r="L1269">
        <v>23.7</v>
      </c>
      <c r="M1269">
        <v>25.95</v>
      </c>
      <c r="N1269">
        <v>23.46</v>
      </c>
    </row>
    <row r="1270" spans="1:14" x14ac:dyDescent="0.5">
      <c r="A1270" t="str">
        <f>"002820"</f>
        <v>002820</v>
      </c>
      <c r="B1270" t="s">
        <v>2479</v>
      </c>
      <c r="C1270">
        <v>0.81</v>
      </c>
      <c r="D1270">
        <v>32.26</v>
      </c>
      <c r="E1270">
        <v>13.73</v>
      </c>
      <c r="F1270">
        <v>0.11</v>
      </c>
      <c r="G1270">
        <v>13.72</v>
      </c>
      <c r="H1270">
        <v>13.73</v>
      </c>
      <c r="I1270" t="s">
        <v>2480</v>
      </c>
      <c r="J1270">
        <v>1.19</v>
      </c>
      <c r="K1270">
        <v>1.19</v>
      </c>
      <c r="L1270">
        <v>13.6</v>
      </c>
      <c r="M1270">
        <v>13.75</v>
      </c>
      <c r="N1270">
        <v>13.52</v>
      </c>
    </row>
    <row r="1271" spans="1:14" x14ac:dyDescent="0.5">
      <c r="A1271" t="str">
        <f>"002821"</f>
        <v>002821</v>
      </c>
      <c r="B1271" t="s">
        <v>2481</v>
      </c>
      <c r="C1271">
        <v>2.2799999999999998</v>
      </c>
      <c r="D1271">
        <v>48.49</v>
      </c>
      <c r="E1271">
        <v>91.92</v>
      </c>
      <c r="F1271">
        <v>2.0499999999999998</v>
      </c>
      <c r="G1271">
        <v>91.87</v>
      </c>
      <c r="H1271">
        <v>91.92</v>
      </c>
      <c r="I1271" t="s">
        <v>2482</v>
      </c>
      <c r="J1271">
        <v>1.83</v>
      </c>
      <c r="K1271">
        <v>1.83</v>
      </c>
      <c r="L1271">
        <v>89</v>
      </c>
      <c r="M1271">
        <v>92</v>
      </c>
      <c r="N1271">
        <v>88.24</v>
      </c>
    </row>
    <row r="1272" spans="1:14" x14ac:dyDescent="0.5">
      <c r="A1272" t="str">
        <f>"002822"</f>
        <v>002822</v>
      </c>
      <c r="B1272" t="s">
        <v>2483</v>
      </c>
      <c r="C1272">
        <v>0.85</v>
      </c>
      <c r="D1272">
        <v>19.68</v>
      </c>
      <c r="E1272">
        <v>5.91</v>
      </c>
      <c r="F1272">
        <v>0.05</v>
      </c>
      <c r="G1272">
        <v>5.91</v>
      </c>
      <c r="H1272">
        <v>5.92</v>
      </c>
      <c r="I1272" t="s">
        <v>2484</v>
      </c>
      <c r="J1272">
        <v>2.83</v>
      </c>
      <c r="K1272">
        <v>2.83</v>
      </c>
      <c r="L1272">
        <v>5.8</v>
      </c>
      <c r="M1272">
        <v>5.92</v>
      </c>
      <c r="N1272">
        <v>5.79</v>
      </c>
    </row>
    <row r="1273" spans="1:14" x14ac:dyDescent="0.5">
      <c r="A1273" t="str">
        <f>"002823"</f>
        <v>002823</v>
      </c>
      <c r="B1273" t="s">
        <v>2485</v>
      </c>
      <c r="C1273">
        <v>2.94</v>
      </c>
      <c r="D1273">
        <v>20.58</v>
      </c>
      <c r="E1273">
        <v>11.9</v>
      </c>
      <c r="F1273">
        <v>0.34</v>
      </c>
      <c r="G1273">
        <v>11.9</v>
      </c>
      <c r="H1273">
        <v>11.91</v>
      </c>
      <c r="I1273" t="s">
        <v>2486</v>
      </c>
      <c r="J1273">
        <v>4.3499999999999996</v>
      </c>
      <c r="K1273">
        <v>4.3499999999999996</v>
      </c>
      <c r="L1273">
        <v>11.68</v>
      </c>
      <c r="M1273">
        <v>11.99</v>
      </c>
      <c r="N1273">
        <v>11.51</v>
      </c>
    </row>
    <row r="1274" spans="1:14" x14ac:dyDescent="0.5">
      <c r="A1274" t="str">
        <f>"002824"</f>
        <v>002824</v>
      </c>
      <c r="B1274" t="s">
        <v>2487</v>
      </c>
      <c r="C1274">
        <v>0.86</v>
      </c>
      <c r="D1274">
        <v>43.7</v>
      </c>
      <c r="E1274">
        <v>10.54</v>
      </c>
      <c r="F1274">
        <v>0.09</v>
      </c>
      <c r="G1274">
        <v>10.54</v>
      </c>
      <c r="H1274">
        <v>10.55</v>
      </c>
      <c r="I1274" t="s">
        <v>2488</v>
      </c>
      <c r="J1274">
        <v>3.05</v>
      </c>
      <c r="K1274">
        <v>3.05</v>
      </c>
      <c r="L1274">
        <v>10.45</v>
      </c>
      <c r="M1274">
        <v>10.57</v>
      </c>
      <c r="N1274">
        <v>10.33</v>
      </c>
    </row>
    <row r="1275" spans="1:14" x14ac:dyDescent="0.5">
      <c r="A1275" t="str">
        <f>"002825"</f>
        <v>002825</v>
      </c>
      <c r="B1275" t="s">
        <v>2489</v>
      </c>
      <c r="C1275">
        <v>2.35</v>
      </c>
      <c r="D1275">
        <v>35.08</v>
      </c>
      <c r="E1275">
        <v>17.45</v>
      </c>
      <c r="F1275">
        <v>0.4</v>
      </c>
      <c r="G1275">
        <v>17.45</v>
      </c>
      <c r="H1275">
        <v>17.46</v>
      </c>
      <c r="I1275" t="s">
        <v>2490</v>
      </c>
      <c r="J1275">
        <v>21.87</v>
      </c>
      <c r="K1275">
        <v>21.87</v>
      </c>
      <c r="L1275">
        <v>17.3</v>
      </c>
      <c r="M1275">
        <v>18.5</v>
      </c>
      <c r="N1275">
        <v>16.91</v>
      </c>
    </row>
    <row r="1276" spans="1:14" x14ac:dyDescent="0.5">
      <c r="A1276" t="str">
        <f>"002826"</f>
        <v>002826</v>
      </c>
      <c r="B1276" t="s">
        <v>2491</v>
      </c>
      <c r="C1276">
        <v>1.83</v>
      </c>
      <c r="D1276">
        <v>57.2</v>
      </c>
      <c r="E1276">
        <v>11.7</v>
      </c>
      <c r="F1276">
        <v>0.21</v>
      </c>
      <c r="G1276">
        <v>11.7</v>
      </c>
      <c r="H1276">
        <v>11.71</v>
      </c>
      <c r="I1276" t="s">
        <v>2492</v>
      </c>
      <c r="J1276">
        <v>2.4700000000000002</v>
      </c>
      <c r="K1276">
        <v>2.4700000000000002</v>
      </c>
      <c r="L1276">
        <v>11.5</v>
      </c>
      <c r="M1276">
        <v>11.72</v>
      </c>
      <c r="N1276">
        <v>11.4</v>
      </c>
    </row>
    <row r="1277" spans="1:14" x14ac:dyDescent="0.5">
      <c r="A1277" t="str">
        <f>"002827"</f>
        <v>002827</v>
      </c>
      <c r="B1277" t="s">
        <v>2493</v>
      </c>
      <c r="C1277">
        <v>1.89</v>
      </c>
      <c r="D1277">
        <v>38.6</v>
      </c>
      <c r="E1277">
        <v>16.190000000000001</v>
      </c>
      <c r="F1277">
        <v>0.3</v>
      </c>
      <c r="G1277">
        <v>16.190000000000001</v>
      </c>
      <c r="H1277">
        <v>16.239999999999998</v>
      </c>
      <c r="I1277" t="s">
        <v>2494</v>
      </c>
      <c r="J1277">
        <v>10.33</v>
      </c>
      <c r="K1277">
        <v>10.33</v>
      </c>
      <c r="L1277">
        <v>16.09</v>
      </c>
      <c r="M1277">
        <v>16.36</v>
      </c>
      <c r="N1277">
        <v>15.98</v>
      </c>
    </row>
    <row r="1278" spans="1:14" x14ac:dyDescent="0.5">
      <c r="A1278" t="str">
        <f>"002828"</f>
        <v>002828</v>
      </c>
      <c r="B1278" t="s">
        <v>2495</v>
      </c>
      <c r="C1278">
        <v>2.2599999999999998</v>
      </c>
      <c r="D1278">
        <v>33.450000000000003</v>
      </c>
      <c r="E1278">
        <v>12.67</v>
      </c>
      <c r="F1278">
        <v>0.28000000000000003</v>
      </c>
      <c r="G1278">
        <v>12.67</v>
      </c>
      <c r="H1278">
        <v>12.68</v>
      </c>
      <c r="I1278" t="s">
        <v>2496</v>
      </c>
      <c r="J1278">
        <v>7.64</v>
      </c>
      <c r="K1278">
        <v>7.64</v>
      </c>
      <c r="L1278">
        <v>12.43</v>
      </c>
      <c r="M1278">
        <v>12.68</v>
      </c>
      <c r="N1278">
        <v>12.32</v>
      </c>
    </row>
    <row r="1279" spans="1:14" x14ac:dyDescent="0.5">
      <c r="A1279" t="str">
        <f>"002829"</f>
        <v>002829</v>
      </c>
      <c r="B1279" t="s">
        <v>2497</v>
      </c>
      <c r="C1279">
        <v>3.34</v>
      </c>
      <c r="D1279">
        <v>68.27</v>
      </c>
      <c r="E1279">
        <v>20.13</v>
      </c>
      <c r="F1279">
        <v>0.65</v>
      </c>
      <c r="G1279">
        <v>20.13</v>
      </c>
      <c r="H1279">
        <v>20.149999999999999</v>
      </c>
      <c r="I1279" t="s">
        <v>2498</v>
      </c>
      <c r="J1279">
        <v>5.39</v>
      </c>
      <c r="K1279">
        <v>5.39</v>
      </c>
      <c r="L1279">
        <v>19.3</v>
      </c>
      <c r="M1279">
        <v>20.2</v>
      </c>
      <c r="N1279">
        <v>19.2</v>
      </c>
    </row>
    <row r="1280" spans="1:14" x14ac:dyDescent="0.5">
      <c r="A1280" t="str">
        <f>"002830"</f>
        <v>002830</v>
      </c>
      <c r="B1280" t="s">
        <v>2499</v>
      </c>
      <c r="C1280">
        <v>1.07</v>
      </c>
      <c r="D1280">
        <v>44.51</v>
      </c>
      <c r="E1280">
        <v>16.100000000000001</v>
      </c>
      <c r="F1280">
        <v>0.17</v>
      </c>
      <c r="G1280">
        <v>16.100000000000001</v>
      </c>
      <c r="H1280">
        <v>16.11</v>
      </c>
      <c r="I1280" t="s">
        <v>2500</v>
      </c>
      <c r="J1280">
        <v>5.56</v>
      </c>
      <c r="K1280">
        <v>5.56</v>
      </c>
      <c r="L1280">
        <v>15.96</v>
      </c>
      <c r="M1280">
        <v>16.13</v>
      </c>
      <c r="N1280">
        <v>15.83</v>
      </c>
    </row>
    <row r="1281" spans="1:14" x14ac:dyDescent="0.5">
      <c r="A1281" t="str">
        <f>"002831"</f>
        <v>002831</v>
      </c>
      <c r="B1281" t="s">
        <v>2501</v>
      </c>
      <c r="C1281">
        <v>1.94</v>
      </c>
      <c r="D1281">
        <v>23.28</v>
      </c>
      <c r="E1281">
        <v>50.92</v>
      </c>
      <c r="F1281">
        <v>0.97</v>
      </c>
      <c r="G1281">
        <v>50.9</v>
      </c>
      <c r="H1281">
        <v>50.92</v>
      </c>
      <c r="I1281" t="s">
        <v>2502</v>
      </c>
      <c r="J1281">
        <v>1.74</v>
      </c>
      <c r="K1281">
        <v>1.74</v>
      </c>
      <c r="L1281">
        <v>50.7</v>
      </c>
      <c r="M1281">
        <v>51.16</v>
      </c>
      <c r="N1281">
        <v>49.43</v>
      </c>
    </row>
    <row r="1282" spans="1:14" x14ac:dyDescent="0.5">
      <c r="A1282" t="str">
        <f>"002832"</f>
        <v>002832</v>
      </c>
      <c r="B1282" t="s">
        <v>2503</v>
      </c>
      <c r="C1282">
        <v>0.66</v>
      </c>
      <c r="D1282">
        <v>27.19</v>
      </c>
      <c r="E1282">
        <v>38</v>
      </c>
      <c r="F1282">
        <v>0.25</v>
      </c>
      <c r="G1282">
        <v>37.979999999999997</v>
      </c>
      <c r="H1282">
        <v>38</v>
      </c>
      <c r="I1282" t="s">
        <v>1135</v>
      </c>
      <c r="J1282">
        <v>1.05</v>
      </c>
      <c r="K1282">
        <v>1.05</v>
      </c>
      <c r="L1282">
        <v>37.729999999999997</v>
      </c>
      <c r="M1282">
        <v>38.08</v>
      </c>
      <c r="N1282">
        <v>37.5</v>
      </c>
    </row>
    <row r="1283" spans="1:14" x14ac:dyDescent="0.5">
      <c r="A1283" t="str">
        <f>"002833"</f>
        <v>002833</v>
      </c>
      <c r="B1283" t="s">
        <v>2504</v>
      </c>
      <c r="C1283">
        <v>5.23</v>
      </c>
      <c r="D1283">
        <v>18.68</v>
      </c>
      <c r="E1283">
        <v>42.22</v>
      </c>
      <c r="F1283">
        <v>2.1</v>
      </c>
      <c r="G1283">
        <v>42.21</v>
      </c>
      <c r="H1283">
        <v>42.22</v>
      </c>
      <c r="I1283" t="s">
        <v>2505</v>
      </c>
      <c r="J1283">
        <v>3.55</v>
      </c>
      <c r="K1283">
        <v>3.55</v>
      </c>
      <c r="L1283">
        <v>40.18</v>
      </c>
      <c r="M1283">
        <v>42.8</v>
      </c>
      <c r="N1283">
        <v>40.11</v>
      </c>
    </row>
    <row r="1284" spans="1:14" x14ac:dyDescent="0.5">
      <c r="A1284" t="str">
        <f>"002835"</f>
        <v>002835</v>
      </c>
      <c r="B1284" t="s">
        <v>2506</v>
      </c>
      <c r="C1284">
        <v>5.5</v>
      </c>
      <c r="D1284" t="s">
        <v>24</v>
      </c>
      <c r="E1284">
        <v>9.1999999999999993</v>
      </c>
      <c r="F1284">
        <v>0.48</v>
      </c>
      <c r="G1284">
        <v>9.1999999999999993</v>
      </c>
      <c r="H1284">
        <v>9.2200000000000006</v>
      </c>
      <c r="I1284" t="s">
        <v>2507</v>
      </c>
      <c r="J1284">
        <v>11.25</v>
      </c>
      <c r="K1284">
        <v>11.25</v>
      </c>
      <c r="L1284">
        <v>8.67</v>
      </c>
      <c r="M1284">
        <v>9.33</v>
      </c>
      <c r="N1284">
        <v>8.4</v>
      </c>
    </row>
    <row r="1285" spans="1:14" x14ac:dyDescent="0.5">
      <c r="A1285" t="str">
        <f>"002836"</f>
        <v>002836</v>
      </c>
      <c r="B1285" t="s">
        <v>2508</v>
      </c>
      <c r="C1285">
        <v>1.1100000000000001</v>
      </c>
      <c r="D1285">
        <v>48.26</v>
      </c>
      <c r="E1285">
        <v>13.68</v>
      </c>
      <c r="F1285">
        <v>0.15</v>
      </c>
      <c r="G1285">
        <v>13.68</v>
      </c>
      <c r="H1285">
        <v>13.69</v>
      </c>
      <c r="I1285" t="s">
        <v>2434</v>
      </c>
      <c r="J1285">
        <v>5.85</v>
      </c>
      <c r="K1285">
        <v>5.85</v>
      </c>
      <c r="L1285">
        <v>13.41</v>
      </c>
      <c r="M1285">
        <v>13.69</v>
      </c>
      <c r="N1285">
        <v>13.41</v>
      </c>
    </row>
    <row r="1286" spans="1:14" x14ac:dyDescent="0.5">
      <c r="A1286" t="str">
        <f>"002837"</f>
        <v>002837</v>
      </c>
      <c r="B1286" t="s">
        <v>2509</v>
      </c>
      <c r="C1286">
        <v>3.53</v>
      </c>
      <c r="D1286">
        <v>38.29</v>
      </c>
      <c r="E1286">
        <v>20.82</v>
      </c>
      <c r="F1286">
        <v>0.71</v>
      </c>
      <c r="G1286">
        <v>20.82</v>
      </c>
      <c r="H1286">
        <v>20.83</v>
      </c>
      <c r="I1286" t="s">
        <v>2510</v>
      </c>
      <c r="J1286">
        <v>11.57</v>
      </c>
      <c r="K1286">
        <v>11.57</v>
      </c>
      <c r="L1286">
        <v>20</v>
      </c>
      <c r="M1286">
        <v>20.85</v>
      </c>
      <c r="N1286">
        <v>19.8</v>
      </c>
    </row>
    <row r="1287" spans="1:14" x14ac:dyDescent="0.5">
      <c r="A1287" t="str">
        <f>"002838"</f>
        <v>002838</v>
      </c>
      <c r="B1287" t="s">
        <v>2511</v>
      </c>
      <c r="C1287">
        <v>-1.27</v>
      </c>
      <c r="D1287">
        <v>44.71</v>
      </c>
      <c r="E1287">
        <v>21.06</v>
      </c>
      <c r="F1287">
        <v>-0.27</v>
      </c>
      <c r="G1287">
        <v>21.05</v>
      </c>
      <c r="H1287">
        <v>21.06</v>
      </c>
      <c r="I1287" t="s">
        <v>2512</v>
      </c>
      <c r="J1287">
        <v>2.93</v>
      </c>
      <c r="K1287">
        <v>2.93</v>
      </c>
      <c r="L1287">
        <v>21.15</v>
      </c>
      <c r="M1287">
        <v>21.31</v>
      </c>
      <c r="N1287">
        <v>20.77</v>
      </c>
    </row>
    <row r="1288" spans="1:14" x14ac:dyDescent="0.5">
      <c r="A1288" t="str">
        <f>"002839"</f>
        <v>002839</v>
      </c>
      <c r="B1288" t="s">
        <v>2513</v>
      </c>
      <c r="C1288">
        <v>-0.55000000000000004</v>
      </c>
      <c r="D1288">
        <v>15.57</v>
      </c>
      <c r="E1288">
        <v>7.29</v>
      </c>
      <c r="F1288">
        <v>-0.04</v>
      </c>
      <c r="G1288">
        <v>7.29</v>
      </c>
      <c r="H1288">
        <v>7.3</v>
      </c>
      <c r="I1288" t="s">
        <v>2514</v>
      </c>
      <c r="J1288">
        <v>7.69</v>
      </c>
      <c r="K1288">
        <v>7.69</v>
      </c>
      <c r="L1288">
        <v>7.2</v>
      </c>
      <c r="M1288">
        <v>7.34</v>
      </c>
      <c r="N1288">
        <v>7.15</v>
      </c>
    </row>
    <row r="1289" spans="1:14" x14ac:dyDescent="0.5">
      <c r="A1289" t="str">
        <f>"002840"</f>
        <v>002840</v>
      </c>
      <c r="B1289" t="s">
        <v>2515</v>
      </c>
      <c r="C1289">
        <v>8.49</v>
      </c>
      <c r="D1289">
        <v>35.409999999999997</v>
      </c>
      <c r="E1289">
        <v>19.8</v>
      </c>
      <c r="F1289">
        <v>1.55</v>
      </c>
      <c r="G1289">
        <v>19.79</v>
      </c>
      <c r="H1289">
        <v>19.8</v>
      </c>
      <c r="I1289" t="s">
        <v>2516</v>
      </c>
      <c r="J1289">
        <v>10.54</v>
      </c>
      <c r="K1289">
        <v>10.54</v>
      </c>
      <c r="L1289">
        <v>19.02</v>
      </c>
      <c r="M1289">
        <v>20.079999999999998</v>
      </c>
      <c r="N1289">
        <v>18.71</v>
      </c>
    </row>
    <row r="1290" spans="1:14" x14ac:dyDescent="0.5">
      <c r="A1290" t="str">
        <f>"002841"</f>
        <v>002841</v>
      </c>
      <c r="B1290" t="s">
        <v>2517</v>
      </c>
      <c r="C1290">
        <v>0.26</v>
      </c>
      <c r="D1290">
        <v>48.04</v>
      </c>
      <c r="E1290">
        <v>75.739999999999995</v>
      </c>
      <c r="F1290">
        <v>0.2</v>
      </c>
      <c r="G1290">
        <v>75.739999999999995</v>
      </c>
      <c r="H1290">
        <v>75.75</v>
      </c>
      <c r="I1290" t="s">
        <v>2518</v>
      </c>
      <c r="J1290">
        <v>2.56</v>
      </c>
      <c r="K1290">
        <v>2.56</v>
      </c>
      <c r="L1290">
        <v>75.28</v>
      </c>
      <c r="M1290">
        <v>76.5</v>
      </c>
      <c r="N1290">
        <v>74</v>
      </c>
    </row>
    <row r="1291" spans="1:14" x14ac:dyDescent="0.5">
      <c r="A1291" t="str">
        <f>"002842"</f>
        <v>002842</v>
      </c>
      <c r="B1291" t="s">
        <v>2519</v>
      </c>
      <c r="C1291">
        <v>-0.43</v>
      </c>
      <c r="D1291">
        <v>32.51</v>
      </c>
      <c r="E1291">
        <v>20.86</v>
      </c>
      <c r="F1291">
        <v>-0.09</v>
      </c>
      <c r="G1291">
        <v>20.86</v>
      </c>
      <c r="H1291">
        <v>20.87</v>
      </c>
      <c r="I1291" t="s">
        <v>2520</v>
      </c>
      <c r="J1291">
        <v>7.75</v>
      </c>
      <c r="K1291">
        <v>7.75</v>
      </c>
      <c r="L1291">
        <v>20.5</v>
      </c>
      <c r="M1291">
        <v>20.99</v>
      </c>
      <c r="N1291">
        <v>20.420000000000002</v>
      </c>
    </row>
    <row r="1292" spans="1:14" x14ac:dyDescent="0.5">
      <c r="A1292" t="str">
        <f>"002843"</f>
        <v>002843</v>
      </c>
      <c r="B1292" t="s">
        <v>2521</v>
      </c>
      <c r="C1292">
        <v>2.2200000000000002</v>
      </c>
      <c r="D1292">
        <v>31.41</v>
      </c>
      <c r="E1292">
        <v>13.81</v>
      </c>
      <c r="F1292">
        <v>0.3</v>
      </c>
      <c r="G1292">
        <v>13.8</v>
      </c>
      <c r="H1292">
        <v>13.81</v>
      </c>
      <c r="I1292" t="s">
        <v>2522</v>
      </c>
      <c r="J1292">
        <v>4.21</v>
      </c>
      <c r="K1292">
        <v>4.21</v>
      </c>
      <c r="L1292">
        <v>13.4</v>
      </c>
      <c r="M1292">
        <v>13.9</v>
      </c>
      <c r="N1292">
        <v>13.35</v>
      </c>
    </row>
    <row r="1293" spans="1:14" x14ac:dyDescent="0.5">
      <c r="A1293" t="str">
        <f>"002845"</f>
        <v>002845</v>
      </c>
      <c r="B1293" t="s">
        <v>2523</v>
      </c>
      <c r="C1293">
        <v>3.69</v>
      </c>
      <c r="D1293">
        <v>31.54</v>
      </c>
      <c r="E1293">
        <v>21.07</v>
      </c>
      <c r="F1293">
        <v>0.75</v>
      </c>
      <c r="G1293">
        <v>21.07</v>
      </c>
      <c r="H1293">
        <v>21.08</v>
      </c>
      <c r="I1293" t="s">
        <v>2524</v>
      </c>
      <c r="J1293">
        <v>20.37</v>
      </c>
      <c r="K1293">
        <v>20.37</v>
      </c>
      <c r="L1293">
        <v>20.02</v>
      </c>
      <c r="M1293">
        <v>21.4</v>
      </c>
      <c r="N1293">
        <v>19.82</v>
      </c>
    </row>
    <row r="1294" spans="1:14" x14ac:dyDescent="0.5">
      <c r="A1294" t="str">
        <f>"002846"</f>
        <v>002846</v>
      </c>
      <c r="B1294" t="s">
        <v>2525</v>
      </c>
      <c r="C1294">
        <v>1.74</v>
      </c>
      <c r="D1294">
        <v>67.59</v>
      </c>
      <c r="E1294">
        <v>12.3</v>
      </c>
      <c r="F1294">
        <v>0.21</v>
      </c>
      <c r="G1294">
        <v>12.3</v>
      </c>
      <c r="H1294">
        <v>12.31</v>
      </c>
      <c r="I1294" t="s">
        <v>2526</v>
      </c>
      <c r="J1294">
        <v>9.66</v>
      </c>
      <c r="K1294">
        <v>9.66</v>
      </c>
      <c r="L1294">
        <v>11.96</v>
      </c>
      <c r="M1294">
        <v>12.35</v>
      </c>
      <c r="N1294">
        <v>11.95</v>
      </c>
    </row>
    <row r="1295" spans="1:14" x14ac:dyDescent="0.5">
      <c r="A1295" t="str">
        <f>"002847"</f>
        <v>002847</v>
      </c>
      <c r="B1295" t="s">
        <v>2527</v>
      </c>
      <c r="C1295">
        <v>2.33</v>
      </c>
      <c r="D1295">
        <v>44.44</v>
      </c>
      <c r="E1295">
        <v>24.59</v>
      </c>
      <c r="F1295">
        <v>0.56000000000000005</v>
      </c>
      <c r="G1295">
        <v>24.59</v>
      </c>
      <c r="H1295">
        <v>24.6</v>
      </c>
      <c r="I1295" t="s">
        <v>2528</v>
      </c>
      <c r="J1295">
        <v>13.09</v>
      </c>
      <c r="K1295">
        <v>13.09</v>
      </c>
      <c r="L1295">
        <v>23.96</v>
      </c>
      <c r="M1295">
        <v>24.6</v>
      </c>
      <c r="N1295">
        <v>23.75</v>
      </c>
    </row>
    <row r="1296" spans="1:14" x14ac:dyDescent="0.5">
      <c r="A1296" t="str">
        <f>"002848"</f>
        <v>002848</v>
      </c>
      <c r="B1296" t="s">
        <v>2529</v>
      </c>
      <c r="C1296">
        <v>10.01</v>
      </c>
      <c r="D1296" t="s">
        <v>24</v>
      </c>
      <c r="E1296">
        <v>17.59</v>
      </c>
      <c r="F1296">
        <v>1.6</v>
      </c>
      <c r="G1296">
        <v>17.59</v>
      </c>
      <c r="H1296" t="s">
        <v>24</v>
      </c>
      <c r="I1296" t="s">
        <v>2530</v>
      </c>
      <c r="J1296">
        <v>41.56</v>
      </c>
      <c r="K1296">
        <v>41.56</v>
      </c>
      <c r="L1296">
        <v>16.36</v>
      </c>
      <c r="M1296">
        <v>17.59</v>
      </c>
      <c r="N1296">
        <v>16.2</v>
      </c>
    </row>
    <row r="1297" spans="1:14" x14ac:dyDescent="0.5">
      <c r="A1297" t="str">
        <f>"002849"</f>
        <v>002849</v>
      </c>
      <c r="B1297" t="s">
        <v>2531</v>
      </c>
      <c r="C1297">
        <v>2.72</v>
      </c>
      <c r="D1297">
        <v>30.74</v>
      </c>
      <c r="E1297">
        <v>16.25</v>
      </c>
      <c r="F1297">
        <v>0.43</v>
      </c>
      <c r="G1297">
        <v>16.239999999999998</v>
      </c>
      <c r="H1297">
        <v>16.25</v>
      </c>
      <c r="I1297" t="s">
        <v>2532</v>
      </c>
      <c r="J1297">
        <v>5.34</v>
      </c>
      <c r="K1297">
        <v>5.34</v>
      </c>
      <c r="L1297">
        <v>15.75</v>
      </c>
      <c r="M1297">
        <v>16.29</v>
      </c>
      <c r="N1297">
        <v>15.5</v>
      </c>
    </row>
    <row r="1298" spans="1:14" x14ac:dyDescent="0.5">
      <c r="A1298" t="str">
        <f>"002850"</f>
        <v>002850</v>
      </c>
      <c r="B1298" t="s">
        <v>2533</v>
      </c>
      <c r="C1298">
        <v>0.48</v>
      </c>
      <c r="D1298">
        <v>128.07</v>
      </c>
      <c r="E1298">
        <v>26.95</v>
      </c>
      <c r="F1298">
        <v>0.13</v>
      </c>
      <c r="G1298">
        <v>26.95</v>
      </c>
      <c r="H1298">
        <v>26.98</v>
      </c>
      <c r="I1298" t="s">
        <v>1579</v>
      </c>
      <c r="J1298">
        <v>2.99</v>
      </c>
      <c r="K1298">
        <v>2.99</v>
      </c>
      <c r="L1298">
        <v>26.81</v>
      </c>
      <c r="M1298">
        <v>27.1</v>
      </c>
      <c r="N1298">
        <v>26.36</v>
      </c>
    </row>
    <row r="1299" spans="1:14" x14ac:dyDescent="0.5">
      <c r="A1299" t="str">
        <f>"002851"</f>
        <v>002851</v>
      </c>
      <c r="B1299" t="s">
        <v>2534</v>
      </c>
      <c r="C1299">
        <v>0.99</v>
      </c>
      <c r="D1299">
        <v>57.6</v>
      </c>
      <c r="E1299">
        <v>29.44</v>
      </c>
      <c r="F1299">
        <v>0.28999999999999998</v>
      </c>
      <c r="G1299">
        <v>29.44</v>
      </c>
      <c r="H1299">
        <v>29.47</v>
      </c>
      <c r="I1299" t="s">
        <v>2535</v>
      </c>
      <c r="J1299">
        <v>3.03</v>
      </c>
      <c r="K1299">
        <v>3.03</v>
      </c>
      <c r="L1299">
        <v>29.28</v>
      </c>
      <c r="M1299">
        <v>29.95</v>
      </c>
      <c r="N1299">
        <v>28.89</v>
      </c>
    </row>
    <row r="1300" spans="1:14" x14ac:dyDescent="0.5">
      <c r="A1300" t="str">
        <f>"002852"</f>
        <v>002852</v>
      </c>
      <c r="B1300" t="s">
        <v>2536</v>
      </c>
      <c r="C1300">
        <v>0.96</v>
      </c>
      <c r="D1300">
        <v>16.75</v>
      </c>
      <c r="E1300">
        <v>14.79</v>
      </c>
      <c r="F1300">
        <v>0.14000000000000001</v>
      </c>
      <c r="G1300">
        <v>14.78</v>
      </c>
      <c r="H1300">
        <v>14.79</v>
      </c>
      <c r="I1300" t="s">
        <v>2537</v>
      </c>
      <c r="J1300">
        <v>2.59</v>
      </c>
      <c r="K1300">
        <v>2.59</v>
      </c>
      <c r="L1300">
        <v>14.65</v>
      </c>
      <c r="M1300">
        <v>14.8</v>
      </c>
      <c r="N1300">
        <v>14.55</v>
      </c>
    </row>
    <row r="1301" spans="1:14" x14ac:dyDescent="0.5">
      <c r="A1301" t="str">
        <f>"002853"</f>
        <v>002853</v>
      </c>
      <c r="B1301" t="s">
        <v>2538</v>
      </c>
      <c r="C1301">
        <v>2.74</v>
      </c>
      <c r="D1301">
        <v>22.06</v>
      </c>
      <c r="E1301">
        <v>19.84</v>
      </c>
      <c r="F1301">
        <v>0.53</v>
      </c>
      <c r="G1301">
        <v>19.829999999999998</v>
      </c>
      <c r="H1301">
        <v>19.84</v>
      </c>
      <c r="I1301" t="s">
        <v>2539</v>
      </c>
      <c r="J1301">
        <v>4.13</v>
      </c>
      <c r="K1301">
        <v>4.13</v>
      </c>
      <c r="L1301">
        <v>19.28</v>
      </c>
      <c r="M1301">
        <v>19.95</v>
      </c>
      <c r="N1301">
        <v>19.28</v>
      </c>
    </row>
    <row r="1302" spans="1:14" x14ac:dyDescent="0.5">
      <c r="A1302" t="str">
        <f>"002855"</f>
        <v>002855</v>
      </c>
      <c r="B1302" t="s">
        <v>2540</v>
      </c>
      <c r="C1302">
        <v>1.89</v>
      </c>
      <c r="D1302">
        <v>48.72</v>
      </c>
      <c r="E1302">
        <v>9.68</v>
      </c>
      <c r="F1302">
        <v>0.18</v>
      </c>
      <c r="G1302">
        <v>9.68</v>
      </c>
      <c r="H1302">
        <v>9.69</v>
      </c>
      <c r="I1302" t="s">
        <v>2541</v>
      </c>
      <c r="J1302">
        <v>3.05</v>
      </c>
      <c r="K1302">
        <v>3.05</v>
      </c>
      <c r="L1302">
        <v>9.48</v>
      </c>
      <c r="M1302">
        <v>9.6999999999999993</v>
      </c>
      <c r="N1302">
        <v>9.4499999999999993</v>
      </c>
    </row>
    <row r="1303" spans="1:14" x14ac:dyDescent="0.5">
      <c r="A1303" t="str">
        <f>"002856"</f>
        <v>002856</v>
      </c>
      <c r="B1303" t="s">
        <v>2542</v>
      </c>
      <c r="C1303">
        <v>2.1</v>
      </c>
      <c r="D1303">
        <v>75.64</v>
      </c>
      <c r="E1303">
        <v>22.8</v>
      </c>
      <c r="F1303">
        <v>0.47</v>
      </c>
      <c r="G1303">
        <v>22.8</v>
      </c>
      <c r="H1303">
        <v>22.81</v>
      </c>
      <c r="I1303" t="s">
        <v>2543</v>
      </c>
      <c r="J1303">
        <v>17.77</v>
      </c>
      <c r="K1303">
        <v>17.77</v>
      </c>
      <c r="L1303">
        <v>22.14</v>
      </c>
      <c r="M1303">
        <v>23.3</v>
      </c>
      <c r="N1303">
        <v>22.01</v>
      </c>
    </row>
    <row r="1304" spans="1:14" x14ac:dyDescent="0.5">
      <c r="A1304" t="str">
        <f>"002857"</f>
        <v>002857</v>
      </c>
      <c r="B1304" t="s">
        <v>2544</v>
      </c>
      <c r="C1304">
        <v>1.75</v>
      </c>
      <c r="D1304">
        <v>48.26</v>
      </c>
      <c r="E1304">
        <v>12.81</v>
      </c>
      <c r="F1304">
        <v>0.22</v>
      </c>
      <c r="G1304">
        <v>12.81</v>
      </c>
      <c r="H1304">
        <v>12.82</v>
      </c>
      <c r="I1304" t="s">
        <v>2545</v>
      </c>
      <c r="J1304">
        <v>4.62</v>
      </c>
      <c r="K1304">
        <v>4.62</v>
      </c>
      <c r="L1304">
        <v>12.62</v>
      </c>
      <c r="M1304">
        <v>12.82</v>
      </c>
      <c r="N1304">
        <v>12.51</v>
      </c>
    </row>
    <row r="1305" spans="1:14" x14ac:dyDescent="0.5">
      <c r="A1305" t="str">
        <f>"002858"</f>
        <v>002858</v>
      </c>
      <c r="B1305" t="s">
        <v>2546</v>
      </c>
      <c r="C1305">
        <v>3.8</v>
      </c>
      <c r="D1305">
        <v>43.2</v>
      </c>
      <c r="E1305">
        <v>16.940000000000001</v>
      </c>
      <c r="F1305">
        <v>0.62</v>
      </c>
      <c r="G1305">
        <v>16.93</v>
      </c>
      <c r="H1305">
        <v>16.940000000000001</v>
      </c>
      <c r="I1305" t="s">
        <v>2547</v>
      </c>
      <c r="J1305">
        <v>3.47</v>
      </c>
      <c r="K1305">
        <v>3.47</v>
      </c>
      <c r="L1305">
        <v>16.38</v>
      </c>
      <c r="M1305">
        <v>17.170000000000002</v>
      </c>
      <c r="N1305">
        <v>16.28</v>
      </c>
    </row>
    <row r="1306" spans="1:14" x14ac:dyDescent="0.5">
      <c r="A1306" t="str">
        <f>"002859"</f>
        <v>002859</v>
      </c>
      <c r="B1306" t="s">
        <v>2548</v>
      </c>
      <c r="C1306">
        <v>2.5</v>
      </c>
      <c r="D1306">
        <v>33.24</v>
      </c>
      <c r="E1306">
        <v>36.049999999999997</v>
      </c>
      <c r="F1306">
        <v>0.88</v>
      </c>
      <c r="G1306">
        <v>36</v>
      </c>
      <c r="H1306">
        <v>36.049999999999997</v>
      </c>
      <c r="I1306" t="s">
        <v>2549</v>
      </c>
      <c r="J1306">
        <v>3.03</v>
      </c>
      <c r="K1306">
        <v>3.03</v>
      </c>
      <c r="L1306">
        <v>35.200000000000003</v>
      </c>
      <c r="M1306">
        <v>36.049999999999997</v>
      </c>
      <c r="N1306">
        <v>35.1</v>
      </c>
    </row>
    <row r="1307" spans="1:14" x14ac:dyDescent="0.5">
      <c r="A1307" t="str">
        <f>"002860"</f>
        <v>002860</v>
      </c>
      <c r="B1307" t="s">
        <v>2550</v>
      </c>
      <c r="C1307">
        <v>1.74</v>
      </c>
      <c r="D1307">
        <v>25.2</v>
      </c>
      <c r="E1307">
        <v>22.2</v>
      </c>
      <c r="F1307">
        <v>0.38</v>
      </c>
      <c r="G1307">
        <v>22.2</v>
      </c>
      <c r="H1307">
        <v>22.22</v>
      </c>
      <c r="I1307" t="s">
        <v>2551</v>
      </c>
      <c r="J1307">
        <v>8.61</v>
      </c>
      <c r="K1307">
        <v>8.61</v>
      </c>
      <c r="L1307">
        <v>21.65</v>
      </c>
      <c r="M1307">
        <v>22.32</v>
      </c>
      <c r="N1307">
        <v>21.5</v>
      </c>
    </row>
    <row r="1308" spans="1:14" x14ac:dyDescent="0.5">
      <c r="A1308" t="str">
        <f>"002861"</f>
        <v>002861</v>
      </c>
      <c r="B1308" t="s">
        <v>2552</v>
      </c>
      <c r="C1308">
        <v>2.84</v>
      </c>
      <c r="D1308">
        <v>35.53</v>
      </c>
      <c r="E1308">
        <v>22.11</v>
      </c>
      <c r="F1308">
        <v>0.61</v>
      </c>
      <c r="G1308">
        <v>22.1</v>
      </c>
      <c r="H1308">
        <v>22.11</v>
      </c>
      <c r="I1308" t="s">
        <v>2553</v>
      </c>
      <c r="J1308">
        <v>3.18</v>
      </c>
      <c r="K1308">
        <v>3.18</v>
      </c>
      <c r="L1308">
        <v>21.51</v>
      </c>
      <c r="M1308">
        <v>22.2</v>
      </c>
      <c r="N1308">
        <v>21.31</v>
      </c>
    </row>
    <row r="1309" spans="1:14" x14ac:dyDescent="0.5">
      <c r="A1309" t="str">
        <f>"002862"</f>
        <v>002862</v>
      </c>
      <c r="B1309" t="s">
        <v>2554</v>
      </c>
      <c r="C1309">
        <v>1.69</v>
      </c>
      <c r="D1309">
        <v>53.28</v>
      </c>
      <c r="E1309">
        <v>24.73</v>
      </c>
      <c r="F1309">
        <v>0.41</v>
      </c>
      <c r="G1309">
        <v>24.73</v>
      </c>
      <c r="H1309">
        <v>24.74</v>
      </c>
      <c r="I1309" t="s">
        <v>2434</v>
      </c>
      <c r="J1309">
        <v>20.239999999999998</v>
      </c>
      <c r="K1309">
        <v>20.239999999999998</v>
      </c>
      <c r="L1309">
        <v>24.06</v>
      </c>
      <c r="M1309">
        <v>25.14</v>
      </c>
      <c r="N1309">
        <v>23.47</v>
      </c>
    </row>
    <row r="1310" spans="1:14" x14ac:dyDescent="0.5">
      <c r="A1310" t="str">
        <f>"002863"</f>
        <v>002863</v>
      </c>
      <c r="B1310" t="s">
        <v>2555</v>
      </c>
      <c r="C1310">
        <v>3.89</v>
      </c>
      <c r="D1310">
        <v>33.46</v>
      </c>
      <c r="E1310">
        <v>7.21</v>
      </c>
      <c r="F1310">
        <v>0.27</v>
      </c>
      <c r="G1310">
        <v>7.2</v>
      </c>
      <c r="H1310">
        <v>7.21</v>
      </c>
      <c r="I1310" t="s">
        <v>2556</v>
      </c>
      <c r="J1310">
        <v>5.77</v>
      </c>
      <c r="K1310">
        <v>5.77</v>
      </c>
      <c r="L1310">
        <v>6.9</v>
      </c>
      <c r="M1310">
        <v>7.29</v>
      </c>
      <c r="N1310">
        <v>6.83</v>
      </c>
    </row>
    <row r="1311" spans="1:14" x14ac:dyDescent="0.5">
      <c r="A1311" t="str">
        <f>"002864"</f>
        <v>002864</v>
      </c>
      <c r="B1311" t="s">
        <v>2557</v>
      </c>
      <c r="C1311">
        <v>0.7</v>
      </c>
      <c r="D1311">
        <v>54.42</v>
      </c>
      <c r="E1311">
        <v>35.75</v>
      </c>
      <c r="F1311">
        <v>0.25</v>
      </c>
      <c r="G1311">
        <v>35.75</v>
      </c>
      <c r="H1311">
        <v>35.76</v>
      </c>
      <c r="I1311" t="s">
        <v>2558</v>
      </c>
      <c r="J1311">
        <v>4.71</v>
      </c>
      <c r="K1311">
        <v>4.71</v>
      </c>
      <c r="L1311">
        <v>35.24</v>
      </c>
      <c r="M1311">
        <v>36.159999999999997</v>
      </c>
      <c r="N1311">
        <v>35.01</v>
      </c>
    </row>
    <row r="1312" spans="1:14" x14ac:dyDescent="0.5">
      <c r="A1312" t="str">
        <f>"002865"</f>
        <v>002865</v>
      </c>
      <c r="B1312" t="s">
        <v>2559</v>
      </c>
      <c r="C1312">
        <v>10</v>
      </c>
      <c r="D1312">
        <v>36.020000000000003</v>
      </c>
      <c r="E1312">
        <v>22.33</v>
      </c>
      <c r="F1312">
        <v>2.0299999999999998</v>
      </c>
      <c r="G1312">
        <v>22.33</v>
      </c>
      <c r="H1312" t="s">
        <v>24</v>
      </c>
      <c r="I1312" t="s">
        <v>2560</v>
      </c>
      <c r="J1312">
        <v>23.23</v>
      </c>
      <c r="K1312">
        <v>23.23</v>
      </c>
      <c r="L1312">
        <v>20.2</v>
      </c>
      <c r="M1312">
        <v>22.33</v>
      </c>
      <c r="N1312">
        <v>20.2</v>
      </c>
    </row>
    <row r="1313" spans="1:14" x14ac:dyDescent="0.5">
      <c r="A1313" t="str">
        <f>"002866"</f>
        <v>002866</v>
      </c>
      <c r="B1313" t="s">
        <v>2561</v>
      </c>
      <c r="C1313">
        <v>3.88</v>
      </c>
      <c r="D1313">
        <v>27.44</v>
      </c>
      <c r="E1313">
        <v>12.84</v>
      </c>
      <c r="F1313">
        <v>0.48</v>
      </c>
      <c r="G1313">
        <v>12.83</v>
      </c>
      <c r="H1313">
        <v>12.84</v>
      </c>
      <c r="I1313" t="s">
        <v>2562</v>
      </c>
      <c r="J1313">
        <v>10.64</v>
      </c>
      <c r="K1313">
        <v>10.64</v>
      </c>
      <c r="L1313">
        <v>12.3</v>
      </c>
      <c r="M1313">
        <v>12.85</v>
      </c>
      <c r="N1313">
        <v>12.21</v>
      </c>
    </row>
    <row r="1314" spans="1:14" x14ac:dyDescent="0.5">
      <c r="A1314" t="str">
        <f>"002867"</f>
        <v>002867</v>
      </c>
      <c r="B1314" t="s">
        <v>2563</v>
      </c>
      <c r="C1314">
        <v>-0.39</v>
      </c>
      <c r="D1314">
        <v>19</v>
      </c>
      <c r="E1314">
        <v>30.3</v>
      </c>
      <c r="F1314">
        <v>-0.12</v>
      </c>
      <c r="G1314">
        <v>30.28</v>
      </c>
      <c r="H1314">
        <v>30.3</v>
      </c>
      <c r="I1314" t="s">
        <v>2564</v>
      </c>
      <c r="J1314">
        <v>1.42</v>
      </c>
      <c r="K1314">
        <v>1.42</v>
      </c>
      <c r="L1314">
        <v>30.43</v>
      </c>
      <c r="M1314">
        <v>30.44</v>
      </c>
      <c r="N1314">
        <v>29.9</v>
      </c>
    </row>
    <row r="1315" spans="1:14" x14ac:dyDescent="0.5">
      <c r="A1315" t="str">
        <f>"002868"</f>
        <v>002868</v>
      </c>
      <c r="B1315" t="s">
        <v>2565</v>
      </c>
      <c r="C1315">
        <v>0</v>
      </c>
      <c r="D1315">
        <v>29.87</v>
      </c>
      <c r="E1315">
        <v>20.239999999999998</v>
      </c>
      <c r="F1315">
        <v>0</v>
      </c>
      <c r="G1315">
        <v>20.239999999999998</v>
      </c>
      <c r="H1315">
        <v>20.25</v>
      </c>
      <c r="I1315" t="s">
        <v>2566</v>
      </c>
      <c r="J1315">
        <v>18.170000000000002</v>
      </c>
      <c r="K1315">
        <v>18.170000000000002</v>
      </c>
      <c r="L1315">
        <v>20.23</v>
      </c>
      <c r="M1315">
        <v>21.89</v>
      </c>
      <c r="N1315">
        <v>19.52</v>
      </c>
    </row>
    <row r="1316" spans="1:14" x14ac:dyDescent="0.5">
      <c r="A1316" t="str">
        <f>"002869"</f>
        <v>002869</v>
      </c>
      <c r="B1316" t="s">
        <v>2567</v>
      </c>
      <c r="C1316">
        <v>10.01</v>
      </c>
      <c r="D1316">
        <v>71.69</v>
      </c>
      <c r="E1316">
        <v>20.78</v>
      </c>
      <c r="F1316">
        <v>1.89</v>
      </c>
      <c r="G1316">
        <v>20.78</v>
      </c>
      <c r="H1316" t="s">
        <v>24</v>
      </c>
      <c r="I1316" t="s">
        <v>2568</v>
      </c>
      <c r="J1316">
        <v>9.19</v>
      </c>
      <c r="K1316">
        <v>9.19</v>
      </c>
      <c r="L1316">
        <v>18.89</v>
      </c>
      <c r="M1316">
        <v>20.78</v>
      </c>
      <c r="N1316">
        <v>18.600000000000001</v>
      </c>
    </row>
    <row r="1317" spans="1:14" x14ac:dyDescent="0.5">
      <c r="A1317" t="str">
        <f>"002870"</f>
        <v>002870</v>
      </c>
      <c r="B1317" t="s">
        <v>2569</v>
      </c>
      <c r="C1317">
        <v>5.25</v>
      </c>
      <c r="D1317">
        <v>82.91</v>
      </c>
      <c r="E1317">
        <v>27.25</v>
      </c>
      <c r="F1317">
        <v>1.36</v>
      </c>
      <c r="G1317">
        <v>27.25</v>
      </c>
      <c r="H1317">
        <v>27.26</v>
      </c>
      <c r="I1317" t="s">
        <v>2570</v>
      </c>
      <c r="J1317">
        <v>29</v>
      </c>
      <c r="K1317">
        <v>29</v>
      </c>
      <c r="L1317">
        <v>25.38</v>
      </c>
      <c r="M1317">
        <v>28</v>
      </c>
      <c r="N1317">
        <v>25.12</v>
      </c>
    </row>
    <row r="1318" spans="1:14" x14ac:dyDescent="0.5">
      <c r="A1318" t="str">
        <f>"002871"</f>
        <v>002871</v>
      </c>
      <c r="B1318" t="s">
        <v>2571</v>
      </c>
      <c r="C1318">
        <v>-0.46</v>
      </c>
      <c r="D1318">
        <v>39.47</v>
      </c>
      <c r="E1318">
        <v>23.64</v>
      </c>
      <c r="F1318">
        <v>-0.11</v>
      </c>
      <c r="G1318">
        <v>23.64</v>
      </c>
      <c r="H1318">
        <v>23.65</v>
      </c>
      <c r="I1318" t="s">
        <v>2572</v>
      </c>
      <c r="J1318">
        <v>16.63</v>
      </c>
      <c r="K1318">
        <v>16.63</v>
      </c>
      <c r="L1318">
        <v>23.41</v>
      </c>
      <c r="M1318">
        <v>23.65</v>
      </c>
      <c r="N1318">
        <v>23.35</v>
      </c>
    </row>
    <row r="1319" spans="1:14" x14ac:dyDescent="0.5">
      <c r="A1319" t="str">
        <f>"002872"</f>
        <v>002872</v>
      </c>
      <c r="B1319" t="s">
        <v>2573</v>
      </c>
      <c r="C1319">
        <v>0.19</v>
      </c>
      <c r="D1319">
        <v>13.93</v>
      </c>
      <c r="E1319">
        <v>10.3</v>
      </c>
      <c r="F1319">
        <v>0.02</v>
      </c>
      <c r="G1319">
        <v>10.3</v>
      </c>
      <c r="H1319">
        <v>10.31</v>
      </c>
      <c r="I1319" t="s">
        <v>2574</v>
      </c>
      <c r="J1319">
        <v>6.32</v>
      </c>
      <c r="K1319">
        <v>6.32</v>
      </c>
      <c r="L1319">
        <v>10.18</v>
      </c>
      <c r="M1319">
        <v>10.31</v>
      </c>
      <c r="N1319">
        <v>10.029999999999999</v>
      </c>
    </row>
    <row r="1320" spans="1:14" x14ac:dyDescent="0.5">
      <c r="A1320" t="str">
        <f>"002873"</f>
        <v>002873</v>
      </c>
      <c r="B1320" t="s">
        <v>2575</v>
      </c>
      <c r="C1320">
        <v>1.39</v>
      </c>
      <c r="D1320">
        <v>30.52</v>
      </c>
      <c r="E1320">
        <v>18.239999999999998</v>
      </c>
      <c r="F1320">
        <v>0.25</v>
      </c>
      <c r="G1320">
        <v>18.23</v>
      </c>
      <c r="H1320">
        <v>18.239999999999998</v>
      </c>
      <c r="I1320" t="s">
        <v>2576</v>
      </c>
      <c r="J1320">
        <v>3.47</v>
      </c>
      <c r="K1320">
        <v>3.47</v>
      </c>
      <c r="L1320">
        <v>17.91</v>
      </c>
      <c r="M1320">
        <v>18.25</v>
      </c>
      <c r="N1320">
        <v>17.78</v>
      </c>
    </row>
    <row r="1321" spans="1:14" x14ac:dyDescent="0.5">
      <c r="A1321" t="str">
        <f>"002875"</f>
        <v>002875</v>
      </c>
      <c r="B1321" t="s">
        <v>2577</v>
      </c>
      <c r="C1321">
        <v>-3</v>
      </c>
      <c r="D1321">
        <v>40.07</v>
      </c>
      <c r="E1321">
        <v>23.6</v>
      </c>
      <c r="F1321">
        <v>-0.73</v>
      </c>
      <c r="G1321">
        <v>23.6</v>
      </c>
      <c r="H1321">
        <v>23.61</v>
      </c>
      <c r="I1321" t="s">
        <v>2578</v>
      </c>
      <c r="J1321">
        <v>30.9</v>
      </c>
      <c r="K1321">
        <v>30.9</v>
      </c>
      <c r="L1321">
        <v>24.45</v>
      </c>
      <c r="M1321">
        <v>24.45</v>
      </c>
      <c r="N1321">
        <v>22.63</v>
      </c>
    </row>
    <row r="1322" spans="1:14" x14ac:dyDescent="0.5">
      <c r="A1322" t="str">
        <f>"002876"</f>
        <v>002876</v>
      </c>
      <c r="B1322" t="s">
        <v>2579</v>
      </c>
      <c r="C1322">
        <v>-0.6</v>
      </c>
      <c r="D1322">
        <v>79.66</v>
      </c>
      <c r="E1322">
        <v>47.65</v>
      </c>
      <c r="F1322">
        <v>-0.28999999999999998</v>
      </c>
      <c r="G1322">
        <v>47.63</v>
      </c>
      <c r="H1322">
        <v>47.65</v>
      </c>
      <c r="I1322" t="s">
        <v>2580</v>
      </c>
      <c r="J1322">
        <v>4.3499999999999996</v>
      </c>
      <c r="K1322">
        <v>4.3499999999999996</v>
      </c>
      <c r="L1322">
        <v>47.84</v>
      </c>
      <c r="M1322">
        <v>47.84</v>
      </c>
      <c r="N1322">
        <v>45.6</v>
      </c>
    </row>
    <row r="1323" spans="1:14" x14ac:dyDescent="0.5">
      <c r="A1323" t="str">
        <f>"002877"</f>
        <v>002877</v>
      </c>
      <c r="B1323" t="s">
        <v>2581</v>
      </c>
      <c r="C1323">
        <v>1.82</v>
      </c>
      <c r="D1323">
        <v>65.180000000000007</v>
      </c>
      <c r="E1323">
        <v>16.22</v>
      </c>
      <c r="F1323">
        <v>0.28999999999999998</v>
      </c>
      <c r="G1323">
        <v>16.22</v>
      </c>
      <c r="H1323">
        <v>16.23</v>
      </c>
      <c r="I1323" t="s">
        <v>2582</v>
      </c>
      <c r="J1323">
        <v>9.4600000000000009</v>
      </c>
      <c r="K1323">
        <v>9.4600000000000009</v>
      </c>
      <c r="L1323">
        <v>15.89</v>
      </c>
      <c r="M1323">
        <v>16.239999999999998</v>
      </c>
      <c r="N1323">
        <v>15.82</v>
      </c>
    </row>
    <row r="1324" spans="1:14" x14ac:dyDescent="0.5">
      <c r="A1324" t="str">
        <f>"002878"</f>
        <v>002878</v>
      </c>
      <c r="B1324" t="s">
        <v>2583</v>
      </c>
      <c r="C1324">
        <v>3.06</v>
      </c>
      <c r="D1324">
        <v>41.6</v>
      </c>
      <c r="E1324">
        <v>28.98</v>
      </c>
      <c r="F1324">
        <v>0.86</v>
      </c>
      <c r="G1324">
        <v>28.97</v>
      </c>
      <c r="H1324">
        <v>28.98</v>
      </c>
      <c r="I1324" t="s">
        <v>2436</v>
      </c>
      <c r="J1324">
        <v>5.68</v>
      </c>
      <c r="K1324">
        <v>5.68</v>
      </c>
      <c r="L1324">
        <v>28.12</v>
      </c>
      <c r="M1324">
        <v>29.18</v>
      </c>
      <c r="N1324">
        <v>28.09</v>
      </c>
    </row>
    <row r="1325" spans="1:14" x14ac:dyDescent="0.5">
      <c r="A1325" t="str">
        <f>"002879"</f>
        <v>002879</v>
      </c>
      <c r="B1325" t="s">
        <v>2584</v>
      </c>
      <c r="C1325">
        <v>5.28</v>
      </c>
      <c r="D1325">
        <v>23.55</v>
      </c>
      <c r="E1325">
        <v>15.96</v>
      </c>
      <c r="F1325">
        <v>0.8</v>
      </c>
      <c r="G1325">
        <v>15.95</v>
      </c>
      <c r="H1325">
        <v>15.96</v>
      </c>
      <c r="I1325" t="s">
        <v>2585</v>
      </c>
      <c r="J1325">
        <v>7.36</v>
      </c>
      <c r="K1325">
        <v>7.36</v>
      </c>
      <c r="L1325">
        <v>15.16</v>
      </c>
      <c r="M1325">
        <v>15.97</v>
      </c>
      <c r="N1325">
        <v>15.11</v>
      </c>
    </row>
    <row r="1326" spans="1:14" x14ac:dyDescent="0.5">
      <c r="A1326" t="str">
        <f>"002880"</f>
        <v>002880</v>
      </c>
      <c r="B1326" t="s">
        <v>2586</v>
      </c>
      <c r="C1326">
        <v>0.72</v>
      </c>
      <c r="D1326">
        <v>32</v>
      </c>
      <c r="E1326">
        <v>47.33</v>
      </c>
      <c r="F1326">
        <v>0.34</v>
      </c>
      <c r="G1326">
        <v>47.33</v>
      </c>
      <c r="H1326">
        <v>47.34</v>
      </c>
      <c r="I1326" t="s">
        <v>2587</v>
      </c>
      <c r="J1326">
        <v>3.94</v>
      </c>
      <c r="K1326">
        <v>3.94</v>
      </c>
      <c r="L1326">
        <v>47.38</v>
      </c>
      <c r="M1326">
        <v>47.48</v>
      </c>
      <c r="N1326">
        <v>46.83</v>
      </c>
    </row>
    <row r="1327" spans="1:14" x14ac:dyDescent="0.5">
      <c r="A1327" t="str">
        <f>"002881"</f>
        <v>002881</v>
      </c>
      <c r="B1327" t="s">
        <v>2588</v>
      </c>
      <c r="C1327">
        <v>2.76</v>
      </c>
      <c r="D1327">
        <v>58.38</v>
      </c>
      <c r="E1327">
        <v>20.14</v>
      </c>
      <c r="F1327">
        <v>0.54</v>
      </c>
      <c r="G1327">
        <v>20.14</v>
      </c>
      <c r="H1327">
        <v>20.149999999999999</v>
      </c>
      <c r="I1327" t="s">
        <v>2589</v>
      </c>
      <c r="J1327">
        <v>16.13</v>
      </c>
      <c r="K1327">
        <v>16.13</v>
      </c>
      <c r="L1327">
        <v>19.600000000000001</v>
      </c>
      <c r="M1327">
        <v>20.6</v>
      </c>
      <c r="N1327">
        <v>19.46</v>
      </c>
    </row>
    <row r="1328" spans="1:14" x14ac:dyDescent="0.5">
      <c r="A1328" t="str">
        <f>"002882"</f>
        <v>002882</v>
      </c>
      <c r="B1328" t="s">
        <v>2590</v>
      </c>
      <c r="C1328">
        <v>1.86</v>
      </c>
      <c r="D1328">
        <v>18.97</v>
      </c>
      <c r="E1328">
        <v>10.96</v>
      </c>
      <c r="F1328">
        <v>0.2</v>
      </c>
      <c r="G1328">
        <v>10.96</v>
      </c>
      <c r="H1328">
        <v>10.97</v>
      </c>
      <c r="I1328" t="s">
        <v>2591</v>
      </c>
      <c r="J1328">
        <v>6.31</v>
      </c>
      <c r="K1328">
        <v>6.31</v>
      </c>
      <c r="L1328">
        <v>10.75</v>
      </c>
      <c r="M1328">
        <v>10.96</v>
      </c>
      <c r="N1328">
        <v>10.68</v>
      </c>
    </row>
    <row r="1329" spans="1:14" x14ac:dyDescent="0.5">
      <c r="A1329" t="str">
        <f>"002883"</f>
        <v>002883</v>
      </c>
      <c r="B1329" t="s">
        <v>2592</v>
      </c>
      <c r="C1329">
        <v>1.1200000000000001</v>
      </c>
      <c r="D1329">
        <v>37.450000000000003</v>
      </c>
      <c r="E1329">
        <v>23.46</v>
      </c>
      <c r="F1329">
        <v>0.26</v>
      </c>
      <c r="G1329">
        <v>23.45</v>
      </c>
      <c r="H1329">
        <v>23.46</v>
      </c>
      <c r="I1329" t="s">
        <v>2593</v>
      </c>
      <c r="J1329">
        <v>7.88</v>
      </c>
      <c r="K1329">
        <v>7.88</v>
      </c>
      <c r="L1329">
        <v>22.99</v>
      </c>
      <c r="M1329">
        <v>23.49</v>
      </c>
      <c r="N1329">
        <v>22.82</v>
      </c>
    </row>
    <row r="1330" spans="1:14" x14ac:dyDescent="0.5">
      <c r="A1330" t="str">
        <f>"002884"</f>
        <v>002884</v>
      </c>
      <c r="B1330" t="s">
        <v>2594</v>
      </c>
      <c r="C1330">
        <v>1.03</v>
      </c>
      <c r="D1330">
        <v>13.42</v>
      </c>
      <c r="E1330">
        <v>24.5</v>
      </c>
      <c r="F1330">
        <v>0.25</v>
      </c>
      <c r="G1330">
        <v>24.5</v>
      </c>
      <c r="H1330">
        <v>24.55</v>
      </c>
      <c r="I1330" t="s">
        <v>2595</v>
      </c>
      <c r="J1330">
        <v>2.2999999999999998</v>
      </c>
      <c r="K1330">
        <v>2.2999999999999998</v>
      </c>
      <c r="L1330">
        <v>24.07</v>
      </c>
      <c r="M1330">
        <v>24.7</v>
      </c>
      <c r="N1330">
        <v>23.97</v>
      </c>
    </row>
    <row r="1331" spans="1:14" x14ac:dyDescent="0.5">
      <c r="A1331" t="str">
        <f>"002885"</f>
        <v>002885</v>
      </c>
      <c r="B1331" t="s">
        <v>2596</v>
      </c>
      <c r="C1331">
        <v>2.7</v>
      </c>
      <c r="D1331">
        <v>40.020000000000003</v>
      </c>
      <c r="E1331">
        <v>23.96</v>
      </c>
      <c r="F1331">
        <v>0.63</v>
      </c>
      <c r="G1331">
        <v>23.95</v>
      </c>
      <c r="H1331">
        <v>23.96</v>
      </c>
      <c r="I1331" t="s">
        <v>2597</v>
      </c>
      <c r="J1331">
        <v>13.15</v>
      </c>
      <c r="K1331">
        <v>13.15</v>
      </c>
      <c r="L1331">
        <v>23</v>
      </c>
      <c r="M1331">
        <v>23.99</v>
      </c>
      <c r="N1331">
        <v>22.87</v>
      </c>
    </row>
    <row r="1332" spans="1:14" x14ac:dyDescent="0.5">
      <c r="A1332" t="str">
        <f>"002886"</f>
        <v>002886</v>
      </c>
      <c r="B1332" t="s">
        <v>2598</v>
      </c>
      <c r="C1332">
        <v>0.94</v>
      </c>
      <c r="D1332">
        <v>58.82</v>
      </c>
      <c r="E1332">
        <v>19.29</v>
      </c>
      <c r="F1332">
        <v>0.18</v>
      </c>
      <c r="G1332">
        <v>19.28</v>
      </c>
      <c r="H1332">
        <v>19.29</v>
      </c>
      <c r="I1332" t="s">
        <v>2599</v>
      </c>
      <c r="J1332">
        <v>10.78</v>
      </c>
      <c r="K1332">
        <v>10.78</v>
      </c>
      <c r="L1332">
        <v>19.04</v>
      </c>
      <c r="M1332">
        <v>19.489999999999998</v>
      </c>
      <c r="N1332">
        <v>18.7</v>
      </c>
    </row>
    <row r="1333" spans="1:14" x14ac:dyDescent="0.5">
      <c r="A1333" t="str">
        <f>"002887"</f>
        <v>002887</v>
      </c>
      <c r="B1333" t="s">
        <v>2600</v>
      </c>
      <c r="C1333">
        <v>1.4</v>
      </c>
      <c r="D1333">
        <v>20.100000000000001</v>
      </c>
      <c r="E1333">
        <v>21.07</v>
      </c>
      <c r="F1333">
        <v>0.28999999999999998</v>
      </c>
      <c r="G1333">
        <v>21.07</v>
      </c>
      <c r="H1333">
        <v>21.08</v>
      </c>
      <c r="I1333" t="s">
        <v>2601</v>
      </c>
      <c r="J1333">
        <v>8.66</v>
      </c>
      <c r="K1333">
        <v>8.66</v>
      </c>
      <c r="L1333">
        <v>20.61</v>
      </c>
      <c r="M1333">
        <v>21.12</v>
      </c>
      <c r="N1333">
        <v>20.51</v>
      </c>
    </row>
    <row r="1334" spans="1:14" x14ac:dyDescent="0.5">
      <c r="A1334" t="str">
        <f>"002888"</f>
        <v>002888</v>
      </c>
      <c r="B1334" t="s">
        <v>2602</v>
      </c>
      <c r="C1334">
        <v>1.31</v>
      </c>
      <c r="D1334">
        <v>73.56</v>
      </c>
      <c r="E1334">
        <v>19.36</v>
      </c>
      <c r="F1334">
        <v>0.25</v>
      </c>
      <c r="G1334">
        <v>19.350000000000001</v>
      </c>
      <c r="H1334">
        <v>19.36</v>
      </c>
      <c r="I1334" t="s">
        <v>2603</v>
      </c>
      <c r="J1334">
        <v>12.47</v>
      </c>
      <c r="K1334">
        <v>12.47</v>
      </c>
      <c r="L1334">
        <v>19.09</v>
      </c>
      <c r="M1334">
        <v>19.36</v>
      </c>
      <c r="N1334">
        <v>18.95</v>
      </c>
    </row>
    <row r="1335" spans="1:14" x14ac:dyDescent="0.5">
      <c r="A1335" t="str">
        <f>"002889"</f>
        <v>002889</v>
      </c>
      <c r="B1335" t="s">
        <v>2604</v>
      </c>
      <c r="C1335">
        <v>2.1</v>
      </c>
      <c r="D1335">
        <v>28.47</v>
      </c>
      <c r="E1335">
        <v>27.22</v>
      </c>
      <c r="F1335">
        <v>0.56000000000000005</v>
      </c>
      <c r="G1335">
        <v>27.22</v>
      </c>
      <c r="H1335">
        <v>27.23</v>
      </c>
      <c r="I1335" t="s">
        <v>2605</v>
      </c>
      <c r="J1335">
        <v>9.2200000000000006</v>
      </c>
      <c r="K1335">
        <v>9.2200000000000006</v>
      </c>
      <c r="L1335">
        <v>26.5</v>
      </c>
      <c r="M1335">
        <v>27.31</v>
      </c>
      <c r="N1335">
        <v>26.41</v>
      </c>
    </row>
    <row r="1336" spans="1:14" x14ac:dyDescent="0.5">
      <c r="A1336" t="str">
        <f>"002890"</f>
        <v>002890</v>
      </c>
      <c r="B1336" t="s">
        <v>2606</v>
      </c>
      <c r="C1336">
        <v>1.1000000000000001</v>
      </c>
      <c r="D1336">
        <v>49.18</v>
      </c>
      <c r="E1336">
        <v>21.1</v>
      </c>
      <c r="F1336">
        <v>0.23</v>
      </c>
      <c r="G1336">
        <v>21.1</v>
      </c>
      <c r="H1336">
        <v>21.11</v>
      </c>
      <c r="I1336" t="s">
        <v>2607</v>
      </c>
      <c r="J1336">
        <v>4.55</v>
      </c>
      <c r="K1336">
        <v>4.55</v>
      </c>
      <c r="L1336">
        <v>20.7</v>
      </c>
      <c r="M1336">
        <v>21.16</v>
      </c>
      <c r="N1336">
        <v>20.7</v>
      </c>
    </row>
    <row r="1337" spans="1:14" x14ac:dyDescent="0.5">
      <c r="A1337" t="str">
        <f>"002891"</f>
        <v>002891</v>
      </c>
      <c r="B1337" t="s">
        <v>2608</v>
      </c>
      <c r="C1337">
        <v>-0.34</v>
      </c>
      <c r="D1337">
        <v>72.260000000000005</v>
      </c>
      <c r="E1337">
        <v>40.89</v>
      </c>
      <c r="F1337">
        <v>-0.14000000000000001</v>
      </c>
      <c r="G1337">
        <v>40.89</v>
      </c>
      <c r="H1337">
        <v>40.9</v>
      </c>
      <c r="I1337" t="s">
        <v>2609</v>
      </c>
      <c r="J1337">
        <v>1.46</v>
      </c>
      <c r="K1337">
        <v>1.46</v>
      </c>
      <c r="L1337">
        <v>40.98</v>
      </c>
      <c r="M1337">
        <v>41.16</v>
      </c>
      <c r="N1337">
        <v>39.880000000000003</v>
      </c>
    </row>
    <row r="1338" spans="1:14" x14ac:dyDescent="0.5">
      <c r="A1338" t="str">
        <f>"002892"</f>
        <v>002892</v>
      </c>
      <c r="B1338" t="s">
        <v>2610</v>
      </c>
      <c r="C1338">
        <v>0.26</v>
      </c>
      <c r="D1338">
        <v>52.17</v>
      </c>
      <c r="E1338">
        <v>38.979999999999997</v>
      </c>
      <c r="F1338">
        <v>0.1</v>
      </c>
      <c r="G1338">
        <v>38.96</v>
      </c>
      <c r="H1338">
        <v>38.979999999999997</v>
      </c>
      <c r="I1338" t="s">
        <v>2611</v>
      </c>
      <c r="J1338">
        <v>8.1999999999999993</v>
      </c>
      <c r="K1338">
        <v>8.1999999999999993</v>
      </c>
      <c r="L1338">
        <v>37.82</v>
      </c>
      <c r="M1338">
        <v>40</v>
      </c>
      <c r="N1338">
        <v>37.520000000000003</v>
      </c>
    </row>
    <row r="1339" spans="1:14" x14ac:dyDescent="0.5">
      <c r="A1339" t="str">
        <f>"002893"</f>
        <v>002893</v>
      </c>
      <c r="B1339" t="s">
        <v>2612</v>
      </c>
      <c r="C1339">
        <v>1.78</v>
      </c>
      <c r="D1339">
        <v>53.44</v>
      </c>
      <c r="E1339">
        <v>15.97</v>
      </c>
      <c r="F1339">
        <v>0.28000000000000003</v>
      </c>
      <c r="G1339">
        <v>15.97</v>
      </c>
      <c r="H1339">
        <v>15.98</v>
      </c>
      <c r="I1339" t="s">
        <v>2613</v>
      </c>
      <c r="J1339">
        <v>5.74</v>
      </c>
      <c r="K1339">
        <v>5.74</v>
      </c>
      <c r="L1339">
        <v>15.75</v>
      </c>
      <c r="M1339">
        <v>15.99</v>
      </c>
      <c r="N1339">
        <v>15.58</v>
      </c>
    </row>
    <row r="1340" spans="1:14" x14ac:dyDescent="0.5">
      <c r="A1340" t="str">
        <f>"002895"</f>
        <v>002895</v>
      </c>
      <c r="B1340" t="s">
        <v>2614</v>
      </c>
      <c r="C1340">
        <v>1.51</v>
      </c>
      <c r="D1340">
        <v>78.260000000000005</v>
      </c>
      <c r="E1340">
        <v>14.08</v>
      </c>
      <c r="F1340">
        <v>0.21</v>
      </c>
      <c r="G1340">
        <v>14.07</v>
      </c>
      <c r="H1340">
        <v>14.08</v>
      </c>
      <c r="I1340" t="s">
        <v>2615</v>
      </c>
      <c r="J1340">
        <v>11.43</v>
      </c>
      <c r="K1340">
        <v>11.43</v>
      </c>
      <c r="L1340">
        <v>13.83</v>
      </c>
      <c r="M1340">
        <v>14.08</v>
      </c>
      <c r="N1340">
        <v>13.76</v>
      </c>
    </row>
    <row r="1341" spans="1:14" x14ac:dyDescent="0.5">
      <c r="A1341" t="str">
        <f>"002896"</f>
        <v>002896</v>
      </c>
      <c r="B1341" t="s">
        <v>2616</v>
      </c>
      <c r="C1341">
        <v>5.56</v>
      </c>
      <c r="D1341">
        <v>36.049999999999997</v>
      </c>
      <c r="E1341">
        <v>35.1</v>
      </c>
      <c r="F1341">
        <v>1.85</v>
      </c>
      <c r="G1341">
        <v>35.1</v>
      </c>
      <c r="H1341">
        <v>35.11</v>
      </c>
      <c r="I1341" t="s">
        <v>2617</v>
      </c>
      <c r="J1341">
        <v>7.43</v>
      </c>
      <c r="K1341">
        <v>7.43</v>
      </c>
      <c r="L1341">
        <v>33.29</v>
      </c>
      <c r="M1341">
        <v>36</v>
      </c>
      <c r="N1341">
        <v>33</v>
      </c>
    </row>
    <row r="1342" spans="1:14" x14ac:dyDescent="0.5">
      <c r="A1342" t="str">
        <f>"002897"</f>
        <v>002897</v>
      </c>
      <c r="B1342" t="s">
        <v>2618</v>
      </c>
      <c r="C1342">
        <v>-2.67</v>
      </c>
      <c r="D1342">
        <v>49.11</v>
      </c>
      <c r="E1342">
        <v>23.65</v>
      </c>
      <c r="F1342">
        <v>-0.65</v>
      </c>
      <c r="G1342">
        <v>23.65</v>
      </c>
      <c r="H1342">
        <v>23.66</v>
      </c>
      <c r="I1342" t="s">
        <v>2619</v>
      </c>
      <c r="J1342">
        <v>21.63</v>
      </c>
      <c r="K1342">
        <v>21.63</v>
      </c>
      <c r="L1342">
        <v>23</v>
      </c>
      <c r="M1342">
        <v>23.77</v>
      </c>
      <c r="N1342">
        <v>22.87</v>
      </c>
    </row>
    <row r="1343" spans="1:14" x14ac:dyDescent="0.5">
      <c r="A1343" t="str">
        <f>"002898"</f>
        <v>002898</v>
      </c>
      <c r="B1343" t="s">
        <v>2620</v>
      </c>
      <c r="C1343">
        <v>1.63</v>
      </c>
      <c r="D1343">
        <v>39.07</v>
      </c>
      <c r="E1343">
        <v>16.23</v>
      </c>
      <c r="F1343">
        <v>0.26</v>
      </c>
      <c r="G1343">
        <v>16.22</v>
      </c>
      <c r="H1343">
        <v>16.23</v>
      </c>
      <c r="I1343" t="s">
        <v>2621</v>
      </c>
      <c r="J1343">
        <v>3.42</v>
      </c>
      <c r="K1343">
        <v>3.42</v>
      </c>
      <c r="L1343">
        <v>15.89</v>
      </c>
      <c r="M1343">
        <v>16.23</v>
      </c>
      <c r="N1343">
        <v>15.89</v>
      </c>
    </row>
    <row r="1344" spans="1:14" x14ac:dyDescent="0.5">
      <c r="A1344" t="str">
        <f>"002899"</f>
        <v>002899</v>
      </c>
      <c r="B1344" t="s">
        <v>2622</v>
      </c>
      <c r="C1344">
        <v>2.94</v>
      </c>
      <c r="D1344">
        <v>26.76</v>
      </c>
      <c r="E1344">
        <v>15.78</v>
      </c>
      <c r="F1344">
        <v>0.45</v>
      </c>
      <c r="G1344">
        <v>15.77</v>
      </c>
      <c r="H1344">
        <v>15.78</v>
      </c>
      <c r="I1344" t="s">
        <v>2623</v>
      </c>
      <c r="J1344">
        <v>3.72</v>
      </c>
      <c r="K1344">
        <v>3.72</v>
      </c>
      <c r="L1344">
        <v>15.41</v>
      </c>
      <c r="M1344">
        <v>15.79</v>
      </c>
      <c r="N1344">
        <v>15.2</v>
      </c>
    </row>
    <row r="1345" spans="1:14" x14ac:dyDescent="0.5">
      <c r="A1345" t="str">
        <f>"002900"</f>
        <v>002900</v>
      </c>
      <c r="B1345" t="s">
        <v>2624</v>
      </c>
      <c r="C1345">
        <v>1.2</v>
      </c>
      <c r="D1345">
        <v>17.739999999999998</v>
      </c>
      <c r="E1345">
        <v>13.5</v>
      </c>
      <c r="F1345">
        <v>0.16</v>
      </c>
      <c r="G1345">
        <v>13.5</v>
      </c>
      <c r="H1345">
        <v>13.51</v>
      </c>
      <c r="I1345" t="s">
        <v>2625</v>
      </c>
      <c r="J1345">
        <v>3</v>
      </c>
      <c r="K1345">
        <v>3</v>
      </c>
      <c r="L1345">
        <v>13.3</v>
      </c>
      <c r="M1345">
        <v>13.52</v>
      </c>
      <c r="N1345">
        <v>13.19</v>
      </c>
    </row>
    <row r="1346" spans="1:14" x14ac:dyDescent="0.5">
      <c r="A1346" t="str">
        <f>"002901"</f>
        <v>002901</v>
      </c>
      <c r="B1346" t="s">
        <v>2626</v>
      </c>
      <c r="C1346">
        <v>0.74</v>
      </c>
      <c r="D1346">
        <v>36.58</v>
      </c>
      <c r="E1346">
        <v>34</v>
      </c>
      <c r="F1346">
        <v>0.25</v>
      </c>
      <c r="G1346">
        <v>33.979999999999997</v>
      </c>
      <c r="H1346">
        <v>34</v>
      </c>
      <c r="I1346" t="s">
        <v>2627</v>
      </c>
      <c r="J1346">
        <v>4.24</v>
      </c>
      <c r="K1346">
        <v>4.24</v>
      </c>
      <c r="L1346">
        <v>33.6</v>
      </c>
      <c r="M1346">
        <v>34</v>
      </c>
      <c r="N1346">
        <v>33.200000000000003</v>
      </c>
    </row>
    <row r="1347" spans="1:14" x14ac:dyDescent="0.5">
      <c r="A1347" t="str">
        <f>"002902"</f>
        <v>002902</v>
      </c>
      <c r="B1347" t="s">
        <v>2628</v>
      </c>
      <c r="C1347">
        <v>2.2200000000000002</v>
      </c>
      <c r="D1347">
        <v>92.15</v>
      </c>
      <c r="E1347">
        <v>25.35</v>
      </c>
      <c r="F1347">
        <v>0.55000000000000004</v>
      </c>
      <c r="G1347">
        <v>25.35</v>
      </c>
      <c r="H1347">
        <v>25.36</v>
      </c>
      <c r="I1347" t="s">
        <v>2629</v>
      </c>
      <c r="J1347">
        <v>8.26</v>
      </c>
      <c r="K1347">
        <v>8.26</v>
      </c>
      <c r="L1347">
        <v>24.52</v>
      </c>
      <c r="M1347">
        <v>25.45</v>
      </c>
      <c r="N1347">
        <v>24.4</v>
      </c>
    </row>
    <row r="1348" spans="1:14" x14ac:dyDescent="0.5">
      <c r="A1348" t="str">
        <f>"002903"</f>
        <v>002903</v>
      </c>
      <c r="B1348" t="s">
        <v>2630</v>
      </c>
      <c r="C1348">
        <v>6.97</v>
      </c>
      <c r="D1348">
        <v>50.48</v>
      </c>
      <c r="E1348">
        <v>21.5</v>
      </c>
      <c r="F1348">
        <v>1.4</v>
      </c>
      <c r="G1348">
        <v>21.5</v>
      </c>
      <c r="H1348">
        <v>21.51</v>
      </c>
      <c r="I1348" t="s">
        <v>2631</v>
      </c>
      <c r="J1348">
        <v>36.43</v>
      </c>
      <c r="K1348">
        <v>36.43</v>
      </c>
      <c r="L1348">
        <v>20.2</v>
      </c>
      <c r="M1348">
        <v>22</v>
      </c>
      <c r="N1348">
        <v>20.11</v>
      </c>
    </row>
    <row r="1349" spans="1:14" x14ac:dyDescent="0.5">
      <c r="A1349" t="str">
        <f>"002905"</f>
        <v>002905</v>
      </c>
      <c r="B1349" t="s">
        <v>2632</v>
      </c>
      <c r="C1349">
        <v>3.56</v>
      </c>
      <c r="D1349">
        <v>19.22</v>
      </c>
      <c r="E1349">
        <v>15.41</v>
      </c>
      <c r="F1349">
        <v>0.53</v>
      </c>
      <c r="G1349">
        <v>15.41</v>
      </c>
      <c r="H1349">
        <v>15.42</v>
      </c>
      <c r="I1349" t="s">
        <v>2633</v>
      </c>
      <c r="J1349">
        <v>10.15</v>
      </c>
      <c r="K1349">
        <v>10.15</v>
      </c>
      <c r="L1349">
        <v>14.81</v>
      </c>
      <c r="M1349">
        <v>15.45</v>
      </c>
      <c r="N1349">
        <v>14.72</v>
      </c>
    </row>
    <row r="1350" spans="1:14" x14ac:dyDescent="0.5">
      <c r="A1350" t="str">
        <f>"002906"</f>
        <v>002906</v>
      </c>
      <c r="B1350" t="s">
        <v>2634</v>
      </c>
      <c r="C1350">
        <v>3.23</v>
      </c>
      <c r="D1350">
        <v>42.26</v>
      </c>
      <c r="E1350">
        <v>11.18</v>
      </c>
      <c r="F1350">
        <v>0.35</v>
      </c>
      <c r="G1350">
        <v>11.18</v>
      </c>
      <c r="H1350">
        <v>11.19</v>
      </c>
      <c r="I1350" t="s">
        <v>2635</v>
      </c>
      <c r="J1350">
        <v>2.35</v>
      </c>
      <c r="K1350">
        <v>2.35</v>
      </c>
      <c r="L1350">
        <v>10.86</v>
      </c>
      <c r="M1350">
        <v>11.28</v>
      </c>
      <c r="N1350">
        <v>10.8</v>
      </c>
    </row>
    <row r="1351" spans="1:14" x14ac:dyDescent="0.5">
      <c r="A1351" t="str">
        <f>"002907"</f>
        <v>002907</v>
      </c>
      <c r="B1351" t="s">
        <v>2636</v>
      </c>
      <c r="C1351">
        <v>0.98</v>
      </c>
      <c r="D1351">
        <v>61.27</v>
      </c>
      <c r="E1351">
        <v>20.64</v>
      </c>
      <c r="F1351">
        <v>0.2</v>
      </c>
      <c r="G1351">
        <v>20.64</v>
      </c>
      <c r="H1351">
        <v>20.65</v>
      </c>
      <c r="I1351" t="s">
        <v>2637</v>
      </c>
      <c r="J1351">
        <v>10.81</v>
      </c>
      <c r="K1351">
        <v>10.81</v>
      </c>
      <c r="L1351">
        <v>20.399999999999999</v>
      </c>
      <c r="M1351">
        <v>20.84</v>
      </c>
      <c r="N1351">
        <v>20.190000000000001</v>
      </c>
    </row>
    <row r="1352" spans="1:14" x14ac:dyDescent="0.5">
      <c r="A1352" t="str">
        <f>"002908"</f>
        <v>002908</v>
      </c>
      <c r="B1352" t="s">
        <v>2638</v>
      </c>
      <c r="C1352">
        <v>5.8</v>
      </c>
      <c r="D1352">
        <v>49.11</v>
      </c>
      <c r="E1352">
        <v>20.99</v>
      </c>
      <c r="F1352">
        <v>1.1499999999999999</v>
      </c>
      <c r="G1352">
        <v>20.98</v>
      </c>
      <c r="H1352">
        <v>20.99</v>
      </c>
      <c r="I1352" t="s">
        <v>2639</v>
      </c>
      <c r="J1352">
        <v>11.02</v>
      </c>
      <c r="K1352">
        <v>11.02</v>
      </c>
      <c r="L1352">
        <v>19.84</v>
      </c>
      <c r="M1352">
        <v>21.37</v>
      </c>
      <c r="N1352">
        <v>19.72</v>
      </c>
    </row>
    <row r="1353" spans="1:14" x14ac:dyDescent="0.5">
      <c r="A1353" t="str">
        <f>"002909"</f>
        <v>002909</v>
      </c>
      <c r="B1353" t="s">
        <v>2640</v>
      </c>
      <c r="C1353">
        <v>6.64</v>
      </c>
      <c r="D1353">
        <v>97.93</v>
      </c>
      <c r="E1353">
        <v>12.37</v>
      </c>
      <c r="F1353">
        <v>0.77</v>
      </c>
      <c r="G1353">
        <v>12.36</v>
      </c>
      <c r="H1353">
        <v>12.37</v>
      </c>
      <c r="I1353" t="s">
        <v>2641</v>
      </c>
      <c r="J1353">
        <v>19.62</v>
      </c>
      <c r="K1353">
        <v>19.62</v>
      </c>
      <c r="L1353">
        <v>11.5</v>
      </c>
      <c r="M1353">
        <v>12.76</v>
      </c>
      <c r="N1353">
        <v>11.41</v>
      </c>
    </row>
    <row r="1354" spans="1:14" x14ac:dyDescent="0.5">
      <c r="A1354" t="str">
        <f>"002910"</f>
        <v>002910</v>
      </c>
      <c r="B1354" t="s">
        <v>2642</v>
      </c>
      <c r="C1354">
        <v>1.93</v>
      </c>
      <c r="D1354">
        <v>37.74</v>
      </c>
      <c r="E1354">
        <v>13.17</v>
      </c>
      <c r="F1354">
        <v>0.25</v>
      </c>
      <c r="G1354">
        <v>13.16</v>
      </c>
      <c r="H1354">
        <v>13.17</v>
      </c>
      <c r="I1354" t="s">
        <v>2643</v>
      </c>
      <c r="J1354">
        <v>9.58</v>
      </c>
      <c r="K1354">
        <v>9.58</v>
      </c>
      <c r="L1354">
        <v>12.98</v>
      </c>
      <c r="M1354">
        <v>13.18</v>
      </c>
      <c r="N1354">
        <v>12.79</v>
      </c>
    </row>
    <row r="1355" spans="1:14" x14ac:dyDescent="0.5">
      <c r="A1355" t="str">
        <f>"002911"</f>
        <v>002911</v>
      </c>
      <c r="B1355" t="s">
        <v>2644</v>
      </c>
      <c r="C1355">
        <v>0.28000000000000003</v>
      </c>
      <c r="D1355">
        <v>24.22</v>
      </c>
      <c r="E1355">
        <v>17.850000000000001</v>
      </c>
      <c r="F1355">
        <v>0.05</v>
      </c>
      <c r="G1355">
        <v>17.850000000000001</v>
      </c>
      <c r="H1355">
        <v>17.86</v>
      </c>
      <c r="I1355" t="s">
        <v>2645</v>
      </c>
      <c r="J1355">
        <v>1.0900000000000001</v>
      </c>
      <c r="K1355">
        <v>1.0900000000000001</v>
      </c>
      <c r="L1355">
        <v>17.68</v>
      </c>
      <c r="M1355">
        <v>17.88</v>
      </c>
      <c r="N1355">
        <v>17.600000000000001</v>
      </c>
    </row>
    <row r="1356" spans="1:14" x14ac:dyDescent="0.5">
      <c r="A1356" t="str">
        <f>"002912"</f>
        <v>002912</v>
      </c>
      <c r="B1356" t="s">
        <v>2646</v>
      </c>
      <c r="C1356">
        <v>4.3600000000000003</v>
      </c>
      <c r="D1356">
        <v>56.51</v>
      </c>
      <c r="E1356">
        <v>109.47</v>
      </c>
      <c r="F1356">
        <v>4.57</v>
      </c>
      <c r="G1356">
        <v>109.47</v>
      </c>
      <c r="H1356">
        <v>109.48</v>
      </c>
      <c r="I1356" t="s">
        <v>2647</v>
      </c>
      <c r="J1356">
        <v>2.68</v>
      </c>
      <c r="K1356">
        <v>2.68</v>
      </c>
      <c r="L1356">
        <v>103.82</v>
      </c>
      <c r="M1356">
        <v>110.9</v>
      </c>
      <c r="N1356">
        <v>103.82</v>
      </c>
    </row>
    <row r="1357" spans="1:14" x14ac:dyDescent="0.5">
      <c r="A1357" t="str">
        <f>"002913"</f>
        <v>002913</v>
      </c>
      <c r="B1357" t="s">
        <v>2648</v>
      </c>
      <c r="C1357">
        <v>6.21</v>
      </c>
      <c r="D1357">
        <v>31.96</v>
      </c>
      <c r="E1357">
        <v>59.48</v>
      </c>
      <c r="F1357">
        <v>3.48</v>
      </c>
      <c r="G1357">
        <v>59.48</v>
      </c>
      <c r="H1357">
        <v>59.49</v>
      </c>
      <c r="I1357" t="s">
        <v>2649</v>
      </c>
      <c r="J1357">
        <v>21.52</v>
      </c>
      <c r="K1357">
        <v>21.52</v>
      </c>
      <c r="L1357">
        <v>56.66</v>
      </c>
      <c r="M1357">
        <v>60.99</v>
      </c>
      <c r="N1357">
        <v>56.66</v>
      </c>
    </row>
    <row r="1358" spans="1:14" x14ac:dyDescent="0.5">
      <c r="A1358" t="str">
        <f>"002915"</f>
        <v>002915</v>
      </c>
      <c r="B1358" t="s">
        <v>2650</v>
      </c>
      <c r="C1358">
        <v>1.63</v>
      </c>
      <c r="D1358">
        <v>68.13</v>
      </c>
      <c r="E1358">
        <v>23.7</v>
      </c>
      <c r="F1358">
        <v>0.38</v>
      </c>
      <c r="G1358">
        <v>23.69</v>
      </c>
      <c r="H1358">
        <v>23.7</v>
      </c>
      <c r="I1358" t="s">
        <v>2428</v>
      </c>
      <c r="J1358">
        <v>6.49</v>
      </c>
      <c r="K1358">
        <v>6.49</v>
      </c>
      <c r="L1358">
        <v>23.35</v>
      </c>
      <c r="M1358">
        <v>23.73</v>
      </c>
      <c r="N1358">
        <v>23.15</v>
      </c>
    </row>
    <row r="1359" spans="1:14" x14ac:dyDescent="0.5">
      <c r="A1359" t="str">
        <f>"002916"</f>
        <v>002916</v>
      </c>
      <c r="B1359" t="s">
        <v>2651</v>
      </c>
      <c r="C1359">
        <v>1.35</v>
      </c>
      <c r="D1359">
        <v>56.6</v>
      </c>
      <c r="E1359">
        <v>118.24</v>
      </c>
      <c r="F1359">
        <v>1.58</v>
      </c>
      <c r="G1359">
        <v>118.24</v>
      </c>
      <c r="H1359">
        <v>118.25</v>
      </c>
      <c r="I1359" t="s">
        <v>2652</v>
      </c>
      <c r="J1359">
        <v>5.41</v>
      </c>
      <c r="K1359">
        <v>5.41</v>
      </c>
      <c r="L1359">
        <v>116</v>
      </c>
      <c r="M1359">
        <v>118.99</v>
      </c>
      <c r="N1359">
        <v>114.6</v>
      </c>
    </row>
    <row r="1360" spans="1:14" x14ac:dyDescent="0.5">
      <c r="A1360" t="str">
        <f>"002917"</f>
        <v>002917</v>
      </c>
      <c r="B1360" t="s">
        <v>2653</v>
      </c>
      <c r="C1360">
        <v>-1.93</v>
      </c>
      <c r="D1360">
        <v>50.8</v>
      </c>
      <c r="E1360">
        <v>28.93</v>
      </c>
      <c r="F1360">
        <v>-0.56999999999999995</v>
      </c>
      <c r="G1360">
        <v>28.93</v>
      </c>
      <c r="H1360">
        <v>28.94</v>
      </c>
      <c r="I1360" t="s">
        <v>2654</v>
      </c>
      <c r="J1360">
        <v>25.9</v>
      </c>
      <c r="K1360">
        <v>25.9</v>
      </c>
      <c r="L1360">
        <v>28.88</v>
      </c>
      <c r="M1360">
        <v>29.12</v>
      </c>
      <c r="N1360">
        <v>28.4</v>
      </c>
    </row>
    <row r="1361" spans="1:14" x14ac:dyDescent="0.5">
      <c r="A1361" t="str">
        <f>"002918"</f>
        <v>002918</v>
      </c>
      <c r="B1361" t="s">
        <v>2655</v>
      </c>
      <c r="C1361">
        <v>2.36</v>
      </c>
      <c r="D1361">
        <v>13.74</v>
      </c>
      <c r="E1361">
        <v>19.920000000000002</v>
      </c>
      <c r="F1361">
        <v>0.46</v>
      </c>
      <c r="G1361">
        <v>19.91</v>
      </c>
      <c r="H1361">
        <v>19.920000000000002</v>
      </c>
      <c r="I1361" t="s">
        <v>2512</v>
      </c>
      <c r="J1361">
        <v>4.78</v>
      </c>
      <c r="K1361">
        <v>4.78</v>
      </c>
      <c r="L1361">
        <v>19.440000000000001</v>
      </c>
      <c r="M1361">
        <v>19.93</v>
      </c>
      <c r="N1361">
        <v>19.27</v>
      </c>
    </row>
    <row r="1362" spans="1:14" x14ac:dyDescent="0.5">
      <c r="A1362" t="str">
        <f>"002919"</f>
        <v>002919</v>
      </c>
      <c r="B1362" t="s">
        <v>2656</v>
      </c>
      <c r="C1362">
        <v>1.03</v>
      </c>
      <c r="D1362">
        <v>47.8</v>
      </c>
      <c r="E1362">
        <v>22.65</v>
      </c>
      <c r="F1362">
        <v>0.23</v>
      </c>
      <c r="G1362">
        <v>22.65</v>
      </c>
      <c r="H1362">
        <v>22.66</v>
      </c>
      <c r="I1362" t="s">
        <v>2657</v>
      </c>
      <c r="J1362">
        <v>6.85</v>
      </c>
      <c r="K1362">
        <v>6.85</v>
      </c>
      <c r="L1362">
        <v>22.39</v>
      </c>
      <c r="M1362">
        <v>22.75</v>
      </c>
      <c r="N1362">
        <v>22.08</v>
      </c>
    </row>
    <row r="1363" spans="1:14" x14ac:dyDescent="0.5">
      <c r="A1363" t="str">
        <f>"002920"</f>
        <v>002920</v>
      </c>
      <c r="B1363" t="s">
        <v>2658</v>
      </c>
      <c r="C1363">
        <v>5.12</v>
      </c>
      <c r="D1363">
        <v>28.5</v>
      </c>
      <c r="E1363">
        <v>27.5</v>
      </c>
      <c r="F1363">
        <v>1.34</v>
      </c>
      <c r="G1363">
        <v>27.49</v>
      </c>
      <c r="H1363">
        <v>27.5</v>
      </c>
      <c r="I1363" t="s">
        <v>2273</v>
      </c>
      <c r="J1363">
        <v>3.46</v>
      </c>
      <c r="K1363">
        <v>3.46</v>
      </c>
      <c r="L1363">
        <v>26.15</v>
      </c>
      <c r="M1363">
        <v>27.5</v>
      </c>
      <c r="N1363">
        <v>25.74</v>
      </c>
    </row>
    <row r="1364" spans="1:14" x14ac:dyDescent="0.5">
      <c r="A1364" t="str">
        <f>"002921"</f>
        <v>002921</v>
      </c>
      <c r="B1364" t="s">
        <v>2659</v>
      </c>
      <c r="C1364">
        <v>1.49</v>
      </c>
      <c r="D1364">
        <v>38.450000000000003</v>
      </c>
      <c r="E1364">
        <v>24.53</v>
      </c>
      <c r="F1364">
        <v>0.36</v>
      </c>
      <c r="G1364">
        <v>24.53</v>
      </c>
      <c r="H1364">
        <v>24.54</v>
      </c>
      <c r="I1364" t="s">
        <v>2660</v>
      </c>
      <c r="J1364">
        <v>4.4800000000000004</v>
      </c>
      <c r="K1364">
        <v>4.4800000000000004</v>
      </c>
      <c r="L1364">
        <v>24.25</v>
      </c>
      <c r="M1364">
        <v>24.55</v>
      </c>
      <c r="N1364">
        <v>24.05</v>
      </c>
    </row>
    <row r="1365" spans="1:14" x14ac:dyDescent="0.5">
      <c r="A1365" t="str">
        <f>"002922"</f>
        <v>002922</v>
      </c>
      <c r="B1365" t="s">
        <v>2661</v>
      </c>
      <c r="C1365">
        <v>1.19</v>
      </c>
      <c r="D1365">
        <v>41.17</v>
      </c>
      <c r="E1365">
        <v>17.8</v>
      </c>
      <c r="F1365">
        <v>0.21</v>
      </c>
      <c r="G1365">
        <v>17.8</v>
      </c>
      <c r="H1365">
        <v>17.809999999999999</v>
      </c>
      <c r="I1365" t="s">
        <v>2662</v>
      </c>
      <c r="J1365">
        <v>5.14</v>
      </c>
      <c r="K1365">
        <v>5.14</v>
      </c>
      <c r="L1365">
        <v>17.420000000000002</v>
      </c>
      <c r="M1365">
        <v>17.8</v>
      </c>
      <c r="N1365">
        <v>17.3</v>
      </c>
    </row>
    <row r="1366" spans="1:14" x14ac:dyDescent="0.5">
      <c r="A1366" t="str">
        <f>"002923"</f>
        <v>002923</v>
      </c>
      <c r="B1366" t="s">
        <v>2663</v>
      </c>
      <c r="C1366">
        <v>0.7</v>
      </c>
      <c r="D1366">
        <v>27.91</v>
      </c>
      <c r="E1366">
        <v>24.33</v>
      </c>
      <c r="F1366">
        <v>0.17</v>
      </c>
      <c r="G1366">
        <v>24.33</v>
      </c>
      <c r="H1366">
        <v>24.34</v>
      </c>
      <c r="I1366" t="s">
        <v>2664</v>
      </c>
      <c r="J1366">
        <v>5.86</v>
      </c>
      <c r="K1366">
        <v>5.86</v>
      </c>
      <c r="L1366">
        <v>24.01</v>
      </c>
      <c r="M1366">
        <v>24.36</v>
      </c>
      <c r="N1366">
        <v>24</v>
      </c>
    </row>
    <row r="1367" spans="1:14" x14ac:dyDescent="0.5">
      <c r="A1367" t="str">
        <f>"002925"</f>
        <v>002925</v>
      </c>
      <c r="B1367" t="s">
        <v>2665</v>
      </c>
      <c r="C1367">
        <v>4.0599999999999996</v>
      </c>
      <c r="D1367">
        <v>29.8</v>
      </c>
      <c r="E1367">
        <v>58.15</v>
      </c>
      <c r="F1367">
        <v>2.27</v>
      </c>
      <c r="G1367">
        <v>58.15</v>
      </c>
      <c r="H1367">
        <v>58.16</v>
      </c>
      <c r="I1367" t="s">
        <v>2666</v>
      </c>
      <c r="J1367">
        <v>3.97</v>
      </c>
      <c r="K1367">
        <v>3.97</v>
      </c>
      <c r="L1367">
        <v>56</v>
      </c>
      <c r="M1367">
        <v>58.15</v>
      </c>
      <c r="N1367">
        <v>55.88</v>
      </c>
    </row>
    <row r="1368" spans="1:14" x14ac:dyDescent="0.5">
      <c r="A1368" t="str">
        <f>"002926"</f>
        <v>002926</v>
      </c>
      <c r="B1368" t="s">
        <v>2667</v>
      </c>
      <c r="C1368">
        <v>0.45</v>
      </c>
      <c r="D1368">
        <v>30.12</v>
      </c>
      <c r="E1368">
        <v>11.26</v>
      </c>
      <c r="F1368">
        <v>0.05</v>
      </c>
      <c r="G1368">
        <v>11.26</v>
      </c>
      <c r="H1368">
        <v>11.27</v>
      </c>
      <c r="I1368" t="s">
        <v>2668</v>
      </c>
      <c r="J1368">
        <v>2.93</v>
      </c>
      <c r="K1368">
        <v>2.93</v>
      </c>
      <c r="L1368">
        <v>11.04</v>
      </c>
      <c r="M1368">
        <v>11.27</v>
      </c>
      <c r="N1368">
        <v>10.96</v>
      </c>
    </row>
    <row r="1369" spans="1:14" x14ac:dyDescent="0.5">
      <c r="A1369" t="str">
        <f>"002927"</f>
        <v>002927</v>
      </c>
      <c r="B1369" t="s">
        <v>2669</v>
      </c>
      <c r="C1369">
        <v>1.67</v>
      </c>
      <c r="D1369">
        <v>60.61</v>
      </c>
      <c r="E1369">
        <v>37.81</v>
      </c>
      <c r="F1369">
        <v>0.62</v>
      </c>
      <c r="G1369">
        <v>37.81</v>
      </c>
      <c r="H1369">
        <v>37.82</v>
      </c>
      <c r="I1369" t="s">
        <v>2670</v>
      </c>
      <c r="J1369">
        <v>17.649999999999999</v>
      </c>
      <c r="K1369">
        <v>17.649999999999999</v>
      </c>
      <c r="L1369">
        <v>37</v>
      </c>
      <c r="M1369">
        <v>37.9</v>
      </c>
      <c r="N1369">
        <v>36.4</v>
      </c>
    </row>
    <row r="1370" spans="1:14" x14ac:dyDescent="0.5">
      <c r="A1370" t="str">
        <f>"002928"</f>
        <v>002928</v>
      </c>
      <c r="B1370" t="s">
        <v>2671</v>
      </c>
      <c r="C1370">
        <v>-0.88</v>
      </c>
      <c r="D1370">
        <v>32.03</v>
      </c>
      <c r="E1370">
        <v>20.25</v>
      </c>
      <c r="F1370">
        <v>-0.18</v>
      </c>
      <c r="G1370">
        <v>20.239999999999998</v>
      </c>
      <c r="H1370">
        <v>20.25</v>
      </c>
      <c r="I1370" t="s">
        <v>2672</v>
      </c>
      <c r="J1370">
        <v>6.67</v>
      </c>
      <c r="K1370">
        <v>6.67</v>
      </c>
      <c r="L1370">
        <v>20.38</v>
      </c>
      <c r="M1370">
        <v>20.38</v>
      </c>
      <c r="N1370">
        <v>19.95</v>
      </c>
    </row>
    <row r="1371" spans="1:14" x14ac:dyDescent="0.5">
      <c r="A1371" t="str">
        <f>"002929"</f>
        <v>002929</v>
      </c>
      <c r="B1371" t="s">
        <v>2673</v>
      </c>
      <c r="C1371">
        <v>4.24</v>
      </c>
      <c r="D1371">
        <v>31.54</v>
      </c>
      <c r="E1371">
        <v>35.409999999999997</v>
      </c>
      <c r="F1371">
        <v>1.44</v>
      </c>
      <c r="G1371">
        <v>35.4</v>
      </c>
      <c r="H1371">
        <v>35.409999999999997</v>
      </c>
      <c r="I1371" t="s">
        <v>2674</v>
      </c>
      <c r="J1371">
        <v>12.34</v>
      </c>
      <c r="K1371">
        <v>12.34</v>
      </c>
      <c r="L1371">
        <v>33.74</v>
      </c>
      <c r="M1371">
        <v>35.520000000000003</v>
      </c>
      <c r="N1371">
        <v>33.71</v>
      </c>
    </row>
    <row r="1372" spans="1:14" x14ac:dyDescent="0.5">
      <c r="A1372" t="str">
        <f>"002930"</f>
        <v>002930</v>
      </c>
      <c r="B1372" t="s">
        <v>2675</v>
      </c>
      <c r="C1372">
        <v>0.66</v>
      </c>
      <c r="D1372">
        <v>67.63</v>
      </c>
      <c r="E1372">
        <v>27.62</v>
      </c>
      <c r="F1372">
        <v>0.18</v>
      </c>
      <c r="G1372">
        <v>27.61</v>
      </c>
      <c r="H1372">
        <v>27.62</v>
      </c>
      <c r="I1372" t="s">
        <v>2676</v>
      </c>
      <c r="J1372">
        <v>12.23</v>
      </c>
      <c r="K1372">
        <v>12.23</v>
      </c>
      <c r="L1372">
        <v>27.2</v>
      </c>
      <c r="M1372">
        <v>27.65</v>
      </c>
      <c r="N1372">
        <v>27.01</v>
      </c>
    </row>
    <row r="1373" spans="1:14" x14ac:dyDescent="0.5">
      <c r="A1373" t="str">
        <f>"002931"</f>
        <v>002931</v>
      </c>
      <c r="B1373" t="s">
        <v>2677</v>
      </c>
      <c r="C1373">
        <v>1.73</v>
      </c>
      <c r="D1373">
        <v>64.19</v>
      </c>
      <c r="E1373">
        <v>34.76</v>
      </c>
      <c r="F1373">
        <v>0.59</v>
      </c>
      <c r="G1373">
        <v>34.75</v>
      </c>
      <c r="H1373">
        <v>34.76</v>
      </c>
      <c r="I1373" t="s">
        <v>2678</v>
      </c>
      <c r="J1373">
        <v>16.77</v>
      </c>
      <c r="K1373">
        <v>16.77</v>
      </c>
      <c r="L1373">
        <v>34.049999999999997</v>
      </c>
      <c r="M1373">
        <v>34.99</v>
      </c>
      <c r="N1373">
        <v>33.659999999999997</v>
      </c>
    </row>
    <row r="1374" spans="1:14" x14ac:dyDescent="0.5">
      <c r="A1374" t="str">
        <f>"002932"</f>
        <v>002932</v>
      </c>
      <c r="B1374" t="s">
        <v>2679</v>
      </c>
      <c r="C1374">
        <v>0.71</v>
      </c>
      <c r="D1374">
        <v>45.91</v>
      </c>
      <c r="E1374">
        <v>46.73</v>
      </c>
      <c r="F1374">
        <v>0.33</v>
      </c>
      <c r="G1374">
        <v>46.73</v>
      </c>
      <c r="H1374">
        <v>46.74</v>
      </c>
      <c r="I1374" t="s">
        <v>2566</v>
      </c>
      <c r="J1374">
        <v>8.93</v>
      </c>
      <c r="K1374">
        <v>8.93</v>
      </c>
      <c r="L1374">
        <v>46.41</v>
      </c>
      <c r="M1374">
        <v>46.75</v>
      </c>
      <c r="N1374">
        <v>46.07</v>
      </c>
    </row>
    <row r="1375" spans="1:14" x14ac:dyDescent="0.5">
      <c r="A1375" t="str">
        <f>"002933"</f>
        <v>002933</v>
      </c>
      <c r="B1375" t="s">
        <v>2680</v>
      </c>
      <c r="C1375">
        <v>0.13</v>
      </c>
      <c r="D1375">
        <v>50.92</v>
      </c>
      <c r="E1375">
        <v>52.31</v>
      </c>
      <c r="F1375">
        <v>7.0000000000000007E-2</v>
      </c>
      <c r="G1375">
        <v>52.31</v>
      </c>
      <c r="H1375">
        <v>52.32</v>
      </c>
      <c r="I1375" t="s">
        <v>2681</v>
      </c>
      <c r="J1375">
        <v>16.809999999999999</v>
      </c>
      <c r="K1375">
        <v>16.809999999999999</v>
      </c>
      <c r="L1375">
        <v>51.98</v>
      </c>
      <c r="M1375">
        <v>52.31</v>
      </c>
      <c r="N1375">
        <v>50.78</v>
      </c>
    </row>
    <row r="1376" spans="1:14" x14ac:dyDescent="0.5">
      <c r="A1376" t="str">
        <f>"002935"</f>
        <v>002935</v>
      </c>
      <c r="B1376" t="s">
        <v>2682</v>
      </c>
      <c r="C1376">
        <v>3.15</v>
      </c>
      <c r="D1376">
        <v>54.47</v>
      </c>
      <c r="E1376">
        <v>50.68</v>
      </c>
      <c r="F1376">
        <v>1.55</v>
      </c>
      <c r="G1376">
        <v>50.67</v>
      </c>
      <c r="H1376">
        <v>50.68</v>
      </c>
      <c r="I1376" t="s">
        <v>2683</v>
      </c>
      <c r="J1376">
        <v>19.670000000000002</v>
      </c>
      <c r="K1376">
        <v>19.670000000000002</v>
      </c>
      <c r="L1376">
        <v>48.78</v>
      </c>
      <c r="M1376">
        <v>50.68</v>
      </c>
      <c r="N1376">
        <v>48.62</v>
      </c>
    </row>
    <row r="1377" spans="1:14" x14ac:dyDescent="0.5">
      <c r="A1377" t="str">
        <f>"002936"</f>
        <v>002936</v>
      </c>
      <c r="B1377" t="s">
        <v>2684</v>
      </c>
      <c r="C1377">
        <v>-0.47</v>
      </c>
      <c r="D1377">
        <v>8.02</v>
      </c>
      <c r="E1377">
        <v>6.38</v>
      </c>
      <c r="F1377">
        <v>-0.03</v>
      </c>
      <c r="G1377">
        <v>6.38</v>
      </c>
      <c r="H1377">
        <v>6.39</v>
      </c>
      <c r="I1377" t="s">
        <v>2685</v>
      </c>
      <c r="J1377">
        <v>27.7</v>
      </c>
      <c r="K1377">
        <v>27.7</v>
      </c>
      <c r="L1377">
        <v>6.21</v>
      </c>
      <c r="M1377">
        <v>6.44</v>
      </c>
      <c r="N1377">
        <v>6.18</v>
      </c>
    </row>
    <row r="1378" spans="1:14" x14ac:dyDescent="0.5">
      <c r="A1378" t="str">
        <f>"002937"</f>
        <v>002937</v>
      </c>
      <c r="B1378" t="s">
        <v>2686</v>
      </c>
      <c r="C1378">
        <v>3.03</v>
      </c>
      <c r="D1378">
        <v>55.25</v>
      </c>
      <c r="E1378">
        <v>30.6</v>
      </c>
      <c r="F1378">
        <v>0.9</v>
      </c>
      <c r="G1378">
        <v>30.6</v>
      </c>
      <c r="H1378">
        <v>30.61</v>
      </c>
      <c r="I1378" t="s">
        <v>2687</v>
      </c>
      <c r="J1378">
        <v>21.43</v>
      </c>
      <c r="K1378">
        <v>21.43</v>
      </c>
      <c r="L1378">
        <v>29.4</v>
      </c>
      <c r="M1378">
        <v>30.6</v>
      </c>
      <c r="N1378">
        <v>29.32</v>
      </c>
    </row>
    <row r="1379" spans="1:14" x14ac:dyDescent="0.5">
      <c r="A1379" t="str">
        <f>"002938"</f>
        <v>002938</v>
      </c>
      <c r="B1379" t="s">
        <v>2688</v>
      </c>
      <c r="C1379">
        <v>0.86</v>
      </c>
      <c r="D1379">
        <v>22.42</v>
      </c>
      <c r="E1379">
        <v>24.74</v>
      </c>
      <c r="F1379">
        <v>0.21</v>
      </c>
      <c r="G1379">
        <v>24.73</v>
      </c>
      <c r="H1379">
        <v>24.74</v>
      </c>
      <c r="I1379" t="s">
        <v>2689</v>
      </c>
      <c r="J1379">
        <v>7.79</v>
      </c>
      <c r="K1379">
        <v>7.79</v>
      </c>
      <c r="L1379">
        <v>24.5</v>
      </c>
      <c r="M1379">
        <v>24.82</v>
      </c>
      <c r="N1379">
        <v>24.29</v>
      </c>
    </row>
    <row r="1380" spans="1:14" x14ac:dyDescent="0.5">
      <c r="A1380" t="str">
        <f>"002939"</f>
        <v>002939</v>
      </c>
      <c r="B1380" t="s">
        <v>2690</v>
      </c>
      <c r="C1380">
        <v>2.0499999999999998</v>
      </c>
      <c r="D1380">
        <v>61.76</v>
      </c>
      <c r="E1380">
        <v>14.41</v>
      </c>
      <c r="F1380">
        <v>0.28999999999999998</v>
      </c>
      <c r="G1380">
        <v>14.41</v>
      </c>
      <c r="H1380">
        <v>14.42</v>
      </c>
      <c r="I1380" t="s">
        <v>2691</v>
      </c>
      <c r="J1380">
        <v>22.04</v>
      </c>
      <c r="K1380">
        <v>22.04</v>
      </c>
      <c r="L1380">
        <v>13.81</v>
      </c>
      <c r="M1380">
        <v>14.54</v>
      </c>
      <c r="N1380">
        <v>13.67</v>
      </c>
    </row>
    <row r="1381" spans="1:14" x14ac:dyDescent="0.5">
      <c r="A1381" t="str">
        <f>"002940"</f>
        <v>002940</v>
      </c>
      <c r="B1381" t="s">
        <v>2692</v>
      </c>
      <c r="C1381">
        <v>1.65</v>
      </c>
      <c r="D1381">
        <v>37.1</v>
      </c>
      <c r="E1381">
        <v>42.46</v>
      </c>
      <c r="F1381">
        <v>0.69</v>
      </c>
      <c r="G1381">
        <v>42.46</v>
      </c>
      <c r="H1381">
        <v>42.47</v>
      </c>
      <c r="I1381" t="s">
        <v>2693</v>
      </c>
      <c r="J1381">
        <v>16.37</v>
      </c>
      <c r="K1381">
        <v>16.37</v>
      </c>
      <c r="L1381">
        <v>41.7</v>
      </c>
      <c r="M1381">
        <v>42.5</v>
      </c>
      <c r="N1381">
        <v>41.2</v>
      </c>
    </row>
    <row r="1382" spans="1:14" x14ac:dyDescent="0.5">
      <c r="A1382" t="str">
        <f>"002941"</f>
        <v>002941</v>
      </c>
      <c r="B1382" t="s">
        <v>2694</v>
      </c>
      <c r="C1382">
        <v>4.37</v>
      </c>
      <c r="D1382">
        <v>57.2</v>
      </c>
      <c r="E1382">
        <v>36.53</v>
      </c>
      <c r="F1382">
        <v>1.53</v>
      </c>
      <c r="G1382">
        <v>36.53</v>
      </c>
      <c r="H1382">
        <v>36.54</v>
      </c>
      <c r="I1382" t="s">
        <v>2695</v>
      </c>
      <c r="J1382">
        <v>35.83</v>
      </c>
      <c r="K1382">
        <v>35.83</v>
      </c>
      <c r="L1382">
        <v>35.21</v>
      </c>
      <c r="M1382">
        <v>36.880000000000003</v>
      </c>
      <c r="N1382">
        <v>34.22</v>
      </c>
    </row>
    <row r="1383" spans="1:14" x14ac:dyDescent="0.5">
      <c r="A1383" t="str">
        <f>"002942"</f>
        <v>002942</v>
      </c>
      <c r="B1383" t="s">
        <v>2696</v>
      </c>
      <c r="C1383">
        <v>-0.23</v>
      </c>
      <c r="D1383">
        <v>32.630000000000003</v>
      </c>
      <c r="E1383">
        <v>34.6</v>
      </c>
      <c r="F1383">
        <v>-0.08</v>
      </c>
      <c r="G1383">
        <v>34.6</v>
      </c>
      <c r="H1383">
        <v>34.61</v>
      </c>
      <c r="I1383" t="s">
        <v>2697</v>
      </c>
      <c r="J1383">
        <v>18.38</v>
      </c>
      <c r="K1383">
        <v>18.38</v>
      </c>
      <c r="L1383">
        <v>34.35</v>
      </c>
      <c r="M1383">
        <v>34.67</v>
      </c>
      <c r="N1383">
        <v>33.6</v>
      </c>
    </row>
    <row r="1384" spans="1:14" x14ac:dyDescent="0.5">
      <c r="A1384" t="str">
        <f>"002943"</f>
        <v>002943</v>
      </c>
      <c r="B1384" t="s">
        <v>2698</v>
      </c>
      <c r="C1384">
        <v>0.12</v>
      </c>
      <c r="D1384">
        <v>36.11</v>
      </c>
      <c r="E1384">
        <v>43.35</v>
      </c>
      <c r="F1384">
        <v>0.05</v>
      </c>
      <c r="G1384">
        <v>43.35</v>
      </c>
      <c r="H1384">
        <v>43.36</v>
      </c>
      <c r="I1384" t="s">
        <v>2699</v>
      </c>
      <c r="J1384">
        <v>23.29</v>
      </c>
      <c r="K1384">
        <v>23.29</v>
      </c>
      <c r="L1384">
        <v>42.77</v>
      </c>
      <c r="M1384">
        <v>43.45</v>
      </c>
      <c r="N1384">
        <v>42.01</v>
      </c>
    </row>
    <row r="1385" spans="1:14" x14ac:dyDescent="0.5">
      <c r="A1385" t="str">
        <f>"002945"</f>
        <v>002945</v>
      </c>
      <c r="B1385" t="s">
        <v>2700</v>
      </c>
      <c r="C1385">
        <v>0</v>
      </c>
      <c r="D1385">
        <v>91.74</v>
      </c>
      <c r="E1385">
        <v>15.16</v>
      </c>
      <c r="F1385">
        <v>0</v>
      </c>
      <c r="G1385">
        <v>15.16</v>
      </c>
      <c r="H1385">
        <v>15.17</v>
      </c>
      <c r="I1385" t="s">
        <v>2701</v>
      </c>
      <c r="J1385">
        <v>34.71</v>
      </c>
      <c r="K1385">
        <v>34.71</v>
      </c>
      <c r="L1385">
        <v>14.58</v>
      </c>
      <c r="M1385">
        <v>15.36</v>
      </c>
      <c r="N1385">
        <v>14.4</v>
      </c>
    </row>
    <row r="1386" spans="1:14" x14ac:dyDescent="0.5">
      <c r="A1386" t="str">
        <f>"002946"</f>
        <v>002946</v>
      </c>
      <c r="B1386" t="s">
        <v>2702</v>
      </c>
      <c r="C1386">
        <v>0.8</v>
      </c>
      <c r="D1386">
        <v>72.239999999999995</v>
      </c>
      <c r="E1386">
        <v>20.2</v>
      </c>
      <c r="F1386">
        <v>0.16</v>
      </c>
      <c r="G1386">
        <v>20.2</v>
      </c>
      <c r="H1386">
        <v>20.21</v>
      </c>
      <c r="I1386" t="s">
        <v>2703</v>
      </c>
      <c r="J1386">
        <v>34.11</v>
      </c>
      <c r="K1386">
        <v>34.11</v>
      </c>
      <c r="L1386">
        <v>20.190000000000001</v>
      </c>
      <c r="M1386">
        <v>20.8</v>
      </c>
      <c r="N1386">
        <v>19.8</v>
      </c>
    </row>
    <row r="1387" spans="1:14" x14ac:dyDescent="0.5">
      <c r="A1387" t="str">
        <f>"002947"</f>
        <v>002947</v>
      </c>
      <c r="B1387" t="s">
        <v>2704</v>
      </c>
      <c r="C1387">
        <v>-1.98</v>
      </c>
      <c r="D1387">
        <v>49.32</v>
      </c>
      <c r="E1387">
        <v>52.89</v>
      </c>
      <c r="F1387">
        <v>-1.07</v>
      </c>
      <c r="G1387">
        <v>52.89</v>
      </c>
      <c r="H1387">
        <v>52.9</v>
      </c>
      <c r="I1387" t="s">
        <v>2705</v>
      </c>
      <c r="J1387">
        <v>29.06</v>
      </c>
      <c r="K1387">
        <v>29.06</v>
      </c>
      <c r="L1387">
        <v>52.37</v>
      </c>
      <c r="M1387">
        <v>53.08</v>
      </c>
      <c r="N1387">
        <v>51.98</v>
      </c>
    </row>
    <row r="1388" spans="1:14" x14ac:dyDescent="0.5">
      <c r="A1388" t="str">
        <f>"002948"</f>
        <v>002948</v>
      </c>
      <c r="B1388" t="s">
        <v>2706</v>
      </c>
      <c r="C1388">
        <v>-0.63</v>
      </c>
      <c r="D1388">
        <v>17.100000000000001</v>
      </c>
      <c r="E1388">
        <v>7.84</v>
      </c>
      <c r="F1388">
        <v>-0.05</v>
      </c>
      <c r="G1388">
        <v>7.83</v>
      </c>
      <c r="H1388">
        <v>7.84</v>
      </c>
      <c r="I1388" t="s">
        <v>2707</v>
      </c>
      <c r="J1388">
        <v>29.44</v>
      </c>
      <c r="K1388">
        <v>29.44</v>
      </c>
      <c r="L1388">
        <v>7.63</v>
      </c>
      <c r="M1388">
        <v>7.93</v>
      </c>
      <c r="N1388">
        <v>7.6</v>
      </c>
    </row>
    <row r="1389" spans="1:14" x14ac:dyDescent="0.5">
      <c r="A1389" t="str">
        <f>"002949"</f>
        <v>002949</v>
      </c>
      <c r="B1389" t="s">
        <v>2708</v>
      </c>
      <c r="C1389">
        <v>9.98</v>
      </c>
      <c r="D1389">
        <v>39.01</v>
      </c>
      <c r="E1389">
        <v>24.35</v>
      </c>
      <c r="F1389">
        <v>2.21</v>
      </c>
      <c r="G1389">
        <v>24.35</v>
      </c>
      <c r="H1389" t="s">
        <v>24</v>
      </c>
      <c r="I1389" t="s">
        <v>2709</v>
      </c>
      <c r="J1389">
        <v>0.28000000000000003</v>
      </c>
      <c r="K1389">
        <v>0.28000000000000003</v>
      </c>
      <c r="L1389">
        <v>24.35</v>
      </c>
      <c r="M1389">
        <v>24.35</v>
      </c>
      <c r="N1389">
        <v>24.35</v>
      </c>
    </row>
    <row r="1390" spans="1:14" x14ac:dyDescent="0.5">
      <c r="A1390" t="str">
        <f>"300001"</f>
        <v>300001</v>
      </c>
      <c r="B1390" t="s">
        <v>2710</v>
      </c>
      <c r="C1390">
        <v>-0.69</v>
      </c>
      <c r="D1390">
        <v>84.43</v>
      </c>
      <c r="E1390">
        <v>24.4</v>
      </c>
      <c r="F1390">
        <v>-0.17</v>
      </c>
      <c r="G1390">
        <v>24.4</v>
      </c>
      <c r="H1390">
        <v>24.41</v>
      </c>
      <c r="I1390" t="s">
        <v>2711</v>
      </c>
      <c r="J1390">
        <v>1.84</v>
      </c>
      <c r="K1390">
        <v>1.84</v>
      </c>
      <c r="L1390">
        <v>24.59</v>
      </c>
      <c r="M1390">
        <v>24.68</v>
      </c>
      <c r="N1390">
        <v>23.7</v>
      </c>
    </row>
    <row r="1391" spans="1:14" x14ac:dyDescent="0.5">
      <c r="A1391" t="str">
        <f>"300002"</f>
        <v>300002</v>
      </c>
      <c r="B1391" t="s">
        <v>2712</v>
      </c>
      <c r="C1391">
        <v>9.98</v>
      </c>
      <c r="D1391">
        <v>3255.41</v>
      </c>
      <c r="E1391">
        <v>5.07</v>
      </c>
      <c r="F1391">
        <v>0.46</v>
      </c>
      <c r="G1391">
        <v>5.07</v>
      </c>
      <c r="H1391" t="s">
        <v>24</v>
      </c>
      <c r="I1391" t="s">
        <v>2713</v>
      </c>
      <c r="J1391">
        <v>7.46</v>
      </c>
      <c r="K1391">
        <v>7.46</v>
      </c>
      <c r="L1391">
        <v>4.5599999999999996</v>
      </c>
      <c r="M1391">
        <v>5.07</v>
      </c>
      <c r="N1391">
        <v>4.53</v>
      </c>
    </row>
    <row r="1392" spans="1:14" x14ac:dyDescent="0.5">
      <c r="A1392" t="str">
        <f>"300003"</f>
        <v>300003</v>
      </c>
      <c r="B1392" t="s">
        <v>2714</v>
      </c>
      <c r="C1392">
        <v>0.19</v>
      </c>
      <c r="D1392">
        <v>35.450000000000003</v>
      </c>
      <c r="E1392">
        <v>26.24</v>
      </c>
      <c r="F1392">
        <v>0.05</v>
      </c>
      <c r="G1392">
        <v>26.23</v>
      </c>
      <c r="H1392">
        <v>26.24</v>
      </c>
      <c r="I1392" t="s">
        <v>2715</v>
      </c>
      <c r="J1392">
        <v>2.11</v>
      </c>
      <c r="K1392">
        <v>2.11</v>
      </c>
      <c r="L1392">
        <v>26</v>
      </c>
      <c r="M1392">
        <v>26.25</v>
      </c>
      <c r="N1392">
        <v>25.58</v>
      </c>
    </row>
    <row r="1393" spans="1:14" x14ac:dyDescent="0.5">
      <c r="A1393" t="str">
        <f>"300004"</f>
        <v>300004</v>
      </c>
      <c r="B1393" t="s">
        <v>2716</v>
      </c>
      <c r="C1393">
        <v>7.08</v>
      </c>
      <c r="D1393" t="s">
        <v>24</v>
      </c>
      <c r="E1393">
        <v>4.54</v>
      </c>
      <c r="F1393">
        <v>0.3</v>
      </c>
      <c r="G1393">
        <v>4.53</v>
      </c>
      <c r="H1393">
        <v>4.54</v>
      </c>
      <c r="I1393" t="s">
        <v>2717</v>
      </c>
      <c r="J1393">
        <v>6.48</v>
      </c>
      <c r="K1393">
        <v>6.48</v>
      </c>
      <c r="L1393">
        <v>4.33</v>
      </c>
      <c r="M1393">
        <v>4.55</v>
      </c>
      <c r="N1393">
        <v>4.3</v>
      </c>
    </row>
    <row r="1394" spans="1:14" x14ac:dyDescent="0.5">
      <c r="A1394" t="str">
        <f>"300005"</f>
        <v>300005</v>
      </c>
      <c r="B1394" t="s">
        <v>2718</v>
      </c>
      <c r="C1394">
        <v>6.75</v>
      </c>
      <c r="D1394" t="s">
        <v>24</v>
      </c>
      <c r="E1394">
        <v>4.1100000000000003</v>
      </c>
      <c r="F1394">
        <v>0.26</v>
      </c>
      <c r="G1394">
        <v>4.0999999999999996</v>
      </c>
      <c r="H1394">
        <v>4.1100000000000003</v>
      </c>
      <c r="I1394" t="s">
        <v>2322</v>
      </c>
      <c r="J1394">
        <v>6.36</v>
      </c>
      <c r="K1394">
        <v>6.36</v>
      </c>
      <c r="L1394">
        <v>3.85</v>
      </c>
      <c r="M1394">
        <v>4.1500000000000004</v>
      </c>
      <c r="N1394">
        <v>3.85</v>
      </c>
    </row>
    <row r="1395" spans="1:14" x14ac:dyDescent="0.5">
      <c r="A1395" t="str">
        <f>"300006"</f>
        <v>300006</v>
      </c>
      <c r="B1395" t="s">
        <v>2719</v>
      </c>
      <c r="C1395">
        <v>2.2599999999999998</v>
      </c>
      <c r="D1395">
        <v>37.81</v>
      </c>
      <c r="E1395">
        <v>4.5199999999999996</v>
      </c>
      <c r="F1395">
        <v>0.1</v>
      </c>
      <c r="G1395">
        <v>4.51</v>
      </c>
      <c r="H1395">
        <v>4.5199999999999996</v>
      </c>
      <c r="I1395" t="s">
        <v>2720</v>
      </c>
      <c r="J1395">
        <v>3.15</v>
      </c>
      <c r="K1395">
        <v>3.15</v>
      </c>
      <c r="L1395">
        <v>4.4000000000000004</v>
      </c>
      <c r="M1395">
        <v>4.53</v>
      </c>
      <c r="N1395">
        <v>4.37</v>
      </c>
    </row>
    <row r="1396" spans="1:14" x14ac:dyDescent="0.5">
      <c r="A1396" t="str">
        <f>"300007"</f>
        <v>300007</v>
      </c>
      <c r="B1396" t="s">
        <v>2721</v>
      </c>
      <c r="C1396">
        <v>6.48</v>
      </c>
      <c r="D1396">
        <v>26.11</v>
      </c>
      <c r="E1396">
        <v>12.33</v>
      </c>
      <c r="F1396">
        <v>0.75</v>
      </c>
      <c r="G1396">
        <v>12.33</v>
      </c>
      <c r="H1396">
        <v>12.34</v>
      </c>
      <c r="I1396" t="s">
        <v>2722</v>
      </c>
      <c r="J1396">
        <v>8.7899999999999991</v>
      </c>
      <c r="K1396">
        <v>8.7899999999999991</v>
      </c>
      <c r="L1396">
        <v>11.45</v>
      </c>
      <c r="M1396">
        <v>12.39</v>
      </c>
      <c r="N1396">
        <v>11.43</v>
      </c>
    </row>
    <row r="1397" spans="1:14" x14ac:dyDescent="0.5">
      <c r="A1397" t="str">
        <f>"300008"</f>
        <v>300008</v>
      </c>
      <c r="B1397" t="s">
        <v>2723</v>
      </c>
      <c r="C1397">
        <v>10</v>
      </c>
      <c r="D1397" t="s">
        <v>24</v>
      </c>
      <c r="E1397">
        <v>4.18</v>
      </c>
      <c r="F1397">
        <v>0.38</v>
      </c>
      <c r="G1397">
        <v>4.18</v>
      </c>
      <c r="H1397" t="s">
        <v>24</v>
      </c>
      <c r="I1397" t="s">
        <v>2724</v>
      </c>
      <c r="J1397">
        <v>24.11</v>
      </c>
      <c r="K1397">
        <v>24.11</v>
      </c>
      <c r="L1397">
        <v>3.89</v>
      </c>
      <c r="M1397">
        <v>4.18</v>
      </c>
      <c r="N1397">
        <v>3.68</v>
      </c>
    </row>
    <row r="1398" spans="1:14" x14ac:dyDescent="0.5">
      <c r="A1398" t="str">
        <f>"300009"</f>
        <v>300009</v>
      </c>
      <c r="B1398" t="s">
        <v>2725</v>
      </c>
      <c r="C1398">
        <v>0.78</v>
      </c>
      <c r="D1398">
        <v>47.54</v>
      </c>
      <c r="E1398">
        <v>15.53</v>
      </c>
      <c r="F1398">
        <v>0.12</v>
      </c>
      <c r="G1398">
        <v>15.52</v>
      </c>
      <c r="H1398">
        <v>15.53</v>
      </c>
      <c r="I1398" t="s">
        <v>2726</v>
      </c>
      <c r="J1398">
        <v>2.56</v>
      </c>
      <c r="K1398">
        <v>2.56</v>
      </c>
      <c r="L1398">
        <v>15.39</v>
      </c>
      <c r="M1398">
        <v>15.59</v>
      </c>
      <c r="N1398">
        <v>15.2</v>
      </c>
    </row>
    <row r="1399" spans="1:14" x14ac:dyDescent="0.5">
      <c r="A1399" t="str">
        <f>"300010"</f>
        <v>300010</v>
      </c>
      <c r="B1399" t="s">
        <v>2727</v>
      </c>
      <c r="C1399">
        <v>3.02</v>
      </c>
      <c r="D1399">
        <v>55.69</v>
      </c>
      <c r="E1399">
        <v>9.56</v>
      </c>
      <c r="F1399">
        <v>0.28000000000000003</v>
      </c>
      <c r="G1399">
        <v>9.56</v>
      </c>
      <c r="H1399">
        <v>9.57</v>
      </c>
      <c r="I1399" t="s">
        <v>2728</v>
      </c>
      <c r="J1399">
        <v>4.43</v>
      </c>
      <c r="K1399">
        <v>4.43</v>
      </c>
      <c r="L1399">
        <v>9.26</v>
      </c>
      <c r="M1399">
        <v>9.59</v>
      </c>
      <c r="N1399">
        <v>9.1</v>
      </c>
    </row>
    <row r="1400" spans="1:14" x14ac:dyDescent="0.5">
      <c r="A1400" t="str">
        <f>"300011"</f>
        <v>300011</v>
      </c>
      <c r="B1400" t="s">
        <v>2729</v>
      </c>
      <c r="C1400">
        <v>4.26</v>
      </c>
      <c r="D1400">
        <v>45.68</v>
      </c>
      <c r="E1400">
        <v>7.34</v>
      </c>
      <c r="F1400">
        <v>0.3</v>
      </c>
      <c r="G1400">
        <v>7.33</v>
      </c>
      <c r="H1400">
        <v>7.34</v>
      </c>
      <c r="I1400" t="s">
        <v>2730</v>
      </c>
      <c r="J1400">
        <v>4.42</v>
      </c>
      <c r="K1400">
        <v>4.42</v>
      </c>
      <c r="L1400">
        <v>7.08</v>
      </c>
      <c r="M1400">
        <v>7.45</v>
      </c>
      <c r="N1400">
        <v>7.08</v>
      </c>
    </row>
    <row r="1401" spans="1:14" x14ac:dyDescent="0.5">
      <c r="A1401" t="str">
        <f>"300012"</f>
        <v>300012</v>
      </c>
      <c r="B1401" t="s">
        <v>2731</v>
      </c>
      <c r="C1401">
        <v>1.0900000000000001</v>
      </c>
      <c r="D1401">
        <v>68.97</v>
      </c>
      <c r="E1401">
        <v>8.36</v>
      </c>
      <c r="F1401">
        <v>0.09</v>
      </c>
      <c r="G1401">
        <v>8.36</v>
      </c>
      <c r="H1401">
        <v>8.3699999999999992</v>
      </c>
      <c r="I1401" t="s">
        <v>2732</v>
      </c>
      <c r="J1401">
        <v>1.69</v>
      </c>
      <c r="K1401">
        <v>1.69</v>
      </c>
      <c r="L1401">
        <v>8.2799999999999994</v>
      </c>
      <c r="M1401">
        <v>8.4700000000000006</v>
      </c>
      <c r="N1401">
        <v>8.16</v>
      </c>
    </row>
    <row r="1402" spans="1:14" x14ac:dyDescent="0.5">
      <c r="A1402" t="str">
        <f>"300013"</f>
        <v>300013</v>
      </c>
      <c r="B1402" t="s">
        <v>2733</v>
      </c>
      <c r="C1402">
        <v>0.56999999999999995</v>
      </c>
      <c r="D1402">
        <v>37.79</v>
      </c>
      <c r="E1402">
        <v>14.11</v>
      </c>
      <c r="F1402">
        <v>0.08</v>
      </c>
      <c r="G1402">
        <v>14.1</v>
      </c>
      <c r="H1402">
        <v>14.11</v>
      </c>
      <c r="I1402" t="s">
        <v>2734</v>
      </c>
      <c r="J1402">
        <v>1.27</v>
      </c>
      <c r="K1402">
        <v>1.27</v>
      </c>
      <c r="L1402">
        <v>13.95</v>
      </c>
      <c r="M1402">
        <v>14.12</v>
      </c>
      <c r="N1402">
        <v>13.79</v>
      </c>
    </row>
    <row r="1403" spans="1:14" x14ac:dyDescent="0.5">
      <c r="A1403" t="str">
        <f>"300014"</f>
        <v>300014</v>
      </c>
      <c r="B1403" t="s">
        <v>2735</v>
      </c>
      <c r="C1403">
        <v>1.5</v>
      </c>
      <c r="D1403">
        <v>41.38</v>
      </c>
      <c r="E1403">
        <v>22.37</v>
      </c>
      <c r="F1403">
        <v>0.33</v>
      </c>
      <c r="G1403">
        <v>22.37</v>
      </c>
      <c r="H1403">
        <v>22.38</v>
      </c>
      <c r="I1403" t="s">
        <v>2736</v>
      </c>
      <c r="J1403">
        <v>2.91</v>
      </c>
      <c r="K1403">
        <v>2.91</v>
      </c>
      <c r="L1403">
        <v>21.9</v>
      </c>
      <c r="M1403">
        <v>22.75</v>
      </c>
      <c r="N1403">
        <v>21.8</v>
      </c>
    </row>
    <row r="1404" spans="1:14" x14ac:dyDescent="0.5">
      <c r="A1404" t="str">
        <f>"300015"</f>
        <v>300015</v>
      </c>
      <c r="B1404" t="s">
        <v>2737</v>
      </c>
      <c r="C1404">
        <v>-1</v>
      </c>
      <c r="D1404">
        <v>78.62</v>
      </c>
      <c r="E1404">
        <v>32.82</v>
      </c>
      <c r="F1404">
        <v>-0.33</v>
      </c>
      <c r="G1404">
        <v>32.82</v>
      </c>
      <c r="H1404">
        <v>32.83</v>
      </c>
      <c r="I1404" t="s">
        <v>2738</v>
      </c>
      <c r="J1404">
        <v>0.86</v>
      </c>
      <c r="K1404">
        <v>0.86</v>
      </c>
      <c r="L1404">
        <v>33</v>
      </c>
      <c r="M1404">
        <v>33.15</v>
      </c>
      <c r="N1404">
        <v>32.33</v>
      </c>
    </row>
    <row r="1405" spans="1:14" x14ac:dyDescent="0.5">
      <c r="A1405" t="str">
        <f>"300016"</f>
        <v>300016</v>
      </c>
      <c r="B1405" t="s">
        <v>2739</v>
      </c>
      <c r="C1405">
        <v>10</v>
      </c>
      <c r="D1405">
        <v>29.78</v>
      </c>
      <c r="E1405">
        <v>10.89</v>
      </c>
      <c r="F1405">
        <v>0.99</v>
      </c>
      <c r="G1405">
        <v>10.89</v>
      </c>
      <c r="H1405" t="s">
        <v>24</v>
      </c>
      <c r="I1405" t="s">
        <v>2740</v>
      </c>
      <c r="J1405">
        <v>13.22</v>
      </c>
      <c r="K1405">
        <v>13.22</v>
      </c>
      <c r="L1405">
        <v>10.1</v>
      </c>
      <c r="M1405">
        <v>10.89</v>
      </c>
      <c r="N1405">
        <v>9.9499999999999993</v>
      </c>
    </row>
    <row r="1406" spans="1:14" x14ac:dyDescent="0.5">
      <c r="A1406" t="str">
        <f>"300017"</f>
        <v>300017</v>
      </c>
      <c r="B1406" t="s">
        <v>2741</v>
      </c>
      <c r="C1406">
        <v>9.99</v>
      </c>
      <c r="D1406">
        <v>29.99</v>
      </c>
      <c r="E1406">
        <v>12.99</v>
      </c>
      <c r="F1406">
        <v>1.18</v>
      </c>
      <c r="G1406">
        <v>12.99</v>
      </c>
      <c r="H1406" t="s">
        <v>24</v>
      </c>
      <c r="I1406" t="s">
        <v>2742</v>
      </c>
      <c r="J1406">
        <v>5.45</v>
      </c>
      <c r="K1406">
        <v>5.45</v>
      </c>
      <c r="L1406">
        <v>12.55</v>
      </c>
      <c r="M1406">
        <v>12.99</v>
      </c>
      <c r="N1406">
        <v>12.5</v>
      </c>
    </row>
    <row r="1407" spans="1:14" x14ac:dyDescent="0.5">
      <c r="A1407" t="str">
        <f>"300018"</f>
        <v>300018</v>
      </c>
      <c r="B1407" t="s">
        <v>2743</v>
      </c>
      <c r="C1407">
        <v>6.91</v>
      </c>
      <c r="D1407">
        <v>51</v>
      </c>
      <c r="E1407">
        <v>6.19</v>
      </c>
      <c r="F1407">
        <v>0.4</v>
      </c>
      <c r="G1407">
        <v>6.19</v>
      </c>
      <c r="H1407">
        <v>6.2</v>
      </c>
      <c r="I1407" t="s">
        <v>2744</v>
      </c>
      <c r="J1407">
        <v>11.62</v>
      </c>
      <c r="K1407">
        <v>11.62</v>
      </c>
      <c r="L1407">
        <v>5.78</v>
      </c>
      <c r="M1407">
        <v>6.24</v>
      </c>
      <c r="N1407">
        <v>5.75</v>
      </c>
    </row>
    <row r="1408" spans="1:14" x14ac:dyDescent="0.5">
      <c r="A1408" t="str">
        <f>"300019"</f>
        <v>300019</v>
      </c>
      <c r="B1408" t="s">
        <v>2745</v>
      </c>
      <c r="C1408">
        <v>2.21</v>
      </c>
      <c r="D1408">
        <v>61.38</v>
      </c>
      <c r="E1408">
        <v>7.41</v>
      </c>
      <c r="F1408">
        <v>0.16</v>
      </c>
      <c r="G1408">
        <v>7.41</v>
      </c>
      <c r="H1408">
        <v>7.42</v>
      </c>
      <c r="I1408" t="s">
        <v>2746</v>
      </c>
      <c r="J1408">
        <v>1.46</v>
      </c>
      <c r="K1408">
        <v>1.46</v>
      </c>
      <c r="L1408">
        <v>7.21</v>
      </c>
      <c r="M1408">
        <v>7.42</v>
      </c>
      <c r="N1408">
        <v>7.2</v>
      </c>
    </row>
    <row r="1409" spans="1:14" x14ac:dyDescent="0.5">
      <c r="A1409" t="str">
        <f>"300020"</f>
        <v>300020</v>
      </c>
      <c r="B1409" t="s">
        <v>2747</v>
      </c>
      <c r="C1409">
        <v>2.85</v>
      </c>
      <c r="D1409">
        <v>184.19</v>
      </c>
      <c r="E1409">
        <v>8.66</v>
      </c>
      <c r="F1409">
        <v>0.24</v>
      </c>
      <c r="G1409">
        <v>8.65</v>
      </c>
      <c r="H1409">
        <v>8.66</v>
      </c>
      <c r="I1409" t="s">
        <v>2748</v>
      </c>
      <c r="J1409">
        <v>5.5</v>
      </c>
      <c r="K1409">
        <v>5.5</v>
      </c>
      <c r="L1409">
        <v>8.3699999999999992</v>
      </c>
      <c r="M1409">
        <v>8.66</v>
      </c>
      <c r="N1409">
        <v>8.31</v>
      </c>
    </row>
    <row r="1410" spans="1:14" x14ac:dyDescent="0.5">
      <c r="A1410" t="str">
        <f>"300021"</f>
        <v>300021</v>
      </c>
      <c r="B1410" t="s">
        <v>2749</v>
      </c>
      <c r="C1410">
        <v>1.01</v>
      </c>
      <c r="D1410">
        <v>38.06</v>
      </c>
      <c r="E1410">
        <v>6.02</v>
      </c>
      <c r="F1410">
        <v>0.06</v>
      </c>
      <c r="G1410">
        <v>6.02</v>
      </c>
      <c r="H1410">
        <v>6.03</v>
      </c>
      <c r="I1410" t="s">
        <v>2750</v>
      </c>
      <c r="J1410">
        <v>3.09</v>
      </c>
      <c r="K1410">
        <v>3.09</v>
      </c>
      <c r="L1410">
        <v>5.98</v>
      </c>
      <c r="M1410">
        <v>6.09</v>
      </c>
      <c r="N1410">
        <v>5.89</v>
      </c>
    </row>
    <row r="1411" spans="1:14" x14ac:dyDescent="0.5">
      <c r="A1411" t="str">
        <f>"300022"</f>
        <v>300022</v>
      </c>
      <c r="B1411" t="s">
        <v>2751</v>
      </c>
      <c r="C1411">
        <v>2.04</v>
      </c>
      <c r="D1411" t="s">
        <v>24</v>
      </c>
      <c r="E1411">
        <v>4.51</v>
      </c>
      <c r="F1411">
        <v>0.09</v>
      </c>
      <c r="G1411">
        <v>4.51</v>
      </c>
      <c r="H1411">
        <v>4.5199999999999996</v>
      </c>
      <c r="I1411" t="s">
        <v>1329</v>
      </c>
      <c r="J1411">
        <v>4.51</v>
      </c>
      <c r="K1411">
        <v>4.51</v>
      </c>
      <c r="L1411">
        <v>4.4000000000000004</v>
      </c>
      <c r="M1411">
        <v>4.51</v>
      </c>
      <c r="N1411">
        <v>4.37</v>
      </c>
    </row>
    <row r="1412" spans="1:14" x14ac:dyDescent="0.5">
      <c r="A1412" t="str">
        <f>"300023"</f>
        <v>300023</v>
      </c>
      <c r="B1412" t="s">
        <v>2752</v>
      </c>
      <c r="C1412">
        <v>3.41</v>
      </c>
      <c r="D1412" t="s">
        <v>24</v>
      </c>
      <c r="E1412">
        <v>7.89</v>
      </c>
      <c r="F1412">
        <v>0.26</v>
      </c>
      <c r="G1412">
        <v>7.88</v>
      </c>
      <c r="H1412">
        <v>7.89</v>
      </c>
      <c r="I1412" t="s">
        <v>2753</v>
      </c>
      <c r="J1412">
        <v>11.53</v>
      </c>
      <c r="K1412">
        <v>11.53</v>
      </c>
      <c r="L1412">
        <v>7.75</v>
      </c>
      <c r="M1412">
        <v>7.95</v>
      </c>
      <c r="N1412">
        <v>7.61</v>
      </c>
    </row>
    <row r="1413" spans="1:14" x14ac:dyDescent="0.5">
      <c r="A1413" t="str">
        <f>"300024"</f>
        <v>300024</v>
      </c>
      <c r="B1413" t="s">
        <v>2754</v>
      </c>
      <c r="C1413">
        <v>10.02</v>
      </c>
      <c r="D1413">
        <v>53.43</v>
      </c>
      <c r="E1413">
        <v>19</v>
      </c>
      <c r="F1413">
        <v>1.73</v>
      </c>
      <c r="G1413">
        <v>19</v>
      </c>
      <c r="H1413" t="s">
        <v>24</v>
      </c>
      <c r="I1413" t="s">
        <v>2755</v>
      </c>
      <c r="J1413">
        <v>3.91</v>
      </c>
      <c r="K1413">
        <v>3.91</v>
      </c>
      <c r="L1413">
        <v>17.25</v>
      </c>
      <c r="M1413">
        <v>19</v>
      </c>
      <c r="N1413">
        <v>17.11</v>
      </c>
    </row>
    <row r="1414" spans="1:14" x14ac:dyDescent="0.5">
      <c r="A1414" t="str">
        <f>"300025"</f>
        <v>300025</v>
      </c>
      <c r="B1414" t="s">
        <v>2756</v>
      </c>
      <c r="C1414">
        <v>9.98</v>
      </c>
      <c r="D1414" t="s">
        <v>24</v>
      </c>
      <c r="E1414">
        <v>6.06</v>
      </c>
      <c r="F1414">
        <v>0.55000000000000004</v>
      </c>
      <c r="G1414">
        <v>6.06</v>
      </c>
      <c r="H1414" t="s">
        <v>24</v>
      </c>
      <c r="I1414" t="s">
        <v>2757</v>
      </c>
      <c r="J1414">
        <v>12.89</v>
      </c>
      <c r="K1414">
        <v>12.89</v>
      </c>
      <c r="L1414">
        <v>5.46</v>
      </c>
      <c r="M1414">
        <v>6.06</v>
      </c>
      <c r="N1414">
        <v>5.45</v>
      </c>
    </row>
    <row r="1415" spans="1:14" x14ac:dyDescent="0.5">
      <c r="A1415" t="str">
        <f>"300026"</f>
        <v>300026</v>
      </c>
      <c r="B1415" t="s">
        <v>2758</v>
      </c>
      <c r="C1415">
        <v>2.93</v>
      </c>
      <c r="D1415">
        <v>22.04</v>
      </c>
      <c r="E1415">
        <v>3.51</v>
      </c>
      <c r="F1415">
        <v>0.1</v>
      </c>
      <c r="G1415">
        <v>3.51</v>
      </c>
      <c r="H1415">
        <v>3.52</v>
      </c>
      <c r="I1415" t="s">
        <v>2759</v>
      </c>
      <c r="J1415">
        <v>1.76</v>
      </c>
      <c r="K1415">
        <v>1.76</v>
      </c>
      <c r="L1415">
        <v>3.42</v>
      </c>
      <c r="M1415">
        <v>3.52</v>
      </c>
      <c r="N1415">
        <v>3.4</v>
      </c>
    </row>
    <row r="1416" spans="1:14" x14ac:dyDescent="0.5">
      <c r="A1416" t="str">
        <f>"300027"</f>
        <v>300027</v>
      </c>
      <c r="B1416" t="s">
        <v>2760</v>
      </c>
      <c r="C1416">
        <v>4.3099999999999996</v>
      </c>
      <c r="D1416">
        <v>27.38</v>
      </c>
      <c r="E1416">
        <v>5.81</v>
      </c>
      <c r="F1416">
        <v>0.24</v>
      </c>
      <c r="G1416">
        <v>5.81</v>
      </c>
      <c r="H1416">
        <v>5.82</v>
      </c>
      <c r="I1416" t="s">
        <v>2761</v>
      </c>
      <c r="J1416">
        <v>3.61</v>
      </c>
      <c r="K1416">
        <v>3.61</v>
      </c>
      <c r="L1416">
        <v>5.58</v>
      </c>
      <c r="M1416">
        <v>5.9</v>
      </c>
      <c r="N1416">
        <v>5.56</v>
      </c>
    </row>
    <row r="1417" spans="1:14" x14ac:dyDescent="0.5">
      <c r="A1417" t="str">
        <f>"300028"</f>
        <v>300028</v>
      </c>
      <c r="B1417" t="s">
        <v>2762</v>
      </c>
      <c r="C1417" t="s">
        <v>24</v>
      </c>
      <c r="D1417" t="s">
        <v>24</v>
      </c>
      <c r="E1417">
        <v>0.77</v>
      </c>
      <c r="F1417" t="s">
        <v>24</v>
      </c>
      <c r="G1417" t="s">
        <v>24</v>
      </c>
      <c r="H1417" t="s">
        <v>24</v>
      </c>
      <c r="I1417" t="s">
        <v>2763</v>
      </c>
      <c r="J1417">
        <v>0</v>
      </c>
      <c r="K1417">
        <v>0</v>
      </c>
      <c r="L1417" t="s">
        <v>24</v>
      </c>
      <c r="M1417" t="s">
        <v>24</v>
      </c>
      <c r="N1417" t="s">
        <v>24</v>
      </c>
    </row>
    <row r="1418" spans="1:14" x14ac:dyDescent="0.5">
      <c r="A1418" t="str">
        <f>"300029"</f>
        <v>300029</v>
      </c>
      <c r="B1418" t="s">
        <v>2764</v>
      </c>
      <c r="C1418">
        <v>3.18</v>
      </c>
      <c r="D1418">
        <v>21.02</v>
      </c>
      <c r="E1418">
        <v>5.52</v>
      </c>
      <c r="F1418">
        <v>0.17</v>
      </c>
      <c r="G1418">
        <v>5.52</v>
      </c>
      <c r="H1418">
        <v>5.53</v>
      </c>
      <c r="I1418" t="s">
        <v>2765</v>
      </c>
      <c r="J1418">
        <v>2.87</v>
      </c>
      <c r="K1418">
        <v>2.87</v>
      </c>
      <c r="L1418">
        <v>5.36</v>
      </c>
      <c r="M1418">
        <v>5.54</v>
      </c>
      <c r="N1418">
        <v>5.32</v>
      </c>
    </row>
    <row r="1419" spans="1:14" x14ac:dyDescent="0.5">
      <c r="A1419" t="str">
        <f>"300030"</f>
        <v>300030</v>
      </c>
      <c r="B1419" t="s">
        <v>2766</v>
      </c>
      <c r="C1419">
        <v>5.28</v>
      </c>
      <c r="D1419">
        <v>159.38999999999999</v>
      </c>
      <c r="E1419">
        <v>6.18</v>
      </c>
      <c r="F1419">
        <v>0.31</v>
      </c>
      <c r="G1419">
        <v>6.18</v>
      </c>
      <c r="H1419">
        <v>6.19</v>
      </c>
      <c r="I1419" t="s">
        <v>2767</v>
      </c>
      <c r="J1419">
        <v>3.65</v>
      </c>
      <c r="K1419">
        <v>3.65</v>
      </c>
      <c r="L1419">
        <v>5.91</v>
      </c>
      <c r="M1419">
        <v>6.19</v>
      </c>
      <c r="N1419">
        <v>5.84</v>
      </c>
    </row>
    <row r="1420" spans="1:14" x14ac:dyDescent="0.5">
      <c r="A1420" t="str">
        <f>"300031"</f>
        <v>300031</v>
      </c>
      <c r="B1420" t="s">
        <v>2768</v>
      </c>
      <c r="C1420">
        <v>1.1399999999999999</v>
      </c>
      <c r="D1420">
        <v>19.989999999999998</v>
      </c>
      <c r="E1420">
        <v>14.22</v>
      </c>
      <c r="F1420">
        <v>0.16</v>
      </c>
      <c r="G1420">
        <v>14.21</v>
      </c>
      <c r="H1420">
        <v>14.22</v>
      </c>
      <c r="I1420" t="s">
        <v>2769</v>
      </c>
      <c r="J1420">
        <v>1.96</v>
      </c>
      <c r="K1420">
        <v>1.96</v>
      </c>
      <c r="L1420">
        <v>14</v>
      </c>
      <c r="M1420">
        <v>14.22</v>
      </c>
      <c r="N1420">
        <v>13.95</v>
      </c>
    </row>
    <row r="1421" spans="1:14" x14ac:dyDescent="0.5">
      <c r="A1421" t="str">
        <f>"300032"</f>
        <v>300032</v>
      </c>
      <c r="B1421" t="s">
        <v>2770</v>
      </c>
      <c r="C1421">
        <v>5.93</v>
      </c>
      <c r="D1421" t="s">
        <v>24</v>
      </c>
      <c r="E1421">
        <v>3.93</v>
      </c>
      <c r="F1421">
        <v>0.22</v>
      </c>
      <c r="G1421">
        <v>3.93</v>
      </c>
      <c r="H1421">
        <v>3.94</v>
      </c>
      <c r="I1421" t="s">
        <v>2771</v>
      </c>
      <c r="J1421">
        <v>9.6</v>
      </c>
      <c r="K1421">
        <v>9.6</v>
      </c>
      <c r="L1421">
        <v>3.68</v>
      </c>
      <c r="M1421">
        <v>4.05</v>
      </c>
      <c r="N1421">
        <v>3.57</v>
      </c>
    </row>
    <row r="1422" spans="1:14" x14ac:dyDescent="0.5">
      <c r="A1422" t="str">
        <f>"300033"</f>
        <v>300033</v>
      </c>
      <c r="B1422" t="s">
        <v>2772</v>
      </c>
      <c r="C1422">
        <v>0.53</v>
      </c>
      <c r="D1422">
        <v>68.69</v>
      </c>
      <c r="E1422">
        <v>82.97</v>
      </c>
      <c r="F1422">
        <v>0.44</v>
      </c>
      <c r="G1422">
        <v>82.97</v>
      </c>
      <c r="H1422">
        <v>82.98</v>
      </c>
      <c r="I1422" t="s">
        <v>2773</v>
      </c>
      <c r="J1422">
        <v>4.8899999999999997</v>
      </c>
      <c r="K1422">
        <v>4.8899999999999997</v>
      </c>
      <c r="L1422">
        <v>79.86</v>
      </c>
      <c r="M1422">
        <v>83.68</v>
      </c>
      <c r="N1422">
        <v>79.12</v>
      </c>
    </row>
    <row r="1423" spans="1:14" x14ac:dyDescent="0.5">
      <c r="A1423" t="str">
        <f>"300034"</f>
        <v>300034</v>
      </c>
      <c r="B1423" t="s">
        <v>2774</v>
      </c>
      <c r="C1423">
        <v>1.46</v>
      </c>
      <c r="D1423">
        <v>61.87</v>
      </c>
      <c r="E1423">
        <v>11.85</v>
      </c>
      <c r="F1423">
        <v>0.17</v>
      </c>
      <c r="G1423">
        <v>11.84</v>
      </c>
      <c r="H1423">
        <v>11.85</v>
      </c>
      <c r="I1423" t="s">
        <v>2775</v>
      </c>
      <c r="J1423">
        <v>2.35</v>
      </c>
      <c r="K1423">
        <v>2.35</v>
      </c>
      <c r="L1423">
        <v>11.64</v>
      </c>
      <c r="M1423">
        <v>11.88</v>
      </c>
      <c r="N1423">
        <v>11.6</v>
      </c>
    </row>
    <row r="1424" spans="1:14" x14ac:dyDescent="0.5">
      <c r="A1424" t="str">
        <f>"300035"</f>
        <v>300035</v>
      </c>
      <c r="B1424" t="s">
        <v>2776</v>
      </c>
      <c r="C1424">
        <v>2.85</v>
      </c>
      <c r="D1424">
        <v>37.81</v>
      </c>
      <c r="E1424">
        <v>5.77</v>
      </c>
      <c r="F1424">
        <v>0.16</v>
      </c>
      <c r="G1424">
        <v>5.76</v>
      </c>
      <c r="H1424">
        <v>5.77</v>
      </c>
      <c r="I1424" t="s">
        <v>2777</v>
      </c>
      <c r="J1424">
        <v>3.9</v>
      </c>
      <c r="K1424">
        <v>3.9</v>
      </c>
      <c r="L1424">
        <v>5.58</v>
      </c>
      <c r="M1424">
        <v>5.78</v>
      </c>
      <c r="N1424">
        <v>5.57</v>
      </c>
    </row>
    <row r="1425" spans="1:14" x14ac:dyDescent="0.5">
      <c r="A1425" t="str">
        <f>"300036"</f>
        <v>300036</v>
      </c>
      <c r="B1425" t="s">
        <v>2778</v>
      </c>
      <c r="C1425">
        <v>4.3099999999999996</v>
      </c>
      <c r="D1425">
        <v>32.64</v>
      </c>
      <c r="E1425">
        <v>17.899999999999999</v>
      </c>
      <c r="F1425">
        <v>0.74</v>
      </c>
      <c r="G1425">
        <v>17.89</v>
      </c>
      <c r="H1425">
        <v>17.899999999999999</v>
      </c>
      <c r="I1425" t="s">
        <v>2779</v>
      </c>
      <c r="J1425">
        <v>7.61</v>
      </c>
      <c r="K1425">
        <v>7.61</v>
      </c>
      <c r="L1425">
        <v>17.16</v>
      </c>
      <c r="M1425">
        <v>17.98</v>
      </c>
      <c r="N1425">
        <v>16.97</v>
      </c>
    </row>
    <row r="1426" spans="1:14" x14ac:dyDescent="0.5">
      <c r="A1426" t="str">
        <f>"300037"</f>
        <v>300037</v>
      </c>
      <c r="B1426" t="s">
        <v>2780</v>
      </c>
      <c r="C1426">
        <v>-0.21</v>
      </c>
      <c r="D1426">
        <v>37.78</v>
      </c>
      <c r="E1426">
        <v>28.93</v>
      </c>
      <c r="F1426">
        <v>-0.06</v>
      </c>
      <c r="G1426">
        <v>28.93</v>
      </c>
      <c r="H1426">
        <v>28.94</v>
      </c>
      <c r="I1426" t="s">
        <v>2781</v>
      </c>
      <c r="J1426">
        <v>3.3</v>
      </c>
      <c r="K1426">
        <v>3.3</v>
      </c>
      <c r="L1426">
        <v>28.67</v>
      </c>
      <c r="M1426">
        <v>29.37</v>
      </c>
      <c r="N1426">
        <v>28.08</v>
      </c>
    </row>
    <row r="1427" spans="1:14" x14ac:dyDescent="0.5">
      <c r="A1427" t="str">
        <f>"300038"</f>
        <v>300038</v>
      </c>
      <c r="B1427" t="s">
        <v>2782</v>
      </c>
      <c r="C1427">
        <v>10.02</v>
      </c>
      <c r="D1427">
        <v>18</v>
      </c>
      <c r="E1427">
        <v>12.41</v>
      </c>
      <c r="F1427">
        <v>1.1299999999999999</v>
      </c>
      <c r="G1427">
        <v>12.4</v>
      </c>
      <c r="H1427">
        <v>12.41</v>
      </c>
      <c r="I1427" t="s">
        <v>2783</v>
      </c>
      <c r="J1427">
        <v>9.0399999999999991</v>
      </c>
      <c r="K1427">
        <v>9.0399999999999991</v>
      </c>
      <c r="L1427">
        <v>11.18</v>
      </c>
      <c r="M1427">
        <v>12.41</v>
      </c>
      <c r="N1427">
        <v>11.16</v>
      </c>
    </row>
    <row r="1428" spans="1:14" x14ac:dyDescent="0.5">
      <c r="A1428" t="str">
        <f>"300039"</f>
        <v>300039</v>
      </c>
      <c r="B1428" t="s">
        <v>2784</v>
      </c>
      <c r="C1428">
        <v>3.21</v>
      </c>
      <c r="D1428">
        <v>20.190000000000001</v>
      </c>
      <c r="E1428">
        <v>4.82</v>
      </c>
      <c r="F1428">
        <v>0.15</v>
      </c>
      <c r="G1428">
        <v>4.8099999999999996</v>
      </c>
      <c r="H1428">
        <v>4.82</v>
      </c>
      <c r="I1428" t="s">
        <v>2785</v>
      </c>
      <c r="J1428">
        <v>1.61</v>
      </c>
      <c r="K1428">
        <v>1.61</v>
      </c>
      <c r="L1428">
        <v>4.66</v>
      </c>
      <c r="M1428">
        <v>4.82</v>
      </c>
      <c r="N1428">
        <v>4.62</v>
      </c>
    </row>
    <row r="1429" spans="1:14" x14ac:dyDescent="0.5">
      <c r="A1429" t="str">
        <f>"300040"</f>
        <v>300040</v>
      </c>
      <c r="B1429" t="s">
        <v>2786</v>
      </c>
      <c r="C1429">
        <v>3.16</v>
      </c>
      <c r="D1429">
        <v>38.78</v>
      </c>
      <c r="E1429">
        <v>6.53</v>
      </c>
      <c r="F1429">
        <v>0.2</v>
      </c>
      <c r="G1429">
        <v>6.52</v>
      </c>
      <c r="H1429">
        <v>6.53</v>
      </c>
      <c r="I1429" t="s">
        <v>2787</v>
      </c>
      <c r="J1429">
        <v>4.96</v>
      </c>
      <c r="K1429">
        <v>4.96</v>
      </c>
      <c r="L1429">
        <v>6.35</v>
      </c>
      <c r="M1429">
        <v>6.55</v>
      </c>
      <c r="N1429">
        <v>6.28</v>
      </c>
    </row>
    <row r="1430" spans="1:14" x14ac:dyDescent="0.5">
      <c r="A1430" t="str">
        <f>"300041"</f>
        <v>300041</v>
      </c>
      <c r="B1430" t="s">
        <v>2788</v>
      </c>
      <c r="C1430">
        <v>2.61</v>
      </c>
      <c r="D1430">
        <v>23.55</v>
      </c>
      <c r="E1430">
        <v>7.46</v>
      </c>
      <c r="F1430">
        <v>0.19</v>
      </c>
      <c r="G1430">
        <v>7.45</v>
      </c>
      <c r="H1430">
        <v>7.46</v>
      </c>
      <c r="I1430" t="s">
        <v>2789</v>
      </c>
      <c r="J1430">
        <v>3.99</v>
      </c>
      <c r="K1430">
        <v>3.99</v>
      </c>
      <c r="L1430">
        <v>7.31</v>
      </c>
      <c r="M1430">
        <v>7.46</v>
      </c>
      <c r="N1430">
        <v>7.23</v>
      </c>
    </row>
    <row r="1431" spans="1:14" x14ac:dyDescent="0.5">
      <c r="A1431" t="str">
        <f>"300042"</f>
        <v>300042</v>
      </c>
      <c r="B1431" t="s">
        <v>2790</v>
      </c>
      <c r="C1431">
        <v>5.85</v>
      </c>
      <c r="D1431">
        <v>35.909999999999997</v>
      </c>
      <c r="E1431">
        <v>17.899999999999999</v>
      </c>
      <c r="F1431">
        <v>0.99</v>
      </c>
      <c r="G1431">
        <v>17.899999999999999</v>
      </c>
      <c r="H1431">
        <v>17.91</v>
      </c>
      <c r="I1431" t="s">
        <v>2791</v>
      </c>
      <c r="J1431">
        <v>3.71</v>
      </c>
      <c r="K1431">
        <v>3.71</v>
      </c>
      <c r="L1431">
        <v>16.86</v>
      </c>
      <c r="M1431">
        <v>17.95</v>
      </c>
      <c r="N1431">
        <v>16.77</v>
      </c>
    </row>
    <row r="1432" spans="1:14" x14ac:dyDescent="0.5">
      <c r="A1432" t="str">
        <f>"300043"</f>
        <v>300043</v>
      </c>
      <c r="B1432" t="s">
        <v>2792</v>
      </c>
      <c r="C1432">
        <v>10.119999999999999</v>
      </c>
      <c r="D1432">
        <v>25.93</v>
      </c>
      <c r="E1432">
        <v>4.68</v>
      </c>
      <c r="F1432">
        <v>0.43</v>
      </c>
      <c r="G1432">
        <v>4.68</v>
      </c>
      <c r="H1432" t="s">
        <v>24</v>
      </c>
      <c r="I1432" t="s">
        <v>2793</v>
      </c>
      <c r="J1432">
        <v>5.23</v>
      </c>
      <c r="K1432">
        <v>5.23</v>
      </c>
      <c r="L1432">
        <v>4.2699999999999996</v>
      </c>
      <c r="M1432">
        <v>4.68</v>
      </c>
      <c r="N1432">
        <v>4.22</v>
      </c>
    </row>
    <row r="1433" spans="1:14" x14ac:dyDescent="0.5">
      <c r="A1433" t="str">
        <f>"300044"</f>
        <v>300044</v>
      </c>
      <c r="B1433" t="s">
        <v>2794</v>
      </c>
      <c r="C1433">
        <v>5.28</v>
      </c>
      <c r="D1433">
        <v>31.98</v>
      </c>
      <c r="E1433">
        <v>8.7799999999999994</v>
      </c>
      <c r="F1433">
        <v>0.44</v>
      </c>
      <c r="G1433">
        <v>8.7799999999999994</v>
      </c>
      <c r="H1433">
        <v>8.7899999999999991</v>
      </c>
      <c r="I1433" t="s">
        <v>2795</v>
      </c>
      <c r="J1433">
        <v>12.02</v>
      </c>
      <c r="K1433">
        <v>12.02</v>
      </c>
      <c r="L1433">
        <v>8.3699999999999992</v>
      </c>
      <c r="M1433">
        <v>8.7899999999999991</v>
      </c>
      <c r="N1433">
        <v>8.3699999999999992</v>
      </c>
    </row>
    <row r="1434" spans="1:14" x14ac:dyDescent="0.5">
      <c r="A1434" t="str">
        <f>"300045"</f>
        <v>300045</v>
      </c>
      <c r="B1434" t="s">
        <v>2796</v>
      </c>
      <c r="C1434">
        <v>6.06</v>
      </c>
      <c r="D1434">
        <v>56</v>
      </c>
      <c r="E1434">
        <v>9.98</v>
      </c>
      <c r="F1434">
        <v>0.56999999999999995</v>
      </c>
      <c r="G1434">
        <v>9.9700000000000006</v>
      </c>
      <c r="H1434">
        <v>9.98</v>
      </c>
      <c r="I1434" t="s">
        <v>2797</v>
      </c>
      <c r="J1434">
        <v>4.83</v>
      </c>
      <c r="K1434">
        <v>4.83</v>
      </c>
      <c r="L1434">
        <v>9.44</v>
      </c>
      <c r="M1434">
        <v>10.029999999999999</v>
      </c>
      <c r="N1434">
        <v>9.32</v>
      </c>
    </row>
    <row r="1435" spans="1:14" x14ac:dyDescent="0.5">
      <c r="A1435" t="str">
        <f>"300046"</f>
        <v>300046</v>
      </c>
      <c r="B1435" t="s">
        <v>2798</v>
      </c>
      <c r="C1435">
        <v>6.87</v>
      </c>
      <c r="D1435">
        <v>37.450000000000003</v>
      </c>
      <c r="E1435">
        <v>14.32</v>
      </c>
      <c r="F1435">
        <v>0.92</v>
      </c>
      <c r="G1435">
        <v>14.32</v>
      </c>
      <c r="H1435">
        <v>14.33</v>
      </c>
      <c r="I1435" t="s">
        <v>2401</v>
      </c>
      <c r="J1435">
        <v>10.02</v>
      </c>
      <c r="K1435">
        <v>10.02</v>
      </c>
      <c r="L1435">
        <v>13.28</v>
      </c>
      <c r="M1435">
        <v>14.34</v>
      </c>
      <c r="N1435">
        <v>13.2</v>
      </c>
    </row>
    <row r="1436" spans="1:14" x14ac:dyDescent="0.5">
      <c r="A1436" t="str">
        <f>"300047"</f>
        <v>300047</v>
      </c>
      <c r="B1436" t="s">
        <v>2799</v>
      </c>
      <c r="C1436">
        <v>9.93</v>
      </c>
      <c r="D1436">
        <v>29</v>
      </c>
      <c r="E1436">
        <v>16.27</v>
      </c>
      <c r="F1436">
        <v>1.47</v>
      </c>
      <c r="G1436">
        <v>16.260000000000002</v>
      </c>
      <c r="H1436">
        <v>16.27</v>
      </c>
      <c r="I1436" t="s">
        <v>2800</v>
      </c>
      <c r="J1436">
        <v>7.67</v>
      </c>
      <c r="K1436">
        <v>7.67</v>
      </c>
      <c r="L1436">
        <v>14.69</v>
      </c>
      <c r="M1436">
        <v>16.28</v>
      </c>
      <c r="N1436">
        <v>14.65</v>
      </c>
    </row>
    <row r="1437" spans="1:14" x14ac:dyDescent="0.5">
      <c r="A1437" t="str">
        <f>"300048"</f>
        <v>300048</v>
      </c>
      <c r="B1437" t="s">
        <v>2801</v>
      </c>
      <c r="C1437">
        <v>3.85</v>
      </c>
      <c r="D1437">
        <v>82.59</v>
      </c>
      <c r="E1437">
        <v>2.97</v>
      </c>
      <c r="F1437">
        <v>0.11</v>
      </c>
      <c r="G1437">
        <v>2.96</v>
      </c>
      <c r="H1437">
        <v>2.97</v>
      </c>
      <c r="I1437" t="s">
        <v>2802</v>
      </c>
      <c r="J1437">
        <v>4.3</v>
      </c>
      <c r="K1437">
        <v>4.3</v>
      </c>
      <c r="L1437">
        <v>2.91</v>
      </c>
      <c r="M1437">
        <v>2.98</v>
      </c>
      <c r="N1437">
        <v>2.85</v>
      </c>
    </row>
    <row r="1438" spans="1:14" x14ac:dyDescent="0.5">
      <c r="A1438" t="str">
        <f>"300049"</f>
        <v>300049</v>
      </c>
      <c r="B1438" t="s">
        <v>2803</v>
      </c>
      <c r="C1438">
        <v>1.82</v>
      </c>
      <c r="D1438">
        <v>33.04</v>
      </c>
      <c r="E1438">
        <v>10.64</v>
      </c>
      <c r="F1438">
        <v>0.19</v>
      </c>
      <c r="G1438">
        <v>10.63</v>
      </c>
      <c r="H1438">
        <v>10.64</v>
      </c>
      <c r="I1438" t="s">
        <v>2804</v>
      </c>
      <c r="J1438">
        <v>3.49</v>
      </c>
      <c r="K1438">
        <v>3.49</v>
      </c>
      <c r="L1438">
        <v>10.41</v>
      </c>
      <c r="M1438">
        <v>10.65</v>
      </c>
      <c r="N1438">
        <v>10.23</v>
      </c>
    </row>
    <row r="1439" spans="1:14" x14ac:dyDescent="0.5">
      <c r="A1439" t="str">
        <f>"300050"</f>
        <v>300050</v>
      </c>
      <c r="B1439" t="s">
        <v>2805</v>
      </c>
      <c r="C1439">
        <v>6.11</v>
      </c>
      <c r="D1439">
        <v>63.43</v>
      </c>
      <c r="E1439">
        <v>6.77</v>
      </c>
      <c r="F1439">
        <v>0.39</v>
      </c>
      <c r="G1439">
        <v>6.77</v>
      </c>
      <c r="H1439">
        <v>6.78</v>
      </c>
      <c r="I1439" t="s">
        <v>2806</v>
      </c>
      <c r="J1439">
        <v>8.6199999999999992</v>
      </c>
      <c r="K1439">
        <v>8.6199999999999992</v>
      </c>
      <c r="L1439">
        <v>6.43</v>
      </c>
      <c r="M1439">
        <v>6.85</v>
      </c>
      <c r="N1439">
        <v>6.37</v>
      </c>
    </row>
    <row r="1440" spans="1:14" x14ac:dyDescent="0.5">
      <c r="A1440" t="str">
        <f>"300051"</f>
        <v>300051</v>
      </c>
      <c r="B1440" t="s">
        <v>2807</v>
      </c>
      <c r="C1440">
        <v>4.7300000000000004</v>
      </c>
      <c r="D1440">
        <v>73.099999999999994</v>
      </c>
      <c r="E1440">
        <v>6.86</v>
      </c>
      <c r="F1440">
        <v>0.31</v>
      </c>
      <c r="G1440">
        <v>6.86</v>
      </c>
      <c r="H1440">
        <v>6.87</v>
      </c>
      <c r="I1440" t="s">
        <v>2808</v>
      </c>
      <c r="J1440">
        <v>6.73</v>
      </c>
      <c r="K1440">
        <v>6.73</v>
      </c>
      <c r="L1440">
        <v>6.53</v>
      </c>
      <c r="M1440">
        <v>6.91</v>
      </c>
      <c r="N1440">
        <v>6.51</v>
      </c>
    </row>
    <row r="1441" spans="1:14" x14ac:dyDescent="0.5">
      <c r="A1441" t="str">
        <f>"300052"</f>
        <v>300052</v>
      </c>
      <c r="B1441" t="s">
        <v>2809</v>
      </c>
      <c r="C1441">
        <v>4.93</v>
      </c>
      <c r="D1441">
        <v>44.36</v>
      </c>
      <c r="E1441">
        <v>11.5</v>
      </c>
      <c r="F1441">
        <v>0.54</v>
      </c>
      <c r="G1441">
        <v>11.5</v>
      </c>
      <c r="H1441">
        <v>11.51</v>
      </c>
      <c r="I1441" t="s">
        <v>2802</v>
      </c>
      <c r="J1441">
        <v>7.01</v>
      </c>
      <c r="K1441">
        <v>7.01</v>
      </c>
      <c r="L1441">
        <v>10.85</v>
      </c>
      <c r="M1441">
        <v>11.6</v>
      </c>
      <c r="N1441">
        <v>10.84</v>
      </c>
    </row>
    <row r="1442" spans="1:14" x14ac:dyDescent="0.5">
      <c r="A1442" t="str">
        <f>"300053"</f>
        <v>300053</v>
      </c>
      <c r="B1442" t="s">
        <v>2810</v>
      </c>
      <c r="C1442">
        <v>4.4000000000000004</v>
      </c>
      <c r="D1442">
        <v>61.3</v>
      </c>
      <c r="E1442">
        <v>11.15</v>
      </c>
      <c r="F1442">
        <v>0.47</v>
      </c>
      <c r="G1442">
        <v>11.15</v>
      </c>
      <c r="H1442">
        <v>11.16</v>
      </c>
      <c r="I1442" t="s">
        <v>2811</v>
      </c>
      <c r="J1442">
        <v>5.96</v>
      </c>
      <c r="K1442">
        <v>5.96</v>
      </c>
      <c r="L1442">
        <v>10.5</v>
      </c>
      <c r="M1442">
        <v>11.18</v>
      </c>
      <c r="N1442">
        <v>10.45</v>
      </c>
    </row>
    <row r="1443" spans="1:14" x14ac:dyDescent="0.5">
      <c r="A1443" t="str">
        <f>"300054"</f>
        <v>300054</v>
      </c>
      <c r="B1443" t="s">
        <v>2812</v>
      </c>
      <c r="C1443">
        <v>5.51</v>
      </c>
      <c r="D1443">
        <v>25.37</v>
      </c>
      <c r="E1443">
        <v>9.39</v>
      </c>
      <c r="F1443">
        <v>0.49</v>
      </c>
      <c r="G1443">
        <v>9.3800000000000008</v>
      </c>
      <c r="H1443">
        <v>9.39</v>
      </c>
      <c r="I1443" t="s">
        <v>2813</v>
      </c>
      <c r="J1443">
        <v>3.17</v>
      </c>
      <c r="K1443">
        <v>3.17</v>
      </c>
      <c r="L1443">
        <v>8.86</v>
      </c>
      <c r="M1443">
        <v>9.4700000000000006</v>
      </c>
      <c r="N1443">
        <v>8.67</v>
      </c>
    </row>
    <row r="1444" spans="1:14" x14ac:dyDescent="0.5">
      <c r="A1444" t="str">
        <f>"300055"</f>
        <v>300055</v>
      </c>
      <c r="B1444" t="s">
        <v>2814</v>
      </c>
      <c r="C1444">
        <v>2.64</v>
      </c>
      <c r="D1444">
        <v>29.33</v>
      </c>
      <c r="E1444">
        <v>8.94</v>
      </c>
      <c r="F1444">
        <v>0.23</v>
      </c>
      <c r="G1444">
        <v>8.94</v>
      </c>
      <c r="H1444">
        <v>8.9499999999999993</v>
      </c>
      <c r="I1444" t="s">
        <v>2815</v>
      </c>
      <c r="J1444">
        <v>2.0499999999999998</v>
      </c>
      <c r="K1444">
        <v>2.0499999999999998</v>
      </c>
      <c r="L1444">
        <v>8.67</v>
      </c>
      <c r="M1444">
        <v>8.9499999999999993</v>
      </c>
      <c r="N1444">
        <v>8.6</v>
      </c>
    </row>
    <row r="1445" spans="1:14" x14ac:dyDescent="0.5">
      <c r="A1445" t="str">
        <f>"300056"</f>
        <v>300056</v>
      </c>
      <c r="B1445" t="s">
        <v>2816</v>
      </c>
      <c r="C1445">
        <v>1.83</v>
      </c>
      <c r="D1445">
        <v>34</v>
      </c>
      <c r="E1445">
        <v>6.11</v>
      </c>
      <c r="F1445">
        <v>0.11</v>
      </c>
      <c r="G1445">
        <v>6.11</v>
      </c>
      <c r="H1445">
        <v>6.12</v>
      </c>
      <c r="I1445" t="s">
        <v>2817</v>
      </c>
      <c r="J1445">
        <v>2.1800000000000002</v>
      </c>
      <c r="K1445">
        <v>2.1800000000000002</v>
      </c>
      <c r="L1445">
        <v>6</v>
      </c>
      <c r="M1445">
        <v>6.14</v>
      </c>
      <c r="N1445">
        <v>5.95</v>
      </c>
    </row>
    <row r="1446" spans="1:14" x14ac:dyDescent="0.5">
      <c r="A1446" t="str">
        <f>"300057"</f>
        <v>300057</v>
      </c>
      <c r="B1446" t="s">
        <v>2818</v>
      </c>
      <c r="C1446">
        <v>1.94</v>
      </c>
      <c r="D1446">
        <v>48.52</v>
      </c>
      <c r="E1446">
        <v>7.89</v>
      </c>
      <c r="F1446">
        <v>0.15</v>
      </c>
      <c r="G1446">
        <v>7.89</v>
      </c>
      <c r="H1446">
        <v>7.9</v>
      </c>
      <c r="I1446" t="s">
        <v>2819</v>
      </c>
      <c r="J1446">
        <v>8.2100000000000009</v>
      </c>
      <c r="K1446">
        <v>8.2100000000000009</v>
      </c>
      <c r="L1446">
        <v>7.67</v>
      </c>
      <c r="M1446">
        <v>7.9</v>
      </c>
      <c r="N1446">
        <v>7.61</v>
      </c>
    </row>
    <row r="1447" spans="1:14" x14ac:dyDescent="0.5">
      <c r="A1447" t="str">
        <f>"300058"</f>
        <v>300058</v>
      </c>
      <c r="B1447" t="s">
        <v>2820</v>
      </c>
      <c r="C1447">
        <v>4.72</v>
      </c>
      <c r="D1447">
        <v>29.42</v>
      </c>
      <c r="E1447">
        <v>5.0999999999999996</v>
      </c>
      <c r="F1447">
        <v>0.23</v>
      </c>
      <c r="G1447">
        <v>5.09</v>
      </c>
      <c r="H1447">
        <v>5.0999999999999996</v>
      </c>
      <c r="I1447" t="s">
        <v>2821</v>
      </c>
      <c r="J1447">
        <v>5.59</v>
      </c>
      <c r="K1447">
        <v>5.59</v>
      </c>
      <c r="L1447">
        <v>4.84</v>
      </c>
      <c r="M1447">
        <v>5.16</v>
      </c>
      <c r="N1447">
        <v>4.8099999999999996</v>
      </c>
    </row>
    <row r="1448" spans="1:14" x14ac:dyDescent="0.5">
      <c r="A1448" t="str">
        <f>"300059"</f>
        <v>300059</v>
      </c>
      <c r="B1448" t="s">
        <v>2822</v>
      </c>
      <c r="C1448">
        <v>1.58</v>
      </c>
      <c r="D1448">
        <v>110.2</v>
      </c>
      <c r="E1448">
        <v>21.28</v>
      </c>
      <c r="F1448">
        <v>0.33</v>
      </c>
      <c r="G1448">
        <v>21.27</v>
      </c>
      <c r="H1448">
        <v>21.28</v>
      </c>
      <c r="I1448" t="s">
        <v>2823</v>
      </c>
      <c r="J1448">
        <v>8.64</v>
      </c>
      <c r="K1448">
        <v>8.64</v>
      </c>
      <c r="L1448">
        <v>20.43</v>
      </c>
      <c r="M1448">
        <v>21.35</v>
      </c>
      <c r="N1448">
        <v>20.309999999999999</v>
      </c>
    </row>
    <row r="1449" spans="1:14" x14ac:dyDescent="0.5">
      <c r="A1449" t="str">
        <f>"300061"</f>
        <v>300061</v>
      </c>
      <c r="B1449" t="s">
        <v>2824</v>
      </c>
      <c r="C1449">
        <v>2.29</v>
      </c>
      <c r="D1449">
        <v>17.66</v>
      </c>
      <c r="E1449">
        <v>8.9499999999999993</v>
      </c>
      <c r="F1449">
        <v>0.2</v>
      </c>
      <c r="G1449">
        <v>8.94</v>
      </c>
      <c r="H1449">
        <v>8.9499999999999993</v>
      </c>
      <c r="I1449" t="s">
        <v>2825</v>
      </c>
      <c r="J1449">
        <v>3.15</v>
      </c>
      <c r="K1449">
        <v>3.15</v>
      </c>
      <c r="L1449">
        <v>8.9</v>
      </c>
      <c r="M1449">
        <v>8.9600000000000009</v>
      </c>
      <c r="N1449">
        <v>8.75</v>
      </c>
    </row>
    <row r="1450" spans="1:14" x14ac:dyDescent="0.5">
      <c r="A1450" t="str">
        <f>"300062"</f>
        <v>300062</v>
      </c>
      <c r="B1450" t="s">
        <v>2826</v>
      </c>
      <c r="C1450">
        <v>2.89</v>
      </c>
      <c r="D1450" t="s">
        <v>24</v>
      </c>
      <c r="E1450">
        <v>6.05</v>
      </c>
      <c r="F1450">
        <v>0.17</v>
      </c>
      <c r="G1450">
        <v>6.04</v>
      </c>
      <c r="H1450">
        <v>6.05</v>
      </c>
      <c r="I1450" t="s">
        <v>2827</v>
      </c>
      <c r="J1450">
        <v>5.7</v>
      </c>
      <c r="K1450">
        <v>5.7</v>
      </c>
      <c r="L1450">
        <v>5.79</v>
      </c>
      <c r="M1450">
        <v>6.05</v>
      </c>
      <c r="N1450">
        <v>5.78</v>
      </c>
    </row>
    <row r="1451" spans="1:14" x14ac:dyDescent="0.5">
      <c r="A1451" t="str">
        <f>"300063"</f>
        <v>300063</v>
      </c>
      <c r="B1451" t="s">
        <v>2828</v>
      </c>
      <c r="C1451">
        <v>5.62</v>
      </c>
      <c r="D1451" t="s">
        <v>24</v>
      </c>
      <c r="E1451">
        <v>3.76</v>
      </c>
      <c r="F1451">
        <v>0.2</v>
      </c>
      <c r="G1451">
        <v>3.76</v>
      </c>
      <c r="H1451">
        <v>3.77</v>
      </c>
      <c r="I1451" t="s">
        <v>2362</v>
      </c>
      <c r="J1451">
        <v>6.46</v>
      </c>
      <c r="K1451">
        <v>6.46</v>
      </c>
      <c r="L1451">
        <v>3.56</v>
      </c>
      <c r="M1451">
        <v>3.87</v>
      </c>
      <c r="N1451">
        <v>3.53</v>
      </c>
    </row>
    <row r="1452" spans="1:14" x14ac:dyDescent="0.5">
      <c r="A1452" t="str">
        <f>"300064"</f>
        <v>300064</v>
      </c>
      <c r="B1452" t="s">
        <v>2829</v>
      </c>
      <c r="C1452">
        <v>2.94</v>
      </c>
      <c r="D1452">
        <v>24.74</v>
      </c>
      <c r="E1452">
        <v>5.26</v>
      </c>
      <c r="F1452">
        <v>0.15</v>
      </c>
      <c r="G1452">
        <v>5.25</v>
      </c>
      <c r="H1452">
        <v>5.26</v>
      </c>
      <c r="I1452" t="s">
        <v>2830</v>
      </c>
      <c r="J1452">
        <v>3.64</v>
      </c>
      <c r="K1452">
        <v>3.64</v>
      </c>
      <c r="L1452">
        <v>5.0999999999999996</v>
      </c>
      <c r="M1452">
        <v>5.26</v>
      </c>
      <c r="N1452">
        <v>5.09</v>
      </c>
    </row>
    <row r="1453" spans="1:14" x14ac:dyDescent="0.5">
      <c r="A1453" t="str">
        <f>"300065"</f>
        <v>300065</v>
      </c>
      <c r="B1453" t="s">
        <v>2831</v>
      </c>
      <c r="C1453">
        <v>4.6900000000000004</v>
      </c>
      <c r="D1453">
        <v>47.41</v>
      </c>
      <c r="E1453">
        <v>14.72</v>
      </c>
      <c r="F1453">
        <v>0.66</v>
      </c>
      <c r="G1453">
        <v>14.72</v>
      </c>
      <c r="H1453">
        <v>14.73</v>
      </c>
      <c r="I1453" t="s">
        <v>2832</v>
      </c>
      <c r="J1453">
        <v>5.64</v>
      </c>
      <c r="K1453">
        <v>5.64</v>
      </c>
      <c r="L1453">
        <v>14</v>
      </c>
      <c r="M1453">
        <v>14.97</v>
      </c>
      <c r="N1453">
        <v>13.8</v>
      </c>
    </row>
    <row r="1454" spans="1:14" x14ac:dyDescent="0.5">
      <c r="A1454" t="str">
        <f>"300066"</f>
        <v>300066</v>
      </c>
      <c r="B1454" t="s">
        <v>2833</v>
      </c>
      <c r="C1454">
        <v>3.78</v>
      </c>
      <c r="D1454">
        <v>47.01</v>
      </c>
      <c r="E1454">
        <v>4.67</v>
      </c>
      <c r="F1454">
        <v>0.17</v>
      </c>
      <c r="G1454">
        <v>4.66</v>
      </c>
      <c r="H1454">
        <v>4.67</v>
      </c>
      <c r="I1454" t="s">
        <v>2834</v>
      </c>
      <c r="J1454">
        <v>4.47</v>
      </c>
      <c r="K1454">
        <v>4.47</v>
      </c>
      <c r="L1454">
        <v>4.47</v>
      </c>
      <c r="M1454">
        <v>4.7300000000000004</v>
      </c>
      <c r="N1454">
        <v>4.45</v>
      </c>
    </row>
    <row r="1455" spans="1:14" x14ac:dyDescent="0.5">
      <c r="A1455" t="str">
        <f>"300067"</f>
        <v>300067</v>
      </c>
      <c r="B1455" t="s">
        <v>2835</v>
      </c>
      <c r="C1455">
        <v>1.94</v>
      </c>
      <c r="D1455">
        <v>29.38</v>
      </c>
      <c r="E1455">
        <v>5.79</v>
      </c>
      <c r="F1455">
        <v>0.11</v>
      </c>
      <c r="G1455">
        <v>5.78</v>
      </c>
      <c r="H1455">
        <v>5.79</v>
      </c>
      <c r="I1455" t="s">
        <v>2836</v>
      </c>
      <c r="J1455">
        <v>3.68</v>
      </c>
      <c r="K1455">
        <v>3.68</v>
      </c>
      <c r="L1455">
        <v>5.65</v>
      </c>
      <c r="M1455">
        <v>5.8</v>
      </c>
      <c r="N1455">
        <v>5.62</v>
      </c>
    </row>
    <row r="1456" spans="1:14" x14ac:dyDescent="0.5">
      <c r="A1456" t="str">
        <f>"300068"</f>
        <v>300068</v>
      </c>
      <c r="B1456" t="s">
        <v>2837</v>
      </c>
      <c r="C1456">
        <v>-0.57999999999999996</v>
      </c>
      <c r="D1456">
        <v>30.41</v>
      </c>
      <c r="E1456">
        <v>15.47</v>
      </c>
      <c r="F1456">
        <v>-0.09</v>
      </c>
      <c r="G1456">
        <v>15.46</v>
      </c>
      <c r="H1456">
        <v>15.47</v>
      </c>
      <c r="I1456" t="s">
        <v>2838</v>
      </c>
      <c r="J1456">
        <v>1.42</v>
      </c>
      <c r="K1456">
        <v>1.42</v>
      </c>
      <c r="L1456">
        <v>15.44</v>
      </c>
      <c r="M1456">
        <v>15.55</v>
      </c>
      <c r="N1456">
        <v>15.39</v>
      </c>
    </row>
    <row r="1457" spans="1:14" x14ac:dyDescent="0.5">
      <c r="A1457" t="str">
        <f>"300069"</f>
        <v>300069</v>
      </c>
      <c r="B1457" t="s">
        <v>2839</v>
      </c>
      <c r="C1457">
        <v>-1.47</v>
      </c>
      <c r="D1457" t="s">
        <v>24</v>
      </c>
      <c r="E1457">
        <v>14.09</v>
      </c>
      <c r="F1457">
        <v>-0.21</v>
      </c>
      <c r="G1457">
        <v>14.09</v>
      </c>
      <c r="H1457">
        <v>14.1</v>
      </c>
      <c r="I1457" t="s">
        <v>2840</v>
      </c>
      <c r="J1457">
        <v>10.28</v>
      </c>
      <c r="K1457">
        <v>10.28</v>
      </c>
      <c r="L1457">
        <v>14.3</v>
      </c>
      <c r="M1457">
        <v>15</v>
      </c>
      <c r="N1457">
        <v>13.59</v>
      </c>
    </row>
    <row r="1458" spans="1:14" x14ac:dyDescent="0.5">
      <c r="A1458" t="str">
        <f>"300070"</f>
        <v>300070</v>
      </c>
      <c r="B1458" t="s">
        <v>2841</v>
      </c>
      <c r="C1458">
        <v>0.19</v>
      </c>
      <c r="D1458">
        <v>12.82</v>
      </c>
      <c r="E1458">
        <v>10.5</v>
      </c>
      <c r="F1458">
        <v>0.02</v>
      </c>
      <c r="G1458">
        <v>10.49</v>
      </c>
      <c r="H1458">
        <v>10.5</v>
      </c>
      <c r="I1458" t="s">
        <v>2842</v>
      </c>
      <c r="J1458">
        <v>4.99</v>
      </c>
      <c r="K1458">
        <v>4.99</v>
      </c>
      <c r="L1458">
        <v>10.3</v>
      </c>
      <c r="M1458">
        <v>10.57</v>
      </c>
      <c r="N1458">
        <v>10.199999999999999</v>
      </c>
    </row>
    <row r="1459" spans="1:14" x14ac:dyDescent="0.5">
      <c r="A1459" t="str">
        <f>"300071"</f>
        <v>300071</v>
      </c>
      <c r="B1459" t="s">
        <v>2843</v>
      </c>
      <c r="C1459">
        <v>10</v>
      </c>
      <c r="D1459" t="s">
        <v>24</v>
      </c>
      <c r="E1459">
        <v>4.29</v>
      </c>
      <c r="F1459">
        <v>0.39</v>
      </c>
      <c r="G1459">
        <v>4.29</v>
      </c>
      <c r="H1459" t="s">
        <v>24</v>
      </c>
      <c r="I1459" t="s">
        <v>2844</v>
      </c>
      <c r="J1459">
        <v>13.47</v>
      </c>
      <c r="K1459">
        <v>13.47</v>
      </c>
      <c r="L1459">
        <v>3.93</v>
      </c>
      <c r="M1459">
        <v>4.29</v>
      </c>
      <c r="N1459">
        <v>3.9</v>
      </c>
    </row>
    <row r="1460" spans="1:14" x14ac:dyDescent="0.5">
      <c r="A1460" t="str">
        <f>"300072"</f>
        <v>300072</v>
      </c>
      <c r="B1460" t="s">
        <v>2845</v>
      </c>
      <c r="C1460">
        <v>8.15</v>
      </c>
      <c r="D1460">
        <v>13.2</v>
      </c>
      <c r="E1460">
        <v>11.94</v>
      </c>
      <c r="F1460">
        <v>0.9</v>
      </c>
      <c r="G1460">
        <v>11.93</v>
      </c>
      <c r="H1460">
        <v>11.94</v>
      </c>
      <c r="I1460" t="s">
        <v>2846</v>
      </c>
      <c r="J1460">
        <v>4.95</v>
      </c>
      <c r="K1460">
        <v>4.95</v>
      </c>
      <c r="L1460">
        <v>11.3</v>
      </c>
      <c r="M1460">
        <v>12.02</v>
      </c>
      <c r="N1460">
        <v>11.11</v>
      </c>
    </row>
    <row r="1461" spans="1:14" x14ac:dyDescent="0.5">
      <c r="A1461" t="str">
        <f>"300073"</f>
        <v>300073</v>
      </c>
      <c r="B1461" t="s">
        <v>2847</v>
      </c>
      <c r="C1461">
        <v>-0.85</v>
      </c>
      <c r="D1461">
        <v>51.62</v>
      </c>
      <c r="E1461">
        <v>31.68</v>
      </c>
      <c r="F1461">
        <v>-0.27</v>
      </c>
      <c r="G1461">
        <v>31.68</v>
      </c>
      <c r="H1461">
        <v>31.69</v>
      </c>
      <c r="I1461" t="s">
        <v>2848</v>
      </c>
      <c r="J1461">
        <v>5.64</v>
      </c>
      <c r="K1461">
        <v>5.64</v>
      </c>
      <c r="L1461">
        <v>31.45</v>
      </c>
      <c r="M1461">
        <v>31.72</v>
      </c>
      <c r="N1461">
        <v>30.88</v>
      </c>
    </row>
    <row r="1462" spans="1:14" x14ac:dyDescent="0.5">
      <c r="A1462" t="str">
        <f>"300074"</f>
        <v>300074</v>
      </c>
      <c r="B1462" t="s">
        <v>2849</v>
      </c>
      <c r="C1462">
        <v>5.1100000000000003</v>
      </c>
      <c r="D1462">
        <v>161.91</v>
      </c>
      <c r="E1462">
        <v>4.7300000000000004</v>
      </c>
      <c r="F1462">
        <v>0.23</v>
      </c>
      <c r="G1462">
        <v>4.7300000000000004</v>
      </c>
      <c r="H1462">
        <v>4.74</v>
      </c>
      <c r="I1462" t="s">
        <v>2409</v>
      </c>
      <c r="J1462">
        <v>8.2799999999999994</v>
      </c>
      <c r="K1462">
        <v>8.2799999999999994</v>
      </c>
      <c r="L1462">
        <v>4.5199999999999996</v>
      </c>
      <c r="M1462">
        <v>4.76</v>
      </c>
      <c r="N1462">
        <v>4.43</v>
      </c>
    </row>
    <row r="1463" spans="1:14" x14ac:dyDescent="0.5">
      <c r="A1463" t="str">
        <f>"300075"</f>
        <v>300075</v>
      </c>
      <c r="B1463" t="s">
        <v>2850</v>
      </c>
      <c r="C1463">
        <v>5.54</v>
      </c>
      <c r="D1463">
        <v>27.33</v>
      </c>
      <c r="E1463">
        <v>12.57</v>
      </c>
      <c r="F1463">
        <v>0.66</v>
      </c>
      <c r="G1463">
        <v>12.57</v>
      </c>
      <c r="H1463">
        <v>12.58</v>
      </c>
      <c r="I1463" t="s">
        <v>2851</v>
      </c>
      <c r="J1463">
        <v>7.98</v>
      </c>
      <c r="K1463">
        <v>7.98</v>
      </c>
      <c r="L1463">
        <v>11.8</v>
      </c>
      <c r="M1463">
        <v>12.59</v>
      </c>
      <c r="N1463">
        <v>11.7</v>
      </c>
    </row>
    <row r="1464" spans="1:14" x14ac:dyDescent="0.5">
      <c r="A1464" t="str">
        <f>"300076"</f>
        <v>300076</v>
      </c>
      <c r="B1464" t="s">
        <v>2852</v>
      </c>
      <c r="C1464">
        <v>9.92</v>
      </c>
      <c r="D1464" t="s">
        <v>24</v>
      </c>
      <c r="E1464">
        <v>5.65</v>
      </c>
      <c r="F1464">
        <v>0.51</v>
      </c>
      <c r="G1464">
        <v>5.65</v>
      </c>
      <c r="H1464" t="s">
        <v>24</v>
      </c>
      <c r="I1464" t="s">
        <v>2853</v>
      </c>
      <c r="J1464">
        <v>10.34</v>
      </c>
      <c r="K1464">
        <v>10.34</v>
      </c>
      <c r="L1464">
        <v>5.31</v>
      </c>
      <c r="M1464">
        <v>5.65</v>
      </c>
      <c r="N1464">
        <v>5.18</v>
      </c>
    </row>
    <row r="1465" spans="1:14" x14ac:dyDescent="0.5">
      <c r="A1465" t="str">
        <f>"300077"</f>
        <v>300077</v>
      </c>
      <c r="B1465" t="s">
        <v>2854</v>
      </c>
      <c r="C1465">
        <v>9.9499999999999993</v>
      </c>
      <c r="D1465" t="s">
        <v>24</v>
      </c>
      <c r="E1465">
        <v>9.39</v>
      </c>
      <c r="F1465">
        <v>0.85</v>
      </c>
      <c r="G1465">
        <v>9.39</v>
      </c>
      <c r="H1465" t="s">
        <v>24</v>
      </c>
      <c r="I1465" t="s">
        <v>2855</v>
      </c>
      <c r="J1465">
        <v>18.27</v>
      </c>
      <c r="K1465">
        <v>18.27</v>
      </c>
      <c r="L1465">
        <v>8.65</v>
      </c>
      <c r="M1465">
        <v>9.39</v>
      </c>
      <c r="N1465">
        <v>8.59</v>
      </c>
    </row>
    <row r="1466" spans="1:14" x14ac:dyDescent="0.5">
      <c r="A1466" t="str">
        <f>"300078"</f>
        <v>300078</v>
      </c>
      <c r="B1466" t="s">
        <v>2856</v>
      </c>
      <c r="C1466">
        <v>10.039999999999999</v>
      </c>
      <c r="D1466">
        <v>61.14</v>
      </c>
      <c r="E1466">
        <v>11.07</v>
      </c>
      <c r="F1466">
        <v>1.01</v>
      </c>
      <c r="G1466">
        <v>11.07</v>
      </c>
      <c r="H1466" t="s">
        <v>24</v>
      </c>
      <c r="I1466" t="s">
        <v>2857</v>
      </c>
      <c r="J1466">
        <v>8.33</v>
      </c>
      <c r="K1466">
        <v>8.33</v>
      </c>
      <c r="L1466">
        <v>10.039999999999999</v>
      </c>
      <c r="M1466">
        <v>11.07</v>
      </c>
      <c r="N1466">
        <v>10</v>
      </c>
    </row>
    <row r="1467" spans="1:14" x14ac:dyDescent="0.5">
      <c r="A1467" t="str">
        <f>"300079"</f>
        <v>300079</v>
      </c>
      <c r="B1467" t="s">
        <v>2858</v>
      </c>
      <c r="C1467">
        <v>9.9600000000000009</v>
      </c>
      <c r="D1467">
        <v>164.84</v>
      </c>
      <c r="E1467">
        <v>5.08</v>
      </c>
      <c r="F1467">
        <v>0.46</v>
      </c>
      <c r="G1467">
        <v>5.08</v>
      </c>
      <c r="H1467" t="s">
        <v>24</v>
      </c>
      <c r="I1467" t="s">
        <v>2859</v>
      </c>
      <c r="J1467">
        <v>0.67</v>
      </c>
      <c r="K1467">
        <v>0.67</v>
      </c>
      <c r="L1467">
        <v>5.08</v>
      </c>
      <c r="M1467">
        <v>5.08</v>
      </c>
      <c r="N1467">
        <v>5.08</v>
      </c>
    </row>
    <row r="1468" spans="1:14" x14ac:dyDescent="0.5">
      <c r="A1468" t="str">
        <f>"300080"</f>
        <v>300080</v>
      </c>
      <c r="B1468" t="s">
        <v>2860</v>
      </c>
      <c r="C1468">
        <v>5.0999999999999996</v>
      </c>
      <c r="D1468" t="s">
        <v>24</v>
      </c>
      <c r="E1468">
        <v>7.01</v>
      </c>
      <c r="F1468">
        <v>0.34</v>
      </c>
      <c r="G1468">
        <v>7</v>
      </c>
      <c r="H1468">
        <v>7.01</v>
      </c>
      <c r="I1468" t="s">
        <v>2861</v>
      </c>
      <c r="J1468">
        <v>5.99</v>
      </c>
      <c r="K1468">
        <v>5.99</v>
      </c>
      <c r="L1468">
        <v>6.76</v>
      </c>
      <c r="M1468">
        <v>7.09</v>
      </c>
      <c r="N1468">
        <v>6.7</v>
      </c>
    </row>
    <row r="1469" spans="1:14" x14ac:dyDescent="0.5">
      <c r="A1469" t="str">
        <f>"300081"</f>
        <v>300081</v>
      </c>
      <c r="B1469" t="s">
        <v>2862</v>
      </c>
      <c r="C1469">
        <v>6.31</v>
      </c>
      <c r="D1469">
        <v>24.17</v>
      </c>
      <c r="E1469">
        <v>10.78</v>
      </c>
      <c r="F1469">
        <v>0.64</v>
      </c>
      <c r="G1469">
        <v>10.78</v>
      </c>
      <c r="H1469">
        <v>10.79</v>
      </c>
      <c r="I1469" t="s">
        <v>2863</v>
      </c>
      <c r="J1469">
        <v>8.24</v>
      </c>
      <c r="K1469">
        <v>8.24</v>
      </c>
      <c r="L1469">
        <v>10.029999999999999</v>
      </c>
      <c r="M1469">
        <v>10.89</v>
      </c>
      <c r="N1469">
        <v>10.029999999999999</v>
      </c>
    </row>
    <row r="1470" spans="1:14" x14ac:dyDescent="0.5">
      <c r="A1470" t="str">
        <f>"300082"</f>
        <v>300082</v>
      </c>
      <c r="B1470" t="s">
        <v>2864</v>
      </c>
      <c r="C1470">
        <v>2.81</v>
      </c>
      <c r="D1470">
        <v>15.03</v>
      </c>
      <c r="E1470">
        <v>6.94</v>
      </c>
      <c r="F1470">
        <v>0.19</v>
      </c>
      <c r="G1470">
        <v>6.94</v>
      </c>
      <c r="H1470">
        <v>6.95</v>
      </c>
      <c r="I1470" t="s">
        <v>2865</v>
      </c>
      <c r="J1470">
        <v>1.06</v>
      </c>
      <c r="K1470">
        <v>1.06</v>
      </c>
      <c r="L1470">
        <v>6.78</v>
      </c>
      <c r="M1470">
        <v>6.96</v>
      </c>
      <c r="N1470">
        <v>6.73</v>
      </c>
    </row>
    <row r="1471" spans="1:14" x14ac:dyDescent="0.5">
      <c r="A1471" t="str">
        <f>"300083"</f>
        <v>300083</v>
      </c>
      <c r="B1471" t="s">
        <v>2866</v>
      </c>
      <c r="C1471">
        <v>3.51</v>
      </c>
      <c r="D1471" t="s">
        <v>24</v>
      </c>
      <c r="E1471">
        <v>3.83</v>
      </c>
      <c r="F1471">
        <v>0.13</v>
      </c>
      <c r="G1471">
        <v>3.83</v>
      </c>
      <c r="H1471">
        <v>3.84</v>
      </c>
      <c r="I1471" t="s">
        <v>864</v>
      </c>
      <c r="J1471">
        <v>4.53</v>
      </c>
      <c r="K1471">
        <v>4.53</v>
      </c>
      <c r="L1471">
        <v>3.77</v>
      </c>
      <c r="M1471">
        <v>3.85</v>
      </c>
      <c r="N1471">
        <v>3.67</v>
      </c>
    </row>
    <row r="1472" spans="1:14" x14ac:dyDescent="0.5">
      <c r="A1472" t="str">
        <f>"300084"</f>
        <v>300084</v>
      </c>
      <c r="B1472" t="s">
        <v>2867</v>
      </c>
      <c r="C1472">
        <v>2.0099999999999998</v>
      </c>
      <c r="D1472" t="s">
        <v>24</v>
      </c>
      <c r="E1472">
        <v>6.1</v>
      </c>
      <c r="F1472">
        <v>0.12</v>
      </c>
      <c r="G1472">
        <v>6.1</v>
      </c>
      <c r="H1472">
        <v>6.11</v>
      </c>
      <c r="I1472" t="s">
        <v>2868</v>
      </c>
      <c r="J1472">
        <v>4.93</v>
      </c>
      <c r="K1472">
        <v>4.93</v>
      </c>
      <c r="L1472">
        <v>5.99</v>
      </c>
      <c r="M1472">
        <v>6.15</v>
      </c>
      <c r="N1472">
        <v>5.99</v>
      </c>
    </row>
    <row r="1473" spans="1:14" x14ac:dyDescent="0.5">
      <c r="A1473" t="str">
        <f>"300085"</f>
        <v>300085</v>
      </c>
      <c r="B1473" t="s">
        <v>2869</v>
      </c>
      <c r="C1473">
        <v>10.029999999999999</v>
      </c>
      <c r="D1473" t="s">
        <v>24</v>
      </c>
      <c r="E1473">
        <v>17.559999999999999</v>
      </c>
      <c r="F1473">
        <v>1.6</v>
      </c>
      <c r="G1473">
        <v>17.559999999999999</v>
      </c>
      <c r="H1473" t="s">
        <v>24</v>
      </c>
      <c r="I1473" t="s">
        <v>2870</v>
      </c>
      <c r="J1473">
        <v>22.52</v>
      </c>
      <c r="K1473">
        <v>22.52</v>
      </c>
      <c r="L1473">
        <v>16</v>
      </c>
      <c r="M1473">
        <v>17.559999999999999</v>
      </c>
      <c r="N1473">
        <v>15.8</v>
      </c>
    </row>
    <row r="1474" spans="1:14" x14ac:dyDescent="0.5">
      <c r="A1474" t="str">
        <f>"300086"</f>
        <v>300086</v>
      </c>
      <c r="B1474" t="s">
        <v>2871</v>
      </c>
      <c r="C1474">
        <v>3.75</v>
      </c>
      <c r="D1474">
        <v>50.26</v>
      </c>
      <c r="E1474">
        <v>6.37</v>
      </c>
      <c r="F1474">
        <v>0.23</v>
      </c>
      <c r="G1474">
        <v>6.37</v>
      </c>
      <c r="H1474">
        <v>6.38</v>
      </c>
      <c r="I1474" t="s">
        <v>2872</v>
      </c>
      <c r="J1474">
        <v>2.99</v>
      </c>
      <c r="K1474">
        <v>2.99</v>
      </c>
      <c r="L1474">
        <v>6.15</v>
      </c>
      <c r="M1474">
        <v>6.37</v>
      </c>
      <c r="N1474">
        <v>6.11</v>
      </c>
    </row>
    <row r="1475" spans="1:14" x14ac:dyDescent="0.5">
      <c r="A1475" t="str">
        <f>"300087"</f>
        <v>300087</v>
      </c>
      <c r="B1475" t="s">
        <v>2873</v>
      </c>
      <c r="C1475">
        <v>2.14</v>
      </c>
      <c r="D1475">
        <v>67.2</v>
      </c>
      <c r="E1475">
        <v>8.1199999999999992</v>
      </c>
      <c r="F1475">
        <v>0.17</v>
      </c>
      <c r="G1475">
        <v>8.1199999999999992</v>
      </c>
      <c r="H1475">
        <v>8.1300000000000008</v>
      </c>
      <c r="I1475" t="s">
        <v>2874</v>
      </c>
      <c r="J1475">
        <v>3.26</v>
      </c>
      <c r="K1475">
        <v>3.26</v>
      </c>
      <c r="L1475">
        <v>7.95</v>
      </c>
      <c r="M1475">
        <v>8.1300000000000008</v>
      </c>
      <c r="N1475">
        <v>7.88</v>
      </c>
    </row>
    <row r="1476" spans="1:14" x14ac:dyDescent="0.5">
      <c r="A1476" t="str">
        <f>"300088"</f>
        <v>300088</v>
      </c>
      <c r="B1476" t="s">
        <v>2875</v>
      </c>
      <c r="C1476">
        <v>6.43</v>
      </c>
      <c r="D1476">
        <v>18.95</v>
      </c>
      <c r="E1476">
        <v>6.12</v>
      </c>
      <c r="F1476">
        <v>0.37</v>
      </c>
      <c r="G1476">
        <v>6.12</v>
      </c>
      <c r="H1476">
        <v>6.13</v>
      </c>
      <c r="I1476" t="s">
        <v>2876</v>
      </c>
      <c r="J1476">
        <v>6.42</v>
      </c>
      <c r="K1476">
        <v>6.42</v>
      </c>
      <c r="L1476">
        <v>5.72</v>
      </c>
      <c r="M1476">
        <v>6.15</v>
      </c>
      <c r="N1476">
        <v>5.68</v>
      </c>
    </row>
    <row r="1477" spans="1:14" x14ac:dyDescent="0.5">
      <c r="A1477" t="str">
        <f>"300089"</f>
        <v>300089</v>
      </c>
      <c r="B1477" t="s">
        <v>2877</v>
      </c>
      <c r="C1477">
        <v>2.37</v>
      </c>
      <c r="D1477">
        <v>18.7</v>
      </c>
      <c r="E1477">
        <v>6.47</v>
      </c>
      <c r="F1477">
        <v>0.15</v>
      </c>
      <c r="G1477">
        <v>6.46</v>
      </c>
      <c r="H1477">
        <v>6.47</v>
      </c>
      <c r="I1477" t="s">
        <v>2878</v>
      </c>
      <c r="J1477">
        <v>4.91</v>
      </c>
      <c r="K1477">
        <v>4.91</v>
      </c>
      <c r="L1477">
        <v>6.24</v>
      </c>
      <c r="M1477">
        <v>6.5</v>
      </c>
      <c r="N1477">
        <v>6.24</v>
      </c>
    </row>
    <row r="1478" spans="1:14" x14ac:dyDescent="0.5">
      <c r="A1478" t="str">
        <f>"300090"</f>
        <v>300090</v>
      </c>
      <c r="B1478" t="s">
        <v>2879</v>
      </c>
      <c r="C1478">
        <v>1.18</v>
      </c>
      <c r="D1478" t="s">
        <v>24</v>
      </c>
      <c r="E1478">
        <v>2.57</v>
      </c>
      <c r="F1478">
        <v>0.03</v>
      </c>
      <c r="G1478">
        <v>2.56</v>
      </c>
      <c r="H1478">
        <v>2.57</v>
      </c>
      <c r="I1478" t="s">
        <v>2880</v>
      </c>
      <c r="J1478">
        <v>8.16</v>
      </c>
      <c r="K1478">
        <v>8.16</v>
      </c>
      <c r="L1478">
        <v>2.5499999999999998</v>
      </c>
      <c r="M1478">
        <v>2.59</v>
      </c>
      <c r="N1478">
        <v>2.4700000000000002</v>
      </c>
    </row>
    <row r="1479" spans="1:14" x14ac:dyDescent="0.5">
      <c r="A1479" t="str">
        <f>"300091"</f>
        <v>300091</v>
      </c>
      <c r="B1479" t="s">
        <v>2881</v>
      </c>
      <c r="C1479">
        <v>2.9</v>
      </c>
      <c r="D1479">
        <v>35.659999999999997</v>
      </c>
      <c r="E1479">
        <v>4.96</v>
      </c>
      <c r="F1479">
        <v>0.14000000000000001</v>
      </c>
      <c r="G1479">
        <v>4.96</v>
      </c>
      <c r="H1479">
        <v>4.97</v>
      </c>
      <c r="I1479" t="s">
        <v>2882</v>
      </c>
      <c r="J1479">
        <v>7.2</v>
      </c>
      <c r="K1479">
        <v>7.2</v>
      </c>
      <c r="L1479">
        <v>4.79</v>
      </c>
      <c r="M1479">
        <v>4.97</v>
      </c>
      <c r="N1479">
        <v>4.6900000000000004</v>
      </c>
    </row>
    <row r="1480" spans="1:14" x14ac:dyDescent="0.5">
      <c r="A1480" t="str">
        <f>"300092"</f>
        <v>300092</v>
      </c>
      <c r="B1480" t="s">
        <v>2883</v>
      </c>
      <c r="C1480">
        <v>1.8</v>
      </c>
      <c r="D1480">
        <v>220.39</v>
      </c>
      <c r="E1480">
        <v>7.37</v>
      </c>
      <c r="F1480">
        <v>0.13</v>
      </c>
      <c r="G1480">
        <v>7.37</v>
      </c>
      <c r="H1480">
        <v>7.38</v>
      </c>
      <c r="I1480" t="s">
        <v>2884</v>
      </c>
      <c r="J1480">
        <v>6.48</v>
      </c>
      <c r="K1480">
        <v>6.48</v>
      </c>
      <c r="L1480">
        <v>7.18</v>
      </c>
      <c r="M1480">
        <v>7.38</v>
      </c>
      <c r="N1480">
        <v>7.17</v>
      </c>
    </row>
    <row r="1481" spans="1:14" x14ac:dyDescent="0.5">
      <c r="A1481" t="str">
        <f>"300093"</f>
        <v>300093</v>
      </c>
      <c r="B1481" t="s">
        <v>2885</v>
      </c>
      <c r="C1481">
        <v>0.88</v>
      </c>
      <c r="D1481">
        <v>78.41</v>
      </c>
      <c r="E1481">
        <v>6.9</v>
      </c>
      <c r="F1481">
        <v>0.06</v>
      </c>
      <c r="G1481">
        <v>6.89</v>
      </c>
      <c r="H1481">
        <v>6.9</v>
      </c>
      <c r="I1481" t="s">
        <v>2886</v>
      </c>
      <c r="J1481">
        <v>4.05</v>
      </c>
      <c r="K1481">
        <v>4.05</v>
      </c>
      <c r="L1481">
        <v>6.77</v>
      </c>
      <c r="M1481">
        <v>6.93</v>
      </c>
      <c r="N1481">
        <v>6.73</v>
      </c>
    </row>
    <row r="1482" spans="1:14" x14ac:dyDescent="0.5">
      <c r="A1482" t="str">
        <f>"300094"</f>
        <v>300094</v>
      </c>
      <c r="B1482" t="s">
        <v>2887</v>
      </c>
      <c r="C1482">
        <v>0.45</v>
      </c>
      <c r="D1482">
        <v>23.58</v>
      </c>
      <c r="E1482">
        <v>6.76</v>
      </c>
      <c r="F1482">
        <v>0.03</v>
      </c>
      <c r="G1482">
        <v>6.75</v>
      </c>
      <c r="H1482">
        <v>6.76</v>
      </c>
      <c r="I1482" t="s">
        <v>2888</v>
      </c>
      <c r="J1482">
        <v>1.33</v>
      </c>
      <c r="K1482">
        <v>1.33</v>
      </c>
      <c r="L1482">
        <v>6.7</v>
      </c>
      <c r="M1482">
        <v>6.78</v>
      </c>
      <c r="N1482">
        <v>6.61</v>
      </c>
    </row>
    <row r="1483" spans="1:14" x14ac:dyDescent="0.5">
      <c r="A1483" t="str">
        <f>"300095"</f>
        <v>300095</v>
      </c>
      <c r="B1483" t="s">
        <v>2889</v>
      </c>
      <c r="C1483">
        <v>3.45</v>
      </c>
      <c r="D1483">
        <v>41.2</v>
      </c>
      <c r="E1483">
        <v>5.99</v>
      </c>
      <c r="F1483">
        <v>0.2</v>
      </c>
      <c r="G1483">
        <v>5.99</v>
      </c>
      <c r="H1483">
        <v>6</v>
      </c>
      <c r="I1483" t="s">
        <v>2890</v>
      </c>
      <c r="J1483">
        <v>5.68</v>
      </c>
      <c r="K1483">
        <v>5.68</v>
      </c>
      <c r="L1483">
        <v>5.78</v>
      </c>
      <c r="M1483">
        <v>6</v>
      </c>
      <c r="N1483">
        <v>5.74</v>
      </c>
    </row>
    <row r="1484" spans="1:14" x14ac:dyDescent="0.5">
      <c r="A1484" t="str">
        <f>"300096"</f>
        <v>300096</v>
      </c>
      <c r="B1484" t="s">
        <v>2891</v>
      </c>
      <c r="C1484">
        <v>3.72</v>
      </c>
      <c r="D1484">
        <v>90.19</v>
      </c>
      <c r="E1484">
        <v>12</v>
      </c>
      <c r="F1484">
        <v>0.43</v>
      </c>
      <c r="G1484">
        <v>11.98</v>
      </c>
      <c r="H1484">
        <v>12</v>
      </c>
      <c r="I1484" t="s">
        <v>2892</v>
      </c>
      <c r="J1484">
        <v>4.96</v>
      </c>
      <c r="K1484">
        <v>4.96</v>
      </c>
      <c r="L1484">
        <v>11.46</v>
      </c>
      <c r="M1484">
        <v>12.06</v>
      </c>
      <c r="N1484">
        <v>11.42</v>
      </c>
    </row>
    <row r="1485" spans="1:14" x14ac:dyDescent="0.5">
      <c r="A1485" t="str">
        <f>"300097"</f>
        <v>300097</v>
      </c>
      <c r="B1485" t="s">
        <v>2893</v>
      </c>
      <c r="C1485">
        <v>6.9</v>
      </c>
      <c r="D1485">
        <v>28.57</v>
      </c>
      <c r="E1485">
        <v>15.5</v>
      </c>
      <c r="F1485">
        <v>1</v>
      </c>
      <c r="G1485">
        <v>15.49</v>
      </c>
      <c r="H1485">
        <v>15.5</v>
      </c>
      <c r="I1485" t="s">
        <v>1369</v>
      </c>
      <c r="J1485">
        <v>12.19</v>
      </c>
      <c r="K1485">
        <v>12.19</v>
      </c>
      <c r="L1485">
        <v>14.54</v>
      </c>
      <c r="M1485">
        <v>15.64</v>
      </c>
      <c r="N1485">
        <v>14.38</v>
      </c>
    </row>
    <row r="1486" spans="1:14" x14ac:dyDescent="0.5">
      <c r="A1486" t="str">
        <f>"300098"</f>
        <v>300098</v>
      </c>
      <c r="B1486" t="s">
        <v>2894</v>
      </c>
      <c r="C1486">
        <v>4.6399999999999997</v>
      </c>
      <c r="D1486">
        <v>31.98</v>
      </c>
      <c r="E1486">
        <v>9.69</v>
      </c>
      <c r="F1486">
        <v>0.43</v>
      </c>
      <c r="G1486">
        <v>9.69</v>
      </c>
      <c r="H1486">
        <v>9.6999999999999993</v>
      </c>
      <c r="I1486" t="s">
        <v>2895</v>
      </c>
      <c r="J1486">
        <v>5.42</v>
      </c>
      <c r="K1486">
        <v>5.42</v>
      </c>
      <c r="L1486">
        <v>9.33</v>
      </c>
      <c r="M1486">
        <v>9.6999999999999993</v>
      </c>
      <c r="N1486">
        <v>9.33</v>
      </c>
    </row>
    <row r="1487" spans="1:14" x14ac:dyDescent="0.5">
      <c r="A1487" t="str">
        <f>"300099"</f>
        <v>300099</v>
      </c>
      <c r="B1487" t="s">
        <v>2896</v>
      </c>
      <c r="C1487">
        <v>4.3099999999999996</v>
      </c>
      <c r="D1487">
        <v>33.15</v>
      </c>
      <c r="E1487">
        <v>5.57</v>
      </c>
      <c r="F1487">
        <v>0.23</v>
      </c>
      <c r="G1487">
        <v>5.57</v>
      </c>
      <c r="H1487">
        <v>5.58</v>
      </c>
      <c r="I1487" t="s">
        <v>341</v>
      </c>
      <c r="J1487">
        <v>6.94</v>
      </c>
      <c r="K1487">
        <v>6.94</v>
      </c>
      <c r="L1487">
        <v>5.24</v>
      </c>
      <c r="M1487">
        <v>5.59</v>
      </c>
      <c r="N1487">
        <v>5.22</v>
      </c>
    </row>
    <row r="1488" spans="1:14" x14ac:dyDescent="0.5">
      <c r="A1488" t="str">
        <f>"300100"</f>
        <v>300100</v>
      </c>
      <c r="B1488" t="s">
        <v>2897</v>
      </c>
      <c r="C1488">
        <v>6.13</v>
      </c>
      <c r="D1488">
        <v>54.77</v>
      </c>
      <c r="E1488">
        <v>11.26</v>
      </c>
      <c r="F1488">
        <v>0.65</v>
      </c>
      <c r="G1488">
        <v>11.26</v>
      </c>
      <c r="H1488">
        <v>11.27</v>
      </c>
      <c r="I1488" t="s">
        <v>2898</v>
      </c>
      <c r="J1488">
        <v>6.85</v>
      </c>
      <c r="K1488">
        <v>6.85</v>
      </c>
      <c r="L1488">
        <v>10.53</v>
      </c>
      <c r="M1488">
        <v>11.67</v>
      </c>
      <c r="N1488">
        <v>10.5</v>
      </c>
    </row>
    <row r="1489" spans="1:14" x14ac:dyDescent="0.5">
      <c r="A1489" t="str">
        <f>"300101"</f>
        <v>300101</v>
      </c>
      <c r="B1489" t="s">
        <v>2899</v>
      </c>
      <c r="C1489">
        <v>5.53</v>
      </c>
      <c r="D1489">
        <v>191.2</v>
      </c>
      <c r="E1489">
        <v>12.03</v>
      </c>
      <c r="F1489">
        <v>0.63</v>
      </c>
      <c r="G1489">
        <v>12.03</v>
      </c>
      <c r="H1489">
        <v>12.04</v>
      </c>
      <c r="I1489" t="s">
        <v>2900</v>
      </c>
      <c r="J1489">
        <v>5.34</v>
      </c>
      <c r="K1489">
        <v>5.34</v>
      </c>
      <c r="L1489">
        <v>11.43</v>
      </c>
      <c r="M1489">
        <v>12.05</v>
      </c>
      <c r="N1489">
        <v>11.26</v>
      </c>
    </row>
    <row r="1490" spans="1:14" x14ac:dyDescent="0.5">
      <c r="A1490" t="str">
        <f>"300102"</f>
        <v>300102</v>
      </c>
      <c r="B1490" t="s">
        <v>2901</v>
      </c>
      <c r="C1490">
        <v>3.74</v>
      </c>
      <c r="D1490">
        <v>23.24</v>
      </c>
      <c r="E1490">
        <v>6.93</v>
      </c>
      <c r="F1490">
        <v>0.25</v>
      </c>
      <c r="G1490">
        <v>6.92</v>
      </c>
      <c r="H1490">
        <v>6.93</v>
      </c>
      <c r="I1490" t="s">
        <v>2902</v>
      </c>
      <c r="J1490">
        <v>3.45</v>
      </c>
      <c r="K1490">
        <v>3.45</v>
      </c>
      <c r="L1490">
        <v>6.67</v>
      </c>
      <c r="M1490">
        <v>6.98</v>
      </c>
      <c r="N1490">
        <v>6.63</v>
      </c>
    </row>
    <row r="1491" spans="1:14" x14ac:dyDescent="0.5">
      <c r="A1491" t="str">
        <f>"300103"</f>
        <v>300103</v>
      </c>
      <c r="B1491" t="s">
        <v>2903</v>
      </c>
      <c r="C1491">
        <v>1.57</v>
      </c>
      <c r="D1491">
        <v>70.430000000000007</v>
      </c>
      <c r="E1491">
        <v>10.34</v>
      </c>
      <c r="F1491">
        <v>0.16</v>
      </c>
      <c r="G1491">
        <v>10.34</v>
      </c>
      <c r="H1491">
        <v>10.35</v>
      </c>
      <c r="I1491" t="s">
        <v>878</v>
      </c>
      <c r="J1491">
        <v>10.62</v>
      </c>
      <c r="K1491">
        <v>10.62</v>
      </c>
      <c r="L1491">
        <v>9.98</v>
      </c>
      <c r="M1491">
        <v>10.62</v>
      </c>
      <c r="N1491">
        <v>9.98</v>
      </c>
    </row>
    <row r="1492" spans="1:14" x14ac:dyDescent="0.5">
      <c r="A1492" t="str">
        <f>"300104"</f>
        <v>300104</v>
      </c>
      <c r="B1492" t="s">
        <v>2904</v>
      </c>
      <c r="C1492">
        <v>3.04</v>
      </c>
      <c r="D1492" t="s">
        <v>24</v>
      </c>
      <c r="E1492">
        <v>3.05</v>
      </c>
      <c r="F1492">
        <v>0.09</v>
      </c>
      <c r="G1492">
        <v>3.05</v>
      </c>
      <c r="H1492">
        <v>3.06</v>
      </c>
      <c r="I1492" t="s">
        <v>2905</v>
      </c>
      <c r="J1492">
        <v>17.22</v>
      </c>
      <c r="K1492">
        <v>17.22</v>
      </c>
      <c r="L1492">
        <v>3</v>
      </c>
      <c r="M1492">
        <v>3.17</v>
      </c>
      <c r="N1492">
        <v>2.93</v>
      </c>
    </row>
    <row r="1493" spans="1:14" x14ac:dyDescent="0.5">
      <c r="A1493" t="str">
        <f>"300105"</f>
        <v>300105</v>
      </c>
      <c r="B1493" t="s">
        <v>2906</v>
      </c>
      <c r="C1493">
        <v>2.68</v>
      </c>
      <c r="D1493">
        <v>267.92</v>
      </c>
      <c r="E1493">
        <v>4.5999999999999996</v>
      </c>
      <c r="F1493">
        <v>0.12</v>
      </c>
      <c r="G1493">
        <v>4.59</v>
      </c>
      <c r="H1493">
        <v>4.5999999999999996</v>
      </c>
      <c r="I1493" t="s">
        <v>2907</v>
      </c>
      <c r="J1493">
        <v>1.51</v>
      </c>
      <c r="K1493">
        <v>1.51</v>
      </c>
      <c r="L1493">
        <v>4.5</v>
      </c>
      <c r="M1493">
        <v>4.6100000000000003</v>
      </c>
      <c r="N1493">
        <v>4.47</v>
      </c>
    </row>
    <row r="1494" spans="1:14" x14ac:dyDescent="0.5">
      <c r="A1494" t="str">
        <f>"300106"</f>
        <v>300106</v>
      </c>
      <c r="B1494" t="s">
        <v>2908</v>
      </c>
      <c r="C1494">
        <v>2.54</v>
      </c>
      <c r="D1494" t="s">
        <v>24</v>
      </c>
      <c r="E1494">
        <v>6.46</v>
      </c>
      <c r="F1494">
        <v>0.16</v>
      </c>
      <c r="G1494">
        <v>6.45</v>
      </c>
      <c r="H1494">
        <v>6.46</v>
      </c>
      <c r="I1494" t="s">
        <v>2909</v>
      </c>
      <c r="J1494">
        <v>4.45</v>
      </c>
      <c r="K1494">
        <v>4.45</v>
      </c>
      <c r="L1494">
        <v>6.23</v>
      </c>
      <c r="M1494">
        <v>6.48</v>
      </c>
      <c r="N1494">
        <v>6.22</v>
      </c>
    </row>
    <row r="1495" spans="1:14" x14ac:dyDescent="0.5">
      <c r="A1495" t="str">
        <f>"300107"</f>
        <v>300107</v>
      </c>
      <c r="B1495" t="s">
        <v>2910</v>
      </c>
      <c r="C1495">
        <v>0.41</v>
      </c>
      <c r="D1495">
        <v>12.04</v>
      </c>
      <c r="E1495">
        <v>12.18</v>
      </c>
      <c r="F1495">
        <v>0.05</v>
      </c>
      <c r="G1495">
        <v>12.18</v>
      </c>
      <c r="H1495">
        <v>12.19</v>
      </c>
      <c r="I1495" t="s">
        <v>2911</v>
      </c>
      <c r="J1495">
        <v>7.54</v>
      </c>
      <c r="K1495">
        <v>7.54</v>
      </c>
      <c r="L1495">
        <v>12</v>
      </c>
      <c r="M1495">
        <v>12.2</v>
      </c>
      <c r="N1495">
        <v>11.93</v>
      </c>
    </row>
    <row r="1496" spans="1:14" x14ac:dyDescent="0.5">
      <c r="A1496" t="str">
        <f>"300108"</f>
        <v>300108</v>
      </c>
      <c r="B1496" t="s">
        <v>2912</v>
      </c>
      <c r="C1496">
        <v>10</v>
      </c>
      <c r="D1496">
        <v>19.28</v>
      </c>
      <c r="E1496">
        <v>6.49</v>
      </c>
      <c r="F1496">
        <v>0.59</v>
      </c>
      <c r="G1496">
        <v>6.49</v>
      </c>
      <c r="H1496" t="s">
        <v>24</v>
      </c>
      <c r="I1496" t="s">
        <v>528</v>
      </c>
      <c r="J1496">
        <v>2.98</v>
      </c>
      <c r="K1496">
        <v>2.98</v>
      </c>
      <c r="L1496">
        <v>5.84</v>
      </c>
      <c r="M1496">
        <v>6.49</v>
      </c>
      <c r="N1496">
        <v>5.83</v>
      </c>
    </row>
    <row r="1497" spans="1:14" x14ac:dyDescent="0.5">
      <c r="A1497" t="str">
        <f>"300109"</f>
        <v>300109</v>
      </c>
      <c r="B1497" t="s">
        <v>2913</v>
      </c>
      <c r="C1497">
        <v>2.31</v>
      </c>
      <c r="D1497">
        <v>38.22</v>
      </c>
      <c r="E1497">
        <v>18.16</v>
      </c>
      <c r="F1497">
        <v>0.41</v>
      </c>
      <c r="G1497">
        <v>18.149999999999999</v>
      </c>
      <c r="H1497">
        <v>18.16</v>
      </c>
      <c r="I1497" t="s">
        <v>2914</v>
      </c>
      <c r="J1497">
        <v>4.3499999999999996</v>
      </c>
      <c r="K1497">
        <v>4.3499999999999996</v>
      </c>
      <c r="L1497">
        <v>17.829999999999998</v>
      </c>
      <c r="M1497">
        <v>18.350000000000001</v>
      </c>
      <c r="N1497">
        <v>17.61</v>
      </c>
    </row>
    <row r="1498" spans="1:14" x14ac:dyDescent="0.5">
      <c r="A1498" t="str">
        <f>"300110"</f>
        <v>300110</v>
      </c>
      <c r="B1498" t="s">
        <v>2915</v>
      </c>
      <c r="C1498">
        <v>3.02</v>
      </c>
      <c r="D1498">
        <v>101.62</v>
      </c>
      <c r="E1498">
        <v>3.75</v>
      </c>
      <c r="F1498">
        <v>0.11</v>
      </c>
      <c r="G1498">
        <v>3.75</v>
      </c>
      <c r="H1498">
        <v>3.76</v>
      </c>
      <c r="I1498" t="s">
        <v>2916</v>
      </c>
      <c r="J1498">
        <v>2.94</v>
      </c>
      <c r="K1498">
        <v>2.94</v>
      </c>
      <c r="L1498">
        <v>3.63</v>
      </c>
      <c r="M1498">
        <v>3.75</v>
      </c>
      <c r="N1498">
        <v>3.61</v>
      </c>
    </row>
    <row r="1499" spans="1:14" x14ac:dyDescent="0.5">
      <c r="A1499" t="str">
        <f>"300111"</f>
        <v>300111</v>
      </c>
      <c r="B1499" t="s">
        <v>2917</v>
      </c>
      <c r="C1499">
        <v>3.82</v>
      </c>
      <c r="D1499" t="s">
        <v>24</v>
      </c>
      <c r="E1499">
        <v>2.72</v>
      </c>
      <c r="F1499">
        <v>0.1</v>
      </c>
      <c r="G1499">
        <v>2.72</v>
      </c>
      <c r="H1499">
        <v>2.73</v>
      </c>
      <c r="I1499" t="s">
        <v>2918</v>
      </c>
      <c r="J1499">
        <v>3.85</v>
      </c>
      <c r="K1499">
        <v>3.85</v>
      </c>
      <c r="L1499">
        <v>2.62</v>
      </c>
      <c r="M1499">
        <v>2.75</v>
      </c>
      <c r="N1499">
        <v>2.56</v>
      </c>
    </row>
    <row r="1500" spans="1:14" x14ac:dyDescent="0.5">
      <c r="A1500" t="str">
        <f>"300112"</f>
        <v>300112</v>
      </c>
      <c r="B1500" t="s">
        <v>2919</v>
      </c>
      <c r="C1500">
        <v>5.82</v>
      </c>
      <c r="D1500">
        <v>47.58</v>
      </c>
      <c r="E1500">
        <v>8.3699999999999992</v>
      </c>
      <c r="F1500">
        <v>0.46</v>
      </c>
      <c r="G1500">
        <v>8.3699999999999992</v>
      </c>
      <c r="H1500">
        <v>8.3800000000000008</v>
      </c>
      <c r="I1500" t="s">
        <v>2920</v>
      </c>
      <c r="J1500">
        <v>4.16</v>
      </c>
      <c r="K1500">
        <v>4.16</v>
      </c>
      <c r="L1500">
        <v>7.91</v>
      </c>
      <c r="M1500">
        <v>8.3699999999999992</v>
      </c>
      <c r="N1500">
        <v>7.86</v>
      </c>
    </row>
    <row r="1501" spans="1:14" x14ac:dyDescent="0.5">
      <c r="A1501" t="str">
        <f>"300113"</f>
        <v>300113</v>
      </c>
      <c r="B1501" t="s">
        <v>2921</v>
      </c>
      <c r="C1501">
        <v>7.12</v>
      </c>
      <c r="D1501">
        <v>17.21</v>
      </c>
      <c r="E1501">
        <v>15.64</v>
      </c>
      <c r="F1501">
        <v>1.04</v>
      </c>
      <c r="G1501">
        <v>15.64</v>
      </c>
      <c r="H1501">
        <v>15.65</v>
      </c>
      <c r="I1501" t="s">
        <v>2922</v>
      </c>
      <c r="J1501">
        <v>7.66</v>
      </c>
      <c r="K1501">
        <v>7.66</v>
      </c>
      <c r="L1501">
        <v>14.62</v>
      </c>
      <c r="M1501">
        <v>15.7</v>
      </c>
      <c r="N1501">
        <v>14.55</v>
      </c>
    </row>
    <row r="1502" spans="1:14" x14ac:dyDescent="0.5">
      <c r="A1502" t="str">
        <f>"300114"</f>
        <v>300114</v>
      </c>
      <c r="B1502" t="s">
        <v>2923</v>
      </c>
      <c r="C1502">
        <v>2.69</v>
      </c>
      <c r="D1502">
        <v>35.409999999999997</v>
      </c>
      <c r="E1502">
        <v>9.92</v>
      </c>
      <c r="F1502">
        <v>0.26</v>
      </c>
      <c r="G1502">
        <v>9.92</v>
      </c>
      <c r="H1502">
        <v>9.93</v>
      </c>
      <c r="I1502" t="s">
        <v>2924</v>
      </c>
      <c r="J1502">
        <v>1.87</v>
      </c>
      <c r="K1502">
        <v>1.87</v>
      </c>
      <c r="L1502">
        <v>9.6999999999999993</v>
      </c>
      <c r="M1502">
        <v>9.92</v>
      </c>
      <c r="N1502">
        <v>9.5500000000000007</v>
      </c>
    </row>
    <row r="1503" spans="1:14" x14ac:dyDescent="0.5">
      <c r="A1503" t="str">
        <f>"300115"</f>
        <v>300115</v>
      </c>
      <c r="B1503" t="s">
        <v>2925</v>
      </c>
      <c r="C1503">
        <v>5.54</v>
      </c>
      <c r="D1503">
        <v>49.78</v>
      </c>
      <c r="E1503">
        <v>12.19</v>
      </c>
      <c r="F1503">
        <v>0.64</v>
      </c>
      <c r="G1503">
        <v>12.19</v>
      </c>
      <c r="H1503">
        <v>12.2</v>
      </c>
      <c r="I1503" t="s">
        <v>2926</v>
      </c>
      <c r="J1503">
        <v>4.43</v>
      </c>
      <c r="K1503">
        <v>4.43</v>
      </c>
      <c r="L1503">
        <v>11.55</v>
      </c>
      <c r="M1503">
        <v>12.2</v>
      </c>
      <c r="N1503">
        <v>11.3</v>
      </c>
    </row>
    <row r="1504" spans="1:14" x14ac:dyDescent="0.5">
      <c r="A1504" t="str">
        <f>"300116"</f>
        <v>300116</v>
      </c>
      <c r="B1504" t="s">
        <v>2927</v>
      </c>
      <c r="C1504">
        <v>0.5</v>
      </c>
      <c r="D1504" t="s">
        <v>24</v>
      </c>
      <c r="E1504">
        <v>2.02</v>
      </c>
      <c r="F1504">
        <v>0.01</v>
      </c>
      <c r="G1504">
        <v>2.02</v>
      </c>
      <c r="H1504">
        <v>2.0299999999999998</v>
      </c>
      <c r="I1504" t="s">
        <v>2928</v>
      </c>
      <c r="J1504">
        <v>9.85</v>
      </c>
      <c r="K1504">
        <v>9.85</v>
      </c>
      <c r="L1504">
        <v>1.99</v>
      </c>
      <c r="M1504">
        <v>2.02</v>
      </c>
      <c r="N1504">
        <v>1.93</v>
      </c>
    </row>
    <row r="1505" spans="1:14" x14ac:dyDescent="0.5">
      <c r="A1505" t="str">
        <f>"300117"</f>
        <v>300117</v>
      </c>
      <c r="B1505" t="s">
        <v>2929</v>
      </c>
      <c r="C1505">
        <v>2.2999999999999998</v>
      </c>
      <c r="D1505">
        <v>61.34</v>
      </c>
      <c r="E1505">
        <v>4.45</v>
      </c>
      <c r="F1505">
        <v>0.1</v>
      </c>
      <c r="G1505">
        <v>4.45</v>
      </c>
      <c r="H1505">
        <v>4.46</v>
      </c>
      <c r="I1505" t="s">
        <v>2930</v>
      </c>
      <c r="J1505">
        <v>2.2400000000000002</v>
      </c>
      <c r="K1505">
        <v>2.2400000000000002</v>
      </c>
      <c r="L1505">
        <v>4.37</v>
      </c>
      <c r="M1505">
        <v>4.47</v>
      </c>
      <c r="N1505">
        <v>4.34</v>
      </c>
    </row>
    <row r="1506" spans="1:14" x14ac:dyDescent="0.5">
      <c r="A1506" t="str">
        <f>"300118"</f>
        <v>300118</v>
      </c>
      <c r="B1506" t="s">
        <v>2931</v>
      </c>
      <c r="C1506">
        <v>2.31</v>
      </c>
      <c r="D1506">
        <v>19.59</v>
      </c>
      <c r="E1506">
        <v>9.73</v>
      </c>
      <c r="F1506">
        <v>0.22</v>
      </c>
      <c r="G1506">
        <v>9.73</v>
      </c>
      <c r="H1506">
        <v>9.74</v>
      </c>
      <c r="I1506" t="s">
        <v>2932</v>
      </c>
      <c r="J1506">
        <v>2.25</v>
      </c>
      <c r="K1506">
        <v>2.25</v>
      </c>
      <c r="L1506">
        <v>9.51</v>
      </c>
      <c r="M1506">
        <v>9.81</v>
      </c>
      <c r="N1506">
        <v>9.4600000000000009</v>
      </c>
    </row>
    <row r="1507" spans="1:14" x14ac:dyDescent="0.5">
      <c r="A1507" t="str">
        <f>"300119"</f>
        <v>300119</v>
      </c>
      <c r="B1507" t="s">
        <v>2933</v>
      </c>
      <c r="C1507">
        <v>0.83</v>
      </c>
      <c r="D1507">
        <v>40.369999999999997</v>
      </c>
      <c r="E1507">
        <v>10.95</v>
      </c>
      <c r="F1507">
        <v>0.09</v>
      </c>
      <c r="G1507">
        <v>10.95</v>
      </c>
      <c r="H1507">
        <v>10.96</v>
      </c>
      <c r="I1507" t="s">
        <v>2934</v>
      </c>
      <c r="J1507">
        <v>4.16</v>
      </c>
      <c r="K1507">
        <v>4.16</v>
      </c>
      <c r="L1507">
        <v>10.8</v>
      </c>
      <c r="M1507">
        <v>11.05</v>
      </c>
      <c r="N1507">
        <v>10.65</v>
      </c>
    </row>
    <row r="1508" spans="1:14" x14ac:dyDescent="0.5">
      <c r="A1508" t="str">
        <f>"300120"</f>
        <v>300120</v>
      </c>
      <c r="B1508" t="s">
        <v>2935</v>
      </c>
      <c r="C1508">
        <v>1.32</v>
      </c>
      <c r="D1508">
        <v>24.83</v>
      </c>
      <c r="E1508">
        <v>8.4499999999999993</v>
      </c>
      <c r="F1508">
        <v>0.11</v>
      </c>
      <c r="G1508">
        <v>8.44</v>
      </c>
      <c r="H1508">
        <v>8.4499999999999993</v>
      </c>
      <c r="I1508" t="s">
        <v>359</v>
      </c>
      <c r="J1508">
        <v>4.49</v>
      </c>
      <c r="K1508">
        <v>4.49</v>
      </c>
      <c r="L1508">
        <v>8.3000000000000007</v>
      </c>
      <c r="M1508">
        <v>8.5</v>
      </c>
      <c r="N1508">
        <v>8.18</v>
      </c>
    </row>
    <row r="1509" spans="1:14" x14ac:dyDescent="0.5">
      <c r="A1509" t="str">
        <f>"300121"</f>
        <v>300121</v>
      </c>
      <c r="B1509" t="s">
        <v>2936</v>
      </c>
      <c r="C1509">
        <v>1.18</v>
      </c>
      <c r="D1509">
        <v>10.01</v>
      </c>
      <c r="E1509">
        <v>10.27</v>
      </c>
      <c r="F1509">
        <v>0.12</v>
      </c>
      <c r="G1509">
        <v>10.26</v>
      </c>
      <c r="H1509">
        <v>10.27</v>
      </c>
      <c r="I1509" t="s">
        <v>2937</v>
      </c>
      <c r="J1509">
        <v>2.5499999999999998</v>
      </c>
      <c r="K1509">
        <v>2.5499999999999998</v>
      </c>
      <c r="L1509">
        <v>10.09</v>
      </c>
      <c r="M1509">
        <v>10.27</v>
      </c>
      <c r="N1509">
        <v>10.039999999999999</v>
      </c>
    </row>
    <row r="1510" spans="1:14" x14ac:dyDescent="0.5">
      <c r="A1510" t="str">
        <f>"300122"</f>
        <v>300122</v>
      </c>
      <c r="B1510" t="s">
        <v>2938</v>
      </c>
      <c r="C1510">
        <v>0.02</v>
      </c>
      <c r="D1510">
        <v>59.61</v>
      </c>
      <c r="E1510">
        <v>45.99</v>
      </c>
      <c r="F1510">
        <v>0.01</v>
      </c>
      <c r="G1510">
        <v>45.99</v>
      </c>
      <c r="H1510">
        <v>46</v>
      </c>
      <c r="I1510" t="s">
        <v>2939</v>
      </c>
      <c r="J1510">
        <v>1.45</v>
      </c>
      <c r="K1510">
        <v>1.45</v>
      </c>
      <c r="L1510">
        <v>45.43</v>
      </c>
      <c r="M1510">
        <v>46.29</v>
      </c>
      <c r="N1510">
        <v>45.28</v>
      </c>
    </row>
    <row r="1511" spans="1:14" x14ac:dyDescent="0.5">
      <c r="A1511" t="str">
        <f>"300123"</f>
        <v>300123</v>
      </c>
      <c r="B1511" t="s">
        <v>2940</v>
      </c>
      <c r="C1511">
        <v>2.65</v>
      </c>
      <c r="D1511">
        <v>46</v>
      </c>
      <c r="E1511">
        <v>14.35</v>
      </c>
      <c r="F1511">
        <v>0.37</v>
      </c>
      <c r="G1511">
        <v>14.32</v>
      </c>
      <c r="H1511">
        <v>14.35</v>
      </c>
      <c r="I1511" t="s">
        <v>375</v>
      </c>
      <c r="J1511">
        <v>4.78</v>
      </c>
      <c r="K1511">
        <v>4.78</v>
      </c>
      <c r="L1511">
        <v>14.1</v>
      </c>
      <c r="M1511">
        <v>14.36</v>
      </c>
      <c r="N1511">
        <v>13.8</v>
      </c>
    </row>
    <row r="1512" spans="1:14" x14ac:dyDescent="0.5">
      <c r="A1512" t="str">
        <f>"300124"</f>
        <v>300124</v>
      </c>
      <c r="B1512" t="s">
        <v>2941</v>
      </c>
      <c r="C1512">
        <v>2.91</v>
      </c>
      <c r="D1512">
        <v>38.99</v>
      </c>
      <c r="E1512">
        <v>27.92</v>
      </c>
      <c r="F1512">
        <v>0.79</v>
      </c>
      <c r="G1512">
        <v>27.91</v>
      </c>
      <c r="H1512">
        <v>27.92</v>
      </c>
      <c r="I1512" t="s">
        <v>2942</v>
      </c>
      <c r="J1512">
        <v>1.1299999999999999</v>
      </c>
      <c r="K1512">
        <v>1.1299999999999999</v>
      </c>
      <c r="L1512">
        <v>27.19</v>
      </c>
      <c r="M1512">
        <v>27.97</v>
      </c>
      <c r="N1512">
        <v>27.01</v>
      </c>
    </row>
    <row r="1513" spans="1:14" x14ac:dyDescent="0.5">
      <c r="A1513" t="str">
        <f>"300125"</f>
        <v>300125</v>
      </c>
      <c r="B1513" t="s">
        <v>2943</v>
      </c>
      <c r="C1513">
        <v>9.7799999999999994</v>
      </c>
      <c r="D1513">
        <v>84.81</v>
      </c>
      <c r="E1513">
        <v>20.420000000000002</v>
      </c>
      <c r="F1513">
        <v>1.82</v>
      </c>
      <c r="G1513">
        <v>20.399999999999999</v>
      </c>
      <c r="H1513">
        <v>20.420000000000002</v>
      </c>
      <c r="I1513" t="s">
        <v>2944</v>
      </c>
      <c r="J1513">
        <v>8.9600000000000009</v>
      </c>
      <c r="K1513">
        <v>8.9600000000000009</v>
      </c>
      <c r="L1513">
        <v>18.3</v>
      </c>
      <c r="M1513">
        <v>20.46</v>
      </c>
      <c r="N1513">
        <v>18.22</v>
      </c>
    </row>
    <row r="1514" spans="1:14" x14ac:dyDescent="0.5">
      <c r="A1514" t="str">
        <f>"300126"</f>
        <v>300126</v>
      </c>
      <c r="B1514" t="s">
        <v>2945</v>
      </c>
      <c r="C1514">
        <v>2.76</v>
      </c>
      <c r="D1514" t="s">
        <v>24</v>
      </c>
      <c r="E1514">
        <v>5.95</v>
      </c>
      <c r="F1514">
        <v>0.16</v>
      </c>
      <c r="G1514">
        <v>5.95</v>
      </c>
      <c r="H1514">
        <v>5.96</v>
      </c>
      <c r="I1514" t="s">
        <v>2615</v>
      </c>
      <c r="J1514">
        <v>8.17</v>
      </c>
      <c r="K1514">
        <v>8.17</v>
      </c>
      <c r="L1514">
        <v>5.71</v>
      </c>
      <c r="M1514">
        <v>5.98</v>
      </c>
      <c r="N1514">
        <v>5.65</v>
      </c>
    </row>
    <row r="1515" spans="1:14" x14ac:dyDescent="0.5">
      <c r="A1515" t="str">
        <f>"300127"</f>
        <v>300127</v>
      </c>
      <c r="B1515" t="s">
        <v>2946</v>
      </c>
      <c r="C1515">
        <v>1.1399999999999999</v>
      </c>
      <c r="D1515">
        <v>24.33</v>
      </c>
      <c r="E1515">
        <v>13.29</v>
      </c>
      <c r="F1515">
        <v>0.15</v>
      </c>
      <c r="G1515">
        <v>13.28</v>
      </c>
      <c r="H1515">
        <v>13.29</v>
      </c>
      <c r="I1515" t="s">
        <v>2947</v>
      </c>
      <c r="J1515">
        <v>3.31</v>
      </c>
      <c r="K1515">
        <v>3.31</v>
      </c>
      <c r="L1515">
        <v>12.96</v>
      </c>
      <c r="M1515">
        <v>13.66</v>
      </c>
      <c r="N1515">
        <v>12.88</v>
      </c>
    </row>
    <row r="1516" spans="1:14" x14ac:dyDescent="0.5">
      <c r="A1516" t="str">
        <f>"300128"</f>
        <v>300128</v>
      </c>
      <c r="B1516" t="s">
        <v>2948</v>
      </c>
      <c r="C1516">
        <v>10.02</v>
      </c>
      <c r="D1516">
        <v>531.72</v>
      </c>
      <c r="E1516">
        <v>5.6</v>
      </c>
      <c r="F1516">
        <v>0.51</v>
      </c>
      <c r="G1516">
        <v>5.6</v>
      </c>
      <c r="H1516" t="s">
        <v>24</v>
      </c>
      <c r="I1516" t="s">
        <v>2949</v>
      </c>
      <c r="J1516">
        <v>11.69</v>
      </c>
      <c r="K1516">
        <v>11.69</v>
      </c>
      <c r="L1516">
        <v>4.97</v>
      </c>
      <c r="M1516">
        <v>5.6</v>
      </c>
      <c r="N1516">
        <v>4.97</v>
      </c>
    </row>
    <row r="1517" spans="1:14" x14ac:dyDescent="0.5">
      <c r="A1517" t="str">
        <f>"300129"</f>
        <v>300129</v>
      </c>
      <c r="B1517" t="s">
        <v>2950</v>
      </c>
      <c r="C1517">
        <v>4</v>
      </c>
      <c r="D1517">
        <v>130.75</v>
      </c>
      <c r="E1517">
        <v>4.16</v>
      </c>
      <c r="F1517">
        <v>0.16</v>
      </c>
      <c r="G1517">
        <v>4.1500000000000004</v>
      </c>
      <c r="H1517">
        <v>4.16</v>
      </c>
      <c r="I1517" t="s">
        <v>2951</v>
      </c>
      <c r="J1517">
        <v>3.85</v>
      </c>
      <c r="K1517">
        <v>3.85</v>
      </c>
      <c r="L1517">
        <v>4.01</v>
      </c>
      <c r="M1517">
        <v>4.1900000000000004</v>
      </c>
      <c r="N1517">
        <v>3.96</v>
      </c>
    </row>
    <row r="1518" spans="1:14" x14ac:dyDescent="0.5">
      <c r="A1518" t="str">
        <f>"300130"</f>
        <v>300130</v>
      </c>
      <c r="B1518" t="s">
        <v>2952</v>
      </c>
      <c r="C1518">
        <v>-1.54</v>
      </c>
      <c r="D1518">
        <v>52.37</v>
      </c>
      <c r="E1518">
        <v>17.29</v>
      </c>
      <c r="F1518">
        <v>-0.27</v>
      </c>
      <c r="G1518">
        <v>17.29</v>
      </c>
      <c r="H1518">
        <v>17.3</v>
      </c>
      <c r="I1518" t="s">
        <v>2953</v>
      </c>
      <c r="J1518">
        <v>6.58</v>
      </c>
      <c r="K1518">
        <v>6.58</v>
      </c>
      <c r="L1518">
        <v>17.600000000000001</v>
      </c>
      <c r="M1518">
        <v>18.78</v>
      </c>
      <c r="N1518">
        <v>16.96</v>
      </c>
    </row>
    <row r="1519" spans="1:14" x14ac:dyDescent="0.5">
      <c r="A1519" t="str">
        <f>"300131"</f>
        <v>300131</v>
      </c>
      <c r="B1519" t="s">
        <v>2954</v>
      </c>
      <c r="C1519">
        <v>3.32</v>
      </c>
      <c r="D1519">
        <v>34.08</v>
      </c>
      <c r="E1519">
        <v>5.91</v>
      </c>
      <c r="F1519">
        <v>0.19</v>
      </c>
      <c r="G1519">
        <v>5.9</v>
      </c>
      <c r="H1519">
        <v>5.91</v>
      </c>
      <c r="I1519" t="s">
        <v>2955</v>
      </c>
      <c r="J1519">
        <v>6.89</v>
      </c>
      <c r="K1519">
        <v>6.89</v>
      </c>
      <c r="L1519">
        <v>5.66</v>
      </c>
      <c r="M1519">
        <v>5.92</v>
      </c>
      <c r="N1519">
        <v>5.62</v>
      </c>
    </row>
    <row r="1520" spans="1:14" x14ac:dyDescent="0.5">
      <c r="A1520" t="str">
        <f>"300132"</f>
        <v>300132</v>
      </c>
      <c r="B1520" t="s">
        <v>2956</v>
      </c>
      <c r="C1520">
        <v>1.65</v>
      </c>
      <c r="D1520">
        <v>13.45</v>
      </c>
      <c r="E1520">
        <v>14.16</v>
      </c>
      <c r="F1520">
        <v>0.23</v>
      </c>
      <c r="G1520">
        <v>14.16</v>
      </c>
      <c r="H1520">
        <v>14.17</v>
      </c>
      <c r="I1520" t="s">
        <v>2957</v>
      </c>
      <c r="J1520">
        <v>3.43</v>
      </c>
      <c r="K1520">
        <v>3.43</v>
      </c>
      <c r="L1520">
        <v>13.93</v>
      </c>
      <c r="M1520">
        <v>14.16</v>
      </c>
      <c r="N1520">
        <v>13.85</v>
      </c>
    </row>
    <row r="1521" spans="1:14" x14ac:dyDescent="0.5">
      <c r="A1521" t="str">
        <f>"300133"</f>
        <v>300133</v>
      </c>
      <c r="B1521" t="s">
        <v>2958</v>
      </c>
      <c r="C1521">
        <v>4.07</v>
      </c>
      <c r="D1521">
        <v>20.82</v>
      </c>
      <c r="E1521">
        <v>8.44</v>
      </c>
      <c r="F1521">
        <v>0.33</v>
      </c>
      <c r="G1521">
        <v>8.43</v>
      </c>
      <c r="H1521">
        <v>8.44</v>
      </c>
      <c r="I1521" t="s">
        <v>2959</v>
      </c>
      <c r="J1521">
        <v>1.45</v>
      </c>
      <c r="K1521">
        <v>1.45</v>
      </c>
      <c r="L1521">
        <v>8.02</v>
      </c>
      <c r="M1521">
        <v>8.44</v>
      </c>
      <c r="N1521">
        <v>8</v>
      </c>
    </row>
    <row r="1522" spans="1:14" x14ac:dyDescent="0.5">
      <c r="A1522" t="str">
        <f>"300134"</f>
        <v>300134</v>
      </c>
      <c r="B1522" t="s">
        <v>2960</v>
      </c>
      <c r="C1522">
        <v>4.78</v>
      </c>
      <c r="D1522" t="s">
        <v>24</v>
      </c>
      <c r="E1522">
        <v>15.14</v>
      </c>
      <c r="F1522">
        <v>0.69</v>
      </c>
      <c r="G1522">
        <v>15.14</v>
      </c>
      <c r="H1522">
        <v>15.15</v>
      </c>
      <c r="I1522" t="s">
        <v>2961</v>
      </c>
      <c r="J1522">
        <v>6.8</v>
      </c>
      <c r="K1522">
        <v>6.8</v>
      </c>
      <c r="L1522">
        <v>14.43</v>
      </c>
      <c r="M1522">
        <v>15.28</v>
      </c>
      <c r="N1522">
        <v>14.18</v>
      </c>
    </row>
    <row r="1523" spans="1:14" x14ac:dyDescent="0.5">
      <c r="A1523" t="str">
        <f>"300135"</f>
        <v>300135</v>
      </c>
      <c r="B1523" t="s">
        <v>2962</v>
      </c>
      <c r="C1523">
        <v>1.27</v>
      </c>
      <c r="D1523">
        <v>68.53</v>
      </c>
      <c r="E1523">
        <v>3.19</v>
      </c>
      <c r="F1523">
        <v>0.04</v>
      </c>
      <c r="G1523">
        <v>3.18</v>
      </c>
      <c r="H1523">
        <v>3.19</v>
      </c>
      <c r="I1523" t="s">
        <v>185</v>
      </c>
      <c r="J1523">
        <v>3.07</v>
      </c>
      <c r="K1523">
        <v>3.07</v>
      </c>
      <c r="L1523">
        <v>3.12</v>
      </c>
      <c r="M1523">
        <v>3.2</v>
      </c>
      <c r="N1523">
        <v>3.11</v>
      </c>
    </row>
    <row r="1524" spans="1:14" x14ac:dyDescent="0.5">
      <c r="A1524" t="str">
        <f>"300136"</f>
        <v>300136</v>
      </c>
      <c r="B1524" t="s">
        <v>2963</v>
      </c>
      <c r="C1524">
        <v>3.98</v>
      </c>
      <c r="D1524">
        <v>28.43</v>
      </c>
      <c r="E1524">
        <v>31.6</v>
      </c>
      <c r="F1524">
        <v>1.21</v>
      </c>
      <c r="G1524">
        <v>31.6</v>
      </c>
      <c r="H1524">
        <v>31.61</v>
      </c>
      <c r="I1524" t="s">
        <v>2964</v>
      </c>
      <c r="J1524">
        <v>8.98</v>
      </c>
      <c r="K1524">
        <v>8.98</v>
      </c>
      <c r="L1524">
        <v>30.19</v>
      </c>
      <c r="M1524">
        <v>31.6</v>
      </c>
      <c r="N1524">
        <v>29.82</v>
      </c>
    </row>
    <row r="1525" spans="1:14" x14ac:dyDescent="0.5">
      <c r="A1525" t="str">
        <f>"300137"</f>
        <v>300137</v>
      </c>
      <c r="B1525" t="s">
        <v>2965</v>
      </c>
      <c r="C1525">
        <v>0.46</v>
      </c>
      <c r="D1525">
        <v>23.56</v>
      </c>
      <c r="E1525">
        <v>10.89</v>
      </c>
      <c r="F1525">
        <v>0.05</v>
      </c>
      <c r="G1525">
        <v>10.89</v>
      </c>
      <c r="H1525">
        <v>10.9</v>
      </c>
      <c r="I1525" t="s">
        <v>2966</v>
      </c>
      <c r="J1525">
        <v>5.08</v>
      </c>
      <c r="K1525">
        <v>5.08</v>
      </c>
      <c r="L1525">
        <v>10.83</v>
      </c>
      <c r="M1525">
        <v>10.99</v>
      </c>
      <c r="N1525">
        <v>10.6</v>
      </c>
    </row>
    <row r="1526" spans="1:14" x14ac:dyDescent="0.5">
      <c r="A1526" t="str">
        <f>"300138"</f>
        <v>300138</v>
      </c>
      <c r="B1526" t="s">
        <v>2967</v>
      </c>
      <c r="C1526">
        <v>0.31</v>
      </c>
      <c r="D1526">
        <v>21.39</v>
      </c>
      <c r="E1526">
        <v>6.54</v>
      </c>
      <c r="F1526">
        <v>0.02</v>
      </c>
      <c r="G1526">
        <v>6.53</v>
      </c>
      <c r="H1526">
        <v>6.54</v>
      </c>
      <c r="I1526" t="s">
        <v>2968</v>
      </c>
      <c r="J1526">
        <v>2.0299999999999998</v>
      </c>
      <c r="K1526">
        <v>2.0299999999999998</v>
      </c>
      <c r="L1526">
        <v>6.52</v>
      </c>
      <c r="M1526">
        <v>6.54</v>
      </c>
      <c r="N1526">
        <v>6.41</v>
      </c>
    </row>
    <row r="1527" spans="1:14" x14ac:dyDescent="0.5">
      <c r="A1527" t="str">
        <f>"300139"</f>
        <v>300139</v>
      </c>
      <c r="B1527" t="s">
        <v>2969</v>
      </c>
      <c r="C1527">
        <v>6.35</v>
      </c>
      <c r="D1527" t="s">
        <v>24</v>
      </c>
      <c r="E1527">
        <v>8.8800000000000008</v>
      </c>
      <c r="F1527">
        <v>0.53</v>
      </c>
      <c r="G1527">
        <v>8.8699999999999992</v>
      </c>
      <c r="H1527">
        <v>8.8800000000000008</v>
      </c>
      <c r="I1527" t="s">
        <v>2970</v>
      </c>
      <c r="J1527">
        <v>15.37</v>
      </c>
      <c r="K1527">
        <v>15.37</v>
      </c>
      <c r="L1527">
        <v>8.26</v>
      </c>
      <c r="M1527">
        <v>8.8800000000000008</v>
      </c>
      <c r="N1527">
        <v>8.17</v>
      </c>
    </row>
    <row r="1528" spans="1:14" x14ac:dyDescent="0.5">
      <c r="A1528" t="str">
        <f>"300140"</f>
        <v>300140</v>
      </c>
      <c r="B1528" t="s">
        <v>2971</v>
      </c>
      <c r="C1528">
        <v>3.91</v>
      </c>
      <c r="D1528">
        <v>166.59</v>
      </c>
      <c r="E1528">
        <v>10.37</v>
      </c>
      <c r="F1528">
        <v>0.39</v>
      </c>
      <c r="G1528">
        <v>10.37</v>
      </c>
      <c r="H1528">
        <v>10.38</v>
      </c>
      <c r="I1528" t="s">
        <v>2189</v>
      </c>
      <c r="J1528">
        <v>6.02</v>
      </c>
      <c r="K1528">
        <v>6.02</v>
      </c>
      <c r="L1528">
        <v>9.89</v>
      </c>
      <c r="M1528">
        <v>10.37</v>
      </c>
      <c r="N1528">
        <v>9.86</v>
      </c>
    </row>
    <row r="1529" spans="1:14" x14ac:dyDescent="0.5">
      <c r="A1529" t="str">
        <f>"300141"</f>
        <v>300141</v>
      </c>
      <c r="B1529" t="s">
        <v>2972</v>
      </c>
      <c r="C1529">
        <v>1.28</v>
      </c>
      <c r="D1529" t="s">
        <v>24</v>
      </c>
      <c r="E1529">
        <v>9.5</v>
      </c>
      <c r="F1529">
        <v>0.12</v>
      </c>
      <c r="G1529">
        <v>9.49</v>
      </c>
      <c r="H1529">
        <v>9.5</v>
      </c>
      <c r="I1529" t="s">
        <v>2973</v>
      </c>
      <c r="J1529">
        <v>5.91</v>
      </c>
      <c r="K1529">
        <v>5.91</v>
      </c>
      <c r="L1529">
        <v>9.2799999999999994</v>
      </c>
      <c r="M1529">
        <v>9.51</v>
      </c>
      <c r="N1529">
        <v>9.1999999999999993</v>
      </c>
    </row>
    <row r="1530" spans="1:14" x14ac:dyDescent="0.5">
      <c r="A1530" t="str">
        <f>"300142"</f>
        <v>300142</v>
      </c>
      <c r="B1530" t="s">
        <v>2974</v>
      </c>
      <c r="C1530">
        <v>4.3600000000000003</v>
      </c>
      <c r="D1530" t="s">
        <v>24</v>
      </c>
      <c r="E1530">
        <v>22.52</v>
      </c>
      <c r="F1530">
        <v>0.94</v>
      </c>
      <c r="G1530">
        <v>22.52</v>
      </c>
      <c r="H1530">
        <v>22.53</v>
      </c>
      <c r="I1530" t="s">
        <v>2975</v>
      </c>
      <c r="J1530">
        <v>1.67</v>
      </c>
      <c r="K1530">
        <v>1.67</v>
      </c>
      <c r="L1530">
        <v>21.57</v>
      </c>
      <c r="M1530">
        <v>22.78</v>
      </c>
      <c r="N1530">
        <v>21.56</v>
      </c>
    </row>
    <row r="1531" spans="1:14" x14ac:dyDescent="0.5">
      <c r="A1531" t="str">
        <f>"300143"</f>
        <v>300143</v>
      </c>
      <c r="B1531" t="s">
        <v>2976</v>
      </c>
      <c r="C1531">
        <v>0.51</v>
      </c>
      <c r="D1531">
        <v>81.150000000000006</v>
      </c>
      <c r="E1531">
        <v>9.77</v>
      </c>
      <c r="F1531">
        <v>0.05</v>
      </c>
      <c r="G1531">
        <v>9.77</v>
      </c>
      <c r="H1531">
        <v>9.7799999999999994</v>
      </c>
      <c r="I1531" t="s">
        <v>2977</v>
      </c>
      <c r="J1531">
        <v>0.94</v>
      </c>
      <c r="K1531">
        <v>0.94</v>
      </c>
      <c r="L1531">
        <v>9.74</v>
      </c>
      <c r="M1531">
        <v>9.86</v>
      </c>
      <c r="N1531">
        <v>9.6199999999999992</v>
      </c>
    </row>
    <row r="1532" spans="1:14" x14ac:dyDescent="0.5">
      <c r="A1532" t="str">
        <f>"300144"</f>
        <v>300144</v>
      </c>
      <c r="B1532" t="s">
        <v>2978</v>
      </c>
      <c r="C1532">
        <v>0.18</v>
      </c>
      <c r="D1532">
        <v>24.32</v>
      </c>
      <c r="E1532">
        <v>22.17</v>
      </c>
      <c r="F1532">
        <v>0.04</v>
      </c>
      <c r="G1532">
        <v>22.16</v>
      </c>
      <c r="H1532">
        <v>22.17</v>
      </c>
      <c r="I1532" t="s">
        <v>2979</v>
      </c>
      <c r="J1532">
        <v>1.1200000000000001</v>
      </c>
      <c r="K1532">
        <v>1.1200000000000001</v>
      </c>
      <c r="L1532">
        <v>22.2</v>
      </c>
      <c r="M1532">
        <v>22.3</v>
      </c>
      <c r="N1532">
        <v>21.8</v>
      </c>
    </row>
    <row r="1533" spans="1:14" x14ac:dyDescent="0.5">
      <c r="A1533" t="str">
        <f>"300145"</f>
        <v>300145</v>
      </c>
      <c r="B1533" t="s">
        <v>2980</v>
      </c>
      <c r="C1533">
        <v>3.08</v>
      </c>
      <c r="D1533">
        <v>11.2</v>
      </c>
      <c r="E1533">
        <v>4.0199999999999996</v>
      </c>
      <c r="F1533">
        <v>0.12</v>
      </c>
      <c r="G1533">
        <v>4.01</v>
      </c>
      <c r="H1533">
        <v>4.0199999999999996</v>
      </c>
      <c r="I1533" t="s">
        <v>2981</v>
      </c>
      <c r="J1533">
        <v>4.0199999999999996</v>
      </c>
      <c r="K1533">
        <v>4.0199999999999996</v>
      </c>
      <c r="L1533">
        <v>3.86</v>
      </c>
      <c r="M1533">
        <v>4.0199999999999996</v>
      </c>
      <c r="N1533">
        <v>3.83</v>
      </c>
    </row>
    <row r="1534" spans="1:14" x14ac:dyDescent="0.5">
      <c r="A1534" t="str">
        <f>"300146"</f>
        <v>300146</v>
      </c>
      <c r="B1534" t="s">
        <v>2982</v>
      </c>
      <c r="C1534">
        <v>-0.33</v>
      </c>
      <c r="D1534">
        <v>31.04</v>
      </c>
      <c r="E1534">
        <v>21.31</v>
      </c>
      <c r="F1534">
        <v>-7.0000000000000007E-2</v>
      </c>
      <c r="G1534">
        <v>21.31</v>
      </c>
      <c r="H1534">
        <v>21.32</v>
      </c>
      <c r="I1534" t="s">
        <v>2983</v>
      </c>
      <c r="J1534">
        <v>1.72</v>
      </c>
      <c r="K1534">
        <v>1.72</v>
      </c>
      <c r="L1534">
        <v>21.09</v>
      </c>
      <c r="M1534">
        <v>21.39</v>
      </c>
      <c r="N1534">
        <v>20.75</v>
      </c>
    </row>
    <row r="1535" spans="1:14" x14ac:dyDescent="0.5">
      <c r="A1535" t="str">
        <f>"300147"</f>
        <v>300147</v>
      </c>
      <c r="B1535" t="s">
        <v>2984</v>
      </c>
      <c r="C1535">
        <v>2.71</v>
      </c>
      <c r="D1535">
        <v>55.3</v>
      </c>
      <c r="E1535">
        <v>7.57</v>
      </c>
      <c r="F1535">
        <v>0.2</v>
      </c>
      <c r="G1535">
        <v>7.57</v>
      </c>
      <c r="H1535">
        <v>7.58</v>
      </c>
      <c r="I1535" t="s">
        <v>2985</v>
      </c>
      <c r="J1535">
        <v>1.78</v>
      </c>
      <c r="K1535">
        <v>1.78</v>
      </c>
      <c r="L1535">
        <v>7.38</v>
      </c>
      <c r="M1535">
        <v>7.59</v>
      </c>
      <c r="N1535">
        <v>7.34</v>
      </c>
    </row>
    <row r="1536" spans="1:14" x14ac:dyDescent="0.5">
      <c r="A1536" t="str">
        <f>"300148"</f>
        <v>300148</v>
      </c>
      <c r="B1536" t="s">
        <v>2986</v>
      </c>
      <c r="C1536">
        <v>4.68</v>
      </c>
      <c r="D1536">
        <v>21.15</v>
      </c>
      <c r="E1536">
        <v>4.7</v>
      </c>
      <c r="F1536">
        <v>0.21</v>
      </c>
      <c r="G1536">
        <v>4.6900000000000004</v>
      </c>
      <c r="H1536">
        <v>4.7</v>
      </c>
      <c r="I1536" t="s">
        <v>1125</v>
      </c>
      <c r="J1536">
        <v>7.63</v>
      </c>
      <c r="K1536">
        <v>7.63</v>
      </c>
      <c r="L1536">
        <v>4.45</v>
      </c>
      <c r="M1536">
        <v>4.75</v>
      </c>
      <c r="N1536">
        <v>4.42</v>
      </c>
    </row>
    <row r="1537" spans="1:14" x14ac:dyDescent="0.5">
      <c r="A1537" t="str">
        <f>"300149"</f>
        <v>300149</v>
      </c>
      <c r="B1537" t="s">
        <v>2987</v>
      </c>
      <c r="C1537">
        <v>-0.92</v>
      </c>
      <c r="D1537">
        <v>74.06</v>
      </c>
      <c r="E1537">
        <v>18.329999999999998</v>
      </c>
      <c r="F1537">
        <v>-0.17</v>
      </c>
      <c r="G1537">
        <v>18.329999999999998</v>
      </c>
      <c r="H1537">
        <v>18.34</v>
      </c>
      <c r="I1537" t="s">
        <v>2988</v>
      </c>
      <c r="J1537">
        <v>2.72</v>
      </c>
      <c r="K1537">
        <v>2.72</v>
      </c>
      <c r="L1537">
        <v>18.36</v>
      </c>
      <c r="M1537">
        <v>18.64</v>
      </c>
      <c r="N1537">
        <v>18.05</v>
      </c>
    </row>
    <row r="1538" spans="1:14" x14ac:dyDescent="0.5">
      <c r="A1538" t="str">
        <f>"300150"</f>
        <v>300150</v>
      </c>
      <c r="B1538" t="s">
        <v>2989</v>
      </c>
      <c r="C1538">
        <v>4.88</v>
      </c>
      <c r="D1538">
        <v>18.3</v>
      </c>
      <c r="E1538">
        <v>5.37</v>
      </c>
      <c r="F1538">
        <v>0.25</v>
      </c>
      <c r="G1538">
        <v>5.36</v>
      </c>
      <c r="H1538">
        <v>5.37</v>
      </c>
      <c r="I1538" t="s">
        <v>2990</v>
      </c>
      <c r="J1538">
        <v>3</v>
      </c>
      <c r="K1538">
        <v>3</v>
      </c>
      <c r="L1538">
        <v>5.15</v>
      </c>
      <c r="M1538">
        <v>5.38</v>
      </c>
      <c r="N1538">
        <v>5.09</v>
      </c>
    </row>
    <row r="1539" spans="1:14" x14ac:dyDescent="0.5">
      <c r="A1539" t="str">
        <f>"300151"</f>
        <v>300151</v>
      </c>
      <c r="B1539" t="s">
        <v>2991</v>
      </c>
      <c r="C1539">
        <v>2.13</v>
      </c>
      <c r="D1539">
        <v>56.93</v>
      </c>
      <c r="E1539">
        <v>6.23</v>
      </c>
      <c r="F1539">
        <v>0.13</v>
      </c>
      <c r="G1539">
        <v>6.23</v>
      </c>
      <c r="H1539">
        <v>6.24</v>
      </c>
      <c r="I1539" t="s">
        <v>2992</v>
      </c>
      <c r="J1539">
        <v>2.65</v>
      </c>
      <c r="K1539">
        <v>2.65</v>
      </c>
      <c r="L1539">
        <v>6.05</v>
      </c>
      <c r="M1539">
        <v>6.23</v>
      </c>
      <c r="N1539">
        <v>6.03</v>
      </c>
    </row>
    <row r="1540" spans="1:14" x14ac:dyDescent="0.5">
      <c r="A1540" t="str">
        <f>"300152"</f>
        <v>300152</v>
      </c>
      <c r="B1540" t="s">
        <v>2993</v>
      </c>
      <c r="C1540">
        <v>5.32</v>
      </c>
      <c r="D1540" t="s">
        <v>24</v>
      </c>
      <c r="E1540">
        <v>2.97</v>
      </c>
      <c r="F1540">
        <v>0.15</v>
      </c>
      <c r="G1540">
        <v>2.97</v>
      </c>
      <c r="H1540">
        <v>2.98</v>
      </c>
      <c r="I1540" t="s">
        <v>2994</v>
      </c>
      <c r="J1540">
        <v>13.51</v>
      </c>
      <c r="K1540">
        <v>13.51</v>
      </c>
      <c r="L1540">
        <v>2.8</v>
      </c>
      <c r="M1540">
        <v>3.06</v>
      </c>
      <c r="N1540">
        <v>2.71</v>
      </c>
    </row>
    <row r="1541" spans="1:14" x14ac:dyDescent="0.5">
      <c r="A1541" t="str">
        <f>"300153"</f>
        <v>300153</v>
      </c>
      <c r="B1541" t="s">
        <v>2995</v>
      </c>
      <c r="C1541">
        <v>2.4700000000000002</v>
      </c>
      <c r="D1541">
        <v>102.83</v>
      </c>
      <c r="E1541">
        <v>8.7200000000000006</v>
      </c>
      <c r="F1541">
        <v>0.21</v>
      </c>
      <c r="G1541">
        <v>8.7200000000000006</v>
      </c>
      <c r="H1541">
        <v>8.73</v>
      </c>
      <c r="I1541" t="s">
        <v>2996</v>
      </c>
      <c r="J1541">
        <v>4.0199999999999996</v>
      </c>
      <c r="K1541">
        <v>4.0199999999999996</v>
      </c>
      <c r="L1541">
        <v>8.4700000000000006</v>
      </c>
      <c r="M1541">
        <v>8.7200000000000006</v>
      </c>
      <c r="N1541">
        <v>8.4</v>
      </c>
    </row>
    <row r="1542" spans="1:14" x14ac:dyDescent="0.5">
      <c r="A1542" t="str">
        <f>"300154"</f>
        <v>300154</v>
      </c>
      <c r="B1542" t="s">
        <v>2997</v>
      </c>
      <c r="C1542">
        <v>1.52</v>
      </c>
      <c r="D1542">
        <v>26.2</v>
      </c>
      <c r="E1542">
        <v>6.02</v>
      </c>
      <c r="F1542">
        <v>0.09</v>
      </c>
      <c r="G1542">
        <v>6.01</v>
      </c>
      <c r="H1542">
        <v>6.02</v>
      </c>
      <c r="I1542" t="s">
        <v>329</v>
      </c>
      <c r="J1542">
        <v>0.97</v>
      </c>
      <c r="K1542">
        <v>0.97</v>
      </c>
      <c r="L1542">
        <v>5.93</v>
      </c>
      <c r="M1542">
        <v>6.02</v>
      </c>
      <c r="N1542">
        <v>5.92</v>
      </c>
    </row>
    <row r="1543" spans="1:14" x14ac:dyDescent="0.5">
      <c r="A1543" t="str">
        <f>"300155"</f>
        <v>300155</v>
      </c>
      <c r="B1543" t="s">
        <v>2998</v>
      </c>
      <c r="C1543">
        <v>4.4400000000000004</v>
      </c>
      <c r="D1543">
        <v>75.87</v>
      </c>
      <c r="E1543">
        <v>5.41</v>
      </c>
      <c r="F1543">
        <v>0.23</v>
      </c>
      <c r="G1543">
        <v>5.4</v>
      </c>
      <c r="H1543">
        <v>5.41</v>
      </c>
      <c r="I1543" t="s">
        <v>2999</v>
      </c>
      <c r="J1543">
        <v>4.82</v>
      </c>
      <c r="K1543">
        <v>4.82</v>
      </c>
      <c r="L1543">
        <v>5.13</v>
      </c>
      <c r="M1543">
        <v>5.42</v>
      </c>
      <c r="N1543">
        <v>5.13</v>
      </c>
    </row>
    <row r="1544" spans="1:14" x14ac:dyDescent="0.5">
      <c r="A1544" t="str">
        <f>"300156"</f>
        <v>300156</v>
      </c>
      <c r="B1544" t="s">
        <v>3000</v>
      </c>
      <c r="C1544">
        <v>0.23</v>
      </c>
      <c r="D1544" t="s">
        <v>24</v>
      </c>
      <c r="E1544">
        <v>4.34</v>
      </c>
      <c r="F1544">
        <v>0.01</v>
      </c>
      <c r="G1544">
        <v>4.33</v>
      </c>
      <c r="H1544">
        <v>4.34</v>
      </c>
      <c r="I1544" t="s">
        <v>3001</v>
      </c>
      <c r="J1544">
        <v>10.76</v>
      </c>
      <c r="K1544">
        <v>10.76</v>
      </c>
      <c r="L1544">
        <v>4.22</v>
      </c>
      <c r="M1544">
        <v>4.34</v>
      </c>
      <c r="N1544">
        <v>4.1500000000000004</v>
      </c>
    </row>
    <row r="1545" spans="1:14" x14ac:dyDescent="0.5">
      <c r="A1545" t="str">
        <f>"300157"</f>
        <v>300157</v>
      </c>
      <c r="B1545" t="s">
        <v>3002</v>
      </c>
      <c r="C1545">
        <v>6.91</v>
      </c>
      <c r="D1545" t="s">
        <v>24</v>
      </c>
      <c r="E1545">
        <v>5.26</v>
      </c>
      <c r="F1545">
        <v>0.34</v>
      </c>
      <c r="G1545">
        <v>5.25</v>
      </c>
      <c r="H1545">
        <v>5.26</v>
      </c>
      <c r="I1545" t="s">
        <v>3003</v>
      </c>
      <c r="J1545">
        <v>6.99</v>
      </c>
      <c r="K1545">
        <v>6.99</v>
      </c>
      <c r="L1545">
        <v>4.93</v>
      </c>
      <c r="M1545">
        <v>5.28</v>
      </c>
      <c r="N1545">
        <v>4.9000000000000004</v>
      </c>
    </row>
    <row r="1546" spans="1:14" x14ac:dyDescent="0.5">
      <c r="A1546" t="str">
        <f>"300158"</f>
        <v>300158</v>
      </c>
      <c r="B1546" t="s">
        <v>3004</v>
      </c>
      <c r="C1546">
        <v>1.27</v>
      </c>
      <c r="D1546">
        <v>43.92</v>
      </c>
      <c r="E1546">
        <v>5.59</v>
      </c>
      <c r="F1546">
        <v>7.0000000000000007E-2</v>
      </c>
      <c r="G1546">
        <v>5.58</v>
      </c>
      <c r="H1546">
        <v>5.59</v>
      </c>
      <c r="I1546" t="s">
        <v>3005</v>
      </c>
      <c r="J1546">
        <v>2.3199999999999998</v>
      </c>
      <c r="K1546">
        <v>2.3199999999999998</v>
      </c>
      <c r="L1546">
        <v>5.47</v>
      </c>
      <c r="M1546">
        <v>5.74</v>
      </c>
      <c r="N1546">
        <v>5.39</v>
      </c>
    </row>
    <row r="1547" spans="1:14" x14ac:dyDescent="0.5">
      <c r="A1547" t="str">
        <f>"300159"</f>
        <v>300159</v>
      </c>
      <c r="B1547" t="s">
        <v>3006</v>
      </c>
      <c r="C1547">
        <v>4.09</v>
      </c>
      <c r="D1547">
        <v>18.190000000000001</v>
      </c>
      <c r="E1547">
        <v>6.11</v>
      </c>
      <c r="F1547">
        <v>0.24</v>
      </c>
      <c r="G1547">
        <v>6.11</v>
      </c>
      <c r="H1547">
        <v>6.12</v>
      </c>
      <c r="I1547" t="s">
        <v>3007</v>
      </c>
      <c r="J1547">
        <v>3.92</v>
      </c>
      <c r="K1547">
        <v>3.92</v>
      </c>
      <c r="L1547">
        <v>5.84</v>
      </c>
      <c r="M1547">
        <v>6.11</v>
      </c>
      <c r="N1547">
        <v>5.76</v>
      </c>
    </row>
    <row r="1548" spans="1:14" x14ac:dyDescent="0.5">
      <c r="A1548" t="str">
        <f>"300160"</f>
        <v>300160</v>
      </c>
      <c r="B1548" t="s">
        <v>3008</v>
      </c>
      <c r="C1548">
        <v>2.1</v>
      </c>
      <c r="D1548">
        <v>41.13</v>
      </c>
      <c r="E1548">
        <v>4.38</v>
      </c>
      <c r="F1548">
        <v>0.09</v>
      </c>
      <c r="G1548">
        <v>4.37</v>
      </c>
      <c r="H1548">
        <v>4.38</v>
      </c>
      <c r="I1548" t="s">
        <v>3009</v>
      </c>
      <c r="J1548">
        <v>2.58</v>
      </c>
      <c r="K1548">
        <v>2.58</v>
      </c>
      <c r="L1548">
        <v>4.22</v>
      </c>
      <c r="M1548">
        <v>4.38</v>
      </c>
      <c r="N1548">
        <v>4.22</v>
      </c>
    </row>
    <row r="1549" spans="1:14" x14ac:dyDescent="0.5">
      <c r="A1549" t="str">
        <f>"300161"</f>
        <v>300161</v>
      </c>
      <c r="B1549" t="s">
        <v>3010</v>
      </c>
      <c r="C1549">
        <v>5.98</v>
      </c>
      <c r="D1549" t="s">
        <v>24</v>
      </c>
      <c r="E1549">
        <v>14.54</v>
      </c>
      <c r="F1549">
        <v>0.82</v>
      </c>
      <c r="G1549">
        <v>14.54</v>
      </c>
      <c r="H1549">
        <v>14.55</v>
      </c>
      <c r="I1549" t="s">
        <v>3011</v>
      </c>
      <c r="J1549">
        <v>3.84</v>
      </c>
      <c r="K1549">
        <v>3.84</v>
      </c>
      <c r="L1549">
        <v>13.55</v>
      </c>
      <c r="M1549">
        <v>14.79</v>
      </c>
      <c r="N1549">
        <v>13.55</v>
      </c>
    </row>
    <row r="1550" spans="1:14" x14ac:dyDescent="0.5">
      <c r="A1550" t="str">
        <f>"300162"</f>
        <v>300162</v>
      </c>
      <c r="B1550" t="s">
        <v>3012</v>
      </c>
      <c r="C1550">
        <v>7.31</v>
      </c>
      <c r="D1550">
        <v>181.28</v>
      </c>
      <c r="E1550">
        <v>6.46</v>
      </c>
      <c r="F1550">
        <v>0.44</v>
      </c>
      <c r="G1550">
        <v>6.45</v>
      </c>
      <c r="H1550">
        <v>6.46</v>
      </c>
      <c r="I1550" t="s">
        <v>3013</v>
      </c>
      <c r="J1550">
        <v>12.29</v>
      </c>
      <c r="K1550">
        <v>12.29</v>
      </c>
      <c r="L1550">
        <v>6.25</v>
      </c>
      <c r="M1550">
        <v>6.49</v>
      </c>
      <c r="N1550">
        <v>6.04</v>
      </c>
    </row>
    <row r="1551" spans="1:14" x14ac:dyDescent="0.5">
      <c r="A1551" t="str">
        <f>"300163"</f>
        <v>300163</v>
      </c>
      <c r="B1551" t="s">
        <v>3014</v>
      </c>
      <c r="C1551">
        <v>2.78</v>
      </c>
      <c r="D1551" t="s">
        <v>24</v>
      </c>
      <c r="E1551">
        <v>4.0599999999999996</v>
      </c>
      <c r="F1551">
        <v>0.11</v>
      </c>
      <c r="G1551">
        <v>4.05</v>
      </c>
      <c r="H1551">
        <v>4.0599999999999996</v>
      </c>
      <c r="I1551" t="s">
        <v>3015</v>
      </c>
      <c r="J1551">
        <v>1.99</v>
      </c>
      <c r="K1551">
        <v>1.99</v>
      </c>
      <c r="L1551">
        <v>3.97</v>
      </c>
      <c r="M1551">
        <v>4.09</v>
      </c>
      <c r="N1551">
        <v>3.95</v>
      </c>
    </row>
    <row r="1552" spans="1:14" x14ac:dyDescent="0.5">
      <c r="A1552" t="str">
        <f>"300164"</f>
        <v>300164</v>
      </c>
      <c r="B1552" t="s">
        <v>3016</v>
      </c>
      <c r="C1552">
        <v>1.26</v>
      </c>
      <c r="D1552">
        <v>23.55</v>
      </c>
      <c r="E1552">
        <v>7.21</v>
      </c>
      <c r="F1552">
        <v>0.09</v>
      </c>
      <c r="G1552">
        <v>7.21</v>
      </c>
      <c r="H1552">
        <v>7.22</v>
      </c>
      <c r="I1552" t="s">
        <v>3017</v>
      </c>
      <c r="J1552">
        <v>5.97</v>
      </c>
      <c r="K1552">
        <v>5.97</v>
      </c>
      <c r="L1552">
        <v>7.08</v>
      </c>
      <c r="M1552">
        <v>7.23</v>
      </c>
      <c r="N1552">
        <v>7.07</v>
      </c>
    </row>
    <row r="1553" spans="1:14" x14ac:dyDescent="0.5">
      <c r="A1553" t="str">
        <f>"300165"</f>
        <v>300165</v>
      </c>
      <c r="B1553" t="s">
        <v>3018</v>
      </c>
      <c r="C1553">
        <v>3.72</v>
      </c>
      <c r="D1553">
        <v>26.1</v>
      </c>
      <c r="E1553">
        <v>5.0199999999999996</v>
      </c>
      <c r="F1553">
        <v>0.18</v>
      </c>
      <c r="G1553">
        <v>5.01</v>
      </c>
      <c r="H1553">
        <v>5.0199999999999996</v>
      </c>
      <c r="I1553" t="s">
        <v>3019</v>
      </c>
      <c r="J1553">
        <v>3.88</v>
      </c>
      <c r="K1553">
        <v>3.88</v>
      </c>
      <c r="L1553">
        <v>4.8099999999999996</v>
      </c>
      <c r="M1553">
        <v>5.03</v>
      </c>
      <c r="N1553">
        <v>4.8099999999999996</v>
      </c>
    </row>
    <row r="1554" spans="1:14" x14ac:dyDescent="0.5">
      <c r="A1554" t="str">
        <f>"300166"</f>
        <v>300166</v>
      </c>
      <c r="B1554" t="s">
        <v>3020</v>
      </c>
      <c r="C1554">
        <v>4.59</v>
      </c>
      <c r="D1554">
        <v>33.700000000000003</v>
      </c>
      <c r="E1554">
        <v>15.48</v>
      </c>
      <c r="F1554">
        <v>0.68</v>
      </c>
      <c r="G1554">
        <v>15.47</v>
      </c>
      <c r="H1554">
        <v>15.48</v>
      </c>
      <c r="I1554" t="s">
        <v>3021</v>
      </c>
      <c r="J1554">
        <v>5.3</v>
      </c>
      <c r="K1554">
        <v>5.3</v>
      </c>
      <c r="L1554">
        <v>14.82</v>
      </c>
      <c r="M1554">
        <v>15.5</v>
      </c>
      <c r="N1554">
        <v>14.49</v>
      </c>
    </row>
    <row r="1555" spans="1:14" x14ac:dyDescent="0.5">
      <c r="A1555" t="str">
        <f>"300167"</f>
        <v>300167</v>
      </c>
      <c r="B1555" t="s">
        <v>3022</v>
      </c>
      <c r="C1555">
        <v>10.050000000000001</v>
      </c>
      <c r="D1555" t="s">
        <v>24</v>
      </c>
      <c r="E1555">
        <v>6.13</v>
      </c>
      <c r="F1555">
        <v>0.56000000000000005</v>
      </c>
      <c r="G1555">
        <v>6.13</v>
      </c>
      <c r="H1555" t="s">
        <v>24</v>
      </c>
      <c r="I1555" t="s">
        <v>3023</v>
      </c>
      <c r="J1555">
        <v>7.37</v>
      </c>
      <c r="K1555">
        <v>7.37</v>
      </c>
      <c r="L1555">
        <v>5.69</v>
      </c>
      <c r="M1555">
        <v>6.13</v>
      </c>
      <c r="N1555">
        <v>5.54</v>
      </c>
    </row>
    <row r="1556" spans="1:14" x14ac:dyDescent="0.5">
      <c r="A1556" t="str">
        <f>"300168"</f>
        <v>300168</v>
      </c>
      <c r="B1556" t="s">
        <v>3024</v>
      </c>
      <c r="C1556">
        <v>3.04</v>
      </c>
      <c r="D1556">
        <v>40.29</v>
      </c>
      <c r="E1556">
        <v>14.59</v>
      </c>
      <c r="F1556">
        <v>0.43</v>
      </c>
      <c r="G1556">
        <v>14.58</v>
      </c>
      <c r="H1556">
        <v>14.59</v>
      </c>
      <c r="I1556" t="s">
        <v>3025</v>
      </c>
      <c r="J1556">
        <v>4.68</v>
      </c>
      <c r="K1556">
        <v>4.68</v>
      </c>
      <c r="L1556">
        <v>13.91</v>
      </c>
      <c r="M1556">
        <v>14.65</v>
      </c>
      <c r="N1556">
        <v>13.86</v>
      </c>
    </row>
    <row r="1557" spans="1:14" x14ac:dyDescent="0.5">
      <c r="A1557" t="str">
        <f>"300169"</f>
        <v>300169</v>
      </c>
      <c r="B1557" t="s">
        <v>3026</v>
      </c>
      <c r="C1557">
        <v>2.46</v>
      </c>
      <c r="D1557" t="s">
        <v>24</v>
      </c>
      <c r="E1557">
        <v>5.82</v>
      </c>
      <c r="F1557">
        <v>0.14000000000000001</v>
      </c>
      <c r="G1557">
        <v>5.81</v>
      </c>
      <c r="H1557">
        <v>5.82</v>
      </c>
      <c r="I1557" t="s">
        <v>3027</v>
      </c>
      <c r="J1557">
        <v>3.38</v>
      </c>
      <c r="K1557">
        <v>3.38</v>
      </c>
      <c r="L1557">
        <v>5.73</v>
      </c>
      <c r="M1557">
        <v>5.82</v>
      </c>
      <c r="N1557">
        <v>5.66</v>
      </c>
    </row>
    <row r="1558" spans="1:14" x14ac:dyDescent="0.5">
      <c r="A1558" t="str">
        <f>"300170"</f>
        <v>300170</v>
      </c>
      <c r="B1558" t="s">
        <v>3028</v>
      </c>
      <c r="C1558">
        <v>10.02</v>
      </c>
      <c r="D1558">
        <v>29.97</v>
      </c>
      <c r="E1558">
        <v>15.26</v>
      </c>
      <c r="F1558">
        <v>1.39</v>
      </c>
      <c r="G1558">
        <v>15.26</v>
      </c>
      <c r="H1558" t="s">
        <v>24</v>
      </c>
      <c r="I1558" t="s">
        <v>3029</v>
      </c>
      <c r="J1558">
        <v>0.79</v>
      </c>
      <c r="K1558">
        <v>0.79</v>
      </c>
      <c r="L1558">
        <v>15.26</v>
      </c>
      <c r="M1558">
        <v>15.26</v>
      </c>
      <c r="N1558">
        <v>15.26</v>
      </c>
    </row>
    <row r="1559" spans="1:14" x14ac:dyDescent="0.5">
      <c r="A1559" t="str">
        <f>"300171"</f>
        <v>300171</v>
      </c>
      <c r="B1559" t="s">
        <v>3030</v>
      </c>
      <c r="C1559">
        <v>10.050000000000001</v>
      </c>
      <c r="D1559">
        <v>71.61</v>
      </c>
      <c r="E1559">
        <v>10.18</v>
      </c>
      <c r="F1559">
        <v>0.93</v>
      </c>
      <c r="G1559">
        <v>10.18</v>
      </c>
      <c r="H1559" t="s">
        <v>24</v>
      </c>
      <c r="I1559" t="s">
        <v>3031</v>
      </c>
      <c r="J1559">
        <v>6.74</v>
      </c>
      <c r="K1559">
        <v>6.74</v>
      </c>
      <c r="L1559">
        <v>9.06</v>
      </c>
      <c r="M1559">
        <v>10.18</v>
      </c>
      <c r="N1559">
        <v>9.0500000000000007</v>
      </c>
    </row>
    <row r="1560" spans="1:14" x14ac:dyDescent="0.5">
      <c r="A1560" t="str">
        <f>"300172"</f>
        <v>300172</v>
      </c>
      <c r="B1560" t="s">
        <v>3032</v>
      </c>
      <c r="C1560">
        <v>0.16</v>
      </c>
      <c r="D1560">
        <v>23</v>
      </c>
      <c r="E1560">
        <v>6.24</v>
      </c>
      <c r="F1560">
        <v>0.01</v>
      </c>
      <c r="G1560">
        <v>6.23</v>
      </c>
      <c r="H1560">
        <v>6.24</v>
      </c>
      <c r="I1560" t="s">
        <v>3033</v>
      </c>
      <c r="J1560">
        <v>2.25</v>
      </c>
      <c r="K1560">
        <v>2.25</v>
      </c>
      <c r="L1560">
        <v>6.19</v>
      </c>
      <c r="M1560">
        <v>6.25</v>
      </c>
      <c r="N1560">
        <v>6.1</v>
      </c>
    </row>
    <row r="1561" spans="1:14" x14ac:dyDescent="0.5">
      <c r="A1561" t="str">
        <f>"300173"</f>
        <v>300173</v>
      </c>
      <c r="B1561" t="s">
        <v>3034</v>
      </c>
      <c r="C1561">
        <v>3.91</v>
      </c>
      <c r="D1561">
        <v>78.58</v>
      </c>
      <c r="E1561">
        <v>5.85</v>
      </c>
      <c r="F1561">
        <v>0.22</v>
      </c>
      <c r="G1561">
        <v>5.84</v>
      </c>
      <c r="H1561">
        <v>5.85</v>
      </c>
      <c r="I1561" t="s">
        <v>1040</v>
      </c>
      <c r="J1561">
        <v>11.57</v>
      </c>
      <c r="K1561">
        <v>11.57</v>
      </c>
      <c r="L1561">
        <v>5.58</v>
      </c>
      <c r="M1561">
        <v>5.9</v>
      </c>
      <c r="N1561">
        <v>5.58</v>
      </c>
    </row>
    <row r="1562" spans="1:14" x14ac:dyDescent="0.5">
      <c r="A1562" t="str">
        <f>"300174"</f>
        <v>300174</v>
      </c>
      <c r="B1562" t="s">
        <v>3035</v>
      </c>
      <c r="C1562">
        <v>4.54</v>
      </c>
      <c r="D1562">
        <v>31.49</v>
      </c>
      <c r="E1562">
        <v>13.35</v>
      </c>
      <c r="F1562">
        <v>0.57999999999999996</v>
      </c>
      <c r="G1562">
        <v>13.34</v>
      </c>
      <c r="H1562">
        <v>13.35</v>
      </c>
      <c r="I1562" t="s">
        <v>1766</v>
      </c>
      <c r="J1562">
        <v>1.99</v>
      </c>
      <c r="K1562">
        <v>1.99</v>
      </c>
      <c r="L1562">
        <v>12.74</v>
      </c>
      <c r="M1562">
        <v>13.35</v>
      </c>
      <c r="N1562">
        <v>12.63</v>
      </c>
    </row>
    <row r="1563" spans="1:14" x14ac:dyDescent="0.5">
      <c r="A1563" t="str">
        <f>"300175"</f>
        <v>300175</v>
      </c>
      <c r="B1563" t="s">
        <v>3036</v>
      </c>
      <c r="C1563">
        <v>10.09</v>
      </c>
      <c r="D1563">
        <v>71.209999999999994</v>
      </c>
      <c r="E1563">
        <v>6.22</v>
      </c>
      <c r="F1563">
        <v>0.56999999999999995</v>
      </c>
      <c r="G1563">
        <v>6.22</v>
      </c>
      <c r="H1563" t="s">
        <v>24</v>
      </c>
      <c r="I1563" t="s">
        <v>1268</v>
      </c>
      <c r="J1563">
        <v>2.0299999999999998</v>
      </c>
      <c r="K1563">
        <v>2.0299999999999998</v>
      </c>
      <c r="L1563">
        <v>6.22</v>
      </c>
      <c r="M1563">
        <v>6.22</v>
      </c>
      <c r="N1563">
        <v>6.22</v>
      </c>
    </row>
    <row r="1564" spans="1:14" x14ac:dyDescent="0.5">
      <c r="A1564" t="str">
        <f>"300176"</f>
        <v>300176</v>
      </c>
      <c r="B1564" t="s">
        <v>3037</v>
      </c>
      <c r="C1564">
        <v>7.57</v>
      </c>
      <c r="D1564">
        <v>26.06</v>
      </c>
      <c r="E1564">
        <v>47.59</v>
      </c>
      <c r="F1564">
        <v>3.35</v>
      </c>
      <c r="G1564">
        <v>47.59</v>
      </c>
      <c r="H1564">
        <v>47.6</v>
      </c>
      <c r="I1564" t="s">
        <v>3038</v>
      </c>
      <c r="J1564">
        <v>1.65</v>
      </c>
      <c r="K1564">
        <v>1.65</v>
      </c>
      <c r="L1564">
        <v>45</v>
      </c>
      <c r="M1564">
        <v>48.28</v>
      </c>
      <c r="N1564">
        <v>45</v>
      </c>
    </row>
    <row r="1565" spans="1:14" x14ac:dyDescent="0.5">
      <c r="A1565" t="str">
        <f>"300177"</f>
        <v>300177</v>
      </c>
      <c r="B1565" t="s">
        <v>3039</v>
      </c>
      <c r="C1565">
        <v>2.8</v>
      </c>
      <c r="D1565">
        <v>61.36</v>
      </c>
      <c r="E1565">
        <v>14.31</v>
      </c>
      <c r="F1565">
        <v>0.39</v>
      </c>
      <c r="G1565">
        <v>14.3</v>
      </c>
      <c r="H1565">
        <v>14.31</v>
      </c>
      <c r="I1565" t="s">
        <v>3040</v>
      </c>
      <c r="J1565">
        <v>7.08</v>
      </c>
      <c r="K1565">
        <v>7.08</v>
      </c>
      <c r="L1565">
        <v>13.85</v>
      </c>
      <c r="M1565">
        <v>14.35</v>
      </c>
      <c r="N1565">
        <v>13.71</v>
      </c>
    </row>
    <row r="1566" spans="1:14" x14ac:dyDescent="0.5">
      <c r="A1566" t="str">
        <f>"300178"</f>
        <v>300178</v>
      </c>
      <c r="B1566" t="s">
        <v>3041</v>
      </c>
      <c r="C1566">
        <v>3.2</v>
      </c>
      <c r="D1566">
        <v>16.36</v>
      </c>
      <c r="E1566">
        <v>10</v>
      </c>
      <c r="F1566">
        <v>0.31</v>
      </c>
      <c r="G1566">
        <v>9.99</v>
      </c>
      <c r="H1566">
        <v>10</v>
      </c>
      <c r="I1566" t="s">
        <v>3042</v>
      </c>
      <c r="J1566">
        <v>3.58</v>
      </c>
      <c r="K1566">
        <v>3.58</v>
      </c>
      <c r="L1566">
        <v>9.6300000000000008</v>
      </c>
      <c r="M1566">
        <v>10.01</v>
      </c>
      <c r="N1566">
        <v>9.57</v>
      </c>
    </row>
    <row r="1567" spans="1:14" x14ac:dyDescent="0.5">
      <c r="A1567" t="str">
        <f>"300179"</f>
        <v>300179</v>
      </c>
      <c r="B1567" t="s">
        <v>3043</v>
      </c>
      <c r="C1567">
        <v>2.4</v>
      </c>
      <c r="D1567">
        <v>43.33</v>
      </c>
      <c r="E1567">
        <v>4.7</v>
      </c>
      <c r="F1567">
        <v>0.11</v>
      </c>
      <c r="G1567">
        <v>4.6900000000000004</v>
      </c>
      <c r="H1567">
        <v>4.7</v>
      </c>
      <c r="I1567" t="s">
        <v>3044</v>
      </c>
      <c r="J1567">
        <v>2.85</v>
      </c>
      <c r="K1567">
        <v>2.85</v>
      </c>
      <c r="L1567">
        <v>4.5599999999999996</v>
      </c>
      <c r="M1567">
        <v>4.74</v>
      </c>
      <c r="N1567">
        <v>4.5199999999999996</v>
      </c>
    </row>
    <row r="1568" spans="1:14" x14ac:dyDescent="0.5">
      <c r="A1568" t="str">
        <f>"300180"</f>
        <v>300180</v>
      </c>
      <c r="B1568" t="s">
        <v>3045</v>
      </c>
      <c r="C1568">
        <v>-7.0000000000000007E-2</v>
      </c>
      <c r="D1568">
        <v>48.99</v>
      </c>
      <c r="E1568">
        <v>14.25</v>
      </c>
      <c r="F1568">
        <v>-0.01</v>
      </c>
      <c r="G1568">
        <v>14.25</v>
      </c>
      <c r="H1568">
        <v>14.26</v>
      </c>
      <c r="I1568" t="s">
        <v>3046</v>
      </c>
      <c r="J1568">
        <v>1.1399999999999999</v>
      </c>
      <c r="K1568">
        <v>1.1399999999999999</v>
      </c>
      <c r="L1568">
        <v>14.15</v>
      </c>
      <c r="M1568">
        <v>14.28</v>
      </c>
      <c r="N1568">
        <v>13.81</v>
      </c>
    </row>
    <row r="1569" spans="1:14" x14ac:dyDescent="0.5">
      <c r="A1569" t="str">
        <f>"300181"</f>
        <v>300181</v>
      </c>
      <c r="B1569" t="s">
        <v>3047</v>
      </c>
      <c r="C1569">
        <v>4.38</v>
      </c>
      <c r="D1569">
        <v>198.26</v>
      </c>
      <c r="E1569">
        <v>7.15</v>
      </c>
      <c r="F1569">
        <v>0.3</v>
      </c>
      <c r="G1569">
        <v>7.14</v>
      </c>
      <c r="H1569">
        <v>7.15</v>
      </c>
      <c r="I1569" t="s">
        <v>3048</v>
      </c>
      <c r="J1569">
        <v>12.57</v>
      </c>
      <c r="K1569">
        <v>12.57</v>
      </c>
      <c r="L1569">
        <v>6.7</v>
      </c>
      <c r="M1569">
        <v>7.38</v>
      </c>
      <c r="N1569">
        <v>6.63</v>
      </c>
    </row>
    <row r="1570" spans="1:14" x14ac:dyDescent="0.5">
      <c r="A1570" t="str">
        <f>"300182"</f>
        <v>300182</v>
      </c>
      <c r="B1570" t="s">
        <v>3049</v>
      </c>
      <c r="C1570">
        <v>10.09</v>
      </c>
      <c r="D1570">
        <v>11.42</v>
      </c>
      <c r="E1570">
        <v>5.89</v>
      </c>
      <c r="F1570">
        <v>0.54</v>
      </c>
      <c r="G1570">
        <v>5.89</v>
      </c>
      <c r="H1570" t="s">
        <v>24</v>
      </c>
      <c r="I1570" t="s">
        <v>3050</v>
      </c>
      <c r="J1570">
        <v>12.43</v>
      </c>
      <c r="K1570">
        <v>12.43</v>
      </c>
      <c r="L1570">
        <v>5.51</v>
      </c>
      <c r="M1570">
        <v>5.89</v>
      </c>
      <c r="N1570">
        <v>5.5</v>
      </c>
    </row>
    <row r="1571" spans="1:14" x14ac:dyDescent="0.5">
      <c r="A1571" t="str">
        <f>"300183"</f>
        <v>300183</v>
      </c>
      <c r="B1571" t="s">
        <v>3051</v>
      </c>
      <c r="C1571">
        <v>10</v>
      </c>
      <c r="D1571">
        <v>38.29</v>
      </c>
      <c r="E1571">
        <v>15.51</v>
      </c>
      <c r="F1571">
        <v>1.41</v>
      </c>
      <c r="G1571">
        <v>15.51</v>
      </c>
      <c r="H1571" t="s">
        <v>24</v>
      </c>
      <c r="I1571" t="s">
        <v>3052</v>
      </c>
      <c r="J1571">
        <v>6.71</v>
      </c>
      <c r="K1571">
        <v>6.71</v>
      </c>
      <c r="L1571">
        <v>14.16</v>
      </c>
      <c r="M1571">
        <v>15.51</v>
      </c>
      <c r="N1571">
        <v>14.08</v>
      </c>
    </row>
    <row r="1572" spans="1:14" x14ac:dyDescent="0.5">
      <c r="A1572" t="str">
        <f>"300184"</f>
        <v>300184</v>
      </c>
      <c r="B1572" t="s">
        <v>3053</v>
      </c>
      <c r="C1572">
        <v>5.18</v>
      </c>
      <c r="D1572">
        <v>18.38</v>
      </c>
      <c r="E1572">
        <v>10.77</v>
      </c>
      <c r="F1572">
        <v>0.53</v>
      </c>
      <c r="G1572">
        <v>10.76</v>
      </c>
      <c r="H1572">
        <v>10.77</v>
      </c>
      <c r="I1572" t="s">
        <v>3054</v>
      </c>
      <c r="J1572">
        <v>8.58</v>
      </c>
      <c r="K1572">
        <v>8.58</v>
      </c>
      <c r="L1572">
        <v>10.15</v>
      </c>
      <c r="M1572">
        <v>10.89</v>
      </c>
      <c r="N1572">
        <v>10.130000000000001</v>
      </c>
    </row>
    <row r="1573" spans="1:14" x14ac:dyDescent="0.5">
      <c r="A1573" t="str">
        <f>"300185"</f>
        <v>300185</v>
      </c>
      <c r="B1573" t="s">
        <v>3055</v>
      </c>
      <c r="C1573">
        <v>4.63</v>
      </c>
      <c r="D1573">
        <v>30.81</v>
      </c>
      <c r="E1573">
        <v>2.2599999999999998</v>
      </c>
      <c r="F1573">
        <v>0.1</v>
      </c>
      <c r="G1573">
        <v>2.2599999999999998</v>
      </c>
      <c r="H1573">
        <v>2.27</v>
      </c>
      <c r="I1573" t="s">
        <v>3056</v>
      </c>
      <c r="J1573">
        <v>5.91</v>
      </c>
      <c r="K1573">
        <v>5.91</v>
      </c>
      <c r="L1573">
        <v>2.14</v>
      </c>
      <c r="M1573">
        <v>2.2999999999999998</v>
      </c>
      <c r="N1573">
        <v>2.13</v>
      </c>
    </row>
    <row r="1574" spans="1:14" x14ac:dyDescent="0.5">
      <c r="A1574" t="str">
        <f>"300187"</f>
        <v>300187</v>
      </c>
      <c r="B1574" t="s">
        <v>3057</v>
      </c>
      <c r="C1574">
        <v>1.42</v>
      </c>
      <c r="D1574">
        <v>50.24</v>
      </c>
      <c r="E1574">
        <v>6.42</v>
      </c>
      <c r="F1574">
        <v>0.09</v>
      </c>
      <c r="G1574">
        <v>6.42</v>
      </c>
      <c r="H1574">
        <v>6.43</v>
      </c>
      <c r="I1574" t="s">
        <v>3058</v>
      </c>
      <c r="J1574">
        <v>2.37</v>
      </c>
      <c r="K1574">
        <v>2.37</v>
      </c>
      <c r="L1574">
        <v>6.37</v>
      </c>
      <c r="M1574">
        <v>6.49</v>
      </c>
      <c r="N1574">
        <v>6.23</v>
      </c>
    </row>
    <row r="1575" spans="1:14" x14ac:dyDescent="0.5">
      <c r="A1575" t="str">
        <f>"300188"</f>
        <v>300188</v>
      </c>
      <c r="B1575" t="s">
        <v>3059</v>
      </c>
      <c r="C1575">
        <v>3.98</v>
      </c>
      <c r="D1575">
        <v>53.06</v>
      </c>
      <c r="E1575">
        <v>17.5</v>
      </c>
      <c r="F1575">
        <v>0.67</v>
      </c>
      <c r="G1575">
        <v>17.489999999999998</v>
      </c>
      <c r="H1575">
        <v>17.5</v>
      </c>
      <c r="I1575" t="s">
        <v>3060</v>
      </c>
      <c r="J1575">
        <v>3.03</v>
      </c>
      <c r="K1575">
        <v>3.03</v>
      </c>
      <c r="L1575">
        <v>16.829999999999998</v>
      </c>
      <c r="M1575">
        <v>17.53</v>
      </c>
      <c r="N1575">
        <v>16.61</v>
      </c>
    </row>
    <row r="1576" spans="1:14" x14ac:dyDescent="0.5">
      <c r="A1576" t="str">
        <f>"300189"</f>
        <v>300189</v>
      </c>
      <c r="B1576" t="s">
        <v>3061</v>
      </c>
      <c r="C1576">
        <v>10.130000000000001</v>
      </c>
      <c r="D1576">
        <v>106.31</v>
      </c>
      <c r="E1576">
        <v>3.48</v>
      </c>
      <c r="F1576">
        <v>0.32</v>
      </c>
      <c r="G1576">
        <v>3.48</v>
      </c>
      <c r="H1576" t="s">
        <v>24</v>
      </c>
      <c r="I1576" t="s">
        <v>3062</v>
      </c>
      <c r="J1576">
        <v>4.1100000000000003</v>
      </c>
      <c r="K1576">
        <v>4.1100000000000003</v>
      </c>
      <c r="L1576">
        <v>3.14</v>
      </c>
      <c r="M1576">
        <v>3.48</v>
      </c>
      <c r="N1576">
        <v>3.12</v>
      </c>
    </row>
    <row r="1577" spans="1:14" x14ac:dyDescent="0.5">
      <c r="A1577" t="str">
        <f>"300190"</f>
        <v>300190</v>
      </c>
      <c r="B1577" t="s">
        <v>3063</v>
      </c>
      <c r="C1577">
        <v>1.21</v>
      </c>
      <c r="D1577">
        <v>24.06</v>
      </c>
      <c r="E1577">
        <v>5.85</v>
      </c>
      <c r="F1577">
        <v>7.0000000000000007E-2</v>
      </c>
      <c r="G1577">
        <v>5.85</v>
      </c>
      <c r="H1577">
        <v>5.86</v>
      </c>
      <c r="I1577" t="s">
        <v>3064</v>
      </c>
      <c r="J1577">
        <v>1.07</v>
      </c>
      <c r="K1577">
        <v>1.07</v>
      </c>
      <c r="L1577">
        <v>5.75</v>
      </c>
      <c r="M1577">
        <v>5.86</v>
      </c>
      <c r="N1577">
        <v>5.73</v>
      </c>
    </row>
    <row r="1578" spans="1:14" x14ac:dyDescent="0.5">
      <c r="A1578" t="str">
        <f>"300191"</f>
        <v>300191</v>
      </c>
      <c r="B1578" t="s">
        <v>3065</v>
      </c>
      <c r="C1578">
        <v>1.75</v>
      </c>
      <c r="D1578">
        <v>385.93</v>
      </c>
      <c r="E1578">
        <v>17.48</v>
      </c>
      <c r="F1578">
        <v>0.3</v>
      </c>
      <c r="G1578">
        <v>17.48</v>
      </c>
      <c r="H1578">
        <v>17.489999999999998</v>
      </c>
      <c r="I1578" t="s">
        <v>2005</v>
      </c>
      <c r="J1578">
        <v>2.2000000000000002</v>
      </c>
      <c r="K1578">
        <v>2.2000000000000002</v>
      </c>
      <c r="L1578">
        <v>17.18</v>
      </c>
      <c r="M1578">
        <v>17.55</v>
      </c>
      <c r="N1578">
        <v>17.079999999999998</v>
      </c>
    </row>
    <row r="1579" spans="1:14" x14ac:dyDescent="0.5">
      <c r="A1579" t="str">
        <f>"300192"</f>
        <v>300192</v>
      </c>
      <c r="B1579" t="s">
        <v>3066</v>
      </c>
      <c r="C1579">
        <v>2.5299999999999998</v>
      </c>
      <c r="D1579">
        <v>29.38</v>
      </c>
      <c r="E1579">
        <v>9.73</v>
      </c>
      <c r="F1579">
        <v>0.24</v>
      </c>
      <c r="G1579">
        <v>9.73</v>
      </c>
      <c r="H1579">
        <v>9.74</v>
      </c>
      <c r="I1579" t="s">
        <v>3067</v>
      </c>
      <c r="J1579">
        <v>3.86</v>
      </c>
      <c r="K1579">
        <v>3.86</v>
      </c>
      <c r="L1579">
        <v>9.4700000000000006</v>
      </c>
      <c r="M1579">
        <v>9.84</v>
      </c>
      <c r="N1579">
        <v>9.3800000000000008</v>
      </c>
    </row>
    <row r="1580" spans="1:14" x14ac:dyDescent="0.5">
      <c r="A1580" t="str">
        <f>"300193"</f>
        <v>300193</v>
      </c>
      <c r="B1580" t="s">
        <v>3068</v>
      </c>
      <c r="C1580">
        <v>3.08</v>
      </c>
      <c r="D1580">
        <v>21.24</v>
      </c>
      <c r="E1580">
        <v>7.7</v>
      </c>
      <c r="F1580">
        <v>0.23</v>
      </c>
      <c r="G1580">
        <v>7.69</v>
      </c>
      <c r="H1580">
        <v>7.7</v>
      </c>
      <c r="I1580" t="s">
        <v>3069</v>
      </c>
      <c r="J1580">
        <v>1.75</v>
      </c>
      <c r="K1580">
        <v>1.75</v>
      </c>
      <c r="L1580">
        <v>7.47</v>
      </c>
      <c r="M1580">
        <v>7.71</v>
      </c>
      <c r="N1580">
        <v>7.44</v>
      </c>
    </row>
    <row r="1581" spans="1:14" x14ac:dyDescent="0.5">
      <c r="A1581" t="str">
        <f>"300194"</f>
        <v>300194</v>
      </c>
      <c r="B1581" t="s">
        <v>3070</v>
      </c>
      <c r="C1581">
        <v>4.1900000000000004</v>
      </c>
      <c r="D1581">
        <v>15.27</v>
      </c>
      <c r="E1581">
        <v>3.73</v>
      </c>
      <c r="F1581">
        <v>0.15</v>
      </c>
      <c r="G1581">
        <v>3.72</v>
      </c>
      <c r="H1581">
        <v>3.73</v>
      </c>
      <c r="I1581" t="s">
        <v>3071</v>
      </c>
      <c r="J1581">
        <v>2.27</v>
      </c>
      <c r="K1581">
        <v>2.27</v>
      </c>
      <c r="L1581">
        <v>3.61</v>
      </c>
      <c r="M1581">
        <v>3.75</v>
      </c>
      <c r="N1581">
        <v>3.59</v>
      </c>
    </row>
    <row r="1582" spans="1:14" x14ac:dyDescent="0.5">
      <c r="A1582" t="str">
        <f>"300195"</f>
        <v>300195</v>
      </c>
      <c r="B1582" t="s">
        <v>3072</v>
      </c>
      <c r="C1582">
        <v>1.97</v>
      </c>
      <c r="D1582">
        <v>28.09</v>
      </c>
      <c r="E1582">
        <v>9.83</v>
      </c>
      <c r="F1582">
        <v>0.19</v>
      </c>
      <c r="G1582">
        <v>9.83</v>
      </c>
      <c r="H1582">
        <v>9.84</v>
      </c>
      <c r="I1582" t="s">
        <v>3073</v>
      </c>
      <c r="J1582">
        <v>1.93</v>
      </c>
      <c r="K1582">
        <v>1.93</v>
      </c>
      <c r="L1582">
        <v>9.61</v>
      </c>
      <c r="M1582">
        <v>9.86</v>
      </c>
      <c r="N1582">
        <v>9.57</v>
      </c>
    </row>
    <row r="1583" spans="1:14" x14ac:dyDescent="0.5">
      <c r="A1583" t="str">
        <f>"300196"</f>
        <v>300196</v>
      </c>
      <c r="B1583" t="s">
        <v>3074</v>
      </c>
      <c r="C1583">
        <v>1.78</v>
      </c>
      <c r="D1583">
        <v>18.71</v>
      </c>
      <c r="E1583">
        <v>10.3</v>
      </c>
      <c r="F1583">
        <v>0.18</v>
      </c>
      <c r="G1583">
        <v>10.29</v>
      </c>
      <c r="H1583">
        <v>10.3</v>
      </c>
      <c r="I1583" t="s">
        <v>3075</v>
      </c>
      <c r="J1583">
        <v>0.92</v>
      </c>
      <c r="K1583">
        <v>0.92</v>
      </c>
      <c r="L1583">
        <v>10.119999999999999</v>
      </c>
      <c r="M1583">
        <v>10.31</v>
      </c>
      <c r="N1583">
        <v>10.1</v>
      </c>
    </row>
    <row r="1584" spans="1:14" x14ac:dyDescent="0.5">
      <c r="A1584" t="str">
        <f>"300197"</f>
        <v>300197</v>
      </c>
      <c r="B1584" t="s">
        <v>3076</v>
      </c>
      <c r="C1584">
        <v>6.37</v>
      </c>
      <c r="D1584">
        <v>15.26</v>
      </c>
      <c r="E1584">
        <v>5.18</v>
      </c>
      <c r="F1584">
        <v>0.31</v>
      </c>
      <c r="G1584">
        <v>5.17</v>
      </c>
      <c r="H1584">
        <v>5.18</v>
      </c>
      <c r="I1584" t="s">
        <v>3077</v>
      </c>
      <c r="J1584">
        <v>9.3800000000000008</v>
      </c>
      <c r="K1584">
        <v>9.3800000000000008</v>
      </c>
      <c r="L1584">
        <v>4.82</v>
      </c>
      <c r="M1584">
        <v>5.2</v>
      </c>
      <c r="N1584">
        <v>4.7</v>
      </c>
    </row>
    <row r="1585" spans="1:14" x14ac:dyDescent="0.5">
      <c r="A1585" t="str">
        <f>"300198"</f>
        <v>300198</v>
      </c>
      <c r="B1585" t="s">
        <v>3078</v>
      </c>
      <c r="C1585">
        <v>0.81</v>
      </c>
      <c r="D1585">
        <v>83.47</v>
      </c>
      <c r="E1585">
        <v>3.75</v>
      </c>
      <c r="F1585">
        <v>0.03</v>
      </c>
      <c r="G1585">
        <v>3.74</v>
      </c>
      <c r="H1585">
        <v>3.75</v>
      </c>
      <c r="I1585" t="s">
        <v>3079</v>
      </c>
      <c r="J1585">
        <v>13.8</v>
      </c>
      <c r="K1585">
        <v>13.8</v>
      </c>
      <c r="L1585">
        <v>3.9</v>
      </c>
      <c r="M1585">
        <v>3.9</v>
      </c>
      <c r="N1585">
        <v>3.66</v>
      </c>
    </row>
    <row r="1586" spans="1:14" x14ac:dyDescent="0.5">
      <c r="A1586" t="str">
        <f>"300199"</f>
        <v>300199</v>
      </c>
      <c r="B1586" t="s">
        <v>3080</v>
      </c>
      <c r="C1586">
        <v>1.59</v>
      </c>
      <c r="D1586">
        <v>23.1</v>
      </c>
      <c r="E1586">
        <v>10.199999999999999</v>
      </c>
      <c r="F1586">
        <v>0.16</v>
      </c>
      <c r="G1586">
        <v>10.19</v>
      </c>
      <c r="H1586">
        <v>10.199999999999999</v>
      </c>
      <c r="I1586" t="s">
        <v>3081</v>
      </c>
      <c r="J1586">
        <v>3.33</v>
      </c>
      <c r="K1586">
        <v>3.33</v>
      </c>
      <c r="L1586">
        <v>9.93</v>
      </c>
      <c r="M1586">
        <v>10.199999999999999</v>
      </c>
      <c r="N1586">
        <v>9.93</v>
      </c>
    </row>
    <row r="1587" spans="1:14" x14ac:dyDescent="0.5">
      <c r="A1587" t="str">
        <f>"300200"</f>
        <v>300200</v>
      </c>
      <c r="B1587" t="s">
        <v>3082</v>
      </c>
      <c r="C1587">
        <v>1.69</v>
      </c>
      <c r="D1587">
        <v>35.549999999999997</v>
      </c>
      <c r="E1587">
        <v>8.44</v>
      </c>
      <c r="F1587">
        <v>0.14000000000000001</v>
      </c>
      <c r="G1587">
        <v>8.43</v>
      </c>
      <c r="H1587">
        <v>8.44</v>
      </c>
      <c r="I1587" t="s">
        <v>3083</v>
      </c>
      <c r="J1587">
        <v>1.3</v>
      </c>
      <c r="K1587">
        <v>1.3</v>
      </c>
      <c r="L1587">
        <v>8.27</v>
      </c>
      <c r="M1587">
        <v>8.4499999999999993</v>
      </c>
      <c r="N1587">
        <v>8.2200000000000006</v>
      </c>
    </row>
    <row r="1588" spans="1:14" x14ac:dyDescent="0.5">
      <c r="A1588" t="str">
        <f>"300201"</f>
        <v>300201</v>
      </c>
      <c r="B1588" t="s">
        <v>3084</v>
      </c>
      <c r="C1588">
        <v>3.28</v>
      </c>
      <c r="D1588">
        <v>35.86</v>
      </c>
      <c r="E1588">
        <v>5.04</v>
      </c>
      <c r="F1588">
        <v>0.16</v>
      </c>
      <c r="G1588">
        <v>5.04</v>
      </c>
      <c r="H1588">
        <v>5.05</v>
      </c>
      <c r="I1588" t="s">
        <v>3085</v>
      </c>
      <c r="J1588">
        <v>2.29</v>
      </c>
      <c r="K1588">
        <v>2.29</v>
      </c>
      <c r="L1588">
        <v>4.91</v>
      </c>
      <c r="M1588">
        <v>5.05</v>
      </c>
      <c r="N1588">
        <v>4.8600000000000003</v>
      </c>
    </row>
    <row r="1589" spans="1:14" x14ac:dyDescent="0.5">
      <c r="A1589" t="str">
        <f>"300202"</f>
        <v>300202</v>
      </c>
      <c r="B1589" t="s">
        <v>3086</v>
      </c>
      <c r="C1589">
        <v>3.94</v>
      </c>
      <c r="D1589">
        <v>83.76</v>
      </c>
      <c r="E1589">
        <v>8.17</v>
      </c>
      <c r="F1589">
        <v>0.31</v>
      </c>
      <c r="G1589">
        <v>8.16</v>
      </c>
      <c r="H1589">
        <v>8.17</v>
      </c>
      <c r="I1589" t="s">
        <v>3087</v>
      </c>
      <c r="J1589">
        <v>6.48</v>
      </c>
      <c r="K1589">
        <v>6.48</v>
      </c>
      <c r="L1589">
        <v>7.88</v>
      </c>
      <c r="M1589">
        <v>8.1999999999999993</v>
      </c>
      <c r="N1589">
        <v>7.81</v>
      </c>
    </row>
    <row r="1590" spans="1:14" x14ac:dyDescent="0.5">
      <c r="A1590" t="str">
        <f>"300203"</f>
        <v>300203</v>
      </c>
      <c r="B1590" t="s">
        <v>3088</v>
      </c>
      <c r="C1590">
        <v>2.2200000000000002</v>
      </c>
      <c r="D1590">
        <v>21.65</v>
      </c>
      <c r="E1590">
        <v>29.41</v>
      </c>
      <c r="F1590">
        <v>0.64</v>
      </c>
      <c r="G1590">
        <v>29.41</v>
      </c>
      <c r="H1590">
        <v>29.42</v>
      </c>
      <c r="I1590" t="s">
        <v>3089</v>
      </c>
      <c r="J1590">
        <v>4.79</v>
      </c>
      <c r="K1590">
        <v>4.79</v>
      </c>
      <c r="L1590">
        <v>29</v>
      </c>
      <c r="M1590">
        <v>29.84</v>
      </c>
      <c r="N1590">
        <v>28.5</v>
      </c>
    </row>
    <row r="1591" spans="1:14" x14ac:dyDescent="0.5">
      <c r="A1591" t="str">
        <f>"300204"</f>
        <v>300204</v>
      </c>
      <c r="B1591" t="s">
        <v>3090</v>
      </c>
      <c r="C1591">
        <v>-0.84</v>
      </c>
      <c r="D1591">
        <v>38.86</v>
      </c>
      <c r="E1591">
        <v>12.93</v>
      </c>
      <c r="F1591">
        <v>-0.11</v>
      </c>
      <c r="G1591">
        <v>12.92</v>
      </c>
      <c r="H1591">
        <v>12.93</v>
      </c>
      <c r="I1591" t="s">
        <v>3091</v>
      </c>
      <c r="J1591">
        <v>0.76</v>
      </c>
      <c r="K1591">
        <v>0.76</v>
      </c>
      <c r="L1591">
        <v>13.05</v>
      </c>
      <c r="M1591">
        <v>13.11</v>
      </c>
      <c r="N1591">
        <v>12.74</v>
      </c>
    </row>
    <row r="1592" spans="1:14" x14ac:dyDescent="0.5">
      <c r="A1592" t="str">
        <f>"300205"</f>
        <v>300205</v>
      </c>
      <c r="B1592" t="s">
        <v>3092</v>
      </c>
      <c r="C1592">
        <v>1.85</v>
      </c>
      <c r="D1592">
        <v>75.069999999999993</v>
      </c>
      <c r="E1592">
        <v>11.55</v>
      </c>
      <c r="F1592">
        <v>0.21</v>
      </c>
      <c r="G1592">
        <v>11.55</v>
      </c>
      <c r="H1592">
        <v>11.56</v>
      </c>
      <c r="I1592" t="s">
        <v>3093</v>
      </c>
      <c r="J1592">
        <v>2.58</v>
      </c>
      <c r="K1592">
        <v>2.58</v>
      </c>
      <c r="L1592">
        <v>11.3</v>
      </c>
      <c r="M1592">
        <v>11.63</v>
      </c>
      <c r="N1592">
        <v>11.3</v>
      </c>
    </row>
    <row r="1593" spans="1:14" x14ac:dyDescent="0.5">
      <c r="A1593" t="str">
        <f>"300206"</f>
        <v>300206</v>
      </c>
      <c r="B1593" t="s">
        <v>3094</v>
      </c>
      <c r="C1593">
        <v>2.65</v>
      </c>
      <c r="D1593">
        <v>60.3</v>
      </c>
      <c r="E1593">
        <v>6.98</v>
      </c>
      <c r="F1593">
        <v>0.18</v>
      </c>
      <c r="G1593">
        <v>6.97</v>
      </c>
      <c r="H1593">
        <v>6.98</v>
      </c>
      <c r="I1593" t="s">
        <v>3095</v>
      </c>
      <c r="J1593">
        <v>2.19</v>
      </c>
      <c r="K1593">
        <v>2.19</v>
      </c>
      <c r="L1593">
        <v>6.78</v>
      </c>
      <c r="M1593">
        <v>6.98</v>
      </c>
      <c r="N1593">
        <v>6.71</v>
      </c>
    </row>
    <row r="1594" spans="1:14" x14ac:dyDescent="0.5">
      <c r="A1594" t="str">
        <f>"300207"</f>
        <v>300207</v>
      </c>
      <c r="B1594" t="s">
        <v>3096</v>
      </c>
      <c r="C1594">
        <v>2.41</v>
      </c>
      <c r="D1594">
        <v>26.32</v>
      </c>
      <c r="E1594">
        <v>11.88</v>
      </c>
      <c r="F1594">
        <v>0.28000000000000003</v>
      </c>
      <c r="G1594">
        <v>11.88</v>
      </c>
      <c r="H1594">
        <v>11.89</v>
      </c>
      <c r="I1594" t="s">
        <v>3097</v>
      </c>
      <c r="J1594">
        <v>1.66</v>
      </c>
      <c r="K1594">
        <v>1.66</v>
      </c>
      <c r="L1594">
        <v>11.62</v>
      </c>
      <c r="M1594">
        <v>11.92</v>
      </c>
      <c r="N1594">
        <v>11.56</v>
      </c>
    </row>
    <row r="1595" spans="1:14" x14ac:dyDescent="0.5">
      <c r="A1595" t="str">
        <f>"300208"</f>
        <v>300208</v>
      </c>
      <c r="B1595" t="s">
        <v>3098</v>
      </c>
      <c r="C1595">
        <v>3.9</v>
      </c>
      <c r="D1595">
        <v>17.84</v>
      </c>
      <c r="E1595">
        <v>6.93</v>
      </c>
      <c r="F1595">
        <v>0.26</v>
      </c>
      <c r="G1595">
        <v>6.93</v>
      </c>
      <c r="H1595">
        <v>6.94</v>
      </c>
      <c r="I1595" t="s">
        <v>3099</v>
      </c>
      <c r="J1595">
        <v>2.72</v>
      </c>
      <c r="K1595">
        <v>2.72</v>
      </c>
      <c r="L1595">
        <v>6.6</v>
      </c>
      <c r="M1595">
        <v>6.97</v>
      </c>
      <c r="N1595">
        <v>6.6</v>
      </c>
    </row>
    <row r="1596" spans="1:14" x14ac:dyDescent="0.5">
      <c r="A1596" t="str">
        <f>"300209"</f>
        <v>300209</v>
      </c>
      <c r="B1596" t="s">
        <v>3100</v>
      </c>
      <c r="C1596">
        <v>4.8499999999999996</v>
      </c>
      <c r="D1596">
        <v>267.82</v>
      </c>
      <c r="E1596">
        <v>13.83</v>
      </c>
      <c r="F1596">
        <v>0.64</v>
      </c>
      <c r="G1596">
        <v>13.83</v>
      </c>
      <c r="H1596">
        <v>13.84</v>
      </c>
      <c r="I1596" t="s">
        <v>3101</v>
      </c>
      <c r="J1596">
        <v>3.04</v>
      </c>
      <c r="K1596">
        <v>3.04</v>
      </c>
      <c r="L1596">
        <v>13.15</v>
      </c>
      <c r="M1596">
        <v>13.88</v>
      </c>
      <c r="N1596">
        <v>13.1</v>
      </c>
    </row>
    <row r="1597" spans="1:14" x14ac:dyDescent="0.5">
      <c r="A1597" t="str">
        <f>"300210"</f>
        <v>300210</v>
      </c>
      <c r="B1597" t="s">
        <v>3102</v>
      </c>
      <c r="C1597">
        <v>5.41</v>
      </c>
      <c r="D1597">
        <v>79.5</v>
      </c>
      <c r="E1597">
        <v>4.87</v>
      </c>
      <c r="F1597">
        <v>0.25</v>
      </c>
      <c r="G1597">
        <v>4.8600000000000003</v>
      </c>
      <c r="H1597">
        <v>4.87</v>
      </c>
      <c r="I1597" t="s">
        <v>3103</v>
      </c>
      <c r="J1597">
        <v>4.84</v>
      </c>
      <c r="K1597">
        <v>4.84</v>
      </c>
      <c r="L1597">
        <v>4.6399999999999997</v>
      </c>
      <c r="M1597">
        <v>4.95</v>
      </c>
      <c r="N1597">
        <v>4.58</v>
      </c>
    </row>
    <row r="1598" spans="1:14" x14ac:dyDescent="0.5">
      <c r="A1598" t="str">
        <f>"300211"</f>
        <v>300211</v>
      </c>
      <c r="B1598" t="s">
        <v>3104</v>
      </c>
      <c r="C1598">
        <v>10.039999999999999</v>
      </c>
      <c r="D1598">
        <v>790.3</v>
      </c>
      <c r="E1598">
        <v>7.78</v>
      </c>
      <c r="F1598">
        <v>0.71</v>
      </c>
      <c r="G1598">
        <v>7.78</v>
      </c>
      <c r="H1598" t="s">
        <v>24</v>
      </c>
      <c r="I1598" t="s">
        <v>3105</v>
      </c>
      <c r="J1598">
        <v>17.43</v>
      </c>
      <c r="K1598">
        <v>17.43</v>
      </c>
      <c r="L1598">
        <v>6.97</v>
      </c>
      <c r="M1598">
        <v>7.78</v>
      </c>
      <c r="N1598">
        <v>6.84</v>
      </c>
    </row>
    <row r="1599" spans="1:14" x14ac:dyDescent="0.5">
      <c r="A1599" t="str">
        <f>"300212"</f>
        <v>300212</v>
      </c>
      <c r="B1599" t="s">
        <v>3106</v>
      </c>
      <c r="C1599">
        <v>1.61</v>
      </c>
      <c r="D1599">
        <v>49.99</v>
      </c>
      <c r="E1599">
        <v>27.06</v>
      </c>
      <c r="F1599">
        <v>0.43</v>
      </c>
      <c r="G1599">
        <v>27.05</v>
      </c>
      <c r="H1599">
        <v>27.06</v>
      </c>
      <c r="I1599" t="s">
        <v>3107</v>
      </c>
      <c r="J1599">
        <v>2.85</v>
      </c>
      <c r="K1599">
        <v>2.85</v>
      </c>
      <c r="L1599">
        <v>26.37</v>
      </c>
      <c r="M1599">
        <v>27.29</v>
      </c>
      <c r="N1599">
        <v>26.2</v>
      </c>
    </row>
    <row r="1600" spans="1:14" x14ac:dyDescent="0.5">
      <c r="A1600" t="str">
        <f>"300213"</f>
        <v>300213</v>
      </c>
      <c r="B1600" t="s">
        <v>3108</v>
      </c>
      <c r="C1600">
        <v>6.91</v>
      </c>
      <c r="D1600">
        <v>35.380000000000003</v>
      </c>
      <c r="E1600">
        <v>8.1999999999999993</v>
      </c>
      <c r="F1600">
        <v>0.53</v>
      </c>
      <c r="G1600">
        <v>8.1999999999999993</v>
      </c>
      <c r="H1600">
        <v>8.2100000000000009</v>
      </c>
      <c r="I1600" t="s">
        <v>3109</v>
      </c>
      <c r="J1600">
        <v>11.77</v>
      </c>
      <c r="K1600">
        <v>11.77</v>
      </c>
      <c r="L1600">
        <v>7.8</v>
      </c>
      <c r="M1600">
        <v>8.25</v>
      </c>
      <c r="N1600">
        <v>7.8</v>
      </c>
    </row>
    <row r="1601" spans="1:14" x14ac:dyDescent="0.5">
      <c r="A1601" t="str">
        <f>"300214"</f>
        <v>300214</v>
      </c>
      <c r="B1601" t="s">
        <v>3110</v>
      </c>
      <c r="C1601">
        <v>0.16</v>
      </c>
      <c r="D1601">
        <v>25.81</v>
      </c>
      <c r="E1601">
        <v>6.3</v>
      </c>
      <c r="F1601">
        <v>0.01</v>
      </c>
      <c r="G1601">
        <v>6.3</v>
      </c>
      <c r="H1601">
        <v>6.31</v>
      </c>
      <c r="I1601" t="s">
        <v>3111</v>
      </c>
      <c r="J1601">
        <v>1.08</v>
      </c>
      <c r="K1601">
        <v>1.08</v>
      </c>
      <c r="L1601">
        <v>6.29</v>
      </c>
      <c r="M1601">
        <v>6.31</v>
      </c>
      <c r="N1601">
        <v>6.23</v>
      </c>
    </row>
    <row r="1602" spans="1:14" x14ac:dyDescent="0.5">
      <c r="A1602" t="str">
        <f>"300215"</f>
        <v>300215</v>
      </c>
      <c r="B1602" t="s">
        <v>3112</v>
      </c>
      <c r="C1602">
        <v>7.62</v>
      </c>
      <c r="D1602">
        <v>38.520000000000003</v>
      </c>
      <c r="E1602">
        <v>7.06</v>
      </c>
      <c r="F1602">
        <v>0.5</v>
      </c>
      <c r="G1602">
        <v>7.06</v>
      </c>
      <c r="H1602">
        <v>7.07</v>
      </c>
      <c r="I1602" t="s">
        <v>3113</v>
      </c>
      <c r="J1602">
        <v>4.05</v>
      </c>
      <c r="K1602">
        <v>4.05</v>
      </c>
      <c r="L1602">
        <v>6.54</v>
      </c>
      <c r="M1602">
        <v>7.22</v>
      </c>
      <c r="N1602">
        <v>6.46</v>
      </c>
    </row>
    <row r="1603" spans="1:14" x14ac:dyDescent="0.5">
      <c r="A1603" t="str">
        <f>"300216"</f>
        <v>300216</v>
      </c>
      <c r="B1603" t="s">
        <v>3114</v>
      </c>
      <c r="C1603">
        <v>-0.64</v>
      </c>
      <c r="D1603" t="s">
        <v>24</v>
      </c>
      <c r="E1603">
        <v>4.66</v>
      </c>
      <c r="F1603">
        <v>-0.03</v>
      </c>
      <c r="G1603">
        <v>4.66</v>
      </c>
      <c r="H1603">
        <v>4.67</v>
      </c>
      <c r="I1603" t="s">
        <v>3115</v>
      </c>
      <c r="J1603">
        <v>17.420000000000002</v>
      </c>
      <c r="K1603">
        <v>17.420000000000002</v>
      </c>
      <c r="L1603">
        <v>4.58</v>
      </c>
      <c r="M1603">
        <v>4.74</v>
      </c>
      <c r="N1603">
        <v>4.5</v>
      </c>
    </row>
    <row r="1604" spans="1:14" x14ac:dyDescent="0.5">
      <c r="A1604" t="str">
        <f>"300217"</f>
        <v>300217</v>
      </c>
      <c r="B1604" t="s">
        <v>3116</v>
      </c>
      <c r="C1604">
        <v>3.05</v>
      </c>
      <c r="D1604">
        <v>24.32</v>
      </c>
      <c r="E1604">
        <v>3.04</v>
      </c>
      <c r="F1604">
        <v>0.09</v>
      </c>
      <c r="G1604">
        <v>3.04</v>
      </c>
      <c r="H1604">
        <v>3.05</v>
      </c>
      <c r="I1604" t="s">
        <v>3075</v>
      </c>
      <c r="J1604">
        <v>4.5199999999999996</v>
      </c>
      <c r="K1604">
        <v>4.5199999999999996</v>
      </c>
      <c r="L1604">
        <v>2.95</v>
      </c>
      <c r="M1604">
        <v>3.07</v>
      </c>
      <c r="N1604">
        <v>2.92</v>
      </c>
    </row>
    <row r="1605" spans="1:14" x14ac:dyDescent="0.5">
      <c r="A1605" t="str">
        <f>"300218"</f>
        <v>300218</v>
      </c>
      <c r="B1605" t="s">
        <v>3117</v>
      </c>
      <c r="C1605">
        <v>1.22</v>
      </c>
      <c r="D1605" t="s">
        <v>24</v>
      </c>
      <c r="E1605">
        <v>7.47</v>
      </c>
      <c r="F1605">
        <v>0.09</v>
      </c>
      <c r="G1605">
        <v>7.47</v>
      </c>
      <c r="H1605">
        <v>7.48</v>
      </c>
      <c r="I1605" t="s">
        <v>3118</v>
      </c>
      <c r="J1605">
        <v>0.62</v>
      </c>
      <c r="K1605">
        <v>0.62</v>
      </c>
      <c r="L1605">
        <v>7.38</v>
      </c>
      <c r="M1605">
        <v>7.49</v>
      </c>
      <c r="N1605">
        <v>7.31</v>
      </c>
    </row>
    <row r="1606" spans="1:14" x14ac:dyDescent="0.5">
      <c r="A1606" t="str">
        <f>"300219"</f>
        <v>300219</v>
      </c>
      <c r="B1606" t="s">
        <v>3119</v>
      </c>
      <c r="C1606">
        <v>2.85</v>
      </c>
      <c r="D1606">
        <v>12.85</v>
      </c>
      <c r="E1606">
        <v>8.31</v>
      </c>
      <c r="F1606">
        <v>0.23</v>
      </c>
      <c r="G1606">
        <v>8.31</v>
      </c>
      <c r="H1606">
        <v>8.32</v>
      </c>
      <c r="I1606" t="s">
        <v>3120</v>
      </c>
      <c r="J1606">
        <v>1.45</v>
      </c>
      <c r="K1606">
        <v>1.45</v>
      </c>
      <c r="L1606">
        <v>8.1</v>
      </c>
      <c r="M1606">
        <v>8.3699999999999992</v>
      </c>
      <c r="N1606">
        <v>8.0399999999999991</v>
      </c>
    </row>
    <row r="1607" spans="1:14" x14ac:dyDescent="0.5">
      <c r="A1607" t="str">
        <f>"300220"</f>
        <v>300220</v>
      </c>
      <c r="B1607" t="s">
        <v>3121</v>
      </c>
      <c r="C1607">
        <v>4.8</v>
      </c>
      <c r="D1607">
        <v>215.41</v>
      </c>
      <c r="E1607">
        <v>12.87</v>
      </c>
      <c r="F1607">
        <v>0.59</v>
      </c>
      <c r="G1607">
        <v>12.85</v>
      </c>
      <c r="H1607">
        <v>12.87</v>
      </c>
      <c r="I1607" t="s">
        <v>3122</v>
      </c>
      <c r="J1607">
        <v>2.0299999999999998</v>
      </c>
      <c r="K1607">
        <v>2.0299999999999998</v>
      </c>
      <c r="L1607">
        <v>12.27</v>
      </c>
      <c r="M1607">
        <v>12.94</v>
      </c>
      <c r="N1607">
        <v>12.16</v>
      </c>
    </row>
    <row r="1608" spans="1:14" x14ac:dyDescent="0.5">
      <c r="A1608" t="str">
        <f>"300221"</f>
        <v>300221</v>
      </c>
      <c r="B1608" t="s">
        <v>3123</v>
      </c>
      <c r="C1608">
        <v>10</v>
      </c>
      <c r="D1608">
        <v>36.71</v>
      </c>
      <c r="E1608">
        <v>7.7</v>
      </c>
      <c r="F1608">
        <v>0.7</v>
      </c>
      <c r="G1608">
        <v>7.7</v>
      </c>
      <c r="H1608" t="s">
        <v>24</v>
      </c>
      <c r="I1608" t="s">
        <v>3124</v>
      </c>
      <c r="J1608">
        <v>12.08</v>
      </c>
      <c r="K1608">
        <v>12.08</v>
      </c>
      <c r="L1608">
        <v>6.9</v>
      </c>
      <c r="M1608">
        <v>7.7</v>
      </c>
      <c r="N1608">
        <v>6.85</v>
      </c>
    </row>
    <row r="1609" spans="1:14" x14ac:dyDescent="0.5">
      <c r="A1609" t="str">
        <f>"300222"</f>
        <v>300222</v>
      </c>
      <c r="B1609" t="s">
        <v>3125</v>
      </c>
      <c r="C1609">
        <v>5.72</v>
      </c>
      <c r="D1609">
        <v>35.369999999999997</v>
      </c>
      <c r="E1609">
        <v>19.04</v>
      </c>
      <c r="F1609">
        <v>1.03</v>
      </c>
      <c r="G1609">
        <v>19.03</v>
      </c>
      <c r="H1609">
        <v>19.04</v>
      </c>
      <c r="I1609" t="s">
        <v>3126</v>
      </c>
      <c r="J1609">
        <v>7.15</v>
      </c>
      <c r="K1609">
        <v>7.15</v>
      </c>
      <c r="L1609">
        <v>18.39</v>
      </c>
      <c r="M1609">
        <v>19.12</v>
      </c>
      <c r="N1609">
        <v>18.21</v>
      </c>
    </row>
    <row r="1610" spans="1:14" x14ac:dyDescent="0.5">
      <c r="A1610" t="str">
        <f>"300223"</f>
        <v>300223</v>
      </c>
      <c r="B1610" t="s">
        <v>3127</v>
      </c>
      <c r="C1610">
        <v>4.83</v>
      </c>
      <c r="D1610">
        <v>252.19</v>
      </c>
      <c r="E1610">
        <v>27.15</v>
      </c>
      <c r="F1610">
        <v>1.25</v>
      </c>
      <c r="G1610">
        <v>27.15</v>
      </c>
      <c r="H1610">
        <v>27.16</v>
      </c>
      <c r="I1610" t="s">
        <v>3128</v>
      </c>
      <c r="J1610">
        <v>10.09</v>
      </c>
      <c r="K1610">
        <v>10.09</v>
      </c>
      <c r="L1610">
        <v>25.63</v>
      </c>
      <c r="M1610">
        <v>27.27</v>
      </c>
      <c r="N1610">
        <v>25.35</v>
      </c>
    </row>
    <row r="1611" spans="1:14" x14ac:dyDescent="0.5">
      <c r="A1611" t="str">
        <f>"300224"</f>
        <v>300224</v>
      </c>
      <c r="B1611" t="s">
        <v>3129</v>
      </c>
      <c r="C1611">
        <v>2.23</v>
      </c>
      <c r="D1611">
        <v>37.630000000000003</v>
      </c>
      <c r="E1611">
        <v>7.32</v>
      </c>
      <c r="F1611">
        <v>0.16</v>
      </c>
      <c r="G1611">
        <v>7.32</v>
      </c>
      <c r="H1611">
        <v>7.33</v>
      </c>
      <c r="I1611" t="s">
        <v>3130</v>
      </c>
      <c r="J1611">
        <v>0.77</v>
      </c>
      <c r="K1611">
        <v>0.77</v>
      </c>
      <c r="L1611">
        <v>7.2</v>
      </c>
      <c r="M1611">
        <v>7.35</v>
      </c>
      <c r="N1611">
        <v>7.13</v>
      </c>
    </row>
    <row r="1612" spans="1:14" x14ac:dyDescent="0.5">
      <c r="A1612" t="str">
        <f>"300225"</f>
        <v>300225</v>
      </c>
      <c r="B1612" t="s">
        <v>3131</v>
      </c>
      <c r="C1612">
        <v>3.63</v>
      </c>
      <c r="D1612">
        <v>147.08000000000001</v>
      </c>
      <c r="E1612">
        <v>5.99</v>
      </c>
      <c r="F1612">
        <v>0.21</v>
      </c>
      <c r="G1612">
        <v>5.98</v>
      </c>
      <c r="H1612">
        <v>5.99</v>
      </c>
      <c r="I1612" t="s">
        <v>3079</v>
      </c>
      <c r="J1612">
        <v>7.51</v>
      </c>
      <c r="K1612">
        <v>7.51</v>
      </c>
      <c r="L1612">
        <v>5.75</v>
      </c>
      <c r="M1612">
        <v>6.04</v>
      </c>
      <c r="N1612">
        <v>5.7</v>
      </c>
    </row>
    <row r="1613" spans="1:14" x14ac:dyDescent="0.5">
      <c r="A1613" t="str">
        <f>"300226"</f>
        <v>300226</v>
      </c>
      <c r="B1613" t="s">
        <v>3132</v>
      </c>
      <c r="C1613">
        <v>3.4</v>
      </c>
      <c r="D1613">
        <v>112.96</v>
      </c>
      <c r="E1613">
        <v>80.650000000000006</v>
      </c>
      <c r="F1613">
        <v>2.65</v>
      </c>
      <c r="G1613">
        <v>80.61</v>
      </c>
      <c r="H1613">
        <v>80.650000000000006</v>
      </c>
      <c r="I1613" t="s">
        <v>3133</v>
      </c>
      <c r="J1613">
        <v>3.61</v>
      </c>
      <c r="K1613">
        <v>3.61</v>
      </c>
      <c r="L1613">
        <v>77.069999999999993</v>
      </c>
      <c r="M1613">
        <v>81.819999999999993</v>
      </c>
      <c r="N1613">
        <v>75</v>
      </c>
    </row>
    <row r="1614" spans="1:14" x14ac:dyDescent="0.5">
      <c r="A1614" t="str">
        <f>"300227"</f>
        <v>300227</v>
      </c>
      <c r="B1614" t="s">
        <v>3134</v>
      </c>
      <c r="C1614">
        <v>9.0500000000000007</v>
      </c>
      <c r="D1614">
        <v>37.35</v>
      </c>
      <c r="E1614">
        <v>14.46</v>
      </c>
      <c r="F1614">
        <v>1.2</v>
      </c>
      <c r="G1614">
        <v>14.46</v>
      </c>
      <c r="H1614">
        <v>14.47</v>
      </c>
      <c r="I1614" t="s">
        <v>3135</v>
      </c>
      <c r="J1614">
        <v>8.5299999999999994</v>
      </c>
      <c r="K1614">
        <v>8.5299999999999994</v>
      </c>
      <c r="L1614">
        <v>13.48</v>
      </c>
      <c r="M1614">
        <v>14.59</v>
      </c>
      <c r="N1614">
        <v>13.16</v>
      </c>
    </row>
    <row r="1615" spans="1:14" x14ac:dyDescent="0.5">
      <c r="A1615" t="str">
        <f>"300228"</f>
        <v>300228</v>
      </c>
      <c r="B1615" t="s">
        <v>3136</v>
      </c>
      <c r="C1615">
        <v>4.2699999999999996</v>
      </c>
      <c r="D1615" t="s">
        <v>24</v>
      </c>
      <c r="E1615">
        <v>6.6</v>
      </c>
      <c r="F1615">
        <v>0.27</v>
      </c>
      <c r="G1615">
        <v>6.59</v>
      </c>
      <c r="H1615">
        <v>6.6</v>
      </c>
      <c r="I1615" t="s">
        <v>3137</v>
      </c>
      <c r="J1615">
        <v>9.58</v>
      </c>
      <c r="K1615">
        <v>9.58</v>
      </c>
      <c r="L1615">
        <v>6.26</v>
      </c>
      <c r="M1615">
        <v>6.67</v>
      </c>
      <c r="N1615">
        <v>6.23</v>
      </c>
    </row>
    <row r="1616" spans="1:14" x14ac:dyDescent="0.5">
      <c r="A1616" t="str">
        <f>"300229"</f>
        <v>300229</v>
      </c>
      <c r="B1616" t="s">
        <v>3138</v>
      </c>
      <c r="C1616">
        <v>9.9600000000000009</v>
      </c>
      <c r="D1616">
        <v>35.01</v>
      </c>
      <c r="E1616">
        <v>11.48</v>
      </c>
      <c r="F1616">
        <v>1.04</v>
      </c>
      <c r="G1616">
        <v>11.48</v>
      </c>
      <c r="H1616" t="s">
        <v>24</v>
      </c>
      <c r="I1616" t="s">
        <v>3139</v>
      </c>
      <c r="J1616">
        <v>5.34</v>
      </c>
      <c r="K1616">
        <v>5.34</v>
      </c>
      <c r="L1616">
        <v>10.4</v>
      </c>
      <c r="M1616">
        <v>11.48</v>
      </c>
      <c r="N1616">
        <v>10.32</v>
      </c>
    </row>
    <row r="1617" spans="1:14" x14ac:dyDescent="0.5">
      <c r="A1617" t="str">
        <f>"300230"</f>
        <v>300230</v>
      </c>
      <c r="B1617" t="s">
        <v>3140</v>
      </c>
      <c r="C1617">
        <v>3.04</v>
      </c>
      <c r="D1617">
        <v>10.7</v>
      </c>
      <c r="E1617">
        <v>5.77</v>
      </c>
      <c r="F1617">
        <v>0.17</v>
      </c>
      <c r="G1617">
        <v>5.76</v>
      </c>
      <c r="H1617">
        <v>5.77</v>
      </c>
      <c r="I1617" t="s">
        <v>3141</v>
      </c>
      <c r="J1617">
        <v>4.05</v>
      </c>
      <c r="K1617">
        <v>4.05</v>
      </c>
      <c r="L1617">
        <v>5.58</v>
      </c>
      <c r="M1617">
        <v>5.77</v>
      </c>
      <c r="N1617">
        <v>5.57</v>
      </c>
    </row>
    <row r="1618" spans="1:14" x14ac:dyDescent="0.5">
      <c r="A1618" t="str">
        <f>"300231"</f>
        <v>300231</v>
      </c>
      <c r="B1618" t="s">
        <v>3142</v>
      </c>
      <c r="C1618">
        <v>4.9000000000000004</v>
      </c>
      <c r="D1618">
        <v>26.33</v>
      </c>
      <c r="E1618">
        <v>8.35</v>
      </c>
      <c r="F1618">
        <v>0.39</v>
      </c>
      <c r="G1618">
        <v>8.34</v>
      </c>
      <c r="H1618">
        <v>8.35</v>
      </c>
      <c r="I1618" t="s">
        <v>3143</v>
      </c>
      <c r="J1618">
        <v>7.14</v>
      </c>
      <c r="K1618">
        <v>7.14</v>
      </c>
      <c r="L1618">
        <v>7.95</v>
      </c>
      <c r="M1618">
        <v>8.35</v>
      </c>
      <c r="N1618">
        <v>7.89</v>
      </c>
    </row>
    <row r="1619" spans="1:14" x14ac:dyDescent="0.5">
      <c r="A1619" t="str">
        <f>"300232"</f>
        <v>300232</v>
      </c>
      <c r="B1619" t="s">
        <v>3144</v>
      </c>
      <c r="C1619">
        <v>1.38</v>
      </c>
      <c r="D1619">
        <v>24.81</v>
      </c>
      <c r="E1619">
        <v>13.22</v>
      </c>
      <c r="F1619">
        <v>0.18</v>
      </c>
      <c r="G1619">
        <v>13.22</v>
      </c>
      <c r="H1619">
        <v>13.23</v>
      </c>
      <c r="I1619" t="s">
        <v>3145</v>
      </c>
      <c r="J1619">
        <v>1.9</v>
      </c>
      <c r="K1619">
        <v>1.9</v>
      </c>
      <c r="L1619">
        <v>13</v>
      </c>
      <c r="M1619">
        <v>13.22</v>
      </c>
      <c r="N1619">
        <v>12.85</v>
      </c>
    </row>
    <row r="1620" spans="1:14" x14ac:dyDescent="0.5">
      <c r="A1620" t="str">
        <f>"300233"</f>
        <v>300233</v>
      </c>
      <c r="B1620" t="s">
        <v>3146</v>
      </c>
      <c r="C1620">
        <v>2.0499999999999998</v>
      </c>
      <c r="D1620">
        <v>18.34</v>
      </c>
      <c r="E1620">
        <v>16.41</v>
      </c>
      <c r="F1620">
        <v>0.33</v>
      </c>
      <c r="G1620">
        <v>16.41</v>
      </c>
      <c r="H1620">
        <v>16.420000000000002</v>
      </c>
      <c r="I1620" t="s">
        <v>3147</v>
      </c>
      <c r="J1620">
        <v>0.59</v>
      </c>
      <c r="K1620">
        <v>0.59</v>
      </c>
      <c r="L1620">
        <v>16.100000000000001</v>
      </c>
      <c r="M1620">
        <v>17</v>
      </c>
      <c r="N1620">
        <v>16</v>
      </c>
    </row>
    <row r="1621" spans="1:14" x14ac:dyDescent="0.5">
      <c r="A1621" t="str">
        <f>"300234"</f>
        <v>300234</v>
      </c>
      <c r="B1621" t="s">
        <v>3148</v>
      </c>
      <c r="C1621">
        <v>1.67</v>
      </c>
      <c r="D1621" t="s">
        <v>24</v>
      </c>
      <c r="E1621">
        <v>6.68</v>
      </c>
      <c r="F1621">
        <v>0.11</v>
      </c>
      <c r="G1621">
        <v>6.68</v>
      </c>
      <c r="H1621">
        <v>6.69</v>
      </c>
      <c r="I1621" t="s">
        <v>3149</v>
      </c>
      <c r="J1621">
        <v>2.35</v>
      </c>
      <c r="K1621">
        <v>2.35</v>
      </c>
      <c r="L1621">
        <v>6.61</v>
      </c>
      <c r="M1621">
        <v>6.68</v>
      </c>
      <c r="N1621">
        <v>6.54</v>
      </c>
    </row>
    <row r="1622" spans="1:14" x14ac:dyDescent="0.5">
      <c r="A1622" t="str">
        <f>"300235"</f>
        <v>300235</v>
      </c>
      <c r="B1622" t="s">
        <v>3150</v>
      </c>
      <c r="C1622">
        <v>4.4000000000000004</v>
      </c>
      <c r="D1622">
        <v>89.33</v>
      </c>
      <c r="E1622">
        <v>10.199999999999999</v>
      </c>
      <c r="F1622">
        <v>0.43</v>
      </c>
      <c r="G1622">
        <v>10.199999999999999</v>
      </c>
      <c r="H1622">
        <v>10.210000000000001</v>
      </c>
      <c r="I1622" t="s">
        <v>3151</v>
      </c>
      <c r="J1622">
        <v>6.09</v>
      </c>
      <c r="K1622">
        <v>6.09</v>
      </c>
      <c r="L1622">
        <v>9.68</v>
      </c>
      <c r="M1622">
        <v>10.23</v>
      </c>
      <c r="N1622">
        <v>9.67</v>
      </c>
    </row>
    <row r="1623" spans="1:14" x14ac:dyDescent="0.5">
      <c r="A1623" t="str">
        <f>"300236"</f>
        <v>300236</v>
      </c>
      <c r="B1623" t="s">
        <v>3152</v>
      </c>
      <c r="C1623">
        <v>8.6</v>
      </c>
      <c r="D1623">
        <v>450.67</v>
      </c>
      <c r="E1623">
        <v>32.590000000000003</v>
      </c>
      <c r="F1623">
        <v>2.58</v>
      </c>
      <c r="G1623">
        <v>32.590000000000003</v>
      </c>
      <c r="H1623">
        <v>32.6</v>
      </c>
      <c r="I1623" t="s">
        <v>3153</v>
      </c>
      <c r="J1623">
        <v>8.1199999999999992</v>
      </c>
      <c r="K1623">
        <v>8.1199999999999992</v>
      </c>
      <c r="L1623">
        <v>29.57</v>
      </c>
      <c r="M1623">
        <v>32.83</v>
      </c>
      <c r="N1623">
        <v>29.55</v>
      </c>
    </row>
    <row r="1624" spans="1:14" x14ac:dyDescent="0.5">
      <c r="A1624" t="str">
        <f>"300237"</f>
        <v>300237</v>
      </c>
      <c r="B1624" t="s">
        <v>3154</v>
      </c>
      <c r="C1624">
        <v>3.7</v>
      </c>
      <c r="D1624">
        <v>10.48</v>
      </c>
      <c r="E1624">
        <v>4.76</v>
      </c>
      <c r="F1624">
        <v>0.17</v>
      </c>
      <c r="G1624">
        <v>4.75</v>
      </c>
      <c r="H1624">
        <v>4.76</v>
      </c>
      <c r="I1624" t="s">
        <v>3155</v>
      </c>
      <c r="J1624">
        <v>3.6</v>
      </c>
      <c r="K1624">
        <v>3.6</v>
      </c>
      <c r="L1624">
        <v>4.59</v>
      </c>
      <c r="M1624">
        <v>4.83</v>
      </c>
      <c r="N1624">
        <v>4.51</v>
      </c>
    </row>
    <row r="1625" spans="1:14" x14ac:dyDescent="0.5">
      <c r="A1625" t="str">
        <f>"300238"</f>
        <v>300238</v>
      </c>
      <c r="B1625" t="s">
        <v>3156</v>
      </c>
      <c r="C1625">
        <v>-0.35</v>
      </c>
      <c r="D1625">
        <v>63.27</v>
      </c>
      <c r="E1625">
        <v>14.34</v>
      </c>
      <c r="F1625">
        <v>-0.05</v>
      </c>
      <c r="G1625">
        <v>14.33</v>
      </c>
      <c r="H1625">
        <v>14.34</v>
      </c>
      <c r="I1625" t="s">
        <v>3157</v>
      </c>
      <c r="J1625">
        <v>5.63</v>
      </c>
      <c r="K1625">
        <v>5.63</v>
      </c>
      <c r="L1625">
        <v>14.1</v>
      </c>
      <c r="M1625">
        <v>14.5</v>
      </c>
      <c r="N1625">
        <v>13.95</v>
      </c>
    </row>
    <row r="1626" spans="1:14" x14ac:dyDescent="0.5">
      <c r="A1626" t="str">
        <f>"300239"</f>
        <v>300239</v>
      </c>
      <c r="B1626" t="s">
        <v>3158</v>
      </c>
      <c r="C1626">
        <v>1.98</v>
      </c>
      <c r="D1626">
        <v>70.33</v>
      </c>
      <c r="E1626">
        <v>4.63</v>
      </c>
      <c r="F1626">
        <v>0.09</v>
      </c>
      <c r="G1626">
        <v>4.63</v>
      </c>
      <c r="H1626">
        <v>4.6399999999999997</v>
      </c>
      <c r="I1626" t="s">
        <v>1341</v>
      </c>
      <c r="J1626">
        <v>1.24</v>
      </c>
      <c r="K1626">
        <v>1.24</v>
      </c>
      <c r="L1626">
        <v>4.54</v>
      </c>
      <c r="M1626">
        <v>4.63</v>
      </c>
      <c r="N1626">
        <v>4.5</v>
      </c>
    </row>
    <row r="1627" spans="1:14" x14ac:dyDescent="0.5">
      <c r="A1627" t="str">
        <f>"300240"</f>
        <v>300240</v>
      </c>
      <c r="B1627" t="s">
        <v>3159</v>
      </c>
      <c r="C1627">
        <v>3.6</v>
      </c>
      <c r="D1627">
        <v>60.29</v>
      </c>
      <c r="E1627">
        <v>8.0500000000000007</v>
      </c>
      <c r="F1627">
        <v>0.28000000000000003</v>
      </c>
      <c r="G1627">
        <v>8.0399999999999991</v>
      </c>
      <c r="H1627">
        <v>8.0500000000000007</v>
      </c>
      <c r="I1627" t="s">
        <v>3160</v>
      </c>
      <c r="J1627">
        <v>2.4700000000000002</v>
      </c>
      <c r="K1627">
        <v>2.4700000000000002</v>
      </c>
      <c r="L1627">
        <v>7.72</v>
      </c>
      <c r="M1627">
        <v>8.0500000000000007</v>
      </c>
      <c r="N1627">
        <v>7.72</v>
      </c>
    </row>
    <row r="1628" spans="1:14" x14ac:dyDescent="0.5">
      <c r="A1628" t="str">
        <f>"300241"</f>
        <v>300241</v>
      </c>
      <c r="B1628" t="s">
        <v>3161</v>
      </c>
      <c r="C1628">
        <v>5.75</v>
      </c>
      <c r="D1628">
        <v>19.86</v>
      </c>
      <c r="E1628">
        <v>5.7</v>
      </c>
      <c r="F1628">
        <v>0.31</v>
      </c>
      <c r="G1628">
        <v>5.69</v>
      </c>
      <c r="H1628">
        <v>5.7</v>
      </c>
      <c r="I1628" t="s">
        <v>950</v>
      </c>
      <c r="J1628">
        <v>7.4</v>
      </c>
      <c r="K1628">
        <v>7.4</v>
      </c>
      <c r="L1628">
        <v>5.39</v>
      </c>
      <c r="M1628">
        <v>5.73</v>
      </c>
      <c r="N1628">
        <v>5.39</v>
      </c>
    </row>
    <row r="1629" spans="1:14" x14ac:dyDescent="0.5">
      <c r="A1629" t="str">
        <f>"300242"</f>
        <v>300242</v>
      </c>
      <c r="B1629" t="s">
        <v>3162</v>
      </c>
      <c r="C1629">
        <v>10.06</v>
      </c>
      <c r="D1629">
        <v>39.42</v>
      </c>
      <c r="E1629">
        <v>5.14</v>
      </c>
      <c r="F1629">
        <v>0.47</v>
      </c>
      <c r="G1629">
        <v>5.14</v>
      </c>
      <c r="H1629" t="s">
        <v>24</v>
      </c>
      <c r="I1629" t="s">
        <v>3163</v>
      </c>
      <c r="J1629">
        <v>7.2</v>
      </c>
      <c r="K1629">
        <v>7.2</v>
      </c>
      <c r="L1629">
        <v>4.63</v>
      </c>
      <c r="M1629">
        <v>5.14</v>
      </c>
      <c r="N1629">
        <v>4.55</v>
      </c>
    </row>
    <row r="1630" spans="1:14" x14ac:dyDescent="0.5">
      <c r="A1630" t="str">
        <f>"300243"</f>
        <v>300243</v>
      </c>
      <c r="B1630" t="s">
        <v>3164</v>
      </c>
      <c r="C1630">
        <v>1.97</v>
      </c>
      <c r="D1630">
        <v>22.86</v>
      </c>
      <c r="E1630">
        <v>9.83</v>
      </c>
      <c r="F1630">
        <v>0.19</v>
      </c>
      <c r="G1630">
        <v>9.82</v>
      </c>
      <c r="H1630">
        <v>9.83</v>
      </c>
      <c r="I1630" t="s">
        <v>3165</v>
      </c>
      <c r="J1630">
        <v>1.54</v>
      </c>
      <c r="K1630">
        <v>1.54</v>
      </c>
      <c r="L1630">
        <v>9.6199999999999992</v>
      </c>
      <c r="M1630">
        <v>9.84</v>
      </c>
      <c r="N1630">
        <v>9.6</v>
      </c>
    </row>
    <row r="1631" spans="1:14" x14ac:dyDescent="0.5">
      <c r="A1631" t="str">
        <f>"300244"</f>
        <v>300244</v>
      </c>
      <c r="B1631" t="s">
        <v>3166</v>
      </c>
      <c r="C1631">
        <v>6.91</v>
      </c>
      <c r="D1631">
        <v>29.26</v>
      </c>
      <c r="E1631">
        <v>19.8</v>
      </c>
      <c r="F1631">
        <v>1.28</v>
      </c>
      <c r="G1631">
        <v>19.8</v>
      </c>
      <c r="H1631">
        <v>19.809999999999999</v>
      </c>
      <c r="I1631" t="s">
        <v>3167</v>
      </c>
      <c r="J1631">
        <v>3.03</v>
      </c>
      <c r="K1631">
        <v>3.03</v>
      </c>
      <c r="L1631">
        <v>18.64</v>
      </c>
      <c r="M1631">
        <v>19.88</v>
      </c>
      <c r="N1631">
        <v>18.48</v>
      </c>
    </row>
    <row r="1632" spans="1:14" x14ac:dyDescent="0.5">
      <c r="A1632" t="str">
        <f>"300245"</f>
        <v>300245</v>
      </c>
      <c r="B1632" t="s">
        <v>3168</v>
      </c>
      <c r="C1632">
        <v>9.0299999999999994</v>
      </c>
      <c r="D1632">
        <v>59.13</v>
      </c>
      <c r="E1632">
        <v>11.23</v>
      </c>
      <c r="F1632">
        <v>0.93</v>
      </c>
      <c r="G1632">
        <v>11.22</v>
      </c>
      <c r="H1632">
        <v>11.23</v>
      </c>
      <c r="I1632" t="s">
        <v>1568</v>
      </c>
      <c r="J1632">
        <v>5.46</v>
      </c>
      <c r="K1632">
        <v>5.46</v>
      </c>
      <c r="L1632">
        <v>10.3</v>
      </c>
      <c r="M1632">
        <v>11.33</v>
      </c>
      <c r="N1632">
        <v>10.25</v>
      </c>
    </row>
    <row r="1633" spans="1:14" x14ac:dyDescent="0.5">
      <c r="A1633" t="str">
        <f>"300246"</f>
        <v>300246</v>
      </c>
      <c r="B1633" t="s">
        <v>3169</v>
      </c>
      <c r="C1633">
        <v>1.1599999999999999</v>
      </c>
      <c r="D1633">
        <v>39.14</v>
      </c>
      <c r="E1633">
        <v>13.95</v>
      </c>
      <c r="F1633">
        <v>0.16</v>
      </c>
      <c r="G1633">
        <v>13.94</v>
      </c>
      <c r="H1633">
        <v>13.95</v>
      </c>
      <c r="I1633" t="s">
        <v>3170</v>
      </c>
      <c r="J1633">
        <v>2.82</v>
      </c>
      <c r="K1633">
        <v>2.82</v>
      </c>
      <c r="L1633">
        <v>13.71</v>
      </c>
      <c r="M1633">
        <v>13.95</v>
      </c>
      <c r="N1633">
        <v>13.65</v>
      </c>
    </row>
    <row r="1634" spans="1:14" x14ac:dyDescent="0.5">
      <c r="A1634" t="str">
        <f>"300247"</f>
        <v>300247</v>
      </c>
      <c r="B1634" t="s">
        <v>3171</v>
      </c>
      <c r="C1634">
        <v>5.94</v>
      </c>
      <c r="D1634">
        <v>47.89</v>
      </c>
      <c r="E1634">
        <v>4.0999999999999996</v>
      </c>
      <c r="F1634">
        <v>0.23</v>
      </c>
      <c r="G1634">
        <v>4.0999999999999996</v>
      </c>
      <c r="H1634">
        <v>4.1100000000000003</v>
      </c>
      <c r="I1634" t="s">
        <v>3172</v>
      </c>
      <c r="J1634">
        <v>9.26</v>
      </c>
      <c r="K1634">
        <v>9.26</v>
      </c>
      <c r="L1634">
        <v>3.84</v>
      </c>
      <c r="M1634">
        <v>4.26</v>
      </c>
      <c r="N1634">
        <v>3.81</v>
      </c>
    </row>
    <row r="1635" spans="1:14" x14ac:dyDescent="0.5">
      <c r="A1635" t="str">
        <f>"300248"</f>
        <v>300248</v>
      </c>
      <c r="B1635" t="s">
        <v>3173</v>
      </c>
      <c r="C1635">
        <v>3.12</v>
      </c>
      <c r="D1635">
        <v>42.83</v>
      </c>
      <c r="E1635">
        <v>8.6</v>
      </c>
      <c r="F1635">
        <v>0.26</v>
      </c>
      <c r="G1635">
        <v>8.6</v>
      </c>
      <c r="H1635">
        <v>8.61</v>
      </c>
      <c r="I1635" t="s">
        <v>3174</v>
      </c>
      <c r="J1635">
        <v>2.8</v>
      </c>
      <c r="K1635">
        <v>2.8</v>
      </c>
      <c r="L1635">
        <v>8.2899999999999991</v>
      </c>
      <c r="M1635">
        <v>8.6</v>
      </c>
      <c r="N1635">
        <v>8.25</v>
      </c>
    </row>
    <row r="1636" spans="1:14" x14ac:dyDescent="0.5">
      <c r="A1636" t="str">
        <f>"300249"</f>
        <v>300249</v>
      </c>
      <c r="B1636" t="s">
        <v>3175</v>
      </c>
      <c r="C1636">
        <v>10.039999999999999</v>
      </c>
      <c r="D1636">
        <v>24.97</v>
      </c>
      <c r="E1636">
        <v>7.78</v>
      </c>
      <c r="F1636">
        <v>0.71</v>
      </c>
      <c r="G1636">
        <v>7.78</v>
      </c>
      <c r="H1636" t="s">
        <v>24</v>
      </c>
      <c r="I1636" t="s">
        <v>3176</v>
      </c>
      <c r="J1636">
        <v>5.01</v>
      </c>
      <c r="K1636">
        <v>5.01</v>
      </c>
      <c r="L1636">
        <v>7.68</v>
      </c>
      <c r="M1636">
        <v>7.78</v>
      </c>
      <c r="N1636">
        <v>7.5</v>
      </c>
    </row>
    <row r="1637" spans="1:14" x14ac:dyDescent="0.5">
      <c r="A1637" t="str">
        <f>"300250"</f>
        <v>300250</v>
      </c>
      <c r="B1637" t="s">
        <v>3177</v>
      </c>
      <c r="C1637">
        <v>10.01</v>
      </c>
      <c r="D1637">
        <v>40.909999999999997</v>
      </c>
      <c r="E1637">
        <v>16.920000000000002</v>
      </c>
      <c r="F1637">
        <v>1.54</v>
      </c>
      <c r="G1637">
        <v>16.920000000000002</v>
      </c>
      <c r="H1637" t="s">
        <v>24</v>
      </c>
      <c r="I1637" t="s">
        <v>1547</v>
      </c>
      <c r="J1637">
        <v>17.93</v>
      </c>
      <c r="K1637">
        <v>17.93</v>
      </c>
      <c r="L1637">
        <v>15.64</v>
      </c>
      <c r="M1637">
        <v>16.920000000000002</v>
      </c>
      <c r="N1637">
        <v>15.39</v>
      </c>
    </row>
    <row r="1638" spans="1:14" x14ac:dyDescent="0.5">
      <c r="A1638" t="str">
        <f>"300251"</f>
        <v>300251</v>
      </c>
      <c r="B1638" t="s">
        <v>3178</v>
      </c>
      <c r="C1638">
        <v>2.58</v>
      </c>
      <c r="D1638">
        <v>10.56</v>
      </c>
      <c r="E1638">
        <v>9.16</v>
      </c>
      <c r="F1638">
        <v>0.23</v>
      </c>
      <c r="G1638">
        <v>9.16</v>
      </c>
      <c r="H1638">
        <v>9.17</v>
      </c>
      <c r="I1638" t="s">
        <v>3179</v>
      </c>
      <c r="J1638">
        <v>2.38</v>
      </c>
      <c r="K1638">
        <v>2.38</v>
      </c>
      <c r="L1638">
        <v>8.86</v>
      </c>
      <c r="M1638">
        <v>9.18</v>
      </c>
      <c r="N1638">
        <v>8.7799999999999994</v>
      </c>
    </row>
    <row r="1639" spans="1:14" x14ac:dyDescent="0.5">
      <c r="A1639" t="str">
        <f>"300252"</f>
        <v>300252</v>
      </c>
      <c r="B1639" t="s">
        <v>3180</v>
      </c>
      <c r="C1639">
        <v>3.28</v>
      </c>
      <c r="D1639">
        <v>67.87</v>
      </c>
      <c r="E1639">
        <v>14.5</v>
      </c>
      <c r="F1639">
        <v>0.46</v>
      </c>
      <c r="G1639">
        <v>14.49</v>
      </c>
      <c r="H1639">
        <v>14.5</v>
      </c>
      <c r="I1639" t="s">
        <v>3181</v>
      </c>
      <c r="J1639">
        <v>6.13</v>
      </c>
      <c r="K1639">
        <v>6.13</v>
      </c>
      <c r="L1639">
        <v>14.04</v>
      </c>
      <c r="M1639">
        <v>14.58</v>
      </c>
      <c r="N1639">
        <v>13.7</v>
      </c>
    </row>
    <row r="1640" spans="1:14" x14ac:dyDescent="0.5">
      <c r="A1640" t="str">
        <f>"300253"</f>
        <v>300253</v>
      </c>
      <c r="B1640" t="s">
        <v>3182</v>
      </c>
      <c r="C1640">
        <v>2.33</v>
      </c>
      <c r="D1640">
        <v>72.430000000000007</v>
      </c>
      <c r="E1640">
        <v>13.63</v>
      </c>
      <c r="F1640">
        <v>0.31</v>
      </c>
      <c r="G1640">
        <v>13.62</v>
      </c>
      <c r="H1640">
        <v>13.63</v>
      </c>
      <c r="I1640" t="s">
        <v>3183</v>
      </c>
      <c r="J1640">
        <v>4.32</v>
      </c>
      <c r="K1640">
        <v>4.32</v>
      </c>
      <c r="L1640">
        <v>13.24</v>
      </c>
      <c r="M1640">
        <v>13.68</v>
      </c>
      <c r="N1640">
        <v>13.1</v>
      </c>
    </row>
    <row r="1641" spans="1:14" x14ac:dyDescent="0.5">
      <c r="A1641" t="str">
        <f>"300254"</f>
        <v>300254</v>
      </c>
      <c r="B1641" t="s">
        <v>3184</v>
      </c>
      <c r="C1641">
        <v>3.21</v>
      </c>
      <c r="D1641">
        <v>80.069999999999993</v>
      </c>
      <c r="E1641">
        <v>8.0399999999999991</v>
      </c>
      <c r="F1641">
        <v>0.25</v>
      </c>
      <c r="G1641">
        <v>8.0299999999999994</v>
      </c>
      <c r="H1641">
        <v>8.0399999999999991</v>
      </c>
      <c r="I1641" t="s">
        <v>2840</v>
      </c>
      <c r="J1641">
        <v>3.32</v>
      </c>
      <c r="K1641">
        <v>3.32</v>
      </c>
      <c r="L1641">
        <v>7.78</v>
      </c>
      <c r="M1641">
        <v>8.0500000000000007</v>
      </c>
      <c r="N1641">
        <v>7.66</v>
      </c>
    </row>
    <row r="1642" spans="1:14" x14ac:dyDescent="0.5">
      <c r="A1642" t="str">
        <f>"300255"</f>
        <v>300255</v>
      </c>
      <c r="B1642" t="s">
        <v>3185</v>
      </c>
      <c r="C1642">
        <v>1.78</v>
      </c>
      <c r="D1642">
        <v>20.399999999999999</v>
      </c>
      <c r="E1642">
        <v>5.15</v>
      </c>
      <c r="F1642">
        <v>0.09</v>
      </c>
      <c r="G1642">
        <v>5.14</v>
      </c>
      <c r="H1642">
        <v>5.15</v>
      </c>
      <c r="I1642" t="s">
        <v>944</v>
      </c>
      <c r="J1642">
        <v>1.97</v>
      </c>
      <c r="K1642">
        <v>1.97</v>
      </c>
      <c r="L1642">
        <v>5.0199999999999996</v>
      </c>
      <c r="M1642">
        <v>5.16</v>
      </c>
      <c r="N1642">
        <v>5.0199999999999996</v>
      </c>
    </row>
    <row r="1643" spans="1:14" x14ac:dyDescent="0.5">
      <c r="A1643" t="str">
        <f>"300256"</f>
        <v>300256</v>
      </c>
      <c r="B1643" t="s">
        <v>3186</v>
      </c>
      <c r="C1643">
        <v>4.96</v>
      </c>
      <c r="D1643">
        <v>51.79</v>
      </c>
      <c r="E1643">
        <v>4.2300000000000004</v>
      </c>
      <c r="F1643">
        <v>0.2</v>
      </c>
      <c r="G1643">
        <v>4.22</v>
      </c>
      <c r="H1643">
        <v>4.2300000000000004</v>
      </c>
      <c r="I1643" t="s">
        <v>1006</v>
      </c>
      <c r="J1643">
        <v>9.82</v>
      </c>
      <c r="K1643">
        <v>9.82</v>
      </c>
      <c r="L1643">
        <v>3.98</v>
      </c>
      <c r="M1643">
        <v>4.25</v>
      </c>
      <c r="N1643">
        <v>3.93</v>
      </c>
    </row>
    <row r="1644" spans="1:14" x14ac:dyDescent="0.5">
      <c r="A1644" t="str">
        <f>"300257"</f>
        <v>300257</v>
      </c>
      <c r="B1644" t="s">
        <v>3187</v>
      </c>
      <c r="C1644">
        <v>1.1000000000000001</v>
      </c>
      <c r="D1644">
        <v>85.48</v>
      </c>
      <c r="E1644">
        <v>13.73</v>
      </c>
      <c r="F1644">
        <v>0.15</v>
      </c>
      <c r="G1644">
        <v>13.72</v>
      </c>
      <c r="H1644">
        <v>13.73</v>
      </c>
      <c r="I1644" t="s">
        <v>3188</v>
      </c>
      <c r="J1644">
        <v>0.43</v>
      </c>
      <c r="K1644">
        <v>0.43</v>
      </c>
      <c r="L1644">
        <v>13.57</v>
      </c>
      <c r="M1644">
        <v>13.85</v>
      </c>
      <c r="N1644">
        <v>13.45</v>
      </c>
    </row>
    <row r="1645" spans="1:14" x14ac:dyDescent="0.5">
      <c r="A1645" t="str">
        <f>"300258"</f>
        <v>300258</v>
      </c>
      <c r="B1645" t="s">
        <v>3189</v>
      </c>
      <c r="C1645">
        <v>0.46</v>
      </c>
      <c r="D1645">
        <v>17.59</v>
      </c>
      <c r="E1645">
        <v>13.09</v>
      </c>
      <c r="F1645">
        <v>0.06</v>
      </c>
      <c r="G1645">
        <v>13.08</v>
      </c>
      <c r="H1645">
        <v>13.09</v>
      </c>
      <c r="I1645" t="s">
        <v>3190</v>
      </c>
      <c r="J1645">
        <v>1.0900000000000001</v>
      </c>
      <c r="K1645">
        <v>1.0900000000000001</v>
      </c>
      <c r="L1645">
        <v>12.92</v>
      </c>
      <c r="M1645">
        <v>13.1</v>
      </c>
      <c r="N1645">
        <v>12.82</v>
      </c>
    </row>
    <row r="1646" spans="1:14" x14ac:dyDescent="0.5">
      <c r="A1646" t="str">
        <f>"300259"</f>
        <v>300259</v>
      </c>
      <c r="B1646" t="s">
        <v>3191</v>
      </c>
      <c r="C1646">
        <v>4.26</v>
      </c>
      <c r="D1646">
        <v>23.85</v>
      </c>
      <c r="E1646">
        <v>3.67</v>
      </c>
      <c r="F1646">
        <v>0.15</v>
      </c>
      <c r="G1646">
        <v>3.67</v>
      </c>
      <c r="H1646">
        <v>3.68</v>
      </c>
      <c r="I1646" t="s">
        <v>3192</v>
      </c>
      <c r="J1646">
        <v>5.51</v>
      </c>
      <c r="K1646">
        <v>5.51</v>
      </c>
      <c r="L1646">
        <v>3.51</v>
      </c>
      <c r="M1646">
        <v>3.68</v>
      </c>
      <c r="N1646">
        <v>3.48</v>
      </c>
    </row>
    <row r="1647" spans="1:14" x14ac:dyDescent="0.5">
      <c r="A1647" t="str">
        <f>"300260"</f>
        <v>300260</v>
      </c>
      <c r="B1647" t="s">
        <v>3193</v>
      </c>
      <c r="C1647">
        <v>2.46</v>
      </c>
      <c r="D1647">
        <v>58.29</v>
      </c>
      <c r="E1647">
        <v>11.67</v>
      </c>
      <c r="F1647">
        <v>0.28000000000000003</v>
      </c>
      <c r="G1647">
        <v>11.67</v>
      </c>
      <c r="H1647">
        <v>11.68</v>
      </c>
      <c r="I1647" t="s">
        <v>3194</v>
      </c>
      <c r="J1647">
        <v>5.0999999999999996</v>
      </c>
      <c r="K1647">
        <v>5.0999999999999996</v>
      </c>
      <c r="L1647">
        <v>11.29</v>
      </c>
      <c r="M1647">
        <v>11.8</v>
      </c>
      <c r="N1647">
        <v>11.17</v>
      </c>
    </row>
    <row r="1648" spans="1:14" x14ac:dyDescent="0.5">
      <c r="A1648" t="str">
        <f>"300261"</f>
        <v>300261</v>
      </c>
      <c r="B1648" t="s">
        <v>3195</v>
      </c>
      <c r="C1648">
        <v>3.14</v>
      </c>
      <c r="D1648">
        <v>36.31</v>
      </c>
      <c r="E1648">
        <v>5.59</v>
      </c>
      <c r="F1648">
        <v>0.17</v>
      </c>
      <c r="G1648">
        <v>5.59</v>
      </c>
      <c r="H1648">
        <v>5.6</v>
      </c>
      <c r="I1648" t="s">
        <v>3196</v>
      </c>
      <c r="J1648">
        <v>1.36</v>
      </c>
      <c r="K1648">
        <v>1.36</v>
      </c>
      <c r="L1648">
        <v>5.4</v>
      </c>
      <c r="M1648">
        <v>5.61</v>
      </c>
      <c r="N1648">
        <v>5.36</v>
      </c>
    </row>
    <row r="1649" spans="1:14" x14ac:dyDescent="0.5">
      <c r="A1649" t="str">
        <f>"300262"</f>
        <v>300262</v>
      </c>
      <c r="B1649" t="s">
        <v>3197</v>
      </c>
      <c r="C1649">
        <v>-0.91</v>
      </c>
      <c r="D1649">
        <v>56.93</v>
      </c>
      <c r="E1649">
        <v>8.7200000000000006</v>
      </c>
      <c r="F1649">
        <v>-0.08</v>
      </c>
      <c r="G1649">
        <v>8.7200000000000006</v>
      </c>
      <c r="H1649">
        <v>8.73</v>
      </c>
      <c r="I1649" t="s">
        <v>1421</v>
      </c>
      <c r="J1649">
        <v>4.3499999999999996</v>
      </c>
      <c r="K1649">
        <v>4.3499999999999996</v>
      </c>
      <c r="L1649">
        <v>8.7899999999999991</v>
      </c>
      <c r="M1649">
        <v>8.86</v>
      </c>
      <c r="N1649">
        <v>8.52</v>
      </c>
    </row>
    <row r="1650" spans="1:14" x14ac:dyDescent="0.5">
      <c r="A1650" t="str">
        <f>"300263"</f>
        <v>300263</v>
      </c>
      <c r="B1650" t="s">
        <v>3198</v>
      </c>
      <c r="C1650">
        <v>2.63</v>
      </c>
      <c r="D1650">
        <v>58.75</v>
      </c>
      <c r="E1650">
        <v>5.86</v>
      </c>
      <c r="F1650">
        <v>0.15</v>
      </c>
      <c r="G1650">
        <v>5.86</v>
      </c>
      <c r="H1650">
        <v>5.87</v>
      </c>
      <c r="I1650" t="s">
        <v>3199</v>
      </c>
      <c r="J1650">
        <v>9.1</v>
      </c>
      <c r="K1650">
        <v>9.1</v>
      </c>
      <c r="L1650">
        <v>5.62</v>
      </c>
      <c r="M1650">
        <v>5.87</v>
      </c>
      <c r="N1650">
        <v>5.55</v>
      </c>
    </row>
    <row r="1651" spans="1:14" x14ac:dyDescent="0.5">
      <c r="A1651" t="str">
        <f>"300264"</f>
        <v>300264</v>
      </c>
      <c r="B1651" t="s">
        <v>3200</v>
      </c>
      <c r="C1651">
        <v>5.71</v>
      </c>
      <c r="D1651" t="s">
        <v>24</v>
      </c>
      <c r="E1651">
        <v>7.04</v>
      </c>
      <c r="F1651">
        <v>0.38</v>
      </c>
      <c r="G1651">
        <v>7.04</v>
      </c>
      <c r="H1651">
        <v>7.05</v>
      </c>
      <c r="I1651" t="s">
        <v>3201</v>
      </c>
      <c r="J1651">
        <v>11.76</v>
      </c>
      <c r="K1651">
        <v>11.76</v>
      </c>
      <c r="L1651">
        <v>6.69</v>
      </c>
      <c r="M1651">
        <v>7.19</v>
      </c>
      <c r="N1651">
        <v>6.56</v>
      </c>
    </row>
    <row r="1652" spans="1:14" x14ac:dyDescent="0.5">
      <c r="A1652" t="str">
        <f>"300265"</f>
        <v>300265</v>
      </c>
      <c r="B1652" t="s">
        <v>3202</v>
      </c>
      <c r="C1652">
        <v>5.35</v>
      </c>
      <c r="D1652">
        <v>1140.94</v>
      </c>
      <c r="E1652">
        <v>10.039999999999999</v>
      </c>
      <c r="F1652">
        <v>0.51</v>
      </c>
      <c r="G1652">
        <v>10.029999999999999</v>
      </c>
      <c r="H1652">
        <v>10.039999999999999</v>
      </c>
      <c r="I1652" t="s">
        <v>3203</v>
      </c>
      <c r="J1652">
        <v>5.13</v>
      </c>
      <c r="K1652">
        <v>5.13</v>
      </c>
      <c r="L1652">
        <v>9.6199999999999992</v>
      </c>
      <c r="M1652">
        <v>10.039999999999999</v>
      </c>
      <c r="N1652">
        <v>9.5</v>
      </c>
    </row>
    <row r="1653" spans="1:14" x14ac:dyDescent="0.5">
      <c r="A1653" t="str">
        <f>"300266"</f>
        <v>300266</v>
      </c>
      <c r="B1653" t="s">
        <v>3204</v>
      </c>
      <c r="C1653">
        <v>1.73</v>
      </c>
      <c r="D1653">
        <v>134.03</v>
      </c>
      <c r="E1653">
        <v>4.1100000000000003</v>
      </c>
      <c r="F1653">
        <v>7.0000000000000007E-2</v>
      </c>
      <c r="G1653">
        <v>4.0999999999999996</v>
      </c>
      <c r="H1653">
        <v>4.1100000000000003</v>
      </c>
      <c r="I1653" t="s">
        <v>3205</v>
      </c>
      <c r="J1653">
        <v>5.2</v>
      </c>
      <c r="K1653">
        <v>5.2</v>
      </c>
      <c r="L1653">
        <v>4.01</v>
      </c>
      <c r="M1653">
        <v>4.1100000000000003</v>
      </c>
      <c r="N1653">
        <v>3.94</v>
      </c>
    </row>
    <row r="1654" spans="1:14" x14ac:dyDescent="0.5">
      <c r="A1654" t="str">
        <f>"300267"</f>
        <v>300267</v>
      </c>
      <c r="B1654" t="s">
        <v>3206</v>
      </c>
      <c r="C1654">
        <v>1.21</v>
      </c>
      <c r="D1654">
        <v>30.85</v>
      </c>
      <c r="E1654">
        <v>4.1900000000000004</v>
      </c>
      <c r="F1654">
        <v>0.05</v>
      </c>
      <c r="G1654">
        <v>4.18</v>
      </c>
      <c r="H1654">
        <v>4.1900000000000004</v>
      </c>
      <c r="I1654" t="s">
        <v>3207</v>
      </c>
      <c r="J1654">
        <v>1.87</v>
      </c>
      <c r="K1654">
        <v>1.87</v>
      </c>
      <c r="L1654">
        <v>4.1100000000000003</v>
      </c>
      <c r="M1654">
        <v>4.1900000000000004</v>
      </c>
      <c r="N1654">
        <v>4.08</v>
      </c>
    </row>
    <row r="1655" spans="1:14" x14ac:dyDescent="0.5">
      <c r="A1655" t="str">
        <f>"300268"</f>
        <v>300268</v>
      </c>
      <c r="B1655" t="s">
        <v>3208</v>
      </c>
      <c r="C1655">
        <v>5.51</v>
      </c>
      <c r="D1655">
        <v>177.62</v>
      </c>
      <c r="E1655">
        <v>15.33</v>
      </c>
      <c r="F1655">
        <v>0.8</v>
      </c>
      <c r="G1655">
        <v>15.33</v>
      </c>
      <c r="H1655">
        <v>15.34</v>
      </c>
      <c r="I1655" t="s">
        <v>3209</v>
      </c>
      <c r="J1655">
        <v>6.91</v>
      </c>
      <c r="K1655">
        <v>6.91</v>
      </c>
      <c r="L1655">
        <v>15.91</v>
      </c>
      <c r="M1655">
        <v>15.91</v>
      </c>
      <c r="N1655">
        <v>14.8</v>
      </c>
    </row>
    <row r="1656" spans="1:14" x14ac:dyDescent="0.5">
      <c r="A1656" t="str">
        <f>"300269"</f>
        <v>300269</v>
      </c>
      <c r="B1656" t="s">
        <v>3210</v>
      </c>
      <c r="C1656">
        <v>9.9499999999999993</v>
      </c>
      <c r="D1656" t="s">
        <v>24</v>
      </c>
      <c r="E1656">
        <v>6.3</v>
      </c>
      <c r="F1656">
        <v>0.56999999999999995</v>
      </c>
      <c r="G1656">
        <v>6.3</v>
      </c>
      <c r="H1656" t="s">
        <v>24</v>
      </c>
      <c r="I1656" t="s">
        <v>3211</v>
      </c>
      <c r="J1656">
        <v>4.87</v>
      </c>
      <c r="K1656">
        <v>4.87</v>
      </c>
      <c r="L1656">
        <v>5.75</v>
      </c>
      <c r="M1656">
        <v>6.3</v>
      </c>
      <c r="N1656">
        <v>5.75</v>
      </c>
    </row>
    <row r="1657" spans="1:14" x14ac:dyDescent="0.5">
      <c r="A1657" t="str">
        <f>"300270"</f>
        <v>300270</v>
      </c>
      <c r="B1657" t="s">
        <v>3212</v>
      </c>
      <c r="C1657">
        <v>9.9600000000000009</v>
      </c>
      <c r="D1657">
        <v>50.88</v>
      </c>
      <c r="E1657">
        <v>9.3800000000000008</v>
      </c>
      <c r="F1657">
        <v>0.85</v>
      </c>
      <c r="G1657">
        <v>9.3800000000000008</v>
      </c>
      <c r="H1657" t="s">
        <v>24</v>
      </c>
      <c r="I1657" t="s">
        <v>3013</v>
      </c>
      <c r="J1657">
        <v>20.97</v>
      </c>
      <c r="K1657">
        <v>20.97</v>
      </c>
      <c r="L1657">
        <v>9</v>
      </c>
      <c r="M1657">
        <v>9.3800000000000008</v>
      </c>
      <c r="N1657">
        <v>8.83</v>
      </c>
    </row>
    <row r="1658" spans="1:14" x14ac:dyDescent="0.5">
      <c r="A1658" t="str">
        <f>"300271"</f>
        <v>300271</v>
      </c>
      <c r="B1658" t="s">
        <v>3213</v>
      </c>
      <c r="C1658">
        <v>1.06</v>
      </c>
      <c r="D1658">
        <v>31.08</v>
      </c>
      <c r="E1658">
        <v>19.97</v>
      </c>
      <c r="F1658">
        <v>0.21</v>
      </c>
      <c r="G1658">
        <v>19.97</v>
      </c>
      <c r="H1658">
        <v>19.98</v>
      </c>
      <c r="I1658" t="s">
        <v>3214</v>
      </c>
      <c r="J1658">
        <v>2.65</v>
      </c>
      <c r="K1658">
        <v>2.65</v>
      </c>
      <c r="L1658">
        <v>19.5</v>
      </c>
      <c r="M1658">
        <v>20.2</v>
      </c>
      <c r="N1658">
        <v>19.23</v>
      </c>
    </row>
    <row r="1659" spans="1:14" x14ac:dyDescent="0.5">
      <c r="A1659" t="str">
        <f>"300272"</f>
        <v>300272</v>
      </c>
      <c r="B1659" t="s">
        <v>3215</v>
      </c>
      <c r="C1659">
        <v>2.63</v>
      </c>
      <c r="D1659">
        <v>12.74</v>
      </c>
      <c r="E1659">
        <v>8.98</v>
      </c>
      <c r="F1659">
        <v>0.23</v>
      </c>
      <c r="G1659">
        <v>8.9700000000000006</v>
      </c>
      <c r="H1659">
        <v>8.98</v>
      </c>
      <c r="I1659" t="s">
        <v>3216</v>
      </c>
      <c r="J1659">
        <v>5.55</v>
      </c>
      <c r="K1659">
        <v>5.55</v>
      </c>
      <c r="L1659">
        <v>8.61</v>
      </c>
      <c r="M1659">
        <v>8.98</v>
      </c>
      <c r="N1659">
        <v>8.5299999999999994</v>
      </c>
    </row>
    <row r="1660" spans="1:14" x14ac:dyDescent="0.5">
      <c r="A1660" t="str">
        <f>"300273"</f>
        <v>300273</v>
      </c>
      <c r="B1660" t="s">
        <v>3217</v>
      </c>
      <c r="C1660">
        <v>5.55</v>
      </c>
      <c r="D1660">
        <v>42.58</v>
      </c>
      <c r="E1660">
        <v>6.09</v>
      </c>
      <c r="F1660">
        <v>0.32</v>
      </c>
      <c r="G1660">
        <v>6.08</v>
      </c>
      <c r="H1660">
        <v>6.09</v>
      </c>
      <c r="I1660" t="s">
        <v>3218</v>
      </c>
      <c r="J1660">
        <v>6.74</v>
      </c>
      <c r="K1660">
        <v>6.74</v>
      </c>
      <c r="L1660">
        <v>5.73</v>
      </c>
      <c r="M1660">
        <v>6.09</v>
      </c>
      <c r="N1660">
        <v>5.69</v>
      </c>
    </row>
    <row r="1661" spans="1:14" x14ac:dyDescent="0.5">
      <c r="A1661" t="str">
        <f>"300274"</f>
        <v>300274</v>
      </c>
      <c r="B1661" t="s">
        <v>3219</v>
      </c>
      <c r="C1661">
        <v>1.45</v>
      </c>
      <c r="D1661">
        <v>18.97</v>
      </c>
      <c r="E1661">
        <v>11.88</v>
      </c>
      <c r="F1661">
        <v>0.17</v>
      </c>
      <c r="G1661">
        <v>11.88</v>
      </c>
      <c r="H1661">
        <v>11.89</v>
      </c>
      <c r="I1661" t="s">
        <v>3220</v>
      </c>
      <c r="J1661">
        <v>3.87</v>
      </c>
      <c r="K1661">
        <v>3.87</v>
      </c>
      <c r="L1661">
        <v>11.6</v>
      </c>
      <c r="M1661">
        <v>11.88</v>
      </c>
      <c r="N1661">
        <v>11.44</v>
      </c>
    </row>
    <row r="1662" spans="1:14" x14ac:dyDescent="0.5">
      <c r="A1662" t="str">
        <f>"300275"</f>
        <v>300275</v>
      </c>
      <c r="B1662" t="s">
        <v>3221</v>
      </c>
      <c r="C1662">
        <v>4.07</v>
      </c>
      <c r="D1662">
        <v>100.92</v>
      </c>
      <c r="E1662">
        <v>9.1999999999999993</v>
      </c>
      <c r="F1662">
        <v>0.36</v>
      </c>
      <c r="G1662">
        <v>9.19</v>
      </c>
      <c r="H1662">
        <v>9.1999999999999993</v>
      </c>
      <c r="I1662" t="s">
        <v>2601</v>
      </c>
      <c r="J1662">
        <v>5.25</v>
      </c>
      <c r="K1662">
        <v>5.25</v>
      </c>
      <c r="L1662">
        <v>8.7799999999999994</v>
      </c>
      <c r="M1662">
        <v>9.1999999999999993</v>
      </c>
      <c r="N1662">
        <v>8.6999999999999993</v>
      </c>
    </row>
    <row r="1663" spans="1:14" x14ac:dyDescent="0.5">
      <c r="A1663" t="str">
        <f>"300276"</f>
        <v>300276</v>
      </c>
      <c r="B1663" t="s">
        <v>3222</v>
      </c>
      <c r="C1663">
        <v>10.02</v>
      </c>
      <c r="D1663">
        <v>28.37</v>
      </c>
      <c r="E1663">
        <v>13.72</v>
      </c>
      <c r="F1663">
        <v>1.25</v>
      </c>
      <c r="G1663">
        <v>13.72</v>
      </c>
      <c r="H1663" t="s">
        <v>24</v>
      </c>
      <c r="I1663" t="s">
        <v>2365</v>
      </c>
      <c r="J1663">
        <v>8.9</v>
      </c>
      <c r="K1663">
        <v>8.9</v>
      </c>
      <c r="L1663">
        <v>12.4</v>
      </c>
      <c r="M1663">
        <v>13.72</v>
      </c>
      <c r="N1663">
        <v>12.37</v>
      </c>
    </row>
    <row r="1664" spans="1:14" x14ac:dyDescent="0.5">
      <c r="A1664" t="str">
        <f>"300277"</f>
        <v>300277</v>
      </c>
      <c r="B1664" t="s">
        <v>3223</v>
      </c>
      <c r="C1664">
        <v>3.34</v>
      </c>
      <c r="D1664">
        <v>276.91000000000003</v>
      </c>
      <c r="E1664">
        <v>7.11</v>
      </c>
      <c r="F1664">
        <v>0.23</v>
      </c>
      <c r="G1664">
        <v>7.11</v>
      </c>
      <c r="H1664">
        <v>7.12</v>
      </c>
      <c r="I1664" t="s">
        <v>3224</v>
      </c>
      <c r="J1664">
        <v>2.29</v>
      </c>
      <c r="K1664">
        <v>2.29</v>
      </c>
      <c r="L1664">
        <v>6.81</v>
      </c>
      <c r="M1664">
        <v>7.13</v>
      </c>
      <c r="N1664">
        <v>6.8</v>
      </c>
    </row>
    <row r="1665" spans="1:14" x14ac:dyDescent="0.5">
      <c r="A1665" t="str">
        <f>"300278"</f>
        <v>300278</v>
      </c>
      <c r="B1665" t="s">
        <v>3225</v>
      </c>
      <c r="C1665">
        <v>10.039999999999999</v>
      </c>
      <c r="D1665">
        <v>1687.27</v>
      </c>
      <c r="E1665">
        <v>8.11</v>
      </c>
      <c r="F1665">
        <v>0.74</v>
      </c>
      <c r="G1665">
        <v>8.11</v>
      </c>
      <c r="H1665" t="s">
        <v>24</v>
      </c>
      <c r="I1665" t="s">
        <v>1736</v>
      </c>
      <c r="J1665">
        <v>0.24</v>
      </c>
      <c r="K1665">
        <v>0.24</v>
      </c>
      <c r="L1665">
        <v>8.11</v>
      </c>
      <c r="M1665">
        <v>8.11</v>
      </c>
      <c r="N1665">
        <v>8.11</v>
      </c>
    </row>
    <row r="1666" spans="1:14" x14ac:dyDescent="0.5">
      <c r="A1666" t="str">
        <f>"300279"</f>
        <v>300279</v>
      </c>
      <c r="B1666" t="s">
        <v>3226</v>
      </c>
      <c r="C1666">
        <v>10.02</v>
      </c>
      <c r="D1666" t="s">
        <v>24</v>
      </c>
      <c r="E1666">
        <v>7.03</v>
      </c>
      <c r="F1666">
        <v>0.64</v>
      </c>
      <c r="G1666">
        <v>7.03</v>
      </c>
      <c r="H1666" t="s">
        <v>24</v>
      </c>
      <c r="I1666" t="s">
        <v>3227</v>
      </c>
      <c r="J1666">
        <v>1.1599999999999999</v>
      </c>
      <c r="K1666">
        <v>1.1599999999999999</v>
      </c>
      <c r="L1666">
        <v>7.03</v>
      </c>
      <c r="M1666">
        <v>7.03</v>
      </c>
      <c r="N1666">
        <v>7.03</v>
      </c>
    </row>
    <row r="1667" spans="1:14" x14ac:dyDescent="0.5">
      <c r="A1667" t="str">
        <f>"300280"</f>
        <v>300280</v>
      </c>
      <c r="B1667" t="s">
        <v>3228</v>
      </c>
      <c r="C1667">
        <v>-3.97</v>
      </c>
      <c r="D1667">
        <v>110.13</v>
      </c>
      <c r="E1667">
        <v>41.1</v>
      </c>
      <c r="F1667">
        <v>-1.7</v>
      </c>
      <c r="G1667">
        <v>41.1</v>
      </c>
      <c r="H1667">
        <v>41.11</v>
      </c>
      <c r="I1667" t="s">
        <v>3229</v>
      </c>
      <c r="J1667">
        <v>9.41</v>
      </c>
      <c r="K1667">
        <v>9.41</v>
      </c>
      <c r="L1667">
        <v>42.6</v>
      </c>
      <c r="M1667">
        <v>42.81</v>
      </c>
      <c r="N1667">
        <v>39.39</v>
      </c>
    </row>
    <row r="1668" spans="1:14" x14ac:dyDescent="0.5">
      <c r="A1668" t="str">
        <f>"300281"</f>
        <v>300281</v>
      </c>
      <c r="B1668" t="s">
        <v>3230</v>
      </c>
      <c r="C1668">
        <v>5.71</v>
      </c>
      <c r="D1668">
        <v>75.77</v>
      </c>
      <c r="E1668">
        <v>7.04</v>
      </c>
      <c r="F1668">
        <v>0.38</v>
      </c>
      <c r="G1668">
        <v>7.03</v>
      </c>
      <c r="H1668">
        <v>7.04</v>
      </c>
      <c r="I1668" t="s">
        <v>3231</v>
      </c>
      <c r="J1668">
        <v>13.26</v>
      </c>
      <c r="K1668">
        <v>13.26</v>
      </c>
      <c r="L1668">
        <v>6.6</v>
      </c>
      <c r="M1668">
        <v>7.1</v>
      </c>
      <c r="N1668">
        <v>6.56</v>
      </c>
    </row>
    <row r="1669" spans="1:14" x14ac:dyDescent="0.5">
      <c r="A1669" t="str">
        <f>"300282"</f>
        <v>300282</v>
      </c>
      <c r="B1669" t="s">
        <v>3232</v>
      </c>
      <c r="C1669">
        <v>3.76</v>
      </c>
      <c r="D1669">
        <v>140.22</v>
      </c>
      <c r="E1669">
        <v>15.16</v>
      </c>
      <c r="F1669">
        <v>0.55000000000000004</v>
      </c>
      <c r="G1669">
        <v>15.15</v>
      </c>
      <c r="H1669">
        <v>15.16</v>
      </c>
      <c r="I1669" t="s">
        <v>3233</v>
      </c>
      <c r="J1669">
        <v>2.4700000000000002</v>
      </c>
      <c r="K1669">
        <v>2.4700000000000002</v>
      </c>
      <c r="L1669">
        <v>14.68</v>
      </c>
      <c r="M1669">
        <v>15.26</v>
      </c>
      <c r="N1669">
        <v>14.55</v>
      </c>
    </row>
    <row r="1670" spans="1:14" x14ac:dyDescent="0.5">
      <c r="A1670" t="str">
        <f>"300283"</f>
        <v>300283</v>
      </c>
      <c r="B1670" t="s">
        <v>3234</v>
      </c>
      <c r="C1670">
        <v>3.18</v>
      </c>
      <c r="D1670">
        <v>107.97</v>
      </c>
      <c r="E1670">
        <v>5.52</v>
      </c>
      <c r="F1670">
        <v>0.17</v>
      </c>
      <c r="G1670">
        <v>5.51</v>
      </c>
      <c r="H1670">
        <v>5.52</v>
      </c>
      <c r="I1670" t="s">
        <v>3235</v>
      </c>
      <c r="J1670">
        <v>3.53</v>
      </c>
      <c r="K1670">
        <v>3.53</v>
      </c>
      <c r="L1670">
        <v>5.3</v>
      </c>
      <c r="M1670">
        <v>5.56</v>
      </c>
      <c r="N1670">
        <v>5.28</v>
      </c>
    </row>
    <row r="1671" spans="1:14" x14ac:dyDescent="0.5">
      <c r="A1671" t="str">
        <f>"300284"</f>
        <v>300284</v>
      </c>
      <c r="B1671" t="s">
        <v>3236</v>
      </c>
      <c r="C1671">
        <v>3.13</v>
      </c>
      <c r="D1671">
        <v>18.25</v>
      </c>
      <c r="E1671">
        <v>12.19</v>
      </c>
      <c r="F1671">
        <v>0.37</v>
      </c>
      <c r="G1671">
        <v>12.18</v>
      </c>
      <c r="H1671">
        <v>12.19</v>
      </c>
      <c r="I1671" t="s">
        <v>3237</v>
      </c>
      <c r="J1671">
        <v>2.9</v>
      </c>
      <c r="K1671">
        <v>2.9</v>
      </c>
      <c r="L1671">
        <v>11.78</v>
      </c>
      <c r="M1671">
        <v>12.35</v>
      </c>
      <c r="N1671">
        <v>11.76</v>
      </c>
    </row>
    <row r="1672" spans="1:14" x14ac:dyDescent="0.5">
      <c r="A1672" t="str">
        <f>"300285"</f>
        <v>300285</v>
      </c>
      <c r="B1672" t="s">
        <v>3238</v>
      </c>
      <c r="C1672">
        <v>4.09</v>
      </c>
      <c r="D1672">
        <v>23.16</v>
      </c>
      <c r="E1672">
        <v>20.61</v>
      </c>
      <c r="F1672">
        <v>0.81</v>
      </c>
      <c r="G1672">
        <v>20.6</v>
      </c>
      <c r="H1672">
        <v>20.61</v>
      </c>
      <c r="I1672" t="s">
        <v>3239</v>
      </c>
      <c r="J1672">
        <v>2.39</v>
      </c>
      <c r="K1672">
        <v>2.39</v>
      </c>
      <c r="L1672">
        <v>19.670000000000002</v>
      </c>
      <c r="M1672">
        <v>20.67</v>
      </c>
      <c r="N1672">
        <v>19.510000000000002</v>
      </c>
    </row>
    <row r="1673" spans="1:14" x14ac:dyDescent="0.5">
      <c r="A1673" t="str">
        <f>"300286"</f>
        <v>300286</v>
      </c>
      <c r="B1673" t="s">
        <v>3240</v>
      </c>
      <c r="C1673">
        <v>2.46</v>
      </c>
      <c r="D1673">
        <v>22</v>
      </c>
      <c r="E1673">
        <v>10.01</v>
      </c>
      <c r="F1673">
        <v>0.24</v>
      </c>
      <c r="G1673">
        <v>10</v>
      </c>
      <c r="H1673">
        <v>10.01</v>
      </c>
      <c r="I1673" t="s">
        <v>3241</v>
      </c>
      <c r="J1673">
        <v>1.1599999999999999</v>
      </c>
      <c r="K1673">
        <v>1.1599999999999999</v>
      </c>
      <c r="L1673">
        <v>9.73</v>
      </c>
      <c r="M1673">
        <v>10.06</v>
      </c>
      <c r="N1673">
        <v>9.68</v>
      </c>
    </row>
    <row r="1674" spans="1:14" x14ac:dyDescent="0.5">
      <c r="A1674" t="str">
        <f>"300287"</f>
        <v>300287</v>
      </c>
      <c r="B1674" t="s">
        <v>3242</v>
      </c>
      <c r="C1674">
        <v>10.07</v>
      </c>
      <c r="D1674">
        <v>19.36</v>
      </c>
      <c r="E1674">
        <v>4.92</v>
      </c>
      <c r="F1674">
        <v>0.45</v>
      </c>
      <c r="G1674">
        <v>4.92</v>
      </c>
      <c r="H1674" t="s">
        <v>24</v>
      </c>
      <c r="I1674" t="s">
        <v>3243</v>
      </c>
      <c r="J1674">
        <v>10.15</v>
      </c>
      <c r="K1674">
        <v>10.15</v>
      </c>
      <c r="L1674">
        <v>4.55</v>
      </c>
      <c r="M1674">
        <v>4.92</v>
      </c>
      <c r="N1674">
        <v>4.51</v>
      </c>
    </row>
    <row r="1675" spans="1:14" x14ac:dyDescent="0.5">
      <c r="A1675" t="str">
        <f>"300288"</f>
        <v>300288</v>
      </c>
      <c r="B1675" t="s">
        <v>3244</v>
      </c>
      <c r="C1675">
        <v>5.05</v>
      </c>
      <c r="D1675">
        <v>57.33</v>
      </c>
      <c r="E1675">
        <v>16.02</v>
      </c>
      <c r="F1675">
        <v>0.77</v>
      </c>
      <c r="G1675">
        <v>16.02</v>
      </c>
      <c r="H1675">
        <v>16.03</v>
      </c>
      <c r="I1675" t="s">
        <v>3245</v>
      </c>
      <c r="J1675">
        <v>7.69</v>
      </c>
      <c r="K1675">
        <v>7.69</v>
      </c>
      <c r="L1675">
        <v>15.2</v>
      </c>
      <c r="M1675">
        <v>16.05</v>
      </c>
      <c r="N1675">
        <v>15.06</v>
      </c>
    </row>
    <row r="1676" spans="1:14" x14ac:dyDescent="0.5">
      <c r="A1676" t="str">
        <f>"300289"</f>
        <v>300289</v>
      </c>
      <c r="B1676" t="s">
        <v>3246</v>
      </c>
      <c r="C1676">
        <v>1.47</v>
      </c>
      <c r="D1676">
        <v>39.93</v>
      </c>
      <c r="E1676">
        <v>7.61</v>
      </c>
      <c r="F1676">
        <v>0.11</v>
      </c>
      <c r="G1676">
        <v>7.6</v>
      </c>
      <c r="H1676">
        <v>7.61</v>
      </c>
      <c r="I1676" t="s">
        <v>3247</v>
      </c>
      <c r="J1676">
        <v>1.54</v>
      </c>
      <c r="K1676">
        <v>1.54</v>
      </c>
      <c r="L1676">
        <v>7.42</v>
      </c>
      <c r="M1676">
        <v>7.61</v>
      </c>
      <c r="N1676">
        <v>7.42</v>
      </c>
    </row>
    <row r="1677" spans="1:14" x14ac:dyDescent="0.5">
      <c r="A1677" t="str">
        <f>"300290"</f>
        <v>300290</v>
      </c>
      <c r="B1677" t="s">
        <v>3248</v>
      </c>
      <c r="C1677">
        <v>6.08</v>
      </c>
      <c r="D1677">
        <v>168.13</v>
      </c>
      <c r="E1677">
        <v>8.5500000000000007</v>
      </c>
      <c r="F1677">
        <v>0.49</v>
      </c>
      <c r="G1677">
        <v>8.5399999999999991</v>
      </c>
      <c r="H1677">
        <v>8.5500000000000007</v>
      </c>
      <c r="I1677" t="s">
        <v>3249</v>
      </c>
      <c r="J1677">
        <v>3.17</v>
      </c>
      <c r="K1677">
        <v>3.17</v>
      </c>
      <c r="L1677">
        <v>8</v>
      </c>
      <c r="M1677">
        <v>8.67</v>
      </c>
      <c r="N1677">
        <v>7.84</v>
      </c>
    </row>
    <row r="1678" spans="1:14" x14ac:dyDescent="0.5">
      <c r="A1678" t="str">
        <f>"300291"</f>
        <v>300291</v>
      </c>
      <c r="B1678" t="s">
        <v>3250</v>
      </c>
      <c r="C1678">
        <v>5.98</v>
      </c>
      <c r="D1678" t="s">
        <v>24</v>
      </c>
      <c r="E1678">
        <v>5.85</v>
      </c>
      <c r="F1678">
        <v>0.33</v>
      </c>
      <c r="G1678">
        <v>5.84</v>
      </c>
      <c r="H1678">
        <v>5.85</v>
      </c>
      <c r="I1678" t="s">
        <v>1379</v>
      </c>
      <c r="J1678">
        <v>3.36</v>
      </c>
      <c r="K1678">
        <v>3.36</v>
      </c>
      <c r="L1678">
        <v>5.46</v>
      </c>
      <c r="M1678">
        <v>5.93</v>
      </c>
      <c r="N1678">
        <v>5.44</v>
      </c>
    </row>
    <row r="1679" spans="1:14" x14ac:dyDescent="0.5">
      <c r="A1679" t="str">
        <f>"300292"</f>
        <v>300292</v>
      </c>
      <c r="B1679" t="s">
        <v>3251</v>
      </c>
      <c r="C1679">
        <v>6.44</v>
      </c>
      <c r="D1679">
        <v>29.04</v>
      </c>
      <c r="E1679">
        <v>4.63</v>
      </c>
      <c r="F1679">
        <v>0.28000000000000003</v>
      </c>
      <c r="G1679">
        <v>4.63</v>
      </c>
      <c r="H1679">
        <v>4.6399999999999997</v>
      </c>
      <c r="I1679" t="s">
        <v>3252</v>
      </c>
      <c r="J1679">
        <v>9.11</v>
      </c>
      <c r="K1679">
        <v>9.11</v>
      </c>
      <c r="L1679">
        <v>4.38</v>
      </c>
      <c r="M1679">
        <v>4.6500000000000004</v>
      </c>
      <c r="N1679">
        <v>4.3600000000000003</v>
      </c>
    </row>
    <row r="1680" spans="1:14" x14ac:dyDescent="0.5">
      <c r="A1680" t="str">
        <f>"300293"</f>
        <v>300293</v>
      </c>
      <c r="B1680" t="s">
        <v>3253</v>
      </c>
      <c r="C1680">
        <v>4.4000000000000004</v>
      </c>
      <c r="D1680" t="s">
        <v>24</v>
      </c>
      <c r="E1680">
        <v>9.5</v>
      </c>
      <c r="F1680">
        <v>0.4</v>
      </c>
      <c r="G1680">
        <v>9.5</v>
      </c>
      <c r="H1680">
        <v>9.51</v>
      </c>
      <c r="I1680" t="s">
        <v>1630</v>
      </c>
      <c r="J1680">
        <v>4.55</v>
      </c>
      <c r="K1680">
        <v>4.55</v>
      </c>
      <c r="L1680">
        <v>9.1</v>
      </c>
      <c r="M1680">
        <v>9.69</v>
      </c>
      <c r="N1680">
        <v>8.9600000000000009</v>
      </c>
    </row>
    <row r="1681" spans="1:14" x14ac:dyDescent="0.5">
      <c r="A1681" t="str">
        <f>"300294"</f>
        <v>300294</v>
      </c>
      <c r="B1681" t="s">
        <v>3254</v>
      </c>
      <c r="C1681">
        <v>0.93</v>
      </c>
      <c r="D1681">
        <v>31</v>
      </c>
      <c r="E1681">
        <v>30.53</v>
      </c>
      <c r="F1681">
        <v>0.28000000000000003</v>
      </c>
      <c r="G1681">
        <v>30.53</v>
      </c>
      <c r="H1681">
        <v>30.54</v>
      </c>
      <c r="I1681" t="s">
        <v>3255</v>
      </c>
      <c r="J1681">
        <v>0.51</v>
      </c>
      <c r="K1681">
        <v>0.51</v>
      </c>
      <c r="L1681">
        <v>30.25</v>
      </c>
      <c r="M1681">
        <v>30.54</v>
      </c>
      <c r="N1681">
        <v>29.94</v>
      </c>
    </row>
    <row r="1682" spans="1:14" x14ac:dyDescent="0.5">
      <c r="A1682" t="str">
        <f>"300295"</f>
        <v>300295</v>
      </c>
      <c r="B1682" t="s">
        <v>3256</v>
      </c>
      <c r="C1682">
        <v>3.97</v>
      </c>
      <c r="D1682">
        <v>28.05</v>
      </c>
      <c r="E1682">
        <v>15.45</v>
      </c>
      <c r="F1682">
        <v>0.59</v>
      </c>
      <c r="G1682">
        <v>15.45</v>
      </c>
      <c r="H1682">
        <v>15.46</v>
      </c>
      <c r="I1682" t="s">
        <v>3257</v>
      </c>
      <c r="J1682">
        <v>5.46</v>
      </c>
      <c r="K1682">
        <v>5.46</v>
      </c>
      <c r="L1682">
        <v>14.8</v>
      </c>
      <c r="M1682">
        <v>15.51</v>
      </c>
      <c r="N1682">
        <v>14.71</v>
      </c>
    </row>
    <row r="1683" spans="1:14" x14ac:dyDescent="0.5">
      <c r="A1683" t="str">
        <f>"300296"</f>
        <v>300296</v>
      </c>
      <c r="B1683" t="s">
        <v>3258</v>
      </c>
      <c r="C1683">
        <v>6.26</v>
      </c>
      <c r="D1683">
        <v>14.51</v>
      </c>
      <c r="E1683">
        <v>9.33</v>
      </c>
      <c r="F1683">
        <v>0.55000000000000004</v>
      </c>
      <c r="G1683">
        <v>9.33</v>
      </c>
      <c r="H1683">
        <v>9.34</v>
      </c>
      <c r="I1683" t="s">
        <v>3259</v>
      </c>
      <c r="J1683">
        <v>4.2</v>
      </c>
      <c r="K1683">
        <v>4.2</v>
      </c>
      <c r="L1683">
        <v>8.8000000000000007</v>
      </c>
      <c r="M1683">
        <v>9.35</v>
      </c>
      <c r="N1683">
        <v>8.7100000000000009</v>
      </c>
    </row>
    <row r="1684" spans="1:14" x14ac:dyDescent="0.5">
      <c r="A1684" t="str">
        <f>"300297"</f>
        <v>300297</v>
      </c>
      <c r="B1684" t="s">
        <v>3260</v>
      </c>
      <c r="C1684">
        <v>6.94</v>
      </c>
      <c r="D1684">
        <v>18.010000000000002</v>
      </c>
      <c r="E1684">
        <v>7.09</v>
      </c>
      <c r="F1684">
        <v>0.46</v>
      </c>
      <c r="G1684">
        <v>7.09</v>
      </c>
      <c r="H1684">
        <v>7.1</v>
      </c>
      <c r="I1684" t="s">
        <v>3261</v>
      </c>
      <c r="J1684">
        <v>8.68</v>
      </c>
      <c r="K1684">
        <v>8.68</v>
      </c>
      <c r="L1684">
        <v>6.56</v>
      </c>
      <c r="M1684">
        <v>7.1</v>
      </c>
      <c r="N1684">
        <v>6.53</v>
      </c>
    </row>
    <row r="1685" spans="1:14" x14ac:dyDescent="0.5">
      <c r="A1685" t="str">
        <f>"300298"</f>
        <v>300298</v>
      </c>
      <c r="B1685" t="s">
        <v>3262</v>
      </c>
      <c r="C1685">
        <v>2.0499999999999998</v>
      </c>
      <c r="D1685">
        <v>24.98</v>
      </c>
      <c r="E1685">
        <v>12.95</v>
      </c>
      <c r="F1685">
        <v>0.26</v>
      </c>
      <c r="G1685">
        <v>12.95</v>
      </c>
      <c r="H1685">
        <v>12.96</v>
      </c>
      <c r="I1685" t="s">
        <v>3263</v>
      </c>
      <c r="J1685">
        <v>1.24</v>
      </c>
      <c r="K1685">
        <v>1.24</v>
      </c>
      <c r="L1685">
        <v>12.69</v>
      </c>
      <c r="M1685">
        <v>12.97</v>
      </c>
      <c r="N1685">
        <v>12.6</v>
      </c>
    </row>
    <row r="1686" spans="1:14" x14ac:dyDescent="0.5">
      <c r="A1686" t="str">
        <f>"300299"</f>
        <v>300299</v>
      </c>
      <c r="B1686" t="s">
        <v>3264</v>
      </c>
      <c r="C1686">
        <v>4.6500000000000004</v>
      </c>
      <c r="D1686" t="s">
        <v>24</v>
      </c>
      <c r="E1686">
        <v>6.3</v>
      </c>
      <c r="F1686">
        <v>0.28000000000000003</v>
      </c>
      <c r="G1686">
        <v>6.3</v>
      </c>
      <c r="H1686">
        <v>6.31</v>
      </c>
      <c r="I1686" t="s">
        <v>3265</v>
      </c>
      <c r="J1686">
        <v>9.39</v>
      </c>
      <c r="K1686">
        <v>9.39</v>
      </c>
      <c r="L1686">
        <v>6.03</v>
      </c>
      <c r="M1686">
        <v>6.35</v>
      </c>
      <c r="N1686">
        <v>5.98</v>
      </c>
    </row>
    <row r="1687" spans="1:14" x14ac:dyDescent="0.5">
      <c r="A1687" t="str">
        <f>"300300"</f>
        <v>300300</v>
      </c>
      <c r="B1687" t="s">
        <v>3266</v>
      </c>
      <c r="C1687">
        <v>5.75</v>
      </c>
      <c r="D1687">
        <v>44.83</v>
      </c>
      <c r="E1687">
        <v>12.5</v>
      </c>
      <c r="F1687">
        <v>0.68</v>
      </c>
      <c r="G1687">
        <v>12.49</v>
      </c>
      <c r="H1687">
        <v>12.5</v>
      </c>
      <c r="I1687" t="s">
        <v>810</v>
      </c>
      <c r="J1687">
        <v>3.11</v>
      </c>
      <c r="K1687">
        <v>3.11</v>
      </c>
      <c r="L1687">
        <v>11.73</v>
      </c>
      <c r="M1687">
        <v>12.58</v>
      </c>
      <c r="N1687">
        <v>11.66</v>
      </c>
    </row>
    <row r="1688" spans="1:14" x14ac:dyDescent="0.5">
      <c r="A1688" t="str">
        <f>"300301"</f>
        <v>300301</v>
      </c>
      <c r="B1688" t="s">
        <v>3267</v>
      </c>
      <c r="C1688">
        <v>2.0099999999999998</v>
      </c>
      <c r="D1688">
        <v>284.27</v>
      </c>
      <c r="E1688">
        <v>4.07</v>
      </c>
      <c r="F1688">
        <v>0.08</v>
      </c>
      <c r="G1688">
        <v>4.0599999999999996</v>
      </c>
      <c r="H1688">
        <v>4.07</v>
      </c>
      <c r="I1688" t="s">
        <v>1475</v>
      </c>
      <c r="J1688">
        <v>2.25</v>
      </c>
      <c r="K1688">
        <v>2.25</v>
      </c>
      <c r="L1688">
        <v>3.99</v>
      </c>
      <c r="M1688">
        <v>4.07</v>
      </c>
      <c r="N1688">
        <v>3.94</v>
      </c>
    </row>
    <row r="1689" spans="1:14" x14ac:dyDescent="0.5">
      <c r="A1689" t="str">
        <f>"300302"</f>
        <v>300302</v>
      </c>
      <c r="B1689" t="s">
        <v>3268</v>
      </c>
      <c r="C1689">
        <v>7.7</v>
      </c>
      <c r="D1689">
        <v>64.680000000000007</v>
      </c>
      <c r="E1689">
        <v>9.7899999999999991</v>
      </c>
      <c r="F1689">
        <v>0.7</v>
      </c>
      <c r="G1689">
        <v>9.7899999999999991</v>
      </c>
      <c r="H1689">
        <v>9.8000000000000007</v>
      </c>
      <c r="I1689" t="s">
        <v>3269</v>
      </c>
      <c r="J1689">
        <v>8.4499999999999993</v>
      </c>
      <c r="K1689">
        <v>8.4499999999999993</v>
      </c>
      <c r="L1689">
        <v>9.02</v>
      </c>
      <c r="M1689">
        <v>9.7899999999999991</v>
      </c>
      <c r="N1689">
        <v>9.02</v>
      </c>
    </row>
    <row r="1690" spans="1:14" x14ac:dyDescent="0.5">
      <c r="A1690" t="str">
        <f>"300303"</f>
        <v>300303</v>
      </c>
      <c r="B1690" t="s">
        <v>3270</v>
      </c>
      <c r="C1690">
        <v>6.67</v>
      </c>
      <c r="D1690">
        <v>53.43</v>
      </c>
      <c r="E1690">
        <v>3.36</v>
      </c>
      <c r="F1690">
        <v>0.21</v>
      </c>
      <c r="G1690">
        <v>3.36</v>
      </c>
      <c r="H1690">
        <v>3.37</v>
      </c>
      <c r="I1690" t="s">
        <v>3271</v>
      </c>
      <c r="J1690">
        <v>5.37</v>
      </c>
      <c r="K1690">
        <v>5.37</v>
      </c>
      <c r="L1690">
        <v>3.13</v>
      </c>
      <c r="M1690">
        <v>3.38</v>
      </c>
      <c r="N1690">
        <v>3.12</v>
      </c>
    </row>
    <row r="1691" spans="1:14" x14ac:dyDescent="0.5">
      <c r="A1691" t="str">
        <f>"300304"</f>
        <v>300304</v>
      </c>
      <c r="B1691" t="s">
        <v>3272</v>
      </c>
      <c r="C1691">
        <v>4.28</v>
      </c>
      <c r="D1691">
        <v>27.3</v>
      </c>
      <c r="E1691">
        <v>4.63</v>
      </c>
      <c r="F1691">
        <v>0.19</v>
      </c>
      <c r="G1691">
        <v>4.62</v>
      </c>
      <c r="H1691">
        <v>4.63</v>
      </c>
      <c r="I1691" t="s">
        <v>3273</v>
      </c>
      <c r="J1691">
        <v>4.03</v>
      </c>
      <c r="K1691">
        <v>4.03</v>
      </c>
      <c r="L1691">
        <v>4.3899999999999997</v>
      </c>
      <c r="M1691">
        <v>4.68</v>
      </c>
      <c r="N1691">
        <v>4.38</v>
      </c>
    </row>
    <row r="1692" spans="1:14" x14ac:dyDescent="0.5">
      <c r="A1692" t="str">
        <f>"300305"</f>
        <v>300305</v>
      </c>
      <c r="B1692" t="s">
        <v>3274</v>
      </c>
      <c r="C1692">
        <v>1.19</v>
      </c>
      <c r="D1692">
        <v>33.6</v>
      </c>
      <c r="E1692">
        <v>8.49</v>
      </c>
      <c r="F1692">
        <v>0.1</v>
      </c>
      <c r="G1692">
        <v>8.48</v>
      </c>
      <c r="H1692">
        <v>8.49</v>
      </c>
      <c r="I1692" t="s">
        <v>3103</v>
      </c>
      <c r="J1692">
        <v>0.6</v>
      </c>
      <c r="K1692">
        <v>0.6</v>
      </c>
      <c r="L1692">
        <v>8.3800000000000008</v>
      </c>
      <c r="M1692">
        <v>8.49</v>
      </c>
      <c r="N1692">
        <v>8.3699999999999992</v>
      </c>
    </row>
    <row r="1693" spans="1:14" x14ac:dyDescent="0.5">
      <c r="A1693" t="str">
        <f>"300306"</f>
        <v>300306</v>
      </c>
      <c r="B1693" t="s">
        <v>3275</v>
      </c>
      <c r="C1693">
        <v>10</v>
      </c>
      <c r="D1693">
        <v>95.92</v>
      </c>
      <c r="E1693">
        <v>9.68</v>
      </c>
      <c r="F1693">
        <v>0.88</v>
      </c>
      <c r="G1693">
        <v>9.68</v>
      </c>
      <c r="H1693" t="s">
        <v>24</v>
      </c>
      <c r="I1693" t="s">
        <v>3276</v>
      </c>
      <c r="J1693">
        <v>9.25</v>
      </c>
      <c r="K1693">
        <v>9.25</v>
      </c>
      <c r="L1693">
        <v>8.75</v>
      </c>
      <c r="M1693">
        <v>9.68</v>
      </c>
      <c r="N1693">
        <v>8.75</v>
      </c>
    </row>
    <row r="1694" spans="1:14" x14ac:dyDescent="0.5">
      <c r="A1694" t="str">
        <f>"300307"</f>
        <v>300307</v>
      </c>
      <c r="B1694" t="s">
        <v>3277</v>
      </c>
      <c r="C1694">
        <v>10.09</v>
      </c>
      <c r="D1694">
        <v>23.62</v>
      </c>
      <c r="E1694">
        <v>6.22</v>
      </c>
      <c r="F1694">
        <v>0.56999999999999995</v>
      </c>
      <c r="G1694">
        <v>6.22</v>
      </c>
      <c r="H1694" t="s">
        <v>24</v>
      </c>
      <c r="I1694" t="s">
        <v>2201</v>
      </c>
      <c r="J1694">
        <v>1.03</v>
      </c>
      <c r="K1694">
        <v>1.03</v>
      </c>
      <c r="L1694">
        <v>5.63</v>
      </c>
      <c r="M1694">
        <v>6.22</v>
      </c>
      <c r="N1694">
        <v>5.6</v>
      </c>
    </row>
    <row r="1695" spans="1:14" x14ac:dyDescent="0.5">
      <c r="A1695" t="str">
        <f>"300308"</f>
        <v>300308</v>
      </c>
      <c r="B1695" t="s">
        <v>3278</v>
      </c>
      <c r="C1695">
        <v>3.74</v>
      </c>
      <c r="D1695">
        <v>50.06</v>
      </c>
      <c r="E1695">
        <v>56.9</v>
      </c>
      <c r="F1695">
        <v>2.0499999999999998</v>
      </c>
      <c r="G1695">
        <v>56.9</v>
      </c>
      <c r="H1695">
        <v>56.91</v>
      </c>
      <c r="I1695" t="s">
        <v>3279</v>
      </c>
      <c r="J1695">
        <v>3.86</v>
      </c>
      <c r="K1695">
        <v>3.86</v>
      </c>
      <c r="L1695">
        <v>54.97</v>
      </c>
      <c r="M1695">
        <v>56.99</v>
      </c>
      <c r="N1695">
        <v>54.2</v>
      </c>
    </row>
    <row r="1696" spans="1:14" x14ac:dyDescent="0.5">
      <c r="A1696" t="str">
        <f>"300309"</f>
        <v>300309</v>
      </c>
      <c r="B1696" t="s">
        <v>3280</v>
      </c>
      <c r="C1696">
        <v>2.56</v>
      </c>
      <c r="D1696">
        <v>19.18</v>
      </c>
      <c r="E1696">
        <v>7.62</v>
      </c>
      <c r="F1696">
        <v>0.19</v>
      </c>
      <c r="G1696">
        <v>7.61</v>
      </c>
      <c r="H1696">
        <v>7.62</v>
      </c>
      <c r="I1696" t="s">
        <v>3281</v>
      </c>
      <c r="J1696">
        <v>3.27</v>
      </c>
      <c r="K1696">
        <v>3.27</v>
      </c>
      <c r="L1696">
        <v>7.39</v>
      </c>
      <c r="M1696">
        <v>7.65</v>
      </c>
      <c r="N1696">
        <v>7.31</v>
      </c>
    </row>
    <row r="1697" spans="1:14" x14ac:dyDescent="0.5">
      <c r="A1697" t="str">
        <f>"300310"</f>
        <v>300310</v>
      </c>
      <c r="B1697" t="s">
        <v>3282</v>
      </c>
      <c r="C1697">
        <v>10.06</v>
      </c>
      <c r="D1697" t="s">
        <v>24</v>
      </c>
      <c r="E1697">
        <v>7</v>
      </c>
      <c r="F1697">
        <v>0.64</v>
      </c>
      <c r="G1697">
        <v>7</v>
      </c>
      <c r="H1697" t="s">
        <v>24</v>
      </c>
      <c r="I1697" t="s">
        <v>3283</v>
      </c>
      <c r="J1697">
        <v>15.28</v>
      </c>
      <c r="K1697">
        <v>15.28</v>
      </c>
      <c r="L1697">
        <v>6.6</v>
      </c>
      <c r="M1697">
        <v>7</v>
      </c>
      <c r="N1697">
        <v>6.45</v>
      </c>
    </row>
    <row r="1698" spans="1:14" x14ac:dyDescent="0.5">
      <c r="A1698" t="str">
        <f>"300311"</f>
        <v>300311</v>
      </c>
      <c r="B1698" t="s">
        <v>3284</v>
      </c>
      <c r="C1698">
        <v>6.42</v>
      </c>
      <c r="D1698">
        <v>28.33</v>
      </c>
      <c r="E1698">
        <v>7.79</v>
      </c>
      <c r="F1698">
        <v>0.47</v>
      </c>
      <c r="G1698">
        <v>7.79</v>
      </c>
      <c r="H1698">
        <v>7.8</v>
      </c>
      <c r="I1698" t="s">
        <v>3285</v>
      </c>
      <c r="J1698">
        <v>10.029999999999999</v>
      </c>
      <c r="K1698">
        <v>10.029999999999999</v>
      </c>
      <c r="L1698">
        <v>7.28</v>
      </c>
      <c r="M1698">
        <v>7.88</v>
      </c>
      <c r="N1698">
        <v>7.23</v>
      </c>
    </row>
    <row r="1699" spans="1:14" x14ac:dyDescent="0.5">
      <c r="A1699" t="str">
        <f>"300312"</f>
        <v>300312</v>
      </c>
      <c r="B1699" t="s">
        <v>3286</v>
      </c>
      <c r="C1699">
        <v>8.11</v>
      </c>
      <c r="D1699" t="s">
        <v>24</v>
      </c>
      <c r="E1699">
        <v>9.73</v>
      </c>
      <c r="F1699">
        <v>0.73</v>
      </c>
      <c r="G1699">
        <v>9.7200000000000006</v>
      </c>
      <c r="H1699">
        <v>9.73</v>
      </c>
      <c r="I1699" t="s">
        <v>3287</v>
      </c>
      <c r="J1699">
        <v>19.57</v>
      </c>
      <c r="K1699">
        <v>19.57</v>
      </c>
      <c r="L1699">
        <v>9.01</v>
      </c>
      <c r="M1699">
        <v>9.9</v>
      </c>
      <c r="N1699">
        <v>9</v>
      </c>
    </row>
    <row r="1700" spans="1:14" x14ac:dyDescent="0.5">
      <c r="A1700" t="str">
        <f>"300313"</f>
        <v>300313</v>
      </c>
      <c r="B1700" t="s">
        <v>3288</v>
      </c>
      <c r="C1700">
        <v>2.14</v>
      </c>
      <c r="D1700">
        <v>40.299999999999997</v>
      </c>
      <c r="E1700">
        <v>6.69</v>
      </c>
      <c r="F1700">
        <v>0.14000000000000001</v>
      </c>
      <c r="G1700">
        <v>6.68</v>
      </c>
      <c r="H1700">
        <v>6.69</v>
      </c>
      <c r="I1700" t="s">
        <v>3289</v>
      </c>
      <c r="J1700">
        <v>7.29</v>
      </c>
      <c r="K1700">
        <v>7.29</v>
      </c>
      <c r="L1700">
        <v>6.51</v>
      </c>
      <c r="M1700">
        <v>6.69</v>
      </c>
      <c r="N1700">
        <v>6.41</v>
      </c>
    </row>
    <row r="1701" spans="1:14" x14ac:dyDescent="0.5">
      <c r="A1701" t="str">
        <f>"300314"</f>
        <v>300314</v>
      </c>
      <c r="B1701" t="s">
        <v>3290</v>
      </c>
      <c r="C1701">
        <v>-1.31</v>
      </c>
      <c r="D1701">
        <v>90.33</v>
      </c>
      <c r="E1701">
        <v>10.53</v>
      </c>
      <c r="F1701">
        <v>-0.14000000000000001</v>
      </c>
      <c r="G1701">
        <v>10.53</v>
      </c>
      <c r="H1701">
        <v>10.54</v>
      </c>
      <c r="I1701" t="s">
        <v>3291</v>
      </c>
      <c r="J1701">
        <v>5.01</v>
      </c>
      <c r="K1701">
        <v>5.01</v>
      </c>
      <c r="L1701">
        <v>10.48</v>
      </c>
      <c r="M1701">
        <v>10.54</v>
      </c>
      <c r="N1701">
        <v>10.220000000000001</v>
      </c>
    </row>
    <row r="1702" spans="1:14" x14ac:dyDescent="0.5">
      <c r="A1702" t="str">
        <f>"300315"</f>
        <v>300315</v>
      </c>
      <c r="B1702" t="s">
        <v>3292</v>
      </c>
      <c r="C1702">
        <v>5.13</v>
      </c>
      <c r="D1702">
        <v>27.29</v>
      </c>
      <c r="E1702">
        <v>4.0999999999999996</v>
      </c>
      <c r="F1702">
        <v>0.2</v>
      </c>
      <c r="G1702">
        <v>4.09</v>
      </c>
      <c r="H1702">
        <v>4.0999999999999996</v>
      </c>
      <c r="I1702" t="s">
        <v>3293</v>
      </c>
      <c r="J1702">
        <v>4.24</v>
      </c>
      <c r="K1702">
        <v>4.24</v>
      </c>
      <c r="L1702">
        <v>3.93</v>
      </c>
      <c r="M1702">
        <v>4.13</v>
      </c>
      <c r="N1702">
        <v>3.89</v>
      </c>
    </row>
    <row r="1703" spans="1:14" x14ac:dyDescent="0.5">
      <c r="A1703" t="str">
        <f>"300316"</f>
        <v>300316</v>
      </c>
      <c r="B1703" t="s">
        <v>3294</v>
      </c>
      <c r="C1703">
        <v>8.06</v>
      </c>
      <c r="D1703">
        <v>31.38</v>
      </c>
      <c r="E1703">
        <v>15.68</v>
      </c>
      <c r="F1703">
        <v>1.17</v>
      </c>
      <c r="G1703">
        <v>15.68</v>
      </c>
      <c r="H1703">
        <v>15.69</v>
      </c>
      <c r="I1703" t="s">
        <v>3295</v>
      </c>
      <c r="J1703">
        <v>3.33</v>
      </c>
      <c r="K1703">
        <v>3.33</v>
      </c>
      <c r="L1703">
        <v>14.35</v>
      </c>
      <c r="M1703">
        <v>15.9</v>
      </c>
      <c r="N1703">
        <v>14.26</v>
      </c>
    </row>
    <row r="1704" spans="1:14" x14ac:dyDescent="0.5">
      <c r="A1704" t="str">
        <f>"300317"</f>
        <v>300317</v>
      </c>
      <c r="B1704" t="s">
        <v>3296</v>
      </c>
      <c r="C1704">
        <v>4.1500000000000004</v>
      </c>
      <c r="D1704">
        <v>91.5</v>
      </c>
      <c r="E1704">
        <v>6.28</v>
      </c>
      <c r="F1704">
        <v>0.25</v>
      </c>
      <c r="G1704">
        <v>6.28</v>
      </c>
      <c r="H1704">
        <v>6.29</v>
      </c>
      <c r="I1704" t="s">
        <v>3297</v>
      </c>
      <c r="J1704">
        <v>5.66</v>
      </c>
      <c r="K1704">
        <v>5.66</v>
      </c>
      <c r="L1704">
        <v>6.04</v>
      </c>
      <c r="M1704">
        <v>6.3</v>
      </c>
      <c r="N1704">
        <v>5.99</v>
      </c>
    </row>
    <row r="1705" spans="1:14" x14ac:dyDescent="0.5">
      <c r="A1705" t="str">
        <f>"300318"</f>
        <v>300318</v>
      </c>
      <c r="B1705" t="s">
        <v>3298</v>
      </c>
      <c r="C1705">
        <v>2.83</v>
      </c>
      <c r="D1705">
        <v>92.17</v>
      </c>
      <c r="E1705">
        <v>4.7300000000000004</v>
      </c>
      <c r="F1705">
        <v>0.13</v>
      </c>
      <c r="G1705">
        <v>4.72</v>
      </c>
      <c r="H1705">
        <v>4.7300000000000004</v>
      </c>
      <c r="I1705" t="s">
        <v>3299</v>
      </c>
      <c r="J1705">
        <v>1.07</v>
      </c>
      <c r="K1705">
        <v>1.07</v>
      </c>
      <c r="L1705">
        <v>4.59</v>
      </c>
      <c r="M1705">
        <v>4.76</v>
      </c>
      <c r="N1705">
        <v>4.5599999999999996</v>
      </c>
    </row>
    <row r="1706" spans="1:14" x14ac:dyDescent="0.5">
      <c r="A1706" t="str">
        <f>"300319"</f>
        <v>300319</v>
      </c>
      <c r="B1706" t="s">
        <v>3300</v>
      </c>
      <c r="C1706">
        <v>2.65</v>
      </c>
      <c r="D1706" t="s">
        <v>24</v>
      </c>
      <c r="E1706">
        <v>8.5299999999999994</v>
      </c>
      <c r="F1706">
        <v>0.22</v>
      </c>
      <c r="G1706">
        <v>8.5299999999999994</v>
      </c>
      <c r="H1706">
        <v>8.5399999999999991</v>
      </c>
      <c r="I1706" t="s">
        <v>3301</v>
      </c>
      <c r="J1706">
        <v>5.3</v>
      </c>
      <c r="K1706">
        <v>5.3</v>
      </c>
      <c r="L1706">
        <v>8.2100000000000009</v>
      </c>
      <c r="M1706">
        <v>8.5299999999999994</v>
      </c>
      <c r="N1706">
        <v>8.1</v>
      </c>
    </row>
    <row r="1707" spans="1:14" x14ac:dyDescent="0.5">
      <c r="A1707" t="str">
        <f>"300320"</f>
        <v>300320</v>
      </c>
      <c r="B1707" t="s">
        <v>3302</v>
      </c>
      <c r="C1707">
        <v>-0.16</v>
      </c>
      <c r="D1707">
        <v>22.61</v>
      </c>
      <c r="E1707">
        <v>6.16</v>
      </c>
      <c r="F1707">
        <v>-0.01</v>
      </c>
      <c r="G1707">
        <v>6.16</v>
      </c>
      <c r="H1707">
        <v>6.17</v>
      </c>
      <c r="I1707" t="s">
        <v>3303</v>
      </c>
      <c r="J1707">
        <v>6.47</v>
      </c>
      <c r="K1707">
        <v>6.47</v>
      </c>
      <c r="L1707">
        <v>6.06</v>
      </c>
      <c r="M1707">
        <v>6.19</v>
      </c>
      <c r="N1707">
        <v>5.99</v>
      </c>
    </row>
    <row r="1708" spans="1:14" x14ac:dyDescent="0.5">
      <c r="A1708" t="str">
        <f>"300321"</f>
        <v>300321</v>
      </c>
      <c r="B1708" t="s">
        <v>3304</v>
      </c>
      <c r="C1708">
        <v>2.04</v>
      </c>
      <c r="D1708">
        <v>47.02</v>
      </c>
      <c r="E1708">
        <v>14.98</v>
      </c>
      <c r="F1708">
        <v>0.3</v>
      </c>
      <c r="G1708">
        <v>14.96</v>
      </c>
      <c r="H1708">
        <v>14.98</v>
      </c>
      <c r="I1708" t="s">
        <v>3305</v>
      </c>
      <c r="J1708">
        <v>2.11</v>
      </c>
      <c r="K1708">
        <v>2.11</v>
      </c>
      <c r="L1708">
        <v>14.68</v>
      </c>
      <c r="M1708">
        <v>15.15</v>
      </c>
      <c r="N1708">
        <v>14.59</v>
      </c>
    </row>
    <row r="1709" spans="1:14" x14ac:dyDescent="0.5">
      <c r="A1709" t="str">
        <f>"300322"</f>
        <v>300322</v>
      </c>
      <c r="B1709" t="s">
        <v>3306</v>
      </c>
      <c r="C1709">
        <v>5.19</v>
      </c>
      <c r="D1709">
        <v>74.23</v>
      </c>
      <c r="E1709">
        <v>15.62</v>
      </c>
      <c r="F1709">
        <v>0.77</v>
      </c>
      <c r="G1709">
        <v>15.62</v>
      </c>
      <c r="H1709">
        <v>15.63</v>
      </c>
      <c r="I1709" t="s">
        <v>3307</v>
      </c>
      <c r="J1709">
        <v>12.22</v>
      </c>
      <c r="K1709">
        <v>12.22</v>
      </c>
      <c r="L1709">
        <v>14.85</v>
      </c>
      <c r="M1709">
        <v>15.81</v>
      </c>
      <c r="N1709">
        <v>14.6</v>
      </c>
    </row>
    <row r="1710" spans="1:14" x14ac:dyDescent="0.5">
      <c r="A1710" t="str">
        <f>"300323"</f>
        <v>300323</v>
      </c>
      <c r="B1710" t="s">
        <v>3308</v>
      </c>
      <c r="C1710">
        <v>7.67</v>
      </c>
      <c r="D1710">
        <v>14.91</v>
      </c>
      <c r="E1710">
        <v>9.27</v>
      </c>
      <c r="F1710">
        <v>0.66</v>
      </c>
      <c r="G1710">
        <v>9.27</v>
      </c>
      <c r="H1710">
        <v>9.2799999999999994</v>
      </c>
      <c r="I1710" t="s">
        <v>3309</v>
      </c>
      <c r="J1710">
        <v>6.3</v>
      </c>
      <c r="K1710">
        <v>6.3</v>
      </c>
      <c r="L1710">
        <v>8.69</v>
      </c>
      <c r="M1710">
        <v>9.2799999999999994</v>
      </c>
      <c r="N1710">
        <v>8.65</v>
      </c>
    </row>
    <row r="1711" spans="1:14" x14ac:dyDescent="0.5">
      <c r="A1711" t="str">
        <f>"300324"</f>
        <v>300324</v>
      </c>
      <c r="B1711" t="s">
        <v>3310</v>
      </c>
      <c r="C1711">
        <v>7.65</v>
      </c>
      <c r="D1711">
        <v>26.9</v>
      </c>
      <c r="E1711">
        <v>7.88</v>
      </c>
      <c r="F1711">
        <v>0.56000000000000005</v>
      </c>
      <c r="G1711">
        <v>7.87</v>
      </c>
      <c r="H1711">
        <v>7.88</v>
      </c>
      <c r="I1711" t="s">
        <v>3311</v>
      </c>
      <c r="J1711">
        <v>12</v>
      </c>
      <c r="K1711">
        <v>12</v>
      </c>
      <c r="L1711">
        <v>7.24</v>
      </c>
      <c r="M1711">
        <v>8.0500000000000007</v>
      </c>
      <c r="N1711">
        <v>7.13</v>
      </c>
    </row>
    <row r="1712" spans="1:14" x14ac:dyDescent="0.5">
      <c r="A1712" t="str">
        <f>"300325"</f>
        <v>300325</v>
      </c>
      <c r="B1712" t="s">
        <v>3312</v>
      </c>
      <c r="C1712">
        <v>4.4000000000000004</v>
      </c>
      <c r="D1712">
        <v>251.09</v>
      </c>
      <c r="E1712">
        <v>4.2699999999999996</v>
      </c>
      <c r="F1712">
        <v>0.18</v>
      </c>
      <c r="G1712">
        <v>4.2699999999999996</v>
      </c>
      <c r="H1712">
        <v>4.28</v>
      </c>
      <c r="I1712" t="s">
        <v>1895</v>
      </c>
      <c r="J1712">
        <v>9.41</v>
      </c>
      <c r="K1712">
        <v>9.41</v>
      </c>
      <c r="L1712">
        <v>4.1100000000000003</v>
      </c>
      <c r="M1712">
        <v>4.3600000000000003</v>
      </c>
      <c r="N1712">
        <v>4.05</v>
      </c>
    </row>
    <row r="1713" spans="1:14" x14ac:dyDescent="0.5">
      <c r="A1713" t="str">
        <f>"300326"</f>
        <v>300326</v>
      </c>
      <c r="B1713" t="s">
        <v>3313</v>
      </c>
      <c r="C1713">
        <v>-0.63</v>
      </c>
      <c r="D1713">
        <v>35.619999999999997</v>
      </c>
      <c r="E1713">
        <v>10.97</v>
      </c>
      <c r="F1713">
        <v>-7.0000000000000007E-2</v>
      </c>
      <c r="G1713">
        <v>10.97</v>
      </c>
      <c r="H1713">
        <v>10.98</v>
      </c>
      <c r="I1713" t="s">
        <v>3314</v>
      </c>
      <c r="J1713">
        <v>3.01</v>
      </c>
      <c r="K1713">
        <v>3.01</v>
      </c>
      <c r="L1713">
        <v>10.88</v>
      </c>
      <c r="M1713">
        <v>11.14</v>
      </c>
      <c r="N1713">
        <v>10.7</v>
      </c>
    </row>
    <row r="1714" spans="1:14" x14ac:dyDescent="0.5">
      <c r="A1714" t="str">
        <f>"300327"</f>
        <v>300327</v>
      </c>
      <c r="B1714" t="s">
        <v>3315</v>
      </c>
      <c r="C1714">
        <v>7.36</v>
      </c>
      <c r="D1714">
        <v>33.25</v>
      </c>
      <c r="E1714">
        <v>25.24</v>
      </c>
      <c r="F1714">
        <v>1.73</v>
      </c>
      <c r="G1714">
        <v>25.24</v>
      </c>
      <c r="H1714">
        <v>25.25</v>
      </c>
      <c r="I1714" t="s">
        <v>3316</v>
      </c>
      <c r="J1714">
        <v>5.89</v>
      </c>
      <c r="K1714">
        <v>5.89</v>
      </c>
      <c r="L1714">
        <v>23.53</v>
      </c>
      <c r="M1714">
        <v>25.26</v>
      </c>
      <c r="N1714">
        <v>23.35</v>
      </c>
    </row>
    <row r="1715" spans="1:14" x14ac:dyDescent="0.5">
      <c r="A1715" t="str">
        <f>"300328"</f>
        <v>300328</v>
      </c>
      <c r="B1715" t="s">
        <v>3317</v>
      </c>
      <c r="C1715">
        <v>4.26</v>
      </c>
      <c r="D1715">
        <v>79.61</v>
      </c>
      <c r="E1715">
        <v>10.53</v>
      </c>
      <c r="F1715">
        <v>0.43</v>
      </c>
      <c r="G1715">
        <v>10.52</v>
      </c>
      <c r="H1715">
        <v>10.53</v>
      </c>
      <c r="I1715" t="s">
        <v>3318</v>
      </c>
      <c r="J1715">
        <v>4.91</v>
      </c>
      <c r="K1715">
        <v>4.91</v>
      </c>
      <c r="L1715">
        <v>9.99</v>
      </c>
      <c r="M1715">
        <v>10.68</v>
      </c>
      <c r="N1715">
        <v>9.99</v>
      </c>
    </row>
    <row r="1716" spans="1:14" x14ac:dyDescent="0.5">
      <c r="A1716" t="str">
        <f>"300329"</f>
        <v>300329</v>
      </c>
      <c r="B1716" t="s">
        <v>3319</v>
      </c>
      <c r="C1716">
        <v>5.22</v>
      </c>
      <c r="D1716">
        <v>41.21</v>
      </c>
      <c r="E1716">
        <v>8.8699999999999992</v>
      </c>
      <c r="F1716">
        <v>0.44</v>
      </c>
      <c r="G1716">
        <v>8.86</v>
      </c>
      <c r="H1716">
        <v>8.8699999999999992</v>
      </c>
      <c r="I1716" t="s">
        <v>3320</v>
      </c>
      <c r="J1716">
        <v>3.94</v>
      </c>
      <c r="K1716">
        <v>3.94</v>
      </c>
      <c r="L1716">
        <v>8.41</v>
      </c>
      <c r="M1716">
        <v>8.94</v>
      </c>
      <c r="N1716">
        <v>8.3000000000000007</v>
      </c>
    </row>
    <row r="1717" spans="1:14" x14ac:dyDescent="0.5">
      <c r="A1717" t="str">
        <f>"300330"</f>
        <v>300330</v>
      </c>
      <c r="B1717" t="s">
        <v>3321</v>
      </c>
      <c r="C1717">
        <v>2.0099999999999998</v>
      </c>
      <c r="D1717" t="s">
        <v>24</v>
      </c>
      <c r="E1717">
        <v>8.14</v>
      </c>
      <c r="F1717">
        <v>0.16</v>
      </c>
      <c r="G1717">
        <v>8.14</v>
      </c>
      <c r="H1717">
        <v>8.18</v>
      </c>
      <c r="I1717" t="s">
        <v>2299</v>
      </c>
      <c r="J1717">
        <v>1.98</v>
      </c>
      <c r="K1717">
        <v>1.98</v>
      </c>
      <c r="L1717">
        <v>8</v>
      </c>
      <c r="M1717">
        <v>8.1999999999999993</v>
      </c>
      <c r="N1717">
        <v>7.91</v>
      </c>
    </row>
    <row r="1718" spans="1:14" x14ac:dyDescent="0.5">
      <c r="A1718" t="str">
        <f>"300331"</f>
        <v>300331</v>
      </c>
      <c r="B1718" t="s">
        <v>3322</v>
      </c>
      <c r="C1718">
        <v>2.9</v>
      </c>
      <c r="D1718">
        <v>40.01</v>
      </c>
      <c r="E1718">
        <v>15.26</v>
      </c>
      <c r="F1718">
        <v>0.43</v>
      </c>
      <c r="G1718">
        <v>15.25</v>
      </c>
      <c r="H1718">
        <v>15.26</v>
      </c>
      <c r="I1718" t="s">
        <v>3323</v>
      </c>
      <c r="J1718">
        <v>3.94</v>
      </c>
      <c r="K1718">
        <v>3.94</v>
      </c>
      <c r="L1718">
        <v>14.7</v>
      </c>
      <c r="M1718">
        <v>15.31</v>
      </c>
      <c r="N1718">
        <v>14.68</v>
      </c>
    </row>
    <row r="1719" spans="1:14" x14ac:dyDescent="0.5">
      <c r="A1719" t="str">
        <f>"300332"</f>
        <v>300332</v>
      </c>
      <c r="B1719" t="s">
        <v>3324</v>
      </c>
      <c r="C1719">
        <v>3.93</v>
      </c>
      <c r="D1719">
        <v>48.94</v>
      </c>
      <c r="E1719">
        <v>4.5</v>
      </c>
      <c r="F1719">
        <v>0.17</v>
      </c>
      <c r="G1719">
        <v>4.49</v>
      </c>
      <c r="H1719">
        <v>4.5</v>
      </c>
      <c r="I1719" t="s">
        <v>1848</v>
      </c>
      <c r="J1719">
        <v>4.05</v>
      </c>
      <c r="K1719">
        <v>4.05</v>
      </c>
      <c r="L1719">
        <v>4.3099999999999996</v>
      </c>
      <c r="M1719">
        <v>4.5</v>
      </c>
      <c r="N1719">
        <v>4.26</v>
      </c>
    </row>
    <row r="1720" spans="1:14" x14ac:dyDescent="0.5">
      <c r="A1720" t="str">
        <f>"300333"</f>
        <v>300333</v>
      </c>
      <c r="B1720" t="s">
        <v>3325</v>
      </c>
      <c r="C1720">
        <v>4.6500000000000004</v>
      </c>
      <c r="D1720">
        <v>303.35000000000002</v>
      </c>
      <c r="E1720">
        <v>9.4600000000000009</v>
      </c>
      <c r="F1720">
        <v>0.42</v>
      </c>
      <c r="G1720">
        <v>9.4600000000000009</v>
      </c>
      <c r="H1720">
        <v>9.4700000000000006</v>
      </c>
      <c r="I1720" t="s">
        <v>3326</v>
      </c>
      <c r="J1720">
        <v>10.98</v>
      </c>
      <c r="K1720">
        <v>10.98</v>
      </c>
      <c r="L1720">
        <v>8.9499999999999993</v>
      </c>
      <c r="M1720">
        <v>9.49</v>
      </c>
      <c r="N1720">
        <v>8.85</v>
      </c>
    </row>
    <row r="1721" spans="1:14" x14ac:dyDescent="0.5">
      <c r="A1721" t="str">
        <f>"300334"</f>
        <v>300334</v>
      </c>
      <c r="B1721" t="s">
        <v>3327</v>
      </c>
      <c r="C1721">
        <v>4.01</v>
      </c>
      <c r="D1721" t="s">
        <v>24</v>
      </c>
      <c r="E1721">
        <v>8.5500000000000007</v>
      </c>
      <c r="F1721">
        <v>0.33</v>
      </c>
      <c r="G1721">
        <v>8.5500000000000007</v>
      </c>
      <c r="H1721">
        <v>8.56</v>
      </c>
      <c r="I1721" t="s">
        <v>3328</v>
      </c>
      <c r="J1721">
        <v>4.5599999999999996</v>
      </c>
      <c r="K1721">
        <v>4.5599999999999996</v>
      </c>
      <c r="L1721">
        <v>8.15</v>
      </c>
      <c r="M1721">
        <v>8.58</v>
      </c>
      <c r="N1721">
        <v>8.11</v>
      </c>
    </row>
    <row r="1722" spans="1:14" x14ac:dyDescent="0.5">
      <c r="A1722" t="str">
        <f>"300335"</f>
        <v>300335</v>
      </c>
      <c r="B1722" t="s">
        <v>3329</v>
      </c>
      <c r="C1722">
        <v>1.5</v>
      </c>
      <c r="D1722">
        <v>13.39</v>
      </c>
      <c r="E1722">
        <v>7.44</v>
      </c>
      <c r="F1722">
        <v>0.11</v>
      </c>
      <c r="G1722">
        <v>7.44</v>
      </c>
      <c r="H1722">
        <v>7.45</v>
      </c>
      <c r="I1722" t="s">
        <v>3330</v>
      </c>
      <c r="J1722">
        <v>6.82</v>
      </c>
      <c r="K1722">
        <v>6.82</v>
      </c>
      <c r="L1722">
        <v>7.32</v>
      </c>
      <c r="M1722">
        <v>7.47</v>
      </c>
      <c r="N1722">
        <v>7.2</v>
      </c>
    </row>
    <row r="1723" spans="1:14" x14ac:dyDescent="0.5">
      <c r="A1723" t="str">
        <f>"300336"</f>
        <v>300336</v>
      </c>
      <c r="B1723" t="s">
        <v>3331</v>
      </c>
      <c r="C1723">
        <v>4.43</v>
      </c>
      <c r="D1723">
        <v>15.54</v>
      </c>
      <c r="E1723">
        <v>5.42</v>
      </c>
      <c r="F1723">
        <v>0.23</v>
      </c>
      <c r="G1723">
        <v>5.42</v>
      </c>
      <c r="H1723">
        <v>5.43</v>
      </c>
      <c r="I1723" t="s">
        <v>2685</v>
      </c>
      <c r="J1723">
        <v>6.78</v>
      </c>
      <c r="K1723">
        <v>6.78</v>
      </c>
      <c r="L1723">
        <v>5.15</v>
      </c>
      <c r="M1723">
        <v>5.43</v>
      </c>
      <c r="N1723">
        <v>5.1100000000000003</v>
      </c>
    </row>
    <row r="1724" spans="1:14" x14ac:dyDescent="0.5">
      <c r="A1724" t="str">
        <f>"300337"</f>
        <v>300337</v>
      </c>
      <c r="B1724" t="s">
        <v>3332</v>
      </c>
      <c r="C1724">
        <v>3.35</v>
      </c>
      <c r="D1724">
        <v>144.34</v>
      </c>
      <c r="E1724">
        <v>4.32</v>
      </c>
      <c r="F1724">
        <v>0.14000000000000001</v>
      </c>
      <c r="G1724">
        <v>4.32</v>
      </c>
      <c r="H1724">
        <v>4.33</v>
      </c>
      <c r="I1724" t="s">
        <v>3333</v>
      </c>
      <c r="J1724">
        <v>3.66</v>
      </c>
      <c r="K1724">
        <v>3.66</v>
      </c>
      <c r="L1724">
        <v>4.25</v>
      </c>
      <c r="M1724">
        <v>4.34</v>
      </c>
      <c r="N1724">
        <v>4.1900000000000004</v>
      </c>
    </row>
    <row r="1725" spans="1:14" x14ac:dyDescent="0.5">
      <c r="A1725" t="str">
        <f>"300338"</f>
        <v>300338</v>
      </c>
      <c r="B1725" t="s">
        <v>3334</v>
      </c>
      <c r="C1725">
        <v>5.85</v>
      </c>
      <c r="D1725">
        <v>19.27</v>
      </c>
      <c r="E1725">
        <v>9.0399999999999991</v>
      </c>
      <c r="F1725">
        <v>0.5</v>
      </c>
      <c r="G1725">
        <v>9.0399999999999991</v>
      </c>
      <c r="H1725">
        <v>9.0500000000000007</v>
      </c>
      <c r="I1725" t="s">
        <v>3335</v>
      </c>
      <c r="J1725">
        <v>5.32</v>
      </c>
      <c r="K1725">
        <v>5.32</v>
      </c>
      <c r="L1725">
        <v>8.4499999999999993</v>
      </c>
      <c r="M1725">
        <v>9.15</v>
      </c>
      <c r="N1725">
        <v>8.4</v>
      </c>
    </row>
    <row r="1726" spans="1:14" x14ac:dyDescent="0.5">
      <c r="A1726" t="str">
        <f>"300339"</f>
        <v>300339</v>
      </c>
      <c r="B1726" t="s">
        <v>3336</v>
      </c>
      <c r="C1726">
        <v>0</v>
      </c>
      <c r="D1726">
        <v>32.44</v>
      </c>
      <c r="E1726">
        <v>13.51</v>
      </c>
      <c r="F1726">
        <v>0</v>
      </c>
      <c r="G1726">
        <v>13.5</v>
      </c>
      <c r="H1726">
        <v>13.51</v>
      </c>
      <c r="I1726" t="s">
        <v>3337</v>
      </c>
      <c r="J1726">
        <v>3.52</v>
      </c>
      <c r="K1726">
        <v>3.52</v>
      </c>
      <c r="L1726">
        <v>13.15</v>
      </c>
      <c r="M1726">
        <v>13.62</v>
      </c>
      <c r="N1726">
        <v>13.01</v>
      </c>
    </row>
    <row r="1727" spans="1:14" x14ac:dyDescent="0.5">
      <c r="A1727" t="str">
        <f>"300340"</f>
        <v>300340</v>
      </c>
      <c r="B1727" t="s">
        <v>3338</v>
      </c>
      <c r="C1727">
        <v>2.31</v>
      </c>
      <c r="D1727">
        <v>95.05</v>
      </c>
      <c r="E1727">
        <v>17.73</v>
      </c>
      <c r="F1727">
        <v>0.4</v>
      </c>
      <c r="G1727">
        <v>17.73</v>
      </c>
      <c r="H1727">
        <v>17.739999999999998</v>
      </c>
      <c r="I1727" t="s">
        <v>3339</v>
      </c>
      <c r="J1727">
        <v>7.85</v>
      </c>
      <c r="K1727">
        <v>7.85</v>
      </c>
      <c r="L1727">
        <v>17.22</v>
      </c>
      <c r="M1727">
        <v>17.899999999999999</v>
      </c>
      <c r="N1727">
        <v>17.12</v>
      </c>
    </row>
    <row r="1728" spans="1:14" x14ac:dyDescent="0.5">
      <c r="A1728" t="str">
        <f>"300341"</f>
        <v>300341</v>
      </c>
      <c r="B1728" t="s">
        <v>3340</v>
      </c>
      <c r="C1728">
        <v>1.67</v>
      </c>
      <c r="D1728">
        <v>21.95</v>
      </c>
      <c r="E1728">
        <v>6.09</v>
      </c>
      <c r="F1728">
        <v>0.1</v>
      </c>
      <c r="G1728">
        <v>6.08</v>
      </c>
      <c r="H1728">
        <v>6.09</v>
      </c>
      <c r="I1728" t="s">
        <v>55</v>
      </c>
      <c r="J1728">
        <v>1.29</v>
      </c>
      <c r="K1728">
        <v>1.29</v>
      </c>
      <c r="L1728">
        <v>5.95</v>
      </c>
      <c r="M1728">
        <v>6.1</v>
      </c>
      <c r="N1728">
        <v>5.95</v>
      </c>
    </row>
    <row r="1729" spans="1:14" x14ac:dyDescent="0.5">
      <c r="A1729" t="str">
        <f>"300342"</f>
        <v>300342</v>
      </c>
      <c r="B1729" t="s">
        <v>3341</v>
      </c>
      <c r="C1729">
        <v>3.35</v>
      </c>
      <c r="D1729">
        <v>23.84</v>
      </c>
      <c r="E1729">
        <v>8.64</v>
      </c>
      <c r="F1729">
        <v>0.28000000000000003</v>
      </c>
      <c r="G1729">
        <v>8.64</v>
      </c>
      <c r="H1729">
        <v>8.65</v>
      </c>
      <c r="I1729" t="s">
        <v>1783</v>
      </c>
      <c r="J1729">
        <v>2.6</v>
      </c>
      <c r="K1729">
        <v>2.6</v>
      </c>
      <c r="L1729">
        <v>8.3000000000000007</v>
      </c>
      <c r="M1729">
        <v>8.69</v>
      </c>
      <c r="N1729">
        <v>8.23</v>
      </c>
    </row>
    <row r="1730" spans="1:14" x14ac:dyDescent="0.5">
      <c r="A1730" t="str">
        <f>"300343"</f>
        <v>300343</v>
      </c>
      <c r="B1730" t="s">
        <v>3342</v>
      </c>
      <c r="C1730">
        <v>4.24</v>
      </c>
      <c r="D1730">
        <v>15.75</v>
      </c>
      <c r="E1730">
        <v>7.62</v>
      </c>
      <c r="F1730">
        <v>0.31</v>
      </c>
      <c r="G1730">
        <v>7.62</v>
      </c>
      <c r="H1730">
        <v>7.63</v>
      </c>
      <c r="I1730" t="s">
        <v>3343</v>
      </c>
      <c r="J1730">
        <v>14.45</v>
      </c>
      <c r="K1730">
        <v>14.45</v>
      </c>
      <c r="L1730">
        <v>7.31</v>
      </c>
      <c r="M1730">
        <v>7.64</v>
      </c>
      <c r="N1730">
        <v>7.26</v>
      </c>
    </row>
    <row r="1731" spans="1:14" x14ac:dyDescent="0.5">
      <c r="A1731" t="str">
        <f>"300344"</f>
        <v>300344</v>
      </c>
      <c r="B1731" t="s">
        <v>3344</v>
      </c>
      <c r="C1731">
        <v>2.79</v>
      </c>
      <c r="D1731">
        <v>108.37</v>
      </c>
      <c r="E1731">
        <v>7.38</v>
      </c>
      <c r="F1731">
        <v>0.2</v>
      </c>
      <c r="G1731">
        <v>7.38</v>
      </c>
      <c r="H1731">
        <v>7.39</v>
      </c>
      <c r="I1731" t="s">
        <v>3345</v>
      </c>
      <c r="J1731">
        <v>7.18</v>
      </c>
      <c r="K1731">
        <v>7.18</v>
      </c>
      <c r="L1731">
        <v>7.22</v>
      </c>
      <c r="M1731">
        <v>7.44</v>
      </c>
      <c r="N1731">
        <v>7.2</v>
      </c>
    </row>
    <row r="1732" spans="1:14" x14ac:dyDescent="0.5">
      <c r="A1732" t="str">
        <f>"300345"</f>
        <v>300345</v>
      </c>
      <c r="B1732" t="s">
        <v>3346</v>
      </c>
      <c r="C1732">
        <v>2.92</v>
      </c>
      <c r="D1732" t="s">
        <v>24</v>
      </c>
      <c r="E1732">
        <v>4.93</v>
      </c>
      <c r="F1732">
        <v>0.14000000000000001</v>
      </c>
      <c r="G1732">
        <v>4.92</v>
      </c>
      <c r="H1732">
        <v>4.93</v>
      </c>
      <c r="I1732" t="s">
        <v>3347</v>
      </c>
      <c r="J1732">
        <v>10.98</v>
      </c>
      <c r="K1732">
        <v>10.98</v>
      </c>
      <c r="L1732">
        <v>4.7699999999999996</v>
      </c>
      <c r="M1732">
        <v>4.93</v>
      </c>
      <c r="N1732">
        <v>4.67</v>
      </c>
    </row>
    <row r="1733" spans="1:14" x14ac:dyDescent="0.5">
      <c r="A1733" t="str">
        <f>"300346"</f>
        <v>300346</v>
      </c>
      <c r="B1733" t="s">
        <v>3348</v>
      </c>
      <c r="C1733">
        <v>3.76</v>
      </c>
      <c r="D1733">
        <v>63.14</v>
      </c>
      <c r="E1733">
        <v>14.35</v>
      </c>
      <c r="F1733">
        <v>0.52</v>
      </c>
      <c r="G1733">
        <v>14.34</v>
      </c>
      <c r="H1733">
        <v>14.35</v>
      </c>
      <c r="I1733" t="s">
        <v>1109</v>
      </c>
      <c r="J1733">
        <v>11.15</v>
      </c>
      <c r="K1733">
        <v>11.15</v>
      </c>
      <c r="L1733">
        <v>13.6</v>
      </c>
      <c r="M1733">
        <v>14.77</v>
      </c>
      <c r="N1733">
        <v>13.4</v>
      </c>
    </row>
    <row r="1734" spans="1:14" x14ac:dyDescent="0.5">
      <c r="A1734" t="str">
        <f>"300347"</f>
        <v>300347</v>
      </c>
      <c r="B1734" t="s">
        <v>3349</v>
      </c>
      <c r="C1734">
        <v>2.59</v>
      </c>
      <c r="D1734">
        <v>68.16</v>
      </c>
      <c r="E1734">
        <v>62.19</v>
      </c>
      <c r="F1734">
        <v>1.57</v>
      </c>
      <c r="G1734">
        <v>62.18</v>
      </c>
      <c r="H1734">
        <v>62.19</v>
      </c>
      <c r="I1734" t="s">
        <v>3350</v>
      </c>
      <c r="J1734">
        <v>1.86</v>
      </c>
      <c r="K1734">
        <v>1.86</v>
      </c>
      <c r="L1734">
        <v>59.69</v>
      </c>
      <c r="M1734">
        <v>62.3</v>
      </c>
      <c r="N1734">
        <v>59.5</v>
      </c>
    </row>
    <row r="1735" spans="1:14" x14ac:dyDescent="0.5">
      <c r="A1735" t="str">
        <f>"300348"</f>
        <v>300348</v>
      </c>
      <c r="B1735" t="s">
        <v>3351</v>
      </c>
      <c r="C1735">
        <v>-0.37</v>
      </c>
      <c r="D1735">
        <v>92.33</v>
      </c>
      <c r="E1735">
        <v>26.9</v>
      </c>
      <c r="F1735">
        <v>-0.1</v>
      </c>
      <c r="G1735">
        <v>26.9</v>
      </c>
      <c r="H1735">
        <v>26.91</v>
      </c>
      <c r="I1735" t="s">
        <v>3352</v>
      </c>
      <c r="J1735">
        <v>7.75</v>
      </c>
      <c r="K1735">
        <v>7.75</v>
      </c>
      <c r="L1735">
        <v>26.01</v>
      </c>
      <c r="M1735">
        <v>27.34</v>
      </c>
      <c r="N1735">
        <v>25.8</v>
      </c>
    </row>
    <row r="1736" spans="1:14" x14ac:dyDescent="0.5">
      <c r="A1736" t="str">
        <f>"300349"</f>
        <v>300349</v>
      </c>
      <c r="B1736" t="s">
        <v>3353</v>
      </c>
      <c r="C1736">
        <v>3.19</v>
      </c>
      <c r="D1736">
        <v>17.21</v>
      </c>
      <c r="E1736">
        <v>21.67</v>
      </c>
      <c r="F1736">
        <v>0.67</v>
      </c>
      <c r="G1736">
        <v>21.67</v>
      </c>
      <c r="H1736">
        <v>21.68</v>
      </c>
      <c r="I1736" t="s">
        <v>3354</v>
      </c>
      <c r="J1736">
        <v>2.5299999999999998</v>
      </c>
      <c r="K1736">
        <v>2.5299999999999998</v>
      </c>
      <c r="L1736">
        <v>21.14</v>
      </c>
      <c r="M1736">
        <v>21.79</v>
      </c>
      <c r="N1736">
        <v>20.9</v>
      </c>
    </row>
    <row r="1737" spans="1:14" x14ac:dyDescent="0.5">
      <c r="A1737" t="str">
        <f>"300350"</f>
        <v>300350</v>
      </c>
      <c r="B1737" t="s">
        <v>3355</v>
      </c>
      <c r="C1737">
        <v>4.25</v>
      </c>
      <c r="D1737">
        <v>78.52</v>
      </c>
      <c r="E1737">
        <v>7.11</v>
      </c>
      <c r="F1737">
        <v>0.28999999999999998</v>
      </c>
      <c r="G1737">
        <v>7.11</v>
      </c>
      <c r="H1737">
        <v>7.13</v>
      </c>
      <c r="I1737" t="s">
        <v>3356</v>
      </c>
      <c r="J1737">
        <v>3.9</v>
      </c>
      <c r="K1737">
        <v>3.9</v>
      </c>
      <c r="L1737">
        <v>6.84</v>
      </c>
      <c r="M1737">
        <v>7.15</v>
      </c>
      <c r="N1737">
        <v>6.76</v>
      </c>
    </row>
    <row r="1738" spans="1:14" x14ac:dyDescent="0.5">
      <c r="A1738" t="str">
        <f>"300351"</f>
        <v>300351</v>
      </c>
      <c r="B1738" t="s">
        <v>3357</v>
      </c>
      <c r="C1738">
        <v>3.46</v>
      </c>
      <c r="D1738">
        <v>25.2</v>
      </c>
      <c r="E1738">
        <v>11.65</v>
      </c>
      <c r="F1738">
        <v>0.39</v>
      </c>
      <c r="G1738">
        <v>11.64</v>
      </c>
      <c r="H1738">
        <v>11.65</v>
      </c>
      <c r="I1738" t="s">
        <v>3358</v>
      </c>
      <c r="J1738">
        <v>4.3099999999999996</v>
      </c>
      <c r="K1738">
        <v>4.3099999999999996</v>
      </c>
      <c r="L1738">
        <v>11.56</v>
      </c>
      <c r="M1738">
        <v>11.89</v>
      </c>
      <c r="N1738">
        <v>11.31</v>
      </c>
    </row>
    <row r="1739" spans="1:14" x14ac:dyDescent="0.5">
      <c r="A1739" t="str">
        <f>"300352"</f>
        <v>300352</v>
      </c>
      <c r="B1739" t="s">
        <v>3359</v>
      </c>
      <c r="C1739">
        <v>6.75</v>
      </c>
      <c r="D1739">
        <v>77.95</v>
      </c>
      <c r="E1739">
        <v>5.85</v>
      </c>
      <c r="F1739">
        <v>0.37</v>
      </c>
      <c r="G1739">
        <v>5.85</v>
      </c>
      <c r="H1739">
        <v>5.86</v>
      </c>
      <c r="I1739" t="s">
        <v>3360</v>
      </c>
      <c r="J1739">
        <v>5.49</v>
      </c>
      <c r="K1739">
        <v>5.49</v>
      </c>
      <c r="L1739">
        <v>5.45</v>
      </c>
      <c r="M1739">
        <v>5.9</v>
      </c>
      <c r="N1739">
        <v>5.37</v>
      </c>
    </row>
    <row r="1740" spans="1:14" x14ac:dyDescent="0.5">
      <c r="A1740" t="str">
        <f>"300353"</f>
        <v>300353</v>
      </c>
      <c r="B1740" t="s">
        <v>3361</v>
      </c>
      <c r="C1740">
        <v>4.4800000000000004</v>
      </c>
      <c r="D1740">
        <v>58.48</v>
      </c>
      <c r="E1740">
        <v>12.6</v>
      </c>
      <c r="F1740">
        <v>0.54</v>
      </c>
      <c r="G1740">
        <v>12.6</v>
      </c>
      <c r="H1740">
        <v>12.61</v>
      </c>
      <c r="I1740" t="s">
        <v>383</v>
      </c>
      <c r="J1740">
        <v>22.39</v>
      </c>
      <c r="K1740">
        <v>22.39</v>
      </c>
      <c r="L1740">
        <v>12.28</v>
      </c>
      <c r="M1740">
        <v>13.1</v>
      </c>
      <c r="N1740">
        <v>11.68</v>
      </c>
    </row>
    <row r="1741" spans="1:14" x14ac:dyDescent="0.5">
      <c r="A1741" t="str">
        <f>"300354"</f>
        <v>300354</v>
      </c>
      <c r="B1741" t="s">
        <v>3362</v>
      </c>
      <c r="C1741">
        <v>2.78</v>
      </c>
      <c r="D1741">
        <v>244.99</v>
      </c>
      <c r="E1741">
        <v>10.37</v>
      </c>
      <c r="F1741">
        <v>0.28000000000000003</v>
      </c>
      <c r="G1741">
        <v>10.37</v>
      </c>
      <c r="H1741">
        <v>10.38</v>
      </c>
      <c r="I1741" t="s">
        <v>3363</v>
      </c>
      <c r="J1741">
        <v>3.97</v>
      </c>
      <c r="K1741">
        <v>3.97</v>
      </c>
      <c r="L1741">
        <v>10.07</v>
      </c>
      <c r="M1741">
        <v>10.44</v>
      </c>
      <c r="N1741">
        <v>9.9700000000000006</v>
      </c>
    </row>
    <row r="1742" spans="1:14" x14ac:dyDescent="0.5">
      <c r="A1742" t="str">
        <f>"300355"</f>
        <v>300355</v>
      </c>
      <c r="B1742" t="s">
        <v>3364</v>
      </c>
      <c r="C1742">
        <v>1.1599999999999999</v>
      </c>
      <c r="D1742">
        <v>16.78</v>
      </c>
      <c r="E1742">
        <v>5.24</v>
      </c>
      <c r="F1742">
        <v>0.06</v>
      </c>
      <c r="G1742">
        <v>5.24</v>
      </c>
      <c r="H1742">
        <v>5.25</v>
      </c>
      <c r="I1742" t="s">
        <v>3365</v>
      </c>
      <c r="J1742">
        <v>8.31</v>
      </c>
      <c r="K1742">
        <v>8.31</v>
      </c>
      <c r="L1742">
        <v>5.04</v>
      </c>
      <c r="M1742">
        <v>5.28</v>
      </c>
      <c r="N1742">
        <v>5.03</v>
      </c>
    </row>
    <row r="1743" spans="1:14" x14ac:dyDescent="0.5">
      <c r="A1743" t="str">
        <f>"300356"</f>
        <v>300356</v>
      </c>
      <c r="B1743" t="s">
        <v>3366</v>
      </c>
      <c r="C1743">
        <v>2.04</v>
      </c>
      <c r="D1743" t="s">
        <v>24</v>
      </c>
      <c r="E1743">
        <v>8.02</v>
      </c>
      <c r="F1743">
        <v>0.16</v>
      </c>
      <c r="G1743">
        <v>8.02</v>
      </c>
      <c r="H1743">
        <v>8.0299999999999994</v>
      </c>
      <c r="I1743" t="s">
        <v>3367</v>
      </c>
      <c r="J1743">
        <v>9.42</v>
      </c>
      <c r="K1743">
        <v>9.42</v>
      </c>
      <c r="L1743">
        <v>7.86</v>
      </c>
      <c r="M1743">
        <v>8.06</v>
      </c>
      <c r="N1743">
        <v>7.77</v>
      </c>
    </row>
    <row r="1744" spans="1:14" x14ac:dyDescent="0.5">
      <c r="A1744" t="str">
        <f>"300357"</f>
        <v>300357</v>
      </c>
      <c r="B1744" t="s">
        <v>3368</v>
      </c>
      <c r="C1744">
        <v>-0.18</v>
      </c>
      <c r="D1744">
        <v>53.77</v>
      </c>
      <c r="E1744">
        <v>44.14</v>
      </c>
      <c r="F1744">
        <v>-0.08</v>
      </c>
      <c r="G1744">
        <v>44.14</v>
      </c>
      <c r="H1744">
        <v>44.15</v>
      </c>
      <c r="I1744" t="s">
        <v>3369</v>
      </c>
      <c r="J1744">
        <v>0.84</v>
      </c>
      <c r="K1744">
        <v>0.84</v>
      </c>
      <c r="L1744">
        <v>43.97</v>
      </c>
      <c r="M1744">
        <v>44.2</v>
      </c>
      <c r="N1744">
        <v>43.06</v>
      </c>
    </row>
    <row r="1745" spans="1:14" x14ac:dyDescent="0.5">
      <c r="A1745" t="str">
        <f>"300358"</f>
        <v>300358</v>
      </c>
      <c r="B1745" t="s">
        <v>3370</v>
      </c>
      <c r="C1745">
        <v>3.25</v>
      </c>
      <c r="D1745">
        <v>33.479999999999997</v>
      </c>
      <c r="E1745">
        <v>8.9</v>
      </c>
      <c r="F1745">
        <v>0.28000000000000003</v>
      </c>
      <c r="G1745">
        <v>8.9</v>
      </c>
      <c r="H1745">
        <v>8.91</v>
      </c>
      <c r="I1745" t="s">
        <v>3371</v>
      </c>
      <c r="J1745">
        <v>1.77</v>
      </c>
      <c r="K1745">
        <v>1.77</v>
      </c>
      <c r="L1745">
        <v>8.6</v>
      </c>
      <c r="M1745">
        <v>8.9</v>
      </c>
      <c r="N1745">
        <v>8.56</v>
      </c>
    </row>
    <row r="1746" spans="1:14" x14ac:dyDescent="0.5">
      <c r="A1746" t="str">
        <f>"300359"</f>
        <v>300359</v>
      </c>
      <c r="B1746" t="s">
        <v>3372</v>
      </c>
      <c r="C1746">
        <v>4.1900000000000004</v>
      </c>
      <c r="D1746">
        <v>55.72</v>
      </c>
      <c r="E1746">
        <v>6.97</v>
      </c>
      <c r="F1746">
        <v>0.28000000000000003</v>
      </c>
      <c r="G1746">
        <v>6.97</v>
      </c>
      <c r="H1746">
        <v>6.98</v>
      </c>
      <c r="I1746" t="s">
        <v>3373</v>
      </c>
      <c r="J1746">
        <v>5.51</v>
      </c>
      <c r="K1746">
        <v>5.51</v>
      </c>
      <c r="L1746">
        <v>6.7</v>
      </c>
      <c r="M1746">
        <v>7.16</v>
      </c>
      <c r="N1746">
        <v>6.67</v>
      </c>
    </row>
    <row r="1747" spans="1:14" x14ac:dyDescent="0.5">
      <c r="A1747" t="str">
        <f>"300360"</f>
        <v>300360</v>
      </c>
      <c r="B1747" t="s">
        <v>3374</v>
      </c>
      <c r="C1747">
        <v>5.05</v>
      </c>
      <c r="D1747">
        <v>20.78</v>
      </c>
      <c r="E1747">
        <v>9.16</v>
      </c>
      <c r="F1747">
        <v>0.44</v>
      </c>
      <c r="G1747">
        <v>9.16</v>
      </c>
      <c r="H1747">
        <v>9.17</v>
      </c>
      <c r="I1747" t="s">
        <v>3375</v>
      </c>
      <c r="J1747">
        <v>2.2200000000000002</v>
      </c>
      <c r="K1747">
        <v>2.2200000000000002</v>
      </c>
      <c r="L1747">
        <v>8.76</v>
      </c>
      <c r="M1747">
        <v>9.35</v>
      </c>
      <c r="N1747">
        <v>8.61</v>
      </c>
    </row>
    <row r="1748" spans="1:14" x14ac:dyDescent="0.5">
      <c r="A1748" t="str">
        <f>"300362"</f>
        <v>300362</v>
      </c>
      <c r="B1748" t="s">
        <v>3376</v>
      </c>
      <c r="C1748">
        <v>4.8</v>
      </c>
      <c r="D1748" t="s">
        <v>24</v>
      </c>
      <c r="E1748">
        <v>6.99</v>
      </c>
      <c r="F1748">
        <v>0.32</v>
      </c>
      <c r="G1748">
        <v>6.99</v>
      </c>
      <c r="H1748">
        <v>7</v>
      </c>
      <c r="I1748" t="s">
        <v>3377</v>
      </c>
      <c r="J1748">
        <v>23.6</v>
      </c>
      <c r="K1748">
        <v>23.6</v>
      </c>
      <c r="L1748">
        <v>7.06</v>
      </c>
      <c r="M1748">
        <v>7.34</v>
      </c>
      <c r="N1748">
        <v>6.7</v>
      </c>
    </row>
    <row r="1749" spans="1:14" x14ac:dyDescent="0.5">
      <c r="A1749" t="str">
        <f>"300363"</f>
        <v>300363</v>
      </c>
      <c r="B1749" t="s">
        <v>3378</v>
      </c>
      <c r="C1749">
        <v>1.84</v>
      </c>
      <c r="D1749">
        <v>39.159999999999997</v>
      </c>
      <c r="E1749">
        <v>10.5</v>
      </c>
      <c r="F1749">
        <v>0.19</v>
      </c>
      <c r="G1749">
        <v>10.5</v>
      </c>
      <c r="H1749">
        <v>10.51</v>
      </c>
      <c r="I1749" t="s">
        <v>3379</v>
      </c>
      <c r="J1749">
        <v>0.79</v>
      </c>
      <c r="K1749">
        <v>0.79</v>
      </c>
      <c r="L1749">
        <v>10.31</v>
      </c>
      <c r="M1749">
        <v>10.5</v>
      </c>
      <c r="N1749">
        <v>10.220000000000001</v>
      </c>
    </row>
    <row r="1750" spans="1:14" x14ac:dyDescent="0.5">
      <c r="A1750" t="str">
        <f>"300364"</f>
        <v>300364</v>
      </c>
      <c r="B1750" t="s">
        <v>3380</v>
      </c>
      <c r="C1750">
        <v>3.25</v>
      </c>
      <c r="D1750">
        <v>53.02</v>
      </c>
      <c r="E1750">
        <v>5.71</v>
      </c>
      <c r="F1750">
        <v>0.18</v>
      </c>
      <c r="G1750">
        <v>5.7</v>
      </c>
      <c r="H1750">
        <v>5.71</v>
      </c>
      <c r="I1750" t="s">
        <v>3381</v>
      </c>
      <c r="J1750">
        <v>8.81</v>
      </c>
      <c r="K1750">
        <v>8.81</v>
      </c>
      <c r="L1750">
        <v>5.46</v>
      </c>
      <c r="M1750">
        <v>5.73</v>
      </c>
      <c r="N1750">
        <v>5.46</v>
      </c>
    </row>
    <row r="1751" spans="1:14" x14ac:dyDescent="0.5">
      <c r="A1751" t="str">
        <f>"300365"</f>
        <v>300365</v>
      </c>
      <c r="B1751" t="s">
        <v>3382</v>
      </c>
      <c r="C1751">
        <v>4.17</v>
      </c>
      <c r="D1751">
        <v>40.04</v>
      </c>
      <c r="E1751">
        <v>25.49</v>
      </c>
      <c r="F1751">
        <v>1.02</v>
      </c>
      <c r="G1751">
        <v>25.49</v>
      </c>
      <c r="H1751">
        <v>25.5</v>
      </c>
      <c r="I1751" t="s">
        <v>3383</v>
      </c>
      <c r="J1751">
        <v>3.73</v>
      </c>
      <c r="K1751">
        <v>3.73</v>
      </c>
      <c r="L1751">
        <v>24.12</v>
      </c>
      <c r="M1751">
        <v>25.6</v>
      </c>
      <c r="N1751">
        <v>24.12</v>
      </c>
    </row>
    <row r="1752" spans="1:14" x14ac:dyDescent="0.5">
      <c r="A1752" t="str">
        <f>"300366"</f>
        <v>300366</v>
      </c>
      <c r="B1752" t="s">
        <v>3384</v>
      </c>
      <c r="C1752">
        <v>10.01</v>
      </c>
      <c r="D1752">
        <v>23.59</v>
      </c>
      <c r="E1752">
        <v>9.67</v>
      </c>
      <c r="F1752">
        <v>0.88</v>
      </c>
      <c r="G1752">
        <v>9.67</v>
      </c>
      <c r="H1752" t="s">
        <v>24</v>
      </c>
      <c r="I1752" t="s">
        <v>1243</v>
      </c>
      <c r="J1752">
        <v>4.2300000000000004</v>
      </c>
      <c r="K1752">
        <v>4.2300000000000004</v>
      </c>
      <c r="L1752">
        <v>9.67</v>
      </c>
      <c r="M1752">
        <v>9.67</v>
      </c>
      <c r="N1752">
        <v>9.51</v>
      </c>
    </row>
    <row r="1753" spans="1:14" x14ac:dyDescent="0.5">
      <c r="A1753" t="str">
        <f>"300367"</f>
        <v>300367</v>
      </c>
      <c r="B1753" t="s">
        <v>3385</v>
      </c>
      <c r="C1753">
        <v>10.029999999999999</v>
      </c>
      <c r="D1753">
        <v>22.72</v>
      </c>
      <c r="E1753">
        <v>12.29</v>
      </c>
      <c r="F1753">
        <v>1.1200000000000001</v>
      </c>
      <c r="G1753">
        <v>12.29</v>
      </c>
      <c r="H1753" t="s">
        <v>24</v>
      </c>
      <c r="I1753" t="s">
        <v>3386</v>
      </c>
      <c r="J1753">
        <v>9.41</v>
      </c>
      <c r="K1753">
        <v>9.41</v>
      </c>
      <c r="L1753">
        <v>11.1</v>
      </c>
      <c r="M1753">
        <v>12.29</v>
      </c>
      <c r="N1753">
        <v>11.01</v>
      </c>
    </row>
    <row r="1754" spans="1:14" x14ac:dyDescent="0.5">
      <c r="A1754" t="str">
        <f>"300368"</f>
        <v>300368</v>
      </c>
      <c r="B1754" t="s">
        <v>3387</v>
      </c>
      <c r="C1754">
        <v>1.94</v>
      </c>
      <c r="D1754" t="s">
        <v>24</v>
      </c>
      <c r="E1754">
        <v>8.93</v>
      </c>
      <c r="F1754">
        <v>0.17</v>
      </c>
      <c r="G1754">
        <v>8.92</v>
      </c>
      <c r="H1754">
        <v>8.93</v>
      </c>
      <c r="I1754" t="s">
        <v>3388</v>
      </c>
      <c r="J1754">
        <v>6.44</v>
      </c>
      <c r="K1754">
        <v>6.44</v>
      </c>
      <c r="L1754">
        <v>8.51</v>
      </c>
      <c r="M1754">
        <v>8.9700000000000006</v>
      </c>
      <c r="N1754">
        <v>8.3800000000000008</v>
      </c>
    </row>
    <row r="1755" spans="1:14" x14ac:dyDescent="0.5">
      <c r="A1755" t="str">
        <f>"300369"</f>
        <v>300369</v>
      </c>
      <c r="B1755" t="s">
        <v>3389</v>
      </c>
      <c r="C1755">
        <v>5.52</v>
      </c>
      <c r="D1755">
        <v>56.08</v>
      </c>
      <c r="E1755">
        <v>12.43</v>
      </c>
      <c r="F1755">
        <v>0.65</v>
      </c>
      <c r="G1755">
        <v>12.42</v>
      </c>
      <c r="H1755">
        <v>12.43</v>
      </c>
      <c r="I1755" t="s">
        <v>3390</v>
      </c>
      <c r="J1755">
        <v>1.89</v>
      </c>
      <c r="K1755">
        <v>1.89</v>
      </c>
      <c r="L1755">
        <v>11.8</v>
      </c>
      <c r="M1755">
        <v>12.51</v>
      </c>
      <c r="N1755">
        <v>11.6</v>
      </c>
    </row>
    <row r="1756" spans="1:14" x14ac:dyDescent="0.5">
      <c r="A1756" t="str">
        <f>"300370"</f>
        <v>300370</v>
      </c>
      <c r="B1756" t="s">
        <v>3391</v>
      </c>
      <c r="C1756">
        <v>10.06</v>
      </c>
      <c r="D1756">
        <v>40.65</v>
      </c>
      <c r="E1756">
        <v>3.94</v>
      </c>
      <c r="F1756">
        <v>0.36</v>
      </c>
      <c r="G1756">
        <v>3.94</v>
      </c>
      <c r="H1756" t="s">
        <v>24</v>
      </c>
      <c r="I1756" t="s">
        <v>1149</v>
      </c>
      <c r="J1756">
        <v>0.79</v>
      </c>
      <c r="K1756">
        <v>0.79</v>
      </c>
      <c r="L1756">
        <v>3.94</v>
      </c>
      <c r="M1756">
        <v>3.94</v>
      </c>
      <c r="N1756">
        <v>3.94</v>
      </c>
    </row>
    <row r="1757" spans="1:14" x14ac:dyDescent="0.5">
      <c r="A1757" t="str">
        <f>"300371"</f>
        <v>300371</v>
      </c>
      <c r="B1757" t="s">
        <v>3392</v>
      </c>
      <c r="C1757">
        <v>1.81</v>
      </c>
      <c r="D1757">
        <v>21.88</v>
      </c>
      <c r="E1757">
        <v>15.2</v>
      </c>
      <c r="F1757">
        <v>0.27</v>
      </c>
      <c r="G1757">
        <v>15.19</v>
      </c>
      <c r="H1757">
        <v>15.2</v>
      </c>
      <c r="I1757" t="s">
        <v>3393</v>
      </c>
      <c r="J1757">
        <v>1.24</v>
      </c>
      <c r="K1757">
        <v>1.24</v>
      </c>
      <c r="L1757">
        <v>14.56</v>
      </c>
      <c r="M1757">
        <v>15.2</v>
      </c>
      <c r="N1757">
        <v>14.45</v>
      </c>
    </row>
    <row r="1758" spans="1:14" x14ac:dyDescent="0.5">
      <c r="A1758" t="str">
        <f>"300373"</f>
        <v>300373</v>
      </c>
      <c r="B1758" t="s">
        <v>3394</v>
      </c>
      <c r="C1758">
        <v>6.47</v>
      </c>
      <c r="D1758">
        <v>29.94</v>
      </c>
      <c r="E1758">
        <v>20.25</v>
      </c>
      <c r="F1758">
        <v>1.23</v>
      </c>
      <c r="G1758">
        <v>20.239999999999998</v>
      </c>
      <c r="H1758">
        <v>20.25</v>
      </c>
      <c r="I1758" t="s">
        <v>3395</v>
      </c>
      <c r="J1758">
        <v>9.34</v>
      </c>
      <c r="K1758">
        <v>9.34</v>
      </c>
      <c r="L1758">
        <v>19</v>
      </c>
      <c r="M1758">
        <v>20.27</v>
      </c>
      <c r="N1758">
        <v>18.829999999999998</v>
      </c>
    </row>
    <row r="1759" spans="1:14" x14ac:dyDescent="0.5">
      <c r="A1759" t="str">
        <f>"300374"</f>
        <v>300374</v>
      </c>
      <c r="B1759" t="s">
        <v>3396</v>
      </c>
      <c r="C1759">
        <v>2.29</v>
      </c>
      <c r="D1759">
        <v>33.79</v>
      </c>
      <c r="E1759">
        <v>11.18</v>
      </c>
      <c r="F1759">
        <v>0.25</v>
      </c>
      <c r="G1759">
        <v>11.18</v>
      </c>
      <c r="H1759">
        <v>11.2</v>
      </c>
      <c r="I1759" t="s">
        <v>3023</v>
      </c>
      <c r="J1759">
        <v>4.16</v>
      </c>
      <c r="K1759">
        <v>4.16</v>
      </c>
      <c r="L1759">
        <v>10.9</v>
      </c>
      <c r="M1759">
        <v>11.27</v>
      </c>
      <c r="N1759">
        <v>10.75</v>
      </c>
    </row>
    <row r="1760" spans="1:14" x14ac:dyDescent="0.5">
      <c r="A1760" t="str">
        <f>"300375"</f>
        <v>300375</v>
      </c>
      <c r="B1760" t="s">
        <v>3397</v>
      </c>
      <c r="C1760">
        <v>3.62</v>
      </c>
      <c r="D1760">
        <v>19.72</v>
      </c>
      <c r="E1760">
        <v>6.59</v>
      </c>
      <c r="F1760">
        <v>0.23</v>
      </c>
      <c r="G1760">
        <v>6.58</v>
      </c>
      <c r="H1760">
        <v>6.59</v>
      </c>
      <c r="I1760" t="s">
        <v>1074</v>
      </c>
      <c r="J1760">
        <v>2.2799999999999998</v>
      </c>
      <c r="K1760">
        <v>2.2799999999999998</v>
      </c>
      <c r="L1760">
        <v>6.33</v>
      </c>
      <c r="M1760">
        <v>6.7</v>
      </c>
      <c r="N1760">
        <v>6.26</v>
      </c>
    </row>
    <row r="1761" spans="1:14" x14ac:dyDescent="0.5">
      <c r="A1761" t="str">
        <f>"300376"</f>
        <v>300376</v>
      </c>
      <c r="B1761" t="s">
        <v>3398</v>
      </c>
      <c r="C1761">
        <v>2.9</v>
      </c>
      <c r="D1761">
        <v>17.670000000000002</v>
      </c>
      <c r="E1761">
        <v>6.04</v>
      </c>
      <c r="F1761">
        <v>0.17</v>
      </c>
      <c r="G1761">
        <v>6.04</v>
      </c>
      <c r="H1761">
        <v>6.05</v>
      </c>
      <c r="I1761" t="s">
        <v>3399</v>
      </c>
      <c r="J1761">
        <v>1.49</v>
      </c>
      <c r="K1761">
        <v>1.49</v>
      </c>
      <c r="L1761">
        <v>5.85</v>
      </c>
      <c r="M1761">
        <v>6.04</v>
      </c>
      <c r="N1761">
        <v>5.76</v>
      </c>
    </row>
    <row r="1762" spans="1:14" x14ac:dyDescent="0.5">
      <c r="A1762" t="str">
        <f>"300377"</f>
        <v>300377</v>
      </c>
      <c r="B1762" t="s">
        <v>3400</v>
      </c>
      <c r="C1762">
        <v>6.73</v>
      </c>
      <c r="D1762">
        <v>45.1</v>
      </c>
      <c r="E1762">
        <v>16.329999999999998</v>
      </c>
      <c r="F1762">
        <v>1.03</v>
      </c>
      <c r="G1762">
        <v>16.32</v>
      </c>
      <c r="H1762">
        <v>16.329999999999998</v>
      </c>
      <c r="I1762" t="s">
        <v>3401</v>
      </c>
      <c r="J1762">
        <v>10.52</v>
      </c>
      <c r="K1762">
        <v>10.52</v>
      </c>
      <c r="L1762">
        <v>15.12</v>
      </c>
      <c r="M1762">
        <v>16.5</v>
      </c>
      <c r="N1762">
        <v>14.9</v>
      </c>
    </row>
    <row r="1763" spans="1:14" x14ac:dyDescent="0.5">
      <c r="A1763" t="str">
        <f>"300378"</f>
        <v>300378</v>
      </c>
      <c r="B1763" t="s">
        <v>3402</v>
      </c>
      <c r="C1763">
        <v>5.27</v>
      </c>
      <c r="D1763">
        <v>50.55</v>
      </c>
      <c r="E1763">
        <v>13.38</v>
      </c>
      <c r="F1763">
        <v>0.67</v>
      </c>
      <c r="G1763">
        <v>13.37</v>
      </c>
      <c r="H1763">
        <v>13.38</v>
      </c>
      <c r="I1763" t="s">
        <v>1583</v>
      </c>
      <c r="J1763">
        <v>5.09</v>
      </c>
      <c r="K1763">
        <v>5.09</v>
      </c>
      <c r="L1763">
        <v>12.57</v>
      </c>
      <c r="M1763">
        <v>13.38</v>
      </c>
      <c r="N1763">
        <v>12.55</v>
      </c>
    </row>
    <row r="1764" spans="1:14" x14ac:dyDescent="0.5">
      <c r="A1764" t="str">
        <f>"300379"</f>
        <v>300379</v>
      </c>
      <c r="B1764" t="s">
        <v>3403</v>
      </c>
      <c r="C1764">
        <v>10</v>
      </c>
      <c r="D1764" t="s">
        <v>24</v>
      </c>
      <c r="E1764">
        <v>22.99</v>
      </c>
      <c r="F1764">
        <v>2.09</v>
      </c>
      <c r="G1764">
        <v>22.99</v>
      </c>
      <c r="H1764" t="s">
        <v>24</v>
      </c>
      <c r="I1764" t="s">
        <v>2295</v>
      </c>
      <c r="J1764">
        <v>9.2200000000000006</v>
      </c>
      <c r="K1764">
        <v>9.2200000000000006</v>
      </c>
      <c r="L1764">
        <v>20.52</v>
      </c>
      <c r="M1764">
        <v>22.99</v>
      </c>
      <c r="N1764">
        <v>20.51</v>
      </c>
    </row>
    <row r="1765" spans="1:14" x14ac:dyDescent="0.5">
      <c r="A1765" t="str">
        <f>"300380"</f>
        <v>300380</v>
      </c>
      <c r="B1765" t="s">
        <v>3404</v>
      </c>
      <c r="C1765">
        <v>2.91</v>
      </c>
      <c r="D1765">
        <v>123.44</v>
      </c>
      <c r="E1765">
        <v>23.36</v>
      </c>
      <c r="F1765">
        <v>0.66</v>
      </c>
      <c r="G1765">
        <v>23.36</v>
      </c>
      <c r="H1765">
        <v>23.37</v>
      </c>
      <c r="I1765" t="s">
        <v>3405</v>
      </c>
      <c r="J1765">
        <v>7.48</v>
      </c>
      <c r="K1765">
        <v>7.48</v>
      </c>
      <c r="L1765">
        <v>22.23</v>
      </c>
      <c r="M1765">
        <v>23.52</v>
      </c>
      <c r="N1765">
        <v>21.86</v>
      </c>
    </row>
    <row r="1766" spans="1:14" x14ac:dyDescent="0.5">
      <c r="A1766" t="str">
        <f>"300381"</f>
        <v>300381</v>
      </c>
      <c r="B1766" t="s">
        <v>3406</v>
      </c>
      <c r="C1766">
        <v>0.81</v>
      </c>
      <c r="D1766">
        <v>35.409999999999997</v>
      </c>
      <c r="E1766">
        <v>9.9</v>
      </c>
      <c r="F1766">
        <v>0.08</v>
      </c>
      <c r="G1766">
        <v>9.9</v>
      </c>
      <c r="H1766">
        <v>9.91</v>
      </c>
      <c r="I1766" t="s">
        <v>3407</v>
      </c>
      <c r="J1766">
        <v>0.77</v>
      </c>
      <c r="K1766">
        <v>0.77</v>
      </c>
      <c r="L1766">
        <v>9.82</v>
      </c>
      <c r="M1766">
        <v>9.92</v>
      </c>
      <c r="N1766">
        <v>9.6199999999999992</v>
      </c>
    </row>
    <row r="1767" spans="1:14" x14ac:dyDescent="0.5">
      <c r="A1767" t="str">
        <f>"300382"</f>
        <v>300382</v>
      </c>
      <c r="B1767" t="s">
        <v>3408</v>
      </c>
      <c r="C1767">
        <v>2.65</v>
      </c>
      <c r="D1767">
        <v>23.74</v>
      </c>
      <c r="E1767">
        <v>6.98</v>
      </c>
      <c r="F1767">
        <v>0.18</v>
      </c>
      <c r="G1767">
        <v>6.97</v>
      </c>
      <c r="H1767">
        <v>6.98</v>
      </c>
      <c r="I1767" t="s">
        <v>3409</v>
      </c>
      <c r="J1767">
        <v>2.04</v>
      </c>
      <c r="K1767">
        <v>2.04</v>
      </c>
      <c r="L1767">
        <v>6.75</v>
      </c>
      <c r="M1767">
        <v>7.39</v>
      </c>
      <c r="N1767">
        <v>6.73</v>
      </c>
    </row>
    <row r="1768" spans="1:14" x14ac:dyDescent="0.5">
      <c r="A1768" t="str">
        <f>"300383"</f>
        <v>300383</v>
      </c>
      <c r="B1768" t="s">
        <v>3410</v>
      </c>
      <c r="C1768">
        <v>9.2100000000000009</v>
      </c>
      <c r="D1768">
        <v>45.25</v>
      </c>
      <c r="E1768">
        <v>19.559999999999999</v>
      </c>
      <c r="F1768">
        <v>1.65</v>
      </c>
      <c r="G1768">
        <v>19.559999999999999</v>
      </c>
      <c r="H1768">
        <v>19.57</v>
      </c>
      <c r="I1768" t="s">
        <v>3411</v>
      </c>
      <c r="J1768">
        <v>4.54</v>
      </c>
      <c r="K1768">
        <v>4.54</v>
      </c>
      <c r="L1768">
        <v>17.850000000000001</v>
      </c>
      <c r="M1768">
        <v>19.7</v>
      </c>
      <c r="N1768">
        <v>17.7</v>
      </c>
    </row>
    <row r="1769" spans="1:14" x14ac:dyDescent="0.5">
      <c r="A1769" t="str">
        <f>"300384"</f>
        <v>300384</v>
      </c>
      <c r="B1769" t="s">
        <v>3412</v>
      </c>
      <c r="C1769">
        <v>1.46</v>
      </c>
      <c r="D1769">
        <v>41.38</v>
      </c>
      <c r="E1769">
        <v>16.64</v>
      </c>
      <c r="F1769">
        <v>0.24</v>
      </c>
      <c r="G1769">
        <v>16.64</v>
      </c>
      <c r="H1769">
        <v>16.649999999999999</v>
      </c>
      <c r="I1769" t="s">
        <v>3413</v>
      </c>
      <c r="J1769">
        <v>6.37</v>
      </c>
      <c r="K1769">
        <v>6.37</v>
      </c>
      <c r="L1769">
        <v>16.18</v>
      </c>
      <c r="M1769">
        <v>16.649999999999999</v>
      </c>
      <c r="N1769">
        <v>15.81</v>
      </c>
    </row>
    <row r="1770" spans="1:14" x14ac:dyDescent="0.5">
      <c r="A1770" t="str">
        <f>"300385"</f>
        <v>300385</v>
      </c>
      <c r="B1770" t="s">
        <v>3414</v>
      </c>
      <c r="C1770">
        <v>0.3</v>
      </c>
      <c r="D1770">
        <v>32.69</v>
      </c>
      <c r="E1770">
        <v>16.64</v>
      </c>
      <c r="F1770">
        <v>0.05</v>
      </c>
      <c r="G1770">
        <v>16.64</v>
      </c>
      <c r="H1770">
        <v>16.649999999999999</v>
      </c>
      <c r="I1770" t="s">
        <v>3415</v>
      </c>
      <c r="J1770">
        <v>2.88</v>
      </c>
      <c r="K1770">
        <v>2.88</v>
      </c>
      <c r="L1770">
        <v>16.59</v>
      </c>
      <c r="M1770">
        <v>16.73</v>
      </c>
      <c r="N1770">
        <v>16.329999999999998</v>
      </c>
    </row>
    <row r="1771" spans="1:14" x14ac:dyDescent="0.5">
      <c r="A1771" t="str">
        <f>"300386"</f>
        <v>300386</v>
      </c>
      <c r="B1771" t="s">
        <v>3416</v>
      </c>
      <c r="C1771">
        <v>4.33</v>
      </c>
      <c r="D1771">
        <v>37.4</v>
      </c>
      <c r="E1771">
        <v>13.99</v>
      </c>
      <c r="F1771">
        <v>0.57999999999999996</v>
      </c>
      <c r="G1771">
        <v>13.98</v>
      </c>
      <c r="H1771">
        <v>13.99</v>
      </c>
      <c r="I1771" t="s">
        <v>3417</v>
      </c>
      <c r="J1771">
        <v>6.96</v>
      </c>
      <c r="K1771">
        <v>6.96</v>
      </c>
      <c r="L1771">
        <v>13.27</v>
      </c>
      <c r="M1771">
        <v>14.1</v>
      </c>
      <c r="N1771">
        <v>13.15</v>
      </c>
    </row>
    <row r="1772" spans="1:14" x14ac:dyDescent="0.5">
      <c r="A1772" t="str">
        <f>"300387"</f>
        <v>300387</v>
      </c>
      <c r="B1772" t="s">
        <v>3418</v>
      </c>
      <c r="C1772">
        <v>1.62</v>
      </c>
      <c r="D1772">
        <v>26.66</v>
      </c>
      <c r="E1772">
        <v>6.88</v>
      </c>
      <c r="F1772">
        <v>0.11</v>
      </c>
      <c r="G1772">
        <v>6.88</v>
      </c>
      <c r="H1772">
        <v>6.89</v>
      </c>
      <c r="I1772" t="s">
        <v>3419</v>
      </c>
      <c r="J1772">
        <v>1.8</v>
      </c>
      <c r="K1772">
        <v>1.8</v>
      </c>
      <c r="L1772">
        <v>6.77</v>
      </c>
      <c r="M1772">
        <v>6.88</v>
      </c>
      <c r="N1772">
        <v>6.72</v>
      </c>
    </row>
    <row r="1773" spans="1:14" x14ac:dyDescent="0.5">
      <c r="A1773" t="str">
        <f>"300388"</f>
        <v>300388</v>
      </c>
      <c r="B1773" t="s">
        <v>3420</v>
      </c>
      <c r="C1773">
        <v>0.71</v>
      </c>
      <c r="D1773">
        <v>17.88</v>
      </c>
      <c r="E1773">
        <v>11.34</v>
      </c>
      <c r="F1773">
        <v>0.08</v>
      </c>
      <c r="G1773">
        <v>11.34</v>
      </c>
      <c r="H1773">
        <v>11.35</v>
      </c>
      <c r="I1773" t="s">
        <v>3421</v>
      </c>
      <c r="J1773">
        <v>1.95</v>
      </c>
      <c r="K1773">
        <v>1.95</v>
      </c>
      <c r="L1773">
        <v>11.28</v>
      </c>
      <c r="M1773">
        <v>11.37</v>
      </c>
      <c r="N1773">
        <v>11.06</v>
      </c>
    </row>
    <row r="1774" spans="1:14" x14ac:dyDescent="0.5">
      <c r="A1774" t="str">
        <f>"300389"</f>
        <v>300389</v>
      </c>
      <c r="B1774" t="s">
        <v>3422</v>
      </c>
      <c r="C1774">
        <v>4.13</v>
      </c>
      <c r="D1774">
        <v>23.99</v>
      </c>
      <c r="E1774">
        <v>17.91</v>
      </c>
      <c r="F1774">
        <v>0.71</v>
      </c>
      <c r="G1774">
        <v>17.899999999999999</v>
      </c>
      <c r="H1774">
        <v>17.91</v>
      </c>
      <c r="I1774" t="s">
        <v>3423</v>
      </c>
      <c r="J1774">
        <v>4.4400000000000004</v>
      </c>
      <c r="K1774">
        <v>4.4400000000000004</v>
      </c>
      <c r="L1774">
        <v>17.25</v>
      </c>
      <c r="M1774">
        <v>18.149999999999999</v>
      </c>
      <c r="N1774">
        <v>16.809999999999999</v>
      </c>
    </row>
    <row r="1775" spans="1:14" x14ac:dyDescent="0.5">
      <c r="A1775" t="str">
        <f>"300390"</f>
        <v>300390</v>
      </c>
      <c r="B1775" t="s">
        <v>3424</v>
      </c>
      <c r="C1775">
        <v>4.68</v>
      </c>
      <c r="D1775">
        <v>64.31</v>
      </c>
      <c r="E1775">
        <v>9.18</v>
      </c>
      <c r="F1775">
        <v>0.41</v>
      </c>
      <c r="G1775">
        <v>9.17</v>
      </c>
      <c r="H1775">
        <v>9.18</v>
      </c>
      <c r="I1775" t="s">
        <v>3425</v>
      </c>
      <c r="J1775">
        <v>11.7</v>
      </c>
      <c r="K1775">
        <v>11.7</v>
      </c>
      <c r="L1775">
        <v>8.75</v>
      </c>
      <c r="M1775">
        <v>9.39</v>
      </c>
      <c r="N1775">
        <v>8.7200000000000006</v>
      </c>
    </row>
    <row r="1776" spans="1:14" x14ac:dyDescent="0.5">
      <c r="A1776" t="str">
        <f>"300391"</f>
        <v>300391</v>
      </c>
      <c r="B1776" t="s">
        <v>3426</v>
      </c>
      <c r="C1776">
        <v>1.25</v>
      </c>
      <c r="D1776">
        <v>24.33</v>
      </c>
      <c r="E1776">
        <v>12.99</v>
      </c>
      <c r="F1776">
        <v>0.16</v>
      </c>
      <c r="G1776">
        <v>12.99</v>
      </c>
      <c r="H1776">
        <v>13</v>
      </c>
      <c r="I1776" t="s">
        <v>3427</v>
      </c>
      <c r="J1776">
        <v>2.58</v>
      </c>
      <c r="K1776">
        <v>2.58</v>
      </c>
      <c r="L1776">
        <v>12.94</v>
      </c>
      <c r="M1776">
        <v>12.99</v>
      </c>
      <c r="N1776">
        <v>12.7</v>
      </c>
    </row>
    <row r="1777" spans="1:14" x14ac:dyDescent="0.5">
      <c r="A1777" t="str">
        <f>"300392"</f>
        <v>300392</v>
      </c>
      <c r="B1777" t="s">
        <v>3428</v>
      </c>
      <c r="C1777">
        <v>3.01</v>
      </c>
      <c r="D1777" t="s">
        <v>24</v>
      </c>
      <c r="E1777">
        <v>8.5500000000000007</v>
      </c>
      <c r="F1777">
        <v>0.25</v>
      </c>
      <c r="G1777">
        <v>8.5399999999999991</v>
      </c>
      <c r="H1777">
        <v>8.5500000000000007</v>
      </c>
      <c r="I1777" t="s">
        <v>3429</v>
      </c>
      <c r="J1777">
        <v>6.14</v>
      </c>
      <c r="K1777">
        <v>6.14</v>
      </c>
      <c r="L1777">
        <v>8.24</v>
      </c>
      <c r="M1777">
        <v>8.5500000000000007</v>
      </c>
      <c r="N1777">
        <v>8.15</v>
      </c>
    </row>
    <row r="1778" spans="1:14" x14ac:dyDescent="0.5">
      <c r="A1778" t="str">
        <f>"300393"</f>
        <v>300393</v>
      </c>
      <c r="B1778" t="s">
        <v>3430</v>
      </c>
      <c r="C1778">
        <v>4.57</v>
      </c>
      <c r="D1778">
        <v>26.69</v>
      </c>
      <c r="E1778">
        <v>22.18</v>
      </c>
      <c r="F1778">
        <v>0.97</v>
      </c>
      <c r="G1778">
        <v>22.18</v>
      </c>
      <c r="H1778">
        <v>22.19</v>
      </c>
      <c r="I1778" t="s">
        <v>3431</v>
      </c>
      <c r="J1778">
        <v>3.24</v>
      </c>
      <c r="K1778">
        <v>3.24</v>
      </c>
      <c r="L1778">
        <v>21.43</v>
      </c>
      <c r="M1778">
        <v>22.22</v>
      </c>
      <c r="N1778">
        <v>21.02</v>
      </c>
    </row>
    <row r="1779" spans="1:14" x14ac:dyDescent="0.5">
      <c r="A1779" t="str">
        <f>"300394"</f>
        <v>300394</v>
      </c>
      <c r="B1779" t="s">
        <v>3432</v>
      </c>
      <c r="C1779">
        <v>1.39</v>
      </c>
      <c r="D1779">
        <v>56.76</v>
      </c>
      <c r="E1779">
        <v>34.26</v>
      </c>
      <c r="F1779">
        <v>0.47</v>
      </c>
      <c r="G1779">
        <v>34.26</v>
      </c>
      <c r="H1779">
        <v>34.270000000000003</v>
      </c>
      <c r="I1779" t="s">
        <v>2051</v>
      </c>
      <c r="J1779">
        <v>2.44</v>
      </c>
      <c r="K1779">
        <v>2.44</v>
      </c>
      <c r="L1779">
        <v>33.5</v>
      </c>
      <c r="M1779">
        <v>34.35</v>
      </c>
      <c r="N1779">
        <v>32.85</v>
      </c>
    </row>
    <row r="1780" spans="1:14" x14ac:dyDescent="0.5">
      <c r="A1780" t="str">
        <f>"300395"</f>
        <v>300395</v>
      </c>
      <c r="B1780" t="s">
        <v>3433</v>
      </c>
      <c r="C1780">
        <v>2.4700000000000002</v>
      </c>
      <c r="D1780">
        <v>34.229999999999997</v>
      </c>
      <c r="E1780">
        <v>19.5</v>
      </c>
      <c r="F1780">
        <v>0.47</v>
      </c>
      <c r="G1780">
        <v>19.489999999999998</v>
      </c>
      <c r="H1780">
        <v>19.5</v>
      </c>
      <c r="I1780" t="s">
        <v>3434</v>
      </c>
      <c r="J1780">
        <v>1.33</v>
      </c>
      <c r="K1780">
        <v>1.33</v>
      </c>
      <c r="L1780">
        <v>18.899999999999999</v>
      </c>
      <c r="M1780">
        <v>19.57</v>
      </c>
      <c r="N1780">
        <v>18.79</v>
      </c>
    </row>
    <row r="1781" spans="1:14" x14ac:dyDescent="0.5">
      <c r="A1781" t="str">
        <f>"300396"</f>
        <v>300396</v>
      </c>
      <c r="B1781" t="s">
        <v>3435</v>
      </c>
      <c r="C1781">
        <v>3.16</v>
      </c>
      <c r="D1781">
        <v>22.05</v>
      </c>
      <c r="E1781">
        <v>15.68</v>
      </c>
      <c r="F1781">
        <v>0.48</v>
      </c>
      <c r="G1781">
        <v>15.68</v>
      </c>
      <c r="H1781">
        <v>15.69</v>
      </c>
      <c r="I1781" t="s">
        <v>3436</v>
      </c>
      <c r="J1781">
        <v>1.33</v>
      </c>
      <c r="K1781">
        <v>1.33</v>
      </c>
      <c r="L1781">
        <v>15.15</v>
      </c>
      <c r="M1781">
        <v>15.82</v>
      </c>
      <c r="N1781">
        <v>15.05</v>
      </c>
    </row>
    <row r="1782" spans="1:14" x14ac:dyDescent="0.5">
      <c r="A1782" t="str">
        <f>"300397"</f>
        <v>300397</v>
      </c>
      <c r="B1782" t="s">
        <v>3437</v>
      </c>
      <c r="C1782">
        <v>10.02</v>
      </c>
      <c r="D1782" t="s">
        <v>24</v>
      </c>
      <c r="E1782">
        <v>21.31</v>
      </c>
      <c r="F1782">
        <v>1.94</v>
      </c>
      <c r="G1782">
        <v>21.31</v>
      </c>
      <c r="H1782" t="s">
        <v>24</v>
      </c>
      <c r="I1782" t="s">
        <v>87</v>
      </c>
      <c r="J1782">
        <v>10.32</v>
      </c>
      <c r="K1782">
        <v>10.32</v>
      </c>
      <c r="L1782">
        <v>20.52</v>
      </c>
      <c r="M1782">
        <v>21.31</v>
      </c>
      <c r="N1782">
        <v>20.420000000000002</v>
      </c>
    </row>
    <row r="1783" spans="1:14" x14ac:dyDescent="0.5">
      <c r="A1783" t="str">
        <f>"300398"</f>
        <v>300398</v>
      </c>
      <c r="B1783" t="s">
        <v>3438</v>
      </c>
      <c r="C1783">
        <v>3.91</v>
      </c>
      <c r="D1783">
        <v>25.97</v>
      </c>
      <c r="E1783">
        <v>18.350000000000001</v>
      </c>
      <c r="F1783">
        <v>0.69</v>
      </c>
      <c r="G1783">
        <v>18.34</v>
      </c>
      <c r="H1783">
        <v>18.350000000000001</v>
      </c>
      <c r="I1783" t="s">
        <v>3439</v>
      </c>
      <c r="J1783">
        <v>3.11</v>
      </c>
      <c r="K1783">
        <v>3.11</v>
      </c>
      <c r="L1783">
        <v>17.670000000000002</v>
      </c>
      <c r="M1783">
        <v>18.489999999999998</v>
      </c>
      <c r="N1783">
        <v>17.55</v>
      </c>
    </row>
    <row r="1784" spans="1:14" x14ac:dyDescent="0.5">
      <c r="A1784" t="str">
        <f>"300399"</f>
        <v>300399</v>
      </c>
      <c r="B1784" t="s">
        <v>3440</v>
      </c>
      <c r="C1784">
        <v>2.63</v>
      </c>
      <c r="D1784" t="s">
        <v>24</v>
      </c>
      <c r="E1784">
        <v>11.69</v>
      </c>
      <c r="F1784">
        <v>0.3</v>
      </c>
      <c r="G1784">
        <v>11.69</v>
      </c>
      <c r="H1784">
        <v>11.7</v>
      </c>
      <c r="I1784" t="s">
        <v>3441</v>
      </c>
      <c r="J1784">
        <v>5.89</v>
      </c>
      <c r="K1784">
        <v>5.89</v>
      </c>
      <c r="L1784">
        <v>11.19</v>
      </c>
      <c r="M1784">
        <v>11.69</v>
      </c>
      <c r="N1784">
        <v>11.01</v>
      </c>
    </row>
    <row r="1785" spans="1:14" x14ac:dyDescent="0.5">
      <c r="A1785" t="str">
        <f>"300400"</f>
        <v>300400</v>
      </c>
      <c r="B1785" t="s">
        <v>3442</v>
      </c>
      <c r="C1785">
        <v>9.81</v>
      </c>
      <c r="D1785">
        <v>47.76</v>
      </c>
      <c r="E1785">
        <v>23.5</v>
      </c>
      <c r="F1785">
        <v>2.1</v>
      </c>
      <c r="G1785">
        <v>23.49</v>
      </c>
      <c r="H1785">
        <v>23.5</v>
      </c>
      <c r="I1785" t="s">
        <v>1510</v>
      </c>
      <c r="J1785">
        <v>8.18</v>
      </c>
      <c r="K1785">
        <v>8.18</v>
      </c>
      <c r="L1785">
        <v>21.7</v>
      </c>
      <c r="M1785">
        <v>23.54</v>
      </c>
      <c r="N1785">
        <v>21</v>
      </c>
    </row>
    <row r="1786" spans="1:14" x14ac:dyDescent="0.5">
      <c r="A1786" t="str">
        <f>"300401"</f>
        <v>300401</v>
      </c>
      <c r="B1786" t="s">
        <v>3443</v>
      </c>
      <c r="C1786">
        <v>10.01</v>
      </c>
      <c r="D1786">
        <v>26.82</v>
      </c>
      <c r="E1786">
        <v>15.71</v>
      </c>
      <c r="F1786">
        <v>1.43</v>
      </c>
      <c r="G1786">
        <v>15.71</v>
      </c>
      <c r="H1786" t="s">
        <v>24</v>
      </c>
      <c r="I1786" t="s">
        <v>3444</v>
      </c>
      <c r="J1786">
        <v>6.96</v>
      </c>
      <c r="K1786">
        <v>6.96</v>
      </c>
      <c r="L1786">
        <v>14.28</v>
      </c>
      <c r="M1786">
        <v>15.71</v>
      </c>
      <c r="N1786">
        <v>14.13</v>
      </c>
    </row>
    <row r="1787" spans="1:14" x14ac:dyDescent="0.5">
      <c r="A1787" t="str">
        <f>"300402"</f>
        <v>300402</v>
      </c>
      <c r="B1787" t="s">
        <v>3445</v>
      </c>
      <c r="C1787">
        <v>3.11</v>
      </c>
      <c r="D1787">
        <v>103.16</v>
      </c>
      <c r="E1787">
        <v>9.6</v>
      </c>
      <c r="F1787">
        <v>0.28999999999999998</v>
      </c>
      <c r="G1787">
        <v>9.6</v>
      </c>
      <c r="H1787">
        <v>9.61</v>
      </c>
      <c r="I1787" t="s">
        <v>3446</v>
      </c>
      <c r="J1787">
        <v>3.22</v>
      </c>
      <c r="K1787">
        <v>3.22</v>
      </c>
      <c r="L1787">
        <v>9.27</v>
      </c>
      <c r="M1787">
        <v>9.6300000000000008</v>
      </c>
      <c r="N1787">
        <v>9.24</v>
      </c>
    </row>
    <row r="1788" spans="1:14" x14ac:dyDescent="0.5">
      <c r="A1788" t="str">
        <f>"300403"</f>
        <v>300403</v>
      </c>
      <c r="B1788" t="s">
        <v>3447</v>
      </c>
      <c r="C1788">
        <v>5.73</v>
      </c>
      <c r="D1788">
        <v>22.25</v>
      </c>
      <c r="E1788">
        <v>6.09</v>
      </c>
      <c r="F1788">
        <v>0.33</v>
      </c>
      <c r="G1788">
        <v>6.08</v>
      </c>
      <c r="H1788">
        <v>6.09</v>
      </c>
      <c r="I1788" t="s">
        <v>25</v>
      </c>
      <c r="J1788">
        <v>2.9</v>
      </c>
      <c r="K1788">
        <v>2.9</v>
      </c>
      <c r="L1788">
        <v>5.71</v>
      </c>
      <c r="M1788">
        <v>6.2</v>
      </c>
      <c r="N1788">
        <v>5.69</v>
      </c>
    </row>
    <row r="1789" spans="1:14" x14ac:dyDescent="0.5">
      <c r="A1789" t="str">
        <f>"300404"</f>
        <v>300404</v>
      </c>
      <c r="B1789" t="s">
        <v>3448</v>
      </c>
      <c r="C1789">
        <v>3.21</v>
      </c>
      <c r="D1789" t="s">
        <v>24</v>
      </c>
      <c r="E1789">
        <v>14.14</v>
      </c>
      <c r="F1789">
        <v>0.44</v>
      </c>
      <c r="G1789">
        <v>14.14</v>
      </c>
      <c r="H1789">
        <v>14.15</v>
      </c>
      <c r="I1789" t="s">
        <v>3449</v>
      </c>
      <c r="J1789">
        <v>3.32</v>
      </c>
      <c r="K1789">
        <v>3.32</v>
      </c>
      <c r="L1789">
        <v>13.68</v>
      </c>
      <c r="M1789">
        <v>14.15</v>
      </c>
      <c r="N1789">
        <v>13.53</v>
      </c>
    </row>
    <row r="1790" spans="1:14" x14ac:dyDescent="0.5">
      <c r="A1790" t="str">
        <f>"300405"</f>
        <v>300405</v>
      </c>
      <c r="B1790" t="s">
        <v>3450</v>
      </c>
      <c r="C1790">
        <v>2.02</v>
      </c>
      <c r="D1790">
        <v>82.64</v>
      </c>
      <c r="E1790">
        <v>8.59</v>
      </c>
      <c r="F1790">
        <v>0.17</v>
      </c>
      <c r="G1790">
        <v>8.59</v>
      </c>
      <c r="H1790">
        <v>8.6</v>
      </c>
      <c r="I1790" t="s">
        <v>2753</v>
      </c>
      <c r="J1790">
        <v>1.1299999999999999</v>
      </c>
      <c r="K1790">
        <v>1.1299999999999999</v>
      </c>
      <c r="L1790">
        <v>8.42</v>
      </c>
      <c r="M1790">
        <v>8.61</v>
      </c>
      <c r="N1790">
        <v>8.42</v>
      </c>
    </row>
    <row r="1791" spans="1:14" x14ac:dyDescent="0.5">
      <c r="A1791" t="str">
        <f>"300406"</f>
        <v>300406</v>
      </c>
      <c r="B1791" t="s">
        <v>3451</v>
      </c>
      <c r="C1791">
        <v>1.89</v>
      </c>
      <c r="D1791">
        <v>21.33</v>
      </c>
      <c r="E1791">
        <v>12.42</v>
      </c>
      <c r="F1791">
        <v>0.23</v>
      </c>
      <c r="G1791">
        <v>12.41</v>
      </c>
      <c r="H1791">
        <v>12.42</v>
      </c>
      <c r="I1791" t="s">
        <v>3452</v>
      </c>
      <c r="J1791">
        <v>1.21</v>
      </c>
      <c r="K1791">
        <v>1.21</v>
      </c>
      <c r="L1791">
        <v>12.21</v>
      </c>
      <c r="M1791">
        <v>12.42</v>
      </c>
      <c r="N1791">
        <v>12.07</v>
      </c>
    </row>
    <row r="1792" spans="1:14" x14ac:dyDescent="0.5">
      <c r="A1792" t="str">
        <f>"300407"</f>
        <v>300407</v>
      </c>
      <c r="B1792" t="s">
        <v>3453</v>
      </c>
      <c r="C1792">
        <v>2.66</v>
      </c>
      <c r="D1792">
        <v>254.27</v>
      </c>
      <c r="E1792">
        <v>8.49</v>
      </c>
      <c r="F1792">
        <v>0.22</v>
      </c>
      <c r="G1792">
        <v>8.48</v>
      </c>
      <c r="H1792">
        <v>8.49</v>
      </c>
      <c r="I1792" t="s">
        <v>2687</v>
      </c>
      <c r="J1792">
        <v>4.55</v>
      </c>
      <c r="K1792">
        <v>4.55</v>
      </c>
      <c r="L1792">
        <v>8.1999999999999993</v>
      </c>
      <c r="M1792">
        <v>8.52</v>
      </c>
      <c r="N1792">
        <v>8.19</v>
      </c>
    </row>
    <row r="1793" spans="1:14" x14ac:dyDescent="0.5">
      <c r="A1793" t="str">
        <f>"300408"</f>
        <v>300408</v>
      </c>
      <c r="B1793" t="s">
        <v>3454</v>
      </c>
      <c r="C1793">
        <v>-0.45</v>
      </c>
      <c r="D1793">
        <v>26.36</v>
      </c>
      <c r="E1793">
        <v>20.11</v>
      </c>
      <c r="F1793">
        <v>-0.09</v>
      </c>
      <c r="G1793">
        <v>20.11</v>
      </c>
      <c r="H1793">
        <v>20.12</v>
      </c>
      <c r="I1793" t="s">
        <v>3455</v>
      </c>
      <c r="J1793">
        <v>1.21</v>
      </c>
      <c r="K1793">
        <v>1.21</v>
      </c>
      <c r="L1793">
        <v>20.21</v>
      </c>
      <c r="M1793">
        <v>20.29</v>
      </c>
      <c r="N1793">
        <v>19.579999999999998</v>
      </c>
    </row>
    <row r="1794" spans="1:14" x14ac:dyDescent="0.5">
      <c r="A1794" t="str">
        <f>"300409"</f>
        <v>300409</v>
      </c>
      <c r="B1794" t="s">
        <v>3456</v>
      </c>
      <c r="C1794">
        <v>10.02</v>
      </c>
      <c r="D1794">
        <v>29.59</v>
      </c>
      <c r="E1794">
        <v>19.11</v>
      </c>
      <c r="F1794">
        <v>1.74</v>
      </c>
      <c r="G1794">
        <v>19.11</v>
      </c>
      <c r="H1794" t="s">
        <v>24</v>
      </c>
      <c r="I1794" t="s">
        <v>3457</v>
      </c>
      <c r="J1794">
        <v>9.52</v>
      </c>
      <c r="K1794">
        <v>9.52</v>
      </c>
      <c r="L1794">
        <v>17.36</v>
      </c>
      <c r="M1794">
        <v>19.11</v>
      </c>
      <c r="N1794">
        <v>17.170000000000002</v>
      </c>
    </row>
    <row r="1795" spans="1:14" x14ac:dyDescent="0.5">
      <c r="A1795" t="str">
        <f>"300410"</f>
        <v>300410</v>
      </c>
      <c r="B1795" t="s">
        <v>3458</v>
      </c>
      <c r="C1795">
        <v>2.37</v>
      </c>
      <c r="D1795">
        <v>19.920000000000002</v>
      </c>
      <c r="E1795">
        <v>22.87</v>
      </c>
      <c r="F1795">
        <v>0.53</v>
      </c>
      <c r="G1795">
        <v>22.86</v>
      </c>
      <c r="H1795">
        <v>22.87</v>
      </c>
      <c r="I1795" t="s">
        <v>3459</v>
      </c>
      <c r="J1795">
        <v>3.84</v>
      </c>
      <c r="K1795">
        <v>3.84</v>
      </c>
      <c r="L1795">
        <v>22.47</v>
      </c>
      <c r="M1795">
        <v>22.94</v>
      </c>
      <c r="N1795">
        <v>22.23</v>
      </c>
    </row>
    <row r="1796" spans="1:14" x14ac:dyDescent="0.5">
      <c r="A1796" t="str">
        <f>"300411"</f>
        <v>300411</v>
      </c>
      <c r="B1796" t="s">
        <v>3460</v>
      </c>
      <c r="C1796">
        <v>1.41</v>
      </c>
      <c r="D1796">
        <v>43.47</v>
      </c>
      <c r="E1796">
        <v>9.35</v>
      </c>
      <c r="F1796">
        <v>0.13</v>
      </c>
      <c r="G1796">
        <v>9.35</v>
      </c>
      <c r="H1796">
        <v>9.36</v>
      </c>
      <c r="I1796" t="s">
        <v>3461</v>
      </c>
      <c r="J1796">
        <v>7.44</v>
      </c>
      <c r="K1796">
        <v>7.44</v>
      </c>
      <c r="L1796">
        <v>9.15</v>
      </c>
      <c r="M1796">
        <v>9.36</v>
      </c>
      <c r="N1796">
        <v>9.06</v>
      </c>
    </row>
    <row r="1797" spans="1:14" x14ac:dyDescent="0.5">
      <c r="A1797" t="str">
        <f>"300412"</f>
        <v>300412</v>
      </c>
      <c r="B1797" t="s">
        <v>3462</v>
      </c>
      <c r="C1797">
        <v>3.69</v>
      </c>
      <c r="D1797">
        <v>69.02</v>
      </c>
      <c r="E1797">
        <v>7.3</v>
      </c>
      <c r="F1797">
        <v>0.26</v>
      </c>
      <c r="G1797">
        <v>7.29</v>
      </c>
      <c r="H1797">
        <v>7.3</v>
      </c>
      <c r="I1797" t="s">
        <v>2215</v>
      </c>
      <c r="J1797">
        <v>2.25</v>
      </c>
      <c r="K1797">
        <v>2.25</v>
      </c>
      <c r="L1797">
        <v>7.04</v>
      </c>
      <c r="M1797">
        <v>7.3</v>
      </c>
      <c r="N1797">
        <v>7.04</v>
      </c>
    </row>
    <row r="1798" spans="1:14" x14ac:dyDescent="0.5">
      <c r="A1798" t="str">
        <f>"300413"</f>
        <v>300413</v>
      </c>
      <c r="B1798" t="s">
        <v>3463</v>
      </c>
      <c r="C1798">
        <v>-1.44</v>
      </c>
      <c r="D1798">
        <v>140.79</v>
      </c>
      <c r="E1798">
        <v>41.2</v>
      </c>
      <c r="F1798">
        <v>-0.6</v>
      </c>
      <c r="G1798">
        <v>41.2</v>
      </c>
      <c r="H1798">
        <v>41.21</v>
      </c>
      <c r="I1798" t="s">
        <v>3464</v>
      </c>
      <c r="J1798">
        <v>3.97</v>
      </c>
      <c r="K1798">
        <v>3.97</v>
      </c>
      <c r="L1798">
        <v>41.66</v>
      </c>
      <c r="M1798">
        <v>42.79</v>
      </c>
      <c r="N1798">
        <v>40.049999999999997</v>
      </c>
    </row>
    <row r="1799" spans="1:14" x14ac:dyDescent="0.5">
      <c r="A1799" t="str">
        <f>"300414"</f>
        <v>300414</v>
      </c>
      <c r="B1799" t="s">
        <v>3465</v>
      </c>
      <c r="C1799">
        <v>3.64</v>
      </c>
      <c r="D1799">
        <v>72.75</v>
      </c>
      <c r="E1799">
        <v>17.93</v>
      </c>
      <c r="F1799">
        <v>0.63</v>
      </c>
      <c r="G1799">
        <v>17.920000000000002</v>
      </c>
      <c r="H1799">
        <v>17.93</v>
      </c>
      <c r="I1799" t="s">
        <v>1942</v>
      </c>
      <c r="J1799">
        <v>2.93</v>
      </c>
      <c r="K1799">
        <v>2.93</v>
      </c>
      <c r="L1799">
        <v>17.37</v>
      </c>
      <c r="M1799">
        <v>17.98</v>
      </c>
      <c r="N1799">
        <v>16.91</v>
      </c>
    </row>
    <row r="1800" spans="1:14" x14ac:dyDescent="0.5">
      <c r="A1800" t="str">
        <f>"300415"</f>
        <v>300415</v>
      </c>
      <c r="B1800" t="s">
        <v>3466</v>
      </c>
      <c r="C1800">
        <v>0.13</v>
      </c>
      <c r="D1800">
        <v>13.34</v>
      </c>
      <c r="E1800">
        <v>7.5</v>
      </c>
      <c r="F1800">
        <v>0.01</v>
      </c>
      <c r="G1800">
        <v>7.5</v>
      </c>
      <c r="H1800">
        <v>7.51</v>
      </c>
      <c r="I1800" t="s">
        <v>3467</v>
      </c>
      <c r="J1800">
        <v>2.76</v>
      </c>
      <c r="K1800">
        <v>2.76</v>
      </c>
      <c r="L1800">
        <v>7.4</v>
      </c>
      <c r="M1800">
        <v>7.5</v>
      </c>
      <c r="N1800">
        <v>7.31</v>
      </c>
    </row>
    <row r="1801" spans="1:14" x14ac:dyDescent="0.5">
      <c r="A1801" t="str">
        <f>"300416"</f>
        <v>300416</v>
      </c>
      <c r="B1801" t="s">
        <v>3468</v>
      </c>
      <c r="C1801">
        <v>-1.47</v>
      </c>
      <c r="D1801">
        <v>43.46</v>
      </c>
      <c r="E1801">
        <v>22.17</v>
      </c>
      <c r="F1801">
        <v>-0.33</v>
      </c>
      <c r="G1801">
        <v>22.16</v>
      </c>
      <c r="H1801">
        <v>22.17</v>
      </c>
      <c r="I1801" t="s">
        <v>3469</v>
      </c>
      <c r="J1801">
        <v>2.0299999999999998</v>
      </c>
      <c r="K1801">
        <v>2.0299999999999998</v>
      </c>
      <c r="L1801">
        <v>22.86</v>
      </c>
      <c r="M1801">
        <v>22.88</v>
      </c>
      <c r="N1801">
        <v>21.79</v>
      </c>
    </row>
    <row r="1802" spans="1:14" x14ac:dyDescent="0.5">
      <c r="A1802" t="str">
        <f>"300417"</f>
        <v>300417</v>
      </c>
      <c r="B1802" t="s">
        <v>3470</v>
      </c>
      <c r="C1802">
        <v>2.2000000000000002</v>
      </c>
      <c r="D1802">
        <v>46.39</v>
      </c>
      <c r="E1802">
        <v>17.16</v>
      </c>
      <c r="F1802">
        <v>0.37</v>
      </c>
      <c r="G1802">
        <v>17.11</v>
      </c>
      <c r="H1802">
        <v>17.16</v>
      </c>
      <c r="I1802" t="s">
        <v>3471</v>
      </c>
      <c r="J1802">
        <v>2.0099999999999998</v>
      </c>
      <c r="K1802">
        <v>2.0099999999999998</v>
      </c>
      <c r="L1802">
        <v>16.73</v>
      </c>
      <c r="M1802">
        <v>17.18</v>
      </c>
      <c r="N1802">
        <v>16.73</v>
      </c>
    </row>
    <row r="1803" spans="1:14" x14ac:dyDescent="0.5">
      <c r="A1803" t="str">
        <f>"300418"</f>
        <v>300418</v>
      </c>
      <c r="B1803" t="s">
        <v>3472</v>
      </c>
      <c r="C1803">
        <v>8.31</v>
      </c>
      <c r="D1803">
        <v>14.94</v>
      </c>
      <c r="E1803">
        <v>16.559999999999999</v>
      </c>
      <c r="F1803">
        <v>1.27</v>
      </c>
      <c r="G1803">
        <v>16.559999999999999</v>
      </c>
      <c r="H1803">
        <v>16.57</v>
      </c>
      <c r="I1803" t="s">
        <v>3473</v>
      </c>
      <c r="J1803">
        <v>6.11</v>
      </c>
      <c r="K1803">
        <v>6.11</v>
      </c>
      <c r="L1803">
        <v>15.28</v>
      </c>
      <c r="M1803">
        <v>16.649999999999999</v>
      </c>
      <c r="N1803">
        <v>15.1</v>
      </c>
    </row>
    <row r="1804" spans="1:14" x14ac:dyDescent="0.5">
      <c r="A1804" t="str">
        <f>"300419"</f>
        <v>300419</v>
      </c>
      <c r="B1804" t="s">
        <v>3474</v>
      </c>
      <c r="C1804">
        <v>4.2</v>
      </c>
      <c r="D1804">
        <v>64.849999999999994</v>
      </c>
      <c r="E1804">
        <v>5.95</v>
      </c>
      <c r="F1804">
        <v>0.24</v>
      </c>
      <c r="G1804">
        <v>5.95</v>
      </c>
      <c r="H1804">
        <v>5.96</v>
      </c>
      <c r="I1804" t="s">
        <v>3475</v>
      </c>
      <c r="J1804">
        <v>4.8899999999999997</v>
      </c>
      <c r="K1804">
        <v>4.8899999999999997</v>
      </c>
      <c r="L1804">
        <v>5.75</v>
      </c>
      <c r="M1804">
        <v>5.97</v>
      </c>
      <c r="N1804">
        <v>5.74</v>
      </c>
    </row>
    <row r="1805" spans="1:14" x14ac:dyDescent="0.5">
      <c r="A1805" t="str">
        <f>"300420"</f>
        <v>300420</v>
      </c>
      <c r="B1805" t="s">
        <v>3476</v>
      </c>
      <c r="C1805">
        <v>1.41</v>
      </c>
      <c r="D1805">
        <v>44.04</v>
      </c>
      <c r="E1805">
        <v>6.46</v>
      </c>
      <c r="F1805">
        <v>0.09</v>
      </c>
      <c r="G1805">
        <v>6.46</v>
      </c>
      <c r="H1805">
        <v>6.47</v>
      </c>
      <c r="I1805" t="s">
        <v>806</v>
      </c>
      <c r="J1805">
        <v>2.69</v>
      </c>
      <c r="K1805">
        <v>2.69</v>
      </c>
      <c r="L1805">
        <v>6.38</v>
      </c>
      <c r="M1805">
        <v>6.48</v>
      </c>
      <c r="N1805">
        <v>6.28</v>
      </c>
    </row>
    <row r="1806" spans="1:14" x14ac:dyDescent="0.5">
      <c r="A1806" t="str">
        <f>"300421"</f>
        <v>300421</v>
      </c>
      <c r="B1806" t="s">
        <v>3477</v>
      </c>
      <c r="C1806">
        <v>1.88</v>
      </c>
      <c r="D1806">
        <v>23.96</v>
      </c>
      <c r="E1806">
        <v>14.1</v>
      </c>
      <c r="F1806">
        <v>0.26</v>
      </c>
      <c r="G1806">
        <v>14.1</v>
      </c>
      <c r="H1806">
        <v>14.11</v>
      </c>
      <c r="I1806" t="s">
        <v>3478</v>
      </c>
      <c r="J1806">
        <v>1.64</v>
      </c>
      <c r="K1806">
        <v>1.64</v>
      </c>
      <c r="L1806">
        <v>13.84</v>
      </c>
      <c r="M1806">
        <v>14.13</v>
      </c>
      <c r="N1806">
        <v>13.84</v>
      </c>
    </row>
    <row r="1807" spans="1:14" x14ac:dyDescent="0.5">
      <c r="A1807" t="str">
        <f>"300422"</f>
        <v>300422</v>
      </c>
      <c r="B1807" t="s">
        <v>3479</v>
      </c>
      <c r="C1807">
        <v>0.56999999999999995</v>
      </c>
      <c r="D1807">
        <v>16.98</v>
      </c>
      <c r="E1807">
        <v>12.32</v>
      </c>
      <c r="F1807">
        <v>7.0000000000000007E-2</v>
      </c>
      <c r="G1807">
        <v>12.31</v>
      </c>
      <c r="H1807">
        <v>12.32</v>
      </c>
      <c r="I1807" t="s">
        <v>3480</v>
      </c>
      <c r="J1807">
        <v>3.37</v>
      </c>
      <c r="K1807">
        <v>3.37</v>
      </c>
      <c r="L1807">
        <v>12.05</v>
      </c>
      <c r="M1807">
        <v>12.39</v>
      </c>
      <c r="N1807">
        <v>11.98</v>
      </c>
    </row>
    <row r="1808" spans="1:14" x14ac:dyDescent="0.5">
      <c r="A1808" t="str">
        <f>"300423"</f>
        <v>300423</v>
      </c>
      <c r="B1808" t="s">
        <v>3481</v>
      </c>
      <c r="C1808">
        <v>1.5</v>
      </c>
      <c r="D1808">
        <v>22.97</v>
      </c>
      <c r="E1808">
        <v>28.37</v>
      </c>
      <c r="F1808">
        <v>0.42</v>
      </c>
      <c r="G1808">
        <v>28.36</v>
      </c>
      <c r="H1808">
        <v>28.37</v>
      </c>
      <c r="I1808" t="s">
        <v>2771</v>
      </c>
      <c r="J1808">
        <v>4.75</v>
      </c>
      <c r="K1808">
        <v>4.75</v>
      </c>
      <c r="L1808">
        <v>27.72</v>
      </c>
      <c r="M1808">
        <v>28.5</v>
      </c>
      <c r="N1808">
        <v>27.42</v>
      </c>
    </row>
    <row r="1809" spans="1:14" x14ac:dyDescent="0.5">
      <c r="A1809" t="str">
        <f>"300424"</f>
        <v>300424</v>
      </c>
      <c r="B1809" t="s">
        <v>3482</v>
      </c>
      <c r="C1809">
        <v>4.9800000000000004</v>
      </c>
      <c r="D1809">
        <v>70.290000000000006</v>
      </c>
      <c r="E1809">
        <v>23.62</v>
      </c>
      <c r="F1809">
        <v>1.1200000000000001</v>
      </c>
      <c r="G1809">
        <v>23.62</v>
      </c>
      <c r="H1809">
        <v>23.63</v>
      </c>
      <c r="I1809" t="s">
        <v>3483</v>
      </c>
      <c r="J1809">
        <v>15.05</v>
      </c>
      <c r="K1809">
        <v>15.05</v>
      </c>
      <c r="L1809">
        <v>21.88</v>
      </c>
      <c r="M1809">
        <v>24.5</v>
      </c>
      <c r="N1809">
        <v>21.26</v>
      </c>
    </row>
    <row r="1810" spans="1:14" x14ac:dyDescent="0.5">
      <c r="A1810" t="str">
        <f>"300425"</f>
        <v>300425</v>
      </c>
      <c r="B1810" t="s">
        <v>3484</v>
      </c>
      <c r="C1810">
        <v>1.81</v>
      </c>
      <c r="D1810">
        <v>28.26</v>
      </c>
      <c r="E1810">
        <v>5.64</v>
      </c>
      <c r="F1810">
        <v>0.1</v>
      </c>
      <c r="G1810">
        <v>5.63</v>
      </c>
      <c r="H1810">
        <v>5.64</v>
      </c>
      <c r="I1810" t="s">
        <v>474</v>
      </c>
      <c r="J1810">
        <v>1.93</v>
      </c>
      <c r="K1810">
        <v>1.93</v>
      </c>
      <c r="L1810">
        <v>5.54</v>
      </c>
      <c r="M1810">
        <v>5.72</v>
      </c>
      <c r="N1810">
        <v>5.52</v>
      </c>
    </row>
    <row r="1811" spans="1:14" x14ac:dyDescent="0.5">
      <c r="A1811" t="str">
        <f>"300426"</f>
        <v>300426</v>
      </c>
      <c r="B1811" t="s">
        <v>3485</v>
      </c>
      <c r="C1811">
        <v>3.24</v>
      </c>
      <c r="D1811">
        <v>17.32</v>
      </c>
      <c r="E1811">
        <v>7.65</v>
      </c>
      <c r="F1811">
        <v>0.24</v>
      </c>
      <c r="G1811">
        <v>7.65</v>
      </c>
      <c r="H1811">
        <v>7.67</v>
      </c>
      <c r="I1811" t="s">
        <v>3486</v>
      </c>
      <c r="J1811">
        <v>3.27</v>
      </c>
      <c r="K1811">
        <v>3.27</v>
      </c>
      <c r="L1811">
        <v>7.39</v>
      </c>
      <c r="M1811">
        <v>7.67</v>
      </c>
      <c r="N1811">
        <v>7.35</v>
      </c>
    </row>
    <row r="1812" spans="1:14" x14ac:dyDescent="0.5">
      <c r="A1812" t="str">
        <f>"300427"</f>
        <v>300427</v>
      </c>
      <c r="B1812" t="s">
        <v>3487</v>
      </c>
      <c r="C1812">
        <v>7.0000000000000007E-2</v>
      </c>
      <c r="D1812">
        <v>19.34</v>
      </c>
      <c r="E1812">
        <v>14.51</v>
      </c>
      <c r="F1812">
        <v>0.01</v>
      </c>
      <c r="G1812">
        <v>14.51</v>
      </c>
      <c r="H1812">
        <v>14.52</v>
      </c>
      <c r="I1812" t="s">
        <v>3488</v>
      </c>
      <c r="J1812">
        <v>2.38</v>
      </c>
      <c r="K1812">
        <v>2.38</v>
      </c>
      <c r="L1812">
        <v>14.29</v>
      </c>
      <c r="M1812">
        <v>14.58</v>
      </c>
      <c r="N1812">
        <v>14.15</v>
      </c>
    </row>
    <row r="1813" spans="1:14" x14ac:dyDescent="0.5">
      <c r="A1813" t="str">
        <f>"300428"</f>
        <v>300428</v>
      </c>
      <c r="B1813" t="s">
        <v>3489</v>
      </c>
      <c r="C1813">
        <v>5.24</v>
      </c>
      <c r="D1813">
        <v>67.41</v>
      </c>
      <c r="E1813">
        <v>12.45</v>
      </c>
      <c r="F1813">
        <v>0.62</v>
      </c>
      <c r="G1813">
        <v>12.44</v>
      </c>
      <c r="H1813">
        <v>12.45</v>
      </c>
      <c r="I1813" t="s">
        <v>3490</v>
      </c>
      <c r="J1813">
        <v>5.25</v>
      </c>
      <c r="K1813">
        <v>5.25</v>
      </c>
      <c r="L1813">
        <v>11.82</v>
      </c>
      <c r="M1813">
        <v>12.45</v>
      </c>
      <c r="N1813">
        <v>11.71</v>
      </c>
    </row>
    <row r="1814" spans="1:14" x14ac:dyDescent="0.5">
      <c r="A1814" t="str">
        <f>"300429"</f>
        <v>300429</v>
      </c>
      <c r="B1814" t="s">
        <v>3491</v>
      </c>
      <c r="C1814">
        <v>2.1800000000000002</v>
      </c>
      <c r="D1814">
        <v>67.08</v>
      </c>
      <c r="E1814">
        <v>35.200000000000003</v>
      </c>
      <c r="F1814">
        <v>0.75</v>
      </c>
      <c r="G1814">
        <v>35.200000000000003</v>
      </c>
      <c r="H1814">
        <v>35.21</v>
      </c>
      <c r="I1814" t="s">
        <v>3492</v>
      </c>
      <c r="J1814">
        <v>9.65</v>
      </c>
      <c r="K1814">
        <v>9.65</v>
      </c>
      <c r="L1814">
        <v>36.9</v>
      </c>
      <c r="M1814">
        <v>36.9</v>
      </c>
      <c r="N1814">
        <v>34.6</v>
      </c>
    </row>
    <row r="1815" spans="1:14" x14ac:dyDescent="0.5">
      <c r="A1815" t="str">
        <f>"300430"</f>
        <v>300430</v>
      </c>
      <c r="B1815" t="s">
        <v>3493</v>
      </c>
      <c r="C1815">
        <v>4.17</v>
      </c>
      <c r="D1815">
        <v>22.43</v>
      </c>
      <c r="E1815">
        <v>9.5</v>
      </c>
      <c r="F1815">
        <v>0.38</v>
      </c>
      <c r="G1815">
        <v>9.48</v>
      </c>
      <c r="H1815">
        <v>9.5</v>
      </c>
      <c r="I1815" t="s">
        <v>3494</v>
      </c>
      <c r="J1815">
        <v>4.1399999999999997</v>
      </c>
      <c r="K1815">
        <v>4.1399999999999997</v>
      </c>
      <c r="L1815">
        <v>9.1300000000000008</v>
      </c>
      <c r="M1815">
        <v>9.5</v>
      </c>
      <c r="N1815">
        <v>9.0500000000000007</v>
      </c>
    </row>
    <row r="1816" spans="1:14" x14ac:dyDescent="0.5">
      <c r="A1816" t="str">
        <f>"300431"</f>
        <v>300431</v>
      </c>
      <c r="B1816" t="s">
        <v>3495</v>
      </c>
      <c r="C1816">
        <v>4.53</v>
      </c>
      <c r="D1816" t="s">
        <v>24</v>
      </c>
      <c r="E1816">
        <v>10.16</v>
      </c>
      <c r="F1816">
        <v>0.44</v>
      </c>
      <c r="G1816">
        <v>10.16</v>
      </c>
      <c r="H1816">
        <v>10.17</v>
      </c>
      <c r="I1816" t="s">
        <v>3496</v>
      </c>
      <c r="J1816">
        <v>16.03</v>
      </c>
      <c r="K1816">
        <v>16.03</v>
      </c>
      <c r="L1816">
        <v>9.5</v>
      </c>
      <c r="M1816">
        <v>10.28</v>
      </c>
      <c r="N1816">
        <v>9.4499999999999993</v>
      </c>
    </row>
    <row r="1817" spans="1:14" x14ac:dyDescent="0.5">
      <c r="A1817" t="str">
        <f>"300432"</f>
        <v>300432</v>
      </c>
      <c r="B1817" t="s">
        <v>3497</v>
      </c>
      <c r="C1817">
        <v>4.96</v>
      </c>
      <c r="D1817">
        <v>17.760000000000002</v>
      </c>
      <c r="E1817">
        <v>6.77</v>
      </c>
      <c r="F1817">
        <v>0.32</v>
      </c>
      <c r="G1817">
        <v>6.76</v>
      </c>
      <c r="H1817">
        <v>6.77</v>
      </c>
      <c r="I1817" t="s">
        <v>3498</v>
      </c>
      <c r="J1817">
        <v>3.14</v>
      </c>
      <c r="K1817">
        <v>3.14</v>
      </c>
      <c r="L1817">
        <v>6.41</v>
      </c>
      <c r="M1817">
        <v>6.8</v>
      </c>
      <c r="N1817">
        <v>6.4</v>
      </c>
    </row>
    <row r="1818" spans="1:14" x14ac:dyDescent="0.5">
      <c r="A1818" t="str">
        <f>"300433"</f>
        <v>300433</v>
      </c>
      <c r="B1818" t="s">
        <v>3499</v>
      </c>
      <c r="C1818">
        <v>4.7699999999999996</v>
      </c>
      <c r="D1818">
        <v>15.43</v>
      </c>
      <c r="E1818">
        <v>9.4499999999999993</v>
      </c>
      <c r="F1818">
        <v>0.43</v>
      </c>
      <c r="G1818">
        <v>9.44</v>
      </c>
      <c r="H1818">
        <v>9.4499999999999993</v>
      </c>
      <c r="I1818" t="s">
        <v>3500</v>
      </c>
      <c r="J1818">
        <v>1.71</v>
      </c>
      <c r="K1818">
        <v>1.71</v>
      </c>
      <c r="L1818">
        <v>9.02</v>
      </c>
      <c r="M1818">
        <v>9.4700000000000006</v>
      </c>
      <c r="N1818">
        <v>8.83</v>
      </c>
    </row>
    <row r="1819" spans="1:14" x14ac:dyDescent="0.5">
      <c r="A1819" t="str">
        <f>"300434"</f>
        <v>300434</v>
      </c>
      <c r="B1819" t="s">
        <v>3501</v>
      </c>
      <c r="C1819">
        <v>0.68</v>
      </c>
      <c r="D1819">
        <v>27.44</v>
      </c>
      <c r="E1819">
        <v>10.35</v>
      </c>
      <c r="F1819">
        <v>7.0000000000000007E-2</v>
      </c>
      <c r="G1819">
        <v>10.35</v>
      </c>
      <c r="H1819">
        <v>10.36</v>
      </c>
      <c r="I1819" t="s">
        <v>3502</v>
      </c>
      <c r="J1819">
        <v>3.09</v>
      </c>
      <c r="K1819">
        <v>3.09</v>
      </c>
      <c r="L1819">
        <v>10.210000000000001</v>
      </c>
      <c r="M1819">
        <v>10.4</v>
      </c>
      <c r="N1819">
        <v>10.119999999999999</v>
      </c>
    </row>
    <row r="1820" spans="1:14" x14ac:dyDescent="0.5">
      <c r="A1820" t="str">
        <f>"300435"</f>
        <v>300435</v>
      </c>
      <c r="B1820" t="s">
        <v>3503</v>
      </c>
      <c r="C1820">
        <v>0.75</v>
      </c>
      <c r="D1820">
        <v>37.53</v>
      </c>
      <c r="E1820">
        <v>10.72</v>
      </c>
      <c r="F1820">
        <v>0.08</v>
      </c>
      <c r="G1820">
        <v>10.71</v>
      </c>
      <c r="H1820">
        <v>10.72</v>
      </c>
      <c r="I1820" t="s">
        <v>3504</v>
      </c>
      <c r="J1820">
        <v>1.79</v>
      </c>
      <c r="K1820">
        <v>1.79</v>
      </c>
      <c r="L1820">
        <v>10.79</v>
      </c>
      <c r="M1820">
        <v>10.8</v>
      </c>
      <c r="N1820">
        <v>10.56</v>
      </c>
    </row>
    <row r="1821" spans="1:14" x14ac:dyDescent="0.5">
      <c r="A1821" t="str">
        <f>"300436"</f>
        <v>300436</v>
      </c>
      <c r="B1821" t="s">
        <v>3505</v>
      </c>
      <c r="C1821">
        <v>0.11</v>
      </c>
      <c r="D1821">
        <v>359.04</v>
      </c>
      <c r="E1821">
        <v>27.04</v>
      </c>
      <c r="F1821">
        <v>0.03</v>
      </c>
      <c r="G1821">
        <v>27.04</v>
      </c>
      <c r="H1821">
        <v>27.05</v>
      </c>
      <c r="I1821" t="s">
        <v>2918</v>
      </c>
      <c r="J1821">
        <v>1.34</v>
      </c>
      <c r="K1821">
        <v>1.34</v>
      </c>
      <c r="L1821">
        <v>26.7</v>
      </c>
      <c r="M1821">
        <v>27.08</v>
      </c>
      <c r="N1821">
        <v>26.61</v>
      </c>
    </row>
    <row r="1822" spans="1:14" x14ac:dyDescent="0.5">
      <c r="A1822" t="str">
        <f>"300437"</f>
        <v>300437</v>
      </c>
      <c r="B1822" t="s">
        <v>3506</v>
      </c>
      <c r="C1822">
        <v>2.68</v>
      </c>
      <c r="D1822">
        <v>15.35</v>
      </c>
      <c r="E1822">
        <v>17.21</v>
      </c>
      <c r="F1822">
        <v>0.45</v>
      </c>
      <c r="G1822">
        <v>17.21</v>
      </c>
      <c r="H1822">
        <v>17.22</v>
      </c>
      <c r="I1822" t="s">
        <v>968</v>
      </c>
      <c r="J1822">
        <v>3.48</v>
      </c>
      <c r="K1822">
        <v>3.48</v>
      </c>
      <c r="L1822">
        <v>16.7</v>
      </c>
      <c r="M1822">
        <v>17.399999999999999</v>
      </c>
      <c r="N1822">
        <v>16.489999999999998</v>
      </c>
    </row>
    <row r="1823" spans="1:14" x14ac:dyDescent="0.5">
      <c r="A1823" t="str">
        <f>"300438"</f>
        <v>300438</v>
      </c>
      <c r="B1823" t="s">
        <v>3507</v>
      </c>
      <c r="C1823">
        <v>7.78</v>
      </c>
      <c r="D1823">
        <v>18.11</v>
      </c>
      <c r="E1823">
        <v>22.86</v>
      </c>
      <c r="F1823">
        <v>1.65</v>
      </c>
      <c r="G1823">
        <v>22.85</v>
      </c>
      <c r="H1823">
        <v>22.86</v>
      </c>
      <c r="I1823" t="s">
        <v>3508</v>
      </c>
      <c r="J1823">
        <v>4.3</v>
      </c>
      <c r="K1823">
        <v>4.3</v>
      </c>
      <c r="L1823">
        <v>21.21</v>
      </c>
      <c r="M1823">
        <v>23.07</v>
      </c>
      <c r="N1823">
        <v>21.1</v>
      </c>
    </row>
    <row r="1824" spans="1:14" x14ac:dyDescent="0.5">
      <c r="A1824" t="str">
        <f>"300439"</f>
        <v>300439</v>
      </c>
      <c r="B1824" t="s">
        <v>3509</v>
      </c>
      <c r="C1824">
        <v>1.1200000000000001</v>
      </c>
      <c r="D1824">
        <v>22.14</v>
      </c>
      <c r="E1824">
        <v>16.23</v>
      </c>
      <c r="F1824">
        <v>0.18</v>
      </c>
      <c r="G1824">
        <v>16.23</v>
      </c>
      <c r="H1824">
        <v>16.239999999999998</v>
      </c>
      <c r="I1824" t="s">
        <v>3510</v>
      </c>
      <c r="J1824">
        <v>1.63</v>
      </c>
      <c r="K1824">
        <v>1.63</v>
      </c>
      <c r="L1824">
        <v>15.95</v>
      </c>
      <c r="M1824">
        <v>16.239999999999998</v>
      </c>
      <c r="N1824">
        <v>15.91</v>
      </c>
    </row>
    <row r="1825" spans="1:14" x14ac:dyDescent="0.5">
      <c r="A1825" t="str">
        <f>"300440"</f>
        <v>300440</v>
      </c>
      <c r="B1825" t="s">
        <v>3511</v>
      </c>
      <c r="C1825">
        <v>2.19</v>
      </c>
      <c r="D1825">
        <v>40.08</v>
      </c>
      <c r="E1825">
        <v>7.45</v>
      </c>
      <c r="F1825">
        <v>0.16</v>
      </c>
      <c r="G1825">
        <v>7.45</v>
      </c>
      <c r="H1825">
        <v>7.46</v>
      </c>
      <c r="I1825" t="s">
        <v>3512</v>
      </c>
      <c r="J1825">
        <v>1.79</v>
      </c>
      <c r="K1825">
        <v>1.79</v>
      </c>
      <c r="L1825">
        <v>7.24</v>
      </c>
      <c r="M1825">
        <v>7.45</v>
      </c>
      <c r="N1825">
        <v>7.18</v>
      </c>
    </row>
    <row r="1826" spans="1:14" x14ac:dyDescent="0.5">
      <c r="A1826" t="str">
        <f>"300441"</f>
        <v>300441</v>
      </c>
      <c r="B1826" t="s">
        <v>3513</v>
      </c>
      <c r="C1826">
        <v>1.17</v>
      </c>
      <c r="D1826">
        <v>29.48</v>
      </c>
      <c r="E1826">
        <v>7.77</v>
      </c>
      <c r="F1826">
        <v>0.09</v>
      </c>
      <c r="G1826">
        <v>7.77</v>
      </c>
      <c r="H1826">
        <v>7.78</v>
      </c>
      <c r="I1826" t="s">
        <v>3514</v>
      </c>
      <c r="J1826">
        <v>2.77</v>
      </c>
      <c r="K1826">
        <v>2.77</v>
      </c>
      <c r="L1826">
        <v>7.8</v>
      </c>
      <c r="M1826">
        <v>7.83</v>
      </c>
      <c r="N1826">
        <v>7.66</v>
      </c>
    </row>
    <row r="1827" spans="1:14" x14ac:dyDescent="0.5">
      <c r="A1827" t="str">
        <f>"300442"</f>
        <v>300442</v>
      </c>
      <c r="B1827" t="s">
        <v>3515</v>
      </c>
      <c r="C1827">
        <v>2.95</v>
      </c>
      <c r="D1827" t="s">
        <v>24</v>
      </c>
      <c r="E1827">
        <v>14.68</v>
      </c>
      <c r="F1827">
        <v>0.42</v>
      </c>
      <c r="G1827">
        <v>14.67</v>
      </c>
      <c r="H1827">
        <v>14.68</v>
      </c>
      <c r="I1827" t="s">
        <v>3516</v>
      </c>
      <c r="J1827">
        <v>1.69</v>
      </c>
      <c r="K1827">
        <v>1.69</v>
      </c>
      <c r="L1827">
        <v>14.18</v>
      </c>
      <c r="M1827">
        <v>14.71</v>
      </c>
      <c r="N1827">
        <v>14.04</v>
      </c>
    </row>
    <row r="1828" spans="1:14" x14ac:dyDescent="0.5">
      <c r="A1828" t="str">
        <f>"300443"</f>
        <v>300443</v>
      </c>
      <c r="B1828" t="s">
        <v>3517</v>
      </c>
      <c r="C1828">
        <v>8.0299999999999994</v>
      </c>
      <c r="D1828">
        <v>32.08</v>
      </c>
      <c r="E1828">
        <v>16.14</v>
      </c>
      <c r="F1828">
        <v>1.2</v>
      </c>
      <c r="G1828">
        <v>16.13</v>
      </c>
      <c r="H1828">
        <v>16.14</v>
      </c>
      <c r="I1828" t="s">
        <v>3518</v>
      </c>
      <c r="J1828">
        <v>4.25</v>
      </c>
      <c r="K1828">
        <v>4.25</v>
      </c>
      <c r="L1828">
        <v>15</v>
      </c>
      <c r="M1828">
        <v>16.25</v>
      </c>
      <c r="N1828">
        <v>14.55</v>
      </c>
    </row>
    <row r="1829" spans="1:14" x14ac:dyDescent="0.5">
      <c r="A1829" t="str">
        <f>"300444"</f>
        <v>300444</v>
      </c>
      <c r="B1829" t="s">
        <v>3519</v>
      </c>
      <c r="C1829">
        <v>1.1100000000000001</v>
      </c>
      <c r="D1829">
        <v>16.72</v>
      </c>
      <c r="E1829">
        <v>8.19</v>
      </c>
      <c r="F1829">
        <v>0.09</v>
      </c>
      <c r="G1829">
        <v>8.19</v>
      </c>
      <c r="H1829">
        <v>8.1999999999999993</v>
      </c>
      <c r="I1829" t="s">
        <v>3520</v>
      </c>
      <c r="J1829">
        <v>6.05</v>
      </c>
      <c r="K1829">
        <v>6.05</v>
      </c>
      <c r="L1829">
        <v>8.0299999999999994</v>
      </c>
      <c r="M1829">
        <v>8.24</v>
      </c>
      <c r="N1829">
        <v>8</v>
      </c>
    </row>
    <row r="1830" spans="1:14" x14ac:dyDescent="0.5">
      <c r="A1830" t="str">
        <f>"300445"</f>
        <v>300445</v>
      </c>
      <c r="B1830" t="s">
        <v>3521</v>
      </c>
      <c r="C1830">
        <v>0.92</v>
      </c>
      <c r="D1830">
        <v>30.82</v>
      </c>
      <c r="E1830">
        <v>12.13</v>
      </c>
      <c r="F1830">
        <v>0.11</v>
      </c>
      <c r="G1830">
        <v>12.13</v>
      </c>
      <c r="H1830">
        <v>12.14</v>
      </c>
      <c r="I1830" t="s">
        <v>3522</v>
      </c>
      <c r="J1830">
        <v>1.47</v>
      </c>
      <c r="K1830">
        <v>1.47</v>
      </c>
      <c r="L1830">
        <v>11.9</v>
      </c>
      <c r="M1830">
        <v>12.15</v>
      </c>
      <c r="N1830">
        <v>11.88</v>
      </c>
    </row>
    <row r="1831" spans="1:14" x14ac:dyDescent="0.5">
      <c r="A1831" t="str">
        <f>"300446"</f>
        <v>300446</v>
      </c>
      <c r="B1831" t="s">
        <v>3523</v>
      </c>
      <c r="C1831">
        <v>4.26</v>
      </c>
      <c r="D1831">
        <v>21.94</v>
      </c>
      <c r="E1831">
        <v>19.84</v>
      </c>
      <c r="F1831">
        <v>0.81</v>
      </c>
      <c r="G1831">
        <v>19.829999999999998</v>
      </c>
      <c r="H1831">
        <v>19.84</v>
      </c>
      <c r="I1831" t="s">
        <v>3524</v>
      </c>
      <c r="J1831">
        <v>2.2000000000000002</v>
      </c>
      <c r="K1831">
        <v>2.2000000000000002</v>
      </c>
      <c r="L1831">
        <v>18.989999999999998</v>
      </c>
      <c r="M1831">
        <v>19.84</v>
      </c>
      <c r="N1831">
        <v>18.989999999999998</v>
      </c>
    </row>
    <row r="1832" spans="1:14" x14ac:dyDescent="0.5">
      <c r="A1832" t="str">
        <f>"300447"</f>
        <v>300447</v>
      </c>
      <c r="B1832" t="s">
        <v>3525</v>
      </c>
      <c r="C1832">
        <v>2.16</v>
      </c>
      <c r="D1832">
        <v>26.92</v>
      </c>
      <c r="E1832">
        <v>10.87</v>
      </c>
      <c r="F1832">
        <v>0.23</v>
      </c>
      <c r="G1832">
        <v>10.86</v>
      </c>
      <c r="H1832">
        <v>10.87</v>
      </c>
      <c r="I1832" t="s">
        <v>3526</v>
      </c>
      <c r="J1832">
        <v>4.37</v>
      </c>
      <c r="K1832">
        <v>4.37</v>
      </c>
      <c r="L1832">
        <v>10.64</v>
      </c>
      <c r="M1832">
        <v>10.95</v>
      </c>
      <c r="N1832">
        <v>10.6</v>
      </c>
    </row>
    <row r="1833" spans="1:14" x14ac:dyDescent="0.5">
      <c r="A1833" t="str">
        <f>"300448"</f>
        <v>300448</v>
      </c>
      <c r="B1833" t="s">
        <v>3527</v>
      </c>
      <c r="C1833">
        <v>6.65</v>
      </c>
      <c r="D1833">
        <v>38.65</v>
      </c>
      <c r="E1833">
        <v>12.67</v>
      </c>
      <c r="F1833">
        <v>0.79</v>
      </c>
      <c r="G1833">
        <v>12.65</v>
      </c>
      <c r="H1833">
        <v>12.67</v>
      </c>
      <c r="I1833" t="s">
        <v>3528</v>
      </c>
      <c r="J1833">
        <v>4.13</v>
      </c>
      <c r="K1833">
        <v>4.13</v>
      </c>
      <c r="L1833">
        <v>11.88</v>
      </c>
      <c r="M1833">
        <v>12.87</v>
      </c>
      <c r="N1833">
        <v>11.75</v>
      </c>
    </row>
    <row r="1834" spans="1:14" x14ac:dyDescent="0.5">
      <c r="A1834" t="str">
        <f>"300449"</f>
        <v>300449</v>
      </c>
      <c r="B1834" t="s">
        <v>3529</v>
      </c>
      <c r="C1834">
        <v>6.81</v>
      </c>
      <c r="D1834">
        <v>39.99</v>
      </c>
      <c r="E1834">
        <v>19.600000000000001</v>
      </c>
      <c r="F1834">
        <v>1.25</v>
      </c>
      <c r="G1834">
        <v>19.600000000000001</v>
      </c>
      <c r="H1834">
        <v>19.61</v>
      </c>
      <c r="I1834" t="s">
        <v>3530</v>
      </c>
      <c r="J1834">
        <v>7.54</v>
      </c>
      <c r="K1834">
        <v>7.54</v>
      </c>
      <c r="L1834">
        <v>18.29</v>
      </c>
      <c r="M1834">
        <v>19.649999999999999</v>
      </c>
      <c r="N1834">
        <v>18.18</v>
      </c>
    </row>
    <row r="1835" spans="1:14" x14ac:dyDescent="0.5">
      <c r="A1835" t="str">
        <f>"300450"</f>
        <v>300450</v>
      </c>
      <c r="B1835" t="s">
        <v>3531</v>
      </c>
      <c r="C1835">
        <v>0.73</v>
      </c>
      <c r="D1835">
        <v>37.47</v>
      </c>
      <c r="E1835">
        <v>35.97</v>
      </c>
      <c r="F1835">
        <v>0.26</v>
      </c>
      <c r="G1835">
        <v>35.97</v>
      </c>
      <c r="H1835">
        <v>35.979999999999997</v>
      </c>
      <c r="I1835" t="s">
        <v>3532</v>
      </c>
      <c r="J1835">
        <v>2.79</v>
      </c>
      <c r="K1835">
        <v>2.79</v>
      </c>
      <c r="L1835">
        <v>35.700000000000003</v>
      </c>
      <c r="M1835">
        <v>36.71</v>
      </c>
      <c r="N1835">
        <v>35.299999999999997</v>
      </c>
    </row>
    <row r="1836" spans="1:14" x14ac:dyDescent="0.5">
      <c r="A1836" t="str">
        <f>"300451"</f>
        <v>300451</v>
      </c>
      <c r="B1836" t="s">
        <v>3533</v>
      </c>
      <c r="C1836">
        <v>1.89</v>
      </c>
      <c r="D1836">
        <v>47.4</v>
      </c>
      <c r="E1836">
        <v>21.59</v>
      </c>
      <c r="F1836">
        <v>0.4</v>
      </c>
      <c r="G1836">
        <v>21.59</v>
      </c>
      <c r="H1836">
        <v>21.6</v>
      </c>
      <c r="I1836" t="s">
        <v>3534</v>
      </c>
      <c r="J1836">
        <v>5.69</v>
      </c>
      <c r="K1836">
        <v>5.69</v>
      </c>
      <c r="L1836">
        <v>21.01</v>
      </c>
      <c r="M1836">
        <v>21.85</v>
      </c>
      <c r="N1836">
        <v>20.88</v>
      </c>
    </row>
    <row r="1837" spans="1:14" x14ac:dyDescent="0.5">
      <c r="A1837" t="str">
        <f>"300452"</f>
        <v>300452</v>
      </c>
      <c r="B1837" t="s">
        <v>3535</v>
      </c>
      <c r="C1837">
        <v>0.74</v>
      </c>
      <c r="D1837">
        <v>36.94</v>
      </c>
      <c r="E1837">
        <v>17.79</v>
      </c>
      <c r="F1837">
        <v>0.13</v>
      </c>
      <c r="G1837">
        <v>17.79</v>
      </c>
      <c r="H1837">
        <v>17.8</v>
      </c>
      <c r="I1837" t="s">
        <v>3536</v>
      </c>
      <c r="J1837">
        <v>6.45</v>
      </c>
      <c r="K1837">
        <v>6.45</v>
      </c>
      <c r="L1837">
        <v>17.510000000000002</v>
      </c>
      <c r="M1837">
        <v>17.82</v>
      </c>
      <c r="N1837">
        <v>17.149999999999999</v>
      </c>
    </row>
    <row r="1838" spans="1:14" x14ac:dyDescent="0.5">
      <c r="A1838" t="str">
        <f>"300453"</f>
        <v>300453</v>
      </c>
      <c r="B1838" t="s">
        <v>3537</v>
      </c>
      <c r="C1838">
        <v>-1.41</v>
      </c>
      <c r="D1838">
        <v>58.69</v>
      </c>
      <c r="E1838">
        <v>14.02</v>
      </c>
      <c r="F1838">
        <v>-0.2</v>
      </c>
      <c r="G1838">
        <v>14.01</v>
      </c>
      <c r="H1838">
        <v>14.02</v>
      </c>
      <c r="I1838" t="s">
        <v>3538</v>
      </c>
      <c r="J1838">
        <v>7.68</v>
      </c>
      <c r="K1838">
        <v>7.68</v>
      </c>
      <c r="L1838">
        <v>13.81</v>
      </c>
      <c r="M1838">
        <v>14.08</v>
      </c>
      <c r="N1838">
        <v>13.79</v>
      </c>
    </row>
    <row r="1839" spans="1:14" x14ac:dyDescent="0.5">
      <c r="A1839" t="str">
        <f>"300454"</f>
        <v>300454</v>
      </c>
      <c r="B1839" t="s">
        <v>3539</v>
      </c>
      <c r="C1839">
        <v>-1.28</v>
      </c>
      <c r="D1839">
        <v>65.67</v>
      </c>
      <c r="E1839">
        <v>100</v>
      </c>
      <c r="F1839">
        <v>-1.3</v>
      </c>
      <c r="G1839">
        <v>99.99</v>
      </c>
      <c r="H1839">
        <v>100</v>
      </c>
      <c r="I1839" t="s">
        <v>3540</v>
      </c>
      <c r="J1839">
        <v>5.71</v>
      </c>
      <c r="K1839">
        <v>5.71</v>
      </c>
      <c r="L1839">
        <v>100.5</v>
      </c>
      <c r="M1839">
        <v>101.3</v>
      </c>
      <c r="N1839">
        <v>98.7</v>
      </c>
    </row>
    <row r="1840" spans="1:14" x14ac:dyDescent="0.5">
      <c r="A1840" t="str">
        <f>"300455"</f>
        <v>300455</v>
      </c>
      <c r="B1840" t="s">
        <v>3541</v>
      </c>
      <c r="C1840">
        <v>2.76</v>
      </c>
      <c r="D1840">
        <v>49.93</v>
      </c>
      <c r="E1840">
        <v>7.44</v>
      </c>
      <c r="F1840">
        <v>0.2</v>
      </c>
      <c r="G1840">
        <v>7.44</v>
      </c>
      <c r="H1840">
        <v>7.45</v>
      </c>
      <c r="I1840" t="s">
        <v>3542</v>
      </c>
      <c r="J1840">
        <v>1.34</v>
      </c>
      <c r="K1840">
        <v>1.34</v>
      </c>
      <c r="L1840">
        <v>7.24</v>
      </c>
      <c r="M1840">
        <v>7.45</v>
      </c>
      <c r="N1840">
        <v>7.17</v>
      </c>
    </row>
    <row r="1841" spans="1:14" x14ac:dyDescent="0.5">
      <c r="A1841" t="str">
        <f>"300456"</f>
        <v>300456</v>
      </c>
      <c r="B1841" t="s">
        <v>3543</v>
      </c>
      <c r="C1841">
        <v>3.7</v>
      </c>
      <c r="D1841">
        <v>96.69</v>
      </c>
      <c r="E1841">
        <v>31.42</v>
      </c>
      <c r="F1841">
        <v>1.1200000000000001</v>
      </c>
      <c r="G1841">
        <v>31.42</v>
      </c>
      <c r="H1841">
        <v>31.43</v>
      </c>
      <c r="I1841" t="s">
        <v>3544</v>
      </c>
      <c r="J1841">
        <v>6.41</v>
      </c>
      <c r="K1841">
        <v>6.41</v>
      </c>
      <c r="L1841">
        <v>30.25</v>
      </c>
      <c r="M1841">
        <v>31.45</v>
      </c>
      <c r="N1841">
        <v>29.98</v>
      </c>
    </row>
    <row r="1842" spans="1:14" x14ac:dyDescent="0.5">
      <c r="A1842" t="str">
        <f>"300457"</f>
        <v>300457</v>
      </c>
      <c r="B1842" t="s">
        <v>3545</v>
      </c>
      <c r="C1842">
        <v>0.94</v>
      </c>
      <c r="D1842">
        <v>36.549999999999997</v>
      </c>
      <c r="E1842">
        <v>29.07</v>
      </c>
      <c r="F1842">
        <v>0.27</v>
      </c>
      <c r="G1842">
        <v>29.07</v>
      </c>
      <c r="H1842">
        <v>29.08</v>
      </c>
      <c r="I1842" t="s">
        <v>3546</v>
      </c>
      <c r="J1842">
        <v>5.12</v>
      </c>
      <c r="K1842">
        <v>5.12</v>
      </c>
      <c r="L1842">
        <v>28.78</v>
      </c>
      <c r="M1842">
        <v>29.44</v>
      </c>
      <c r="N1842">
        <v>28.29</v>
      </c>
    </row>
    <row r="1843" spans="1:14" x14ac:dyDescent="0.5">
      <c r="A1843" t="str">
        <f>"300458"</f>
        <v>300458</v>
      </c>
      <c r="B1843" t="s">
        <v>3547</v>
      </c>
      <c r="C1843">
        <v>7.69</v>
      </c>
      <c r="D1843">
        <v>47.26</v>
      </c>
      <c r="E1843">
        <v>24.79</v>
      </c>
      <c r="F1843">
        <v>1.77</v>
      </c>
      <c r="G1843">
        <v>24.79</v>
      </c>
      <c r="H1843">
        <v>24.8</v>
      </c>
      <c r="I1843" t="s">
        <v>3548</v>
      </c>
      <c r="J1843">
        <v>8.9499999999999993</v>
      </c>
      <c r="K1843">
        <v>8.9499999999999993</v>
      </c>
      <c r="L1843">
        <v>23.29</v>
      </c>
      <c r="M1843">
        <v>24.87</v>
      </c>
      <c r="N1843">
        <v>23.2</v>
      </c>
    </row>
    <row r="1844" spans="1:14" x14ac:dyDescent="0.5">
      <c r="A1844" t="str">
        <f>"300459"</f>
        <v>300459</v>
      </c>
      <c r="B1844" t="s">
        <v>3549</v>
      </c>
      <c r="C1844">
        <v>2.2200000000000002</v>
      </c>
      <c r="D1844">
        <v>18.7</v>
      </c>
      <c r="E1844">
        <v>8.2799999999999994</v>
      </c>
      <c r="F1844">
        <v>0.18</v>
      </c>
      <c r="G1844">
        <v>8.2799999999999994</v>
      </c>
      <c r="H1844">
        <v>8.2899999999999991</v>
      </c>
      <c r="I1844" t="s">
        <v>638</v>
      </c>
      <c r="J1844">
        <v>1.24</v>
      </c>
      <c r="K1844">
        <v>1.24</v>
      </c>
      <c r="L1844">
        <v>8.09</v>
      </c>
      <c r="M1844">
        <v>8.3000000000000007</v>
      </c>
      <c r="N1844">
        <v>8.06</v>
      </c>
    </row>
    <row r="1845" spans="1:14" x14ac:dyDescent="0.5">
      <c r="A1845" t="str">
        <f>"300460"</f>
        <v>300460</v>
      </c>
      <c r="B1845" t="s">
        <v>3550</v>
      </c>
      <c r="C1845">
        <v>4.03</v>
      </c>
      <c r="D1845">
        <v>69.69</v>
      </c>
      <c r="E1845">
        <v>9.56</v>
      </c>
      <c r="F1845">
        <v>0.37</v>
      </c>
      <c r="G1845">
        <v>9.56</v>
      </c>
      <c r="H1845">
        <v>9.57</v>
      </c>
      <c r="I1845" t="s">
        <v>2317</v>
      </c>
      <c r="J1845">
        <v>2.38</v>
      </c>
      <c r="K1845">
        <v>2.38</v>
      </c>
      <c r="L1845">
        <v>9.23</v>
      </c>
      <c r="M1845">
        <v>9.61</v>
      </c>
      <c r="N1845">
        <v>9.15</v>
      </c>
    </row>
    <row r="1846" spans="1:14" x14ac:dyDescent="0.5">
      <c r="A1846" t="str">
        <f>"300461"</f>
        <v>300461</v>
      </c>
      <c r="B1846" t="s">
        <v>3551</v>
      </c>
      <c r="C1846">
        <v>3.79</v>
      </c>
      <c r="D1846">
        <v>28.91</v>
      </c>
      <c r="E1846">
        <v>24.39</v>
      </c>
      <c r="F1846">
        <v>0.89</v>
      </c>
      <c r="G1846">
        <v>24.39</v>
      </c>
      <c r="H1846">
        <v>24.4</v>
      </c>
      <c r="I1846" t="s">
        <v>3552</v>
      </c>
      <c r="J1846">
        <v>3.49</v>
      </c>
      <c r="K1846">
        <v>3.49</v>
      </c>
      <c r="L1846">
        <v>23.5</v>
      </c>
      <c r="M1846">
        <v>24.68</v>
      </c>
      <c r="N1846">
        <v>23.38</v>
      </c>
    </row>
    <row r="1847" spans="1:14" x14ac:dyDescent="0.5">
      <c r="A1847" t="str">
        <f>"300462"</f>
        <v>300462</v>
      </c>
      <c r="B1847" t="s">
        <v>3553</v>
      </c>
      <c r="C1847">
        <v>4.74</v>
      </c>
      <c r="D1847">
        <v>36.869999999999997</v>
      </c>
      <c r="E1847">
        <v>17.899999999999999</v>
      </c>
      <c r="F1847">
        <v>0.81</v>
      </c>
      <c r="G1847">
        <v>17.899999999999999</v>
      </c>
      <c r="H1847">
        <v>17.91</v>
      </c>
      <c r="I1847" t="s">
        <v>3554</v>
      </c>
      <c r="J1847">
        <v>12.98</v>
      </c>
      <c r="K1847">
        <v>12.98</v>
      </c>
      <c r="L1847">
        <v>16.95</v>
      </c>
      <c r="M1847">
        <v>18.14</v>
      </c>
      <c r="N1847">
        <v>16.850000000000001</v>
      </c>
    </row>
    <row r="1848" spans="1:14" x14ac:dyDescent="0.5">
      <c r="A1848" t="str">
        <f>"300463"</f>
        <v>300463</v>
      </c>
      <c r="B1848" t="s">
        <v>3555</v>
      </c>
      <c r="C1848">
        <v>0.36</v>
      </c>
      <c r="D1848">
        <v>24.73</v>
      </c>
      <c r="E1848">
        <v>19.579999999999998</v>
      </c>
      <c r="F1848">
        <v>7.0000000000000007E-2</v>
      </c>
      <c r="G1848">
        <v>19.579999999999998</v>
      </c>
      <c r="H1848">
        <v>19.59</v>
      </c>
      <c r="I1848" t="s">
        <v>3556</v>
      </c>
      <c r="J1848">
        <v>1.49</v>
      </c>
      <c r="K1848">
        <v>1.49</v>
      </c>
      <c r="L1848">
        <v>19.53</v>
      </c>
      <c r="M1848">
        <v>20.18</v>
      </c>
      <c r="N1848">
        <v>19.09</v>
      </c>
    </row>
    <row r="1849" spans="1:14" x14ac:dyDescent="0.5">
      <c r="A1849" t="str">
        <f>"300464"</f>
        <v>300464</v>
      </c>
      <c r="B1849" t="s">
        <v>3557</v>
      </c>
      <c r="C1849">
        <v>-0.81</v>
      </c>
      <c r="D1849" t="s">
        <v>24</v>
      </c>
      <c r="E1849">
        <v>8.56</v>
      </c>
      <c r="F1849">
        <v>-7.0000000000000007E-2</v>
      </c>
      <c r="G1849">
        <v>8.56</v>
      </c>
      <c r="H1849">
        <v>8.58</v>
      </c>
      <c r="I1849" t="s">
        <v>3558</v>
      </c>
      <c r="J1849">
        <v>2.52</v>
      </c>
      <c r="K1849">
        <v>2.52</v>
      </c>
      <c r="L1849">
        <v>8.49</v>
      </c>
      <c r="M1849">
        <v>8.6300000000000008</v>
      </c>
      <c r="N1849">
        <v>8.36</v>
      </c>
    </row>
    <row r="1850" spans="1:14" x14ac:dyDescent="0.5">
      <c r="A1850" t="str">
        <f>"300465"</f>
        <v>300465</v>
      </c>
      <c r="B1850" t="s">
        <v>3559</v>
      </c>
      <c r="C1850">
        <v>2.2400000000000002</v>
      </c>
      <c r="D1850">
        <v>75.48</v>
      </c>
      <c r="E1850">
        <v>8.66</v>
      </c>
      <c r="F1850">
        <v>0.19</v>
      </c>
      <c r="G1850">
        <v>8.66</v>
      </c>
      <c r="H1850">
        <v>8.67</v>
      </c>
      <c r="I1850" t="s">
        <v>3560</v>
      </c>
      <c r="J1850">
        <v>10.06</v>
      </c>
      <c r="K1850">
        <v>10.06</v>
      </c>
      <c r="L1850">
        <v>8.2899999999999991</v>
      </c>
      <c r="M1850">
        <v>8.6999999999999993</v>
      </c>
      <c r="N1850">
        <v>8.18</v>
      </c>
    </row>
    <row r="1851" spans="1:14" x14ac:dyDescent="0.5">
      <c r="A1851" t="str">
        <f>"300466"</f>
        <v>300466</v>
      </c>
      <c r="B1851" t="s">
        <v>3561</v>
      </c>
      <c r="C1851">
        <v>3.55</v>
      </c>
      <c r="D1851">
        <v>120.45</v>
      </c>
      <c r="E1851">
        <v>6.71</v>
      </c>
      <c r="F1851">
        <v>0.23</v>
      </c>
      <c r="G1851">
        <v>6.71</v>
      </c>
      <c r="H1851">
        <v>6.72</v>
      </c>
      <c r="I1851" t="s">
        <v>3562</v>
      </c>
      <c r="J1851">
        <v>6.69</v>
      </c>
      <c r="K1851">
        <v>6.69</v>
      </c>
      <c r="L1851">
        <v>6.41</v>
      </c>
      <c r="M1851">
        <v>6.8</v>
      </c>
      <c r="N1851">
        <v>6.37</v>
      </c>
    </row>
    <row r="1852" spans="1:14" x14ac:dyDescent="0.5">
      <c r="A1852" t="str">
        <f>"300467"</f>
        <v>300467</v>
      </c>
      <c r="B1852" t="s">
        <v>3563</v>
      </c>
      <c r="C1852">
        <v>5.73</v>
      </c>
      <c r="D1852">
        <v>24.68</v>
      </c>
      <c r="E1852">
        <v>26.2</v>
      </c>
      <c r="F1852">
        <v>1.42</v>
      </c>
      <c r="G1852">
        <v>26.2</v>
      </c>
      <c r="H1852">
        <v>26.22</v>
      </c>
      <c r="I1852" t="s">
        <v>3564</v>
      </c>
      <c r="J1852">
        <v>8.31</v>
      </c>
      <c r="K1852">
        <v>8.31</v>
      </c>
      <c r="L1852">
        <v>24.88</v>
      </c>
      <c r="M1852">
        <v>26.2</v>
      </c>
      <c r="N1852">
        <v>24.78</v>
      </c>
    </row>
    <row r="1853" spans="1:14" x14ac:dyDescent="0.5">
      <c r="A1853" t="str">
        <f>"300468"</f>
        <v>300468</v>
      </c>
      <c r="B1853" t="s">
        <v>3565</v>
      </c>
      <c r="C1853">
        <v>4.41</v>
      </c>
      <c r="D1853">
        <v>32.9</v>
      </c>
      <c r="E1853">
        <v>15.86</v>
      </c>
      <c r="F1853">
        <v>0.67</v>
      </c>
      <c r="G1853">
        <v>15.85</v>
      </c>
      <c r="H1853">
        <v>15.86</v>
      </c>
      <c r="I1853" t="s">
        <v>528</v>
      </c>
      <c r="J1853">
        <v>4.7</v>
      </c>
      <c r="K1853">
        <v>4.7</v>
      </c>
      <c r="L1853">
        <v>15.1</v>
      </c>
      <c r="M1853">
        <v>16.21</v>
      </c>
      <c r="N1853">
        <v>14.98</v>
      </c>
    </row>
    <row r="1854" spans="1:14" x14ac:dyDescent="0.5">
      <c r="A1854" t="str">
        <f>"300469"</f>
        <v>300469</v>
      </c>
      <c r="B1854" t="s">
        <v>3566</v>
      </c>
      <c r="C1854">
        <v>9.99</v>
      </c>
      <c r="D1854">
        <v>66.599999999999994</v>
      </c>
      <c r="E1854">
        <v>23.45</v>
      </c>
      <c r="F1854">
        <v>2.13</v>
      </c>
      <c r="G1854">
        <v>23.45</v>
      </c>
      <c r="H1854" t="s">
        <v>24</v>
      </c>
      <c r="I1854" t="s">
        <v>255</v>
      </c>
      <c r="J1854">
        <v>4.3099999999999996</v>
      </c>
      <c r="K1854">
        <v>4.3099999999999996</v>
      </c>
      <c r="L1854">
        <v>21.41</v>
      </c>
      <c r="M1854">
        <v>23.45</v>
      </c>
      <c r="N1854">
        <v>21.4</v>
      </c>
    </row>
    <row r="1855" spans="1:14" x14ac:dyDescent="0.5">
      <c r="A1855" t="str">
        <f>"300470"</f>
        <v>300470</v>
      </c>
      <c r="B1855" t="s">
        <v>3567</v>
      </c>
      <c r="C1855">
        <v>1.74</v>
      </c>
      <c r="D1855">
        <v>27.94</v>
      </c>
      <c r="E1855">
        <v>25.19</v>
      </c>
      <c r="F1855">
        <v>0.43</v>
      </c>
      <c r="G1855">
        <v>25.19</v>
      </c>
      <c r="H1855">
        <v>25.2</v>
      </c>
      <c r="I1855" t="s">
        <v>3568</v>
      </c>
      <c r="J1855">
        <v>2.2000000000000002</v>
      </c>
      <c r="K1855">
        <v>2.2000000000000002</v>
      </c>
      <c r="L1855">
        <v>24.6</v>
      </c>
      <c r="M1855">
        <v>25.2</v>
      </c>
      <c r="N1855">
        <v>24.5</v>
      </c>
    </row>
    <row r="1856" spans="1:14" x14ac:dyDescent="0.5">
      <c r="A1856" t="str">
        <f>"300471"</f>
        <v>300471</v>
      </c>
      <c r="B1856" t="s">
        <v>3569</v>
      </c>
      <c r="C1856">
        <v>4.59</v>
      </c>
      <c r="D1856" t="s">
        <v>24</v>
      </c>
      <c r="E1856">
        <v>6.83</v>
      </c>
      <c r="F1856">
        <v>0.3</v>
      </c>
      <c r="G1856">
        <v>6.82</v>
      </c>
      <c r="H1856">
        <v>6.83</v>
      </c>
      <c r="I1856" t="s">
        <v>3570</v>
      </c>
      <c r="J1856">
        <v>5.45</v>
      </c>
      <c r="K1856">
        <v>5.45</v>
      </c>
      <c r="L1856">
        <v>6.65</v>
      </c>
      <c r="M1856">
        <v>6.85</v>
      </c>
      <c r="N1856">
        <v>6.51</v>
      </c>
    </row>
    <row r="1857" spans="1:14" x14ac:dyDescent="0.5">
      <c r="A1857" t="str">
        <f>"300472"</f>
        <v>300472</v>
      </c>
      <c r="B1857" t="s">
        <v>3571</v>
      </c>
      <c r="C1857">
        <v>9.65</v>
      </c>
      <c r="D1857">
        <v>68.08</v>
      </c>
      <c r="E1857">
        <v>21.59</v>
      </c>
      <c r="F1857">
        <v>1.9</v>
      </c>
      <c r="G1857">
        <v>21.5</v>
      </c>
      <c r="H1857">
        <v>21.59</v>
      </c>
      <c r="I1857" t="s">
        <v>3572</v>
      </c>
      <c r="J1857">
        <v>6.29</v>
      </c>
      <c r="K1857">
        <v>6.29</v>
      </c>
      <c r="L1857">
        <v>19.690000000000001</v>
      </c>
      <c r="M1857">
        <v>21.66</v>
      </c>
      <c r="N1857">
        <v>19.48</v>
      </c>
    </row>
    <row r="1858" spans="1:14" x14ac:dyDescent="0.5">
      <c r="A1858" t="str">
        <f>"300473"</f>
        <v>300473</v>
      </c>
      <c r="B1858" t="s">
        <v>3573</v>
      </c>
      <c r="C1858">
        <v>0.47</v>
      </c>
      <c r="D1858">
        <v>20.99</v>
      </c>
      <c r="E1858">
        <v>38.270000000000003</v>
      </c>
      <c r="F1858">
        <v>0.18</v>
      </c>
      <c r="G1858">
        <v>38.25</v>
      </c>
      <c r="H1858">
        <v>38.270000000000003</v>
      </c>
      <c r="I1858" t="s">
        <v>3574</v>
      </c>
      <c r="J1858">
        <v>1.2</v>
      </c>
      <c r="K1858">
        <v>1.2</v>
      </c>
      <c r="L1858">
        <v>38</v>
      </c>
      <c r="M1858">
        <v>38.29</v>
      </c>
      <c r="N1858">
        <v>37.75</v>
      </c>
    </row>
    <row r="1859" spans="1:14" x14ac:dyDescent="0.5">
      <c r="A1859" t="str">
        <f>"300474"</f>
        <v>300474</v>
      </c>
      <c r="B1859" t="s">
        <v>3575</v>
      </c>
      <c r="C1859">
        <v>6.63</v>
      </c>
      <c r="D1859">
        <v>105.86</v>
      </c>
      <c r="E1859">
        <v>46.35</v>
      </c>
      <c r="F1859">
        <v>2.88</v>
      </c>
      <c r="G1859">
        <v>46.34</v>
      </c>
      <c r="H1859">
        <v>46.35</v>
      </c>
      <c r="I1859" t="s">
        <v>3576</v>
      </c>
      <c r="J1859">
        <v>7.61</v>
      </c>
      <c r="K1859">
        <v>7.61</v>
      </c>
      <c r="L1859">
        <v>43.56</v>
      </c>
      <c r="M1859">
        <v>46.35</v>
      </c>
      <c r="N1859">
        <v>43.45</v>
      </c>
    </row>
    <row r="1860" spans="1:14" x14ac:dyDescent="0.5">
      <c r="A1860" t="str">
        <f>"300475"</f>
        <v>300475</v>
      </c>
      <c r="B1860" t="s">
        <v>3577</v>
      </c>
      <c r="C1860">
        <v>2.17</v>
      </c>
      <c r="D1860">
        <v>31.36</v>
      </c>
      <c r="E1860">
        <v>9.8699999999999992</v>
      </c>
      <c r="F1860">
        <v>0.21</v>
      </c>
      <c r="G1860">
        <v>9.86</v>
      </c>
      <c r="H1860">
        <v>9.8699999999999992</v>
      </c>
      <c r="I1860" t="s">
        <v>3578</v>
      </c>
      <c r="J1860">
        <v>1.42</v>
      </c>
      <c r="K1860">
        <v>1.42</v>
      </c>
      <c r="L1860">
        <v>10.43</v>
      </c>
      <c r="M1860">
        <v>10.43</v>
      </c>
      <c r="N1860">
        <v>9.68</v>
      </c>
    </row>
    <row r="1861" spans="1:14" x14ac:dyDescent="0.5">
      <c r="A1861" t="str">
        <f>"300476"</f>
        <v>300476</v>
      </c>
      <c r="B1861" t="s">
        <v>3579</v>
      </c>
      <c r="C1861">
        <v>5.14</v>
      </c>
      <c r="D1861">
        <v>24.76</v>
      </c>
      <c r="E1861">
        <v>13.92</v>
      </c>
      <c r="F1861">
        <v>0.68</v>
      </c>
      <c r="G1861">
        <v>13.92</v>
      </c>
      <c r="H1861">
        <v>13.93</v>
      </c>
      <c r="I1861" t="s">
        <v>3580</v>
      </c>
      <c r="J1861">
        <v>3.15</v>
      </c>
      <c r="K1861">
        <v>3.15</v>
      </c>
      <c r="L1861">
        <v>13.23</v>
      </c>
      <c r="M1861">
        <v>13.93</v>
      </c>
      <c r="N1861">
        <v>13.11</v>
      </c>
    </row>
    <row r="1862" spans="1:14" x14ac:dyDescent="0.5">
      <c r="A1862" t="str">
        <f>"300477"</f>
        <v>300477</v>
      </c>
      <c r="B1862" t="s">
        <v>3581</v>
      </c>
      <c r="C1862">
        <v>1.94</v>
      </c>
      <c r="D1862">
        <v>39.83</v>
      </c>
      <c r="E1862">
        <v>9.99</v>
      </c>
      <c r="F1862">
        <v>0.19</v>
      </c>
      <c r="G1862">
        <v>9.99</v>
      </c>
      <c r="H1862">
        <v>10</v>
      </c>
      <c r="I1862" t="s">
        <v>3582</v>
      </c>
      <c r="J1862">
        <v>4.76</v>
      </c>
      <c r="K1862">
        <v>4.76</v>
      </c>
      <c r="L1862">
        <v>9.83</v>
      </c>
      <c r="M1862">
        <v>10.199999999999999</v>
      </c>
      <c r="N1862">
        <v>9.83</v>
      </c>
    </row>
    <row r="1863" spans="1:14" x14ac:dyDescent="0.5">
      <c r="A1863" t="str">
        <f>"300478"</f>
        <v>300478</v>
      </c>
      <c r="B1863" t="s">
        <v>3583</v>
      </c>
      <c r="C1863">
        <v>-0.23</v>
      </c>
      <c r="D1863">
        <v>41.4</v>
      </c>
      <c r="E1863">
        <v>17.18</v>
      </c>
      <c r="F1863">
        <v>-0.04</v>
      </c>
      <c r="G1863">
        <v>17.149999999999999</v>
      </c>
      <c r="H1863">
        <v>17.18</v>
      </c>
      <c r="I1863" t="s">
        <v>536</v>
      </c>
      <c r="J1863">
        <v>4</v>
      </c>
      <c r="K1863">
        <v>4</v>
      </c>
      <c r="L1863">
        <v>17.399999999999999</v>
      </c>
      <c r="M1863">
        <v>17.399999999999999</v>
      </c>
      <c r="N1863">
        <v>16.399999999999999</v>
      </c>
    </row>
    <row r="1864" spans="1:14" x14ac:dyDescent="0.5">
      <c r="A1864" t="str">
        <f>"300479"</f>
        <v>300479</v>
      </c>
      <c r="B1864" t="s">
        <v>3584</v>
      </c>
      <c r="C1864">
        <v>10</v>
      </c>
      <c r="D1864">
        <v>228.58</v>
      </c>
      <c r="E1864">
        <v>19.25</v>
      </c>
      <c r="F1864">
        <v>1.75</v>
      </c>
      <c r="G1864">
        <v>19.25</v>
      </c>
      <c r="H1864" t="s">
        <v>24</v>
      </c>
      <c r="I1864" t="s">
        <v>3585</v>
      </c>
      <c r="J1864">
        <v>5.65</v>
      </c>
      <c r="K1864">
        <v>5.65</v>
      </c>
      <c r="L1864">
        <v>17.57</v>
      </c>
      <c r="M1864">
        <v>19.25</v>
      </c>
      <c r="N1864">
        <v>17.38</v>
      </c>
    </row>
    <row r="1865" spans="1:14" x14ac:dyDescent="0.5">
      <c r="A1865" t="str">
        <f>"300480"</f>
        <v>300480</v>
      </c>
      <c r="B1865" t="s">
        <v>3586</v>
      </c>
      <c r="C1865">
        <v>5.29</v>
      </c>
      <c r="D1865">
        <v>49.09</v>
      </c>
      <c r="E1865">
        <v>11.34</v>
      </c>
      <c r="F1865">
        <v>0.56999999999999995</v>
      </c>
      <c r="G1865">
        <v>11.33</v>
      </c>
      <c r="H1865">
        <v>11.34</v>
      </c>
      <c r="I1865" t="s">
        <v>3587</v>
      </c>
      <c r="J1865">
        <v>4.37</v>
      </c>
      <c r="K1865">
        <v>4.37</v>
      </c>
      <c r="L1865">
        <v>10.79</v>
      </c>
      <c r="M1865">
        <v>11.38</v>
      </c>
      <c r="N1865">
        <v>10.67</v>
      </c>
    </row>
    <row r="1866" spans="1:14" x14ac:dyDescent="0.5">
      <c r="A1866" t="str">
        <f>"300481"</f>
        <v>300481</v>
      </c>
      <c r="B1866" t="s">
        <v>3588</v>
      </c>
      <c r="C1866">
        <v>7.16</v>
      </c>
      <c r="D1866">
        <v>40.76</v>
      </c>
      <c r="E1866">
        <v>17.66</v>
      </c>
      <c r="F1866">
        <v>1.18</v>
      </c>
      <c r="G1866">
        <v>17.66</v>
      </c>
      <c r="H1866">
        <v>17.670000000000002</v>
      </c>
      <c r="I1866" t="s">
        <v>3589</v>
      </c>
      <c r="J1866">
        <v>7.63</v>
      </c>
      <c r="K1866">
        <v>7.63</v>
      </c>
      <c r="L1866">
        <v>16.54</v>
      </c>
      <c r="M1866">
        <v>17.920000000000002</v>
      </c>
      <c r="N1866">
        <v>16.29</v>
      </c>
    </row>
    <row r="1867" spans="1:14" x14ac:dyDescent="0.5">
      <c r="A1867" t="str">
        <f>"300482"</f>
        <v>300482</v>
      </c>
      <c r="B1867" t="s">
        <v>3590</v>
      </c>
      <c r="C1867">
        <v>-1.17</v>
      </c>
      <c r="D1867">
        <v>39.33</v>
      </c>
      <c r="E1867">
        <v>32.19</v>
      </c>
      <c r="F1867">
        <v>-0.38</v>
      </c>
      <c r="G1867">
        <v>32.19</v>
      </c>
      <c r="H1867">
        <v>32.200000000000003</v>
      </c>
      <c r="I1867" t="s">
        <v>3591</v>
      </c>
      <c r="J1867">
        <v>1.07</v>
      </c>
      <c r="K1867">
        <v>1.07</v>
      </c>
      <c r="L1867">
        <v>32.57</v>
      </c>
      <c r="M1867">
        <v>32.799999999999997</v>
      </c>
      <c r="N1867">
        <v>31.6</v>
      </c>
    </row>
    <row r="1868" spans="1:14" x14ac:dyDescent="0.5">
      <c r="A1868" t="str">
        <f>"300483"</f>
        <v>300483</v>
      </c>
      <c r="B1868" t="s">
        <v>3592</v>
      </c>
      <c r="C1868">
        <v>2.5499999999999998</v>
      </c>
      <c r="D1868">
        <v>891.13</v>
      </c>
      <c r="E1868">
        <v>33.799999999999997</v>
      </c>
      <c r="F1868">
        <v>0.84</v>
      </c>
      <c r="G1868">
        <v>33.79</v>
      </c>
      <c r="H1868">
        <v>33.799999999999997</v>
      </c>
      <c r="I1868" t="s">
        <v>3593</v>
      </c>
      <c r="J1868">
        <v>1.38</v>
      </c>
      <c r="K1868">
        <v>1.38</v>
      </c>
      <c r="L1868">
        <v>32.69</v>
      </c>
      <c r="M1868">
        <v>33.99</v>
      </c>
      <c r="N1868">
        <v>32.69</v>
      </c>
    </row>
    <row r="1869" spans="1:14" x14ac:dyDescent="0.5">
      <c r="A1869" t="str">
        <f>"300484"</f>
        <v>300484</v>
      </c>
      <c r="B1869" t="s">
        <v>3594</v>
      </c>
      <c r="C1869">
        <v>2</v>
      </c>
      <c r="D1869">
        <v>72.069999999999993</v>
      </c>
      <c r="E1869">
        <v>12.72</v>
      </c>
      <c r="F1869">
        <v>0.25</v>
      </c>
      <c r="G1869">
        <v>12.71</v>
      </c>
      <c r="H1869">
        <v>12.72</v>
      </c>
      <c r="I1869" t="s">
        <v>2576</v>
      </c>
      <c r="J1869">
        <v>6.86</v>
      </c>
      <c r="K1869">
        <v>6.86</v>
      </c>
      <c r="L1869">
        <v>12.38</v>
      </c>
      <c r="M1869">
        <v>12.72</v>
      </c>
      <c r="N1869">
        <v>12.3</v>
      </c>
    </row>
    <row r="1870" spans="1:14" x14ac:dyDescent="0.5">
      <c r="A1870" t="str">
        <f>"300485"</f>
        <v>300485</v>
      </c>
      <c r="B1870" t="s">
        <v>3595</v>
      </c>
      <c r="C1870">
        <v>2.1</v>
      </c>
      <c r="D1870">
        <v>18.87</v>
      </c>
      <c r="E1870">
        <v>11.66</v>
      </c>
      <c r="F1870">
        <v>0.24</v>
      </c>
      <c r="G1870">
        <v>11.66</v>
      </c>
      <c r="H1870">
        <v>11.67</v>
      </c>
      <c r="I1870" t="s">
        <v>3596</v>
      </c>
      <c r="J1870">
        <v>1.76</v>
      </c>
      <c r="K1870">
        <v>1.76</v>
      </c>
      <c r="L1870">
        <v>11.36</v>
      </c>
      <c r="M1870">
        <v>11.7</v>
      </c>
      <c r="N1870">
        <v>11.33</v>
      </c>
    </row>
    <row r="1871" spans="1:14" x14ac:dyDescent="0.5">
      <c r="A1871" t="str">
        <f>"300486"</f>
        <v>300486</v>
      </c>
      <c r="B1871" t="s">
        <v>3597</v>
      </c>
      <c r="C1871">
        <v>2.21</v>
      </c>
      <c r="D1871">
        <v>53.65</v>
      </c>
      <c r="E1871">
        <v>15.23</v>
      </c>
      <c r="F1871">
        <v>0.33</v>
      </c>
      <c r="G1871">
        <v>15.23</v>
      </c>
      <c r="H1871">
        <v>15.24</v>
      </c>
      <c r="I1871" t="s">
        <v>2315</v>
      </c>
      <c r="J1871">
        <v>3.11</v>
      </c>
      <c r="K1871">
        <v>3.11</v>
      </c>
      <c r="L1871">
        <v>14.9</v>
      </c>
      <c r="M1871">
        <v>15.24</v>
      </c>
      <c r="N1871">
        <v>14.76</v>
      </c>
    </row>
    <row r="1872" spans="1:14" x14ac:dyDescent="0.5">
      <c r="A1872" t="str">
        <f>"300487"</f>
        <v>300487</v>
      </c>
      <c r="B1872" t="s">
        <v>3598</v>
      </c>
      <c r="C1872">
        <v>-0.97</v>
      </c>
      <c r="D1872">
        <v>48.76</v>
      </c>
      <c r="E1872">
        <v>34.83</v>
      </c>
      <c r="F1872">
        <v>-0.34</v>
      </c>
      <c r="G1872">
        <v>34.83</v>
      </c>
      <c r="H1872">
        <v>34.85</v>
      </c>
      <c r="I1872" t="s">
        <v>3599</v>
      </c>
      <c r="J1872">
        <v>7.22</v>
      </c>
      <c r="K1872">
        <v>7.22</v>
      </c>
      <c r="L1872">
        <v>34.85</v>
      </c>
      <c r="M1872">
        <v>35.17</v>
      </c>
      <c r="N1872">
        <v>33.97</v>
      </c>
    </row>
    <row r="1873" spans="1:14" x14ac:dyDescent="0.5">
      <c r="A1873" t="str">
        <f>"300488"</f>
        <v>300488</v>
      </c>
      <c r="B1873" t="s">
        <v>3600</v>
      </c>
      <c r="C1873">
        <v>4.5199999999999996</v>
      </c>
      <c r="D1873">
        <v>23.83</v>
      </c>
      <c r="E1873">
        <v>25.92</v>
      </c>
      <c r="F1873">
        <v>1.1200000000000001</v>
      </c>
      <c r="G1873">
        <v>25.83</v>
      </c>
      <c r="H1873">
        <v>25.92</v>
      </c>
      <c r="I1873" t="s">
        <v>3601</v>
      </c>
      <c r="J1873">
        <v>3.24</v>
      </c>
      <c r="K1873">
        <v>3.24</v>
      </c>
      <c r="L1873">
        <v>24.9</v>
      </c>
      <c r="M1873">
        <v>25.99</v>
      </c>
      <c r="N1873">
        <v>24.67</v>
      </c>
    </row>
    <row r="1874" spans="1:14" x14ac:dyDescent="0.5">
      <c r="A1874" t="str">
        <f>"300489"</f>
        <v>300489</v>
      </c>
      <c r="B1874" t="s">
        <v>3602</v>
      </c>
      <c r="C1874">
        <v>2.97</v>
      </c>
      <c r="D1874">
        <v>1414.92</v>
      </c>
      <c r="E1874">
        <v>13.85</v>
      </c>
      <c r="F1874">
        <v>0.4</v>
      </c>
      <c r="G1874">
        <v>13.85</v>
      </c>
      <c r="H1874">
        <v>13.86</v>
      </c>
      <c r="I1874" t="s">
        <v>3603</v>
      </c>
      <c r="J1874">
        <v>3.04</v>
      </c>
      <c r="K1874">
        <v>3.04</v>
      </c>
      <c r="L1874">
        <v>13.48</v>
      </c>
      <c r="M1874">
        <v>13.87</v>
      </c>
      <c r="N1874">
        <v>13.32</v>
      </c>
    </row>
    <row r="1875" spans="1:14" x14ac:dyDescent="0.5">
      <c r="A1875" t="str">
        <f>"300490"</f>
        <v>300490</v>
      </c>
      <c r="B1875" t="s">
        <v>3604</v>
      </c>
      <c r="C1875">
        <v>1.1299999999999999</v>
      </c>
      <c r="D1875">
        <v>45.88</v>
      </c>
      <c r="E1875">
        <v>13.46</v>
      </c>
      <c r="F1875">
        <v>0.15</v>
      </c>
      <c r="G1875">
        <v>13.45</v>
      </c>
      <c r="H1875">
        <v>13.46</v>
      </c>
      <c r="I1875" t="s">
        <v>3605</v>
      </c>
      <c r="J1875">
        <v>3.51</v>
      </c>
      <c r="K1875">
        <v>3.51</v>
      </c>
      <c r="L1875">
        <v>13.28</v>
      </c>
      <c r="M1875">
        <v>13.47</v>
      </c>
      <c r="N1875">
        <v>13.18</v>
      </c>
    </row>
    <row r="1876" spans="1:14" x14ac:dyDescent="0.5">
      <c r="A1876" t="str">
        <f>"300491"</f>
        <v>300491</v>
      </c>
      <c r="B1876" t="s">
        <v>3606</v>
      </c>
      <c r="C1876">
        <v>7.46</v>
      </c>
      <c r="D1876">
        <v>131.02000000000001</v>
      </c>
      <c r="E1876">
        <v>19.579999999999998</v>
      </c>
      <c r="F1876">
        <v>1.36</v>
      </c>
      <c r="G1876">
        <v>19.57</v>
      </c>
      <c r="H1876">
        <v>19.579999999999998</v>
      </c>
      <c r="I1876" t="s">
        <v>3607</v>
      </c>
      <c r="J1876">
        <v>25.01</v>
      </c>
      <c r="K1876">
        <v>25.01</v>
      </c>
      <c r="L1876">
        <v>18.88</v>
      </c>
      <c r="M1876">
        <v>20</v>
      </c>
      <c r="N1876">
        <v>18.59</v>
      </c>
    </row>
    <row r="1877" spans="1:14" x14ac:dyDescent="0.5">
      <c r="A1877" t="str">
        <f>"300492"</f>
        <v>300492</v>
      </c>
      <c r="B1877" t="s">
        <v>3608</v>
      </c>
      <c r="C1877">
        <v>5.0999999999999996</v>
      </c>
      <c r="D1877">
        <v>78.5</v>
      </c>
      <c r="E1877">
        <v>26.19</v>
      </c>
      <c r="F1877">
        <v>1.27</v>
      </c>
      <c r="G1877">
        <v>26.18</v>
      </c>
      <c r="H1877">
        <v>26.19</v>
      </c>
      <c r="I1877" t="s">
        <v>3609</v>
      </c>
      <c r="J1877">
        <v>16.079999999999998</v>
      </c>
      <c r="K1877">
        <v>16.079999999999998</v>
      </c>
      <c r="L1877">
        <v>24.92</v>
      </c>
      <c r="M1877">
        <v>26.5</v>
      </c>
      <c r="N1877">
        <v>24.53</v>
      </c>
    </row>
    <row r="1878" spans="1:14" x14ac:dyDescent="0.5">
      <c r="A1878" t="str">
        <f>"300493"</f>
        <v>300493</v>
      </c>
      <c r="B1878" t="s">
        <v>3610</v>
      </c>
      <c r="C1878">
        <v>5.07</v>
      </c>
      <c r="D1878">
        <v>81.53</v>
      </c>
      <c r="E1878">
        <v>11.4</v>
      </c>
      <c r="F1878">
        <v>0.55000000000000004</v>
      </c>
      <c r="G1878">
        <v>11.39</v>
      </c>
      <c r="H1878">
        <v>11.4</v>
      </c>
      <c r="I1878" t="s">
        <v>3611</v>
      </c>
      <c r="J1878">
        <v>5.18</v>
      </c>
      <c r="K1878">
        <v>5.18</v>
      </c>
      <c r="L1878">
        <v>10.89</v>
      </c>
      <c r="M1878">
        <v>11.4</v>
      </c>
      <c r="N1878">
        <v>10.79</v>
      </c>
    </row>
    <row r="1879" spans="1:14" x14ac:dyDescent="0.5">
      <c r="A1879" t="str">
        <f>"300494"</f>
        <v>300494</v>
      </c>
      <c r="B1879" t="s">
        <v>3612</v>
      </c>
      <c r="C1879">
        <v>5.1100000000000003</v>
      </c>
      <c r="D1879">
        <v>35.17</v>
      </c>
      <c r="E1879">
        <v>11.73</v>
      </c>
      <c r="F1879">
        <v>0.56999999999999995</v>
      </c>
      <c r="G1879">
        <v>11.73</v>
      </c>
      <c r="H1879">
        <v>11.74</v>
      </c>
      <c r="I1879" t="s">
        <v>3613</v>
      </c>
      <c r="J1879">
        <v>6.62</v>
      </c>
      <c r="K1879">
        <v>6.62</v>
      </c>
      <c r="L1879">
        <v>11.12</v>
      </c>
      <c r="M1879">
        <v>11.75</v>
      </c>
      <c r="N1879">
        <v>11.06</v>
      </c>
    </row>
    <row r="1880" spans="1:14" x14ac:dyDescent="0.5">
      <c r="A1880" t="str">
        <f>"300495"</f>
        <v>300495</v>
      </c>
      <c r="B1880" t="s">
        <v>3614</v>
      </c>
      <c r="C1880">
        <v>0.43</v>
      </c>
      <c r="D1880">
        <v>23.32</v>
      </c>
      <c r="E1880">
        <v>14.11</v>
      </c>
      <c r="F1880">
        <v>0.06</v>
      </c>
      <c r="G1880">
        <v>14.1</v>
      </c>
      <c r="H1880">
        <v>14.11</v>
      </c>
      <c r="I1880" t="s">
        <v>3615</v>
      </c>
      <c r="J1880">
        <v>7.52</v>
      </c>
      <c r="K1880">
        <v>7.52</v>
      </c>
      <c r="L1880">
        <v>14.15</v>
      </c>
      <c r="M1880">
        <v>14.3</v>
      </c>
      <c r="N1880">
        <v>13.82</v>
      </c>
    </row>
    <row r="1881" spans="1:14" x14ac:dyDescent="0.5">
      <c r="A1881" t="str">
        <f>"300496"</f>
        <v>300496</v>
      </c>
      <c r="B1881" t="s">
        <v>3616</v>
      </c>
      <c r="C1881">
        <v>10</v>
      </c>
      <c r="D1881">
        <v>126.37</v>
      </c>
      <c r="E1881">
        <v>38.29</v>
      </c>
      <c r="F1881">
        <v>3.48</v>
      </c>
      <c r="G1881">
        <v>38.29</v>
      </c>
      <c r="H1881" t="s">
        <v>24</v>
      </c>
      <c r="I1881" t="s">
        <v>1859</v>
      </c>
      <c r="J1881">
        <v>7.82</v>
      </c>
      <c r="K1881">
        <v>7.82</v>
      </c>
      <c r="L1881">
        <v>34.840000000000003</v>
      </c>
      <c r="M1881">
        <v>38.29</v>
      </c>
      <c r="N1881">
        <v>34.61</v>
      </c>
    </row>
    <row r="1882" spans="1:14" x14ac:dyDescent="0.5">
      <c r="A1882" t="str">
        <f>"300497"</f>
        <v>300497</v>
      </c>
      <c r="B1882" t="s">
        <v>3617</v>
      </c>
      <c r="C1882">
        <v>-1.07</v>
      </c>
      <c r="D1882">
        <v>19.54</v>
      </c>
      <c r="E1882">
        <v>18.55</v>
      </c>
      <c r="F1882">
        <v>-0.2</v>
      </c>
      <c r="G1882">
        <v>18.54</v>
      </c>
      <c r="H1882">
        <v>18.55</v>
      </c>
      <c r="I1882" t="s">
        <v>3618</v>
      </c>
      <c r="J1882">
        <v>3.46</v>
      </c>
      <c r="K1882">
        <v>3.46</v>
      </c>
      <c r="L1882">
        <v>18.75</v>
      </c>
      <c r="M1882">
        <v>18.75</v>
      </c>
      <c r="N1882">
        <v>18.3</v>
      </c>
    </row>
    <row r="1883" spans="1:14" x14ac:dyDescent="0.5">
      <c r="A1883" t="str">
        <f>"300498"</f>
        <v>300498</v>
      </c>
      <c r="B1883" t="s">
        <v>3619</v>
      </c>
      <c r="C1883">
        <v>6.06</v>
      </c>
      <c r="D1883">
        <v>31.24</v>
      </c>
      <c r="E1883">
        <v>38.5</v>
      </c>
      <c r="F1883">
        <v>2.2000000000000002</v>
      </c>
      <c r="G1883">
        <v>38.479999999999997</v>
      </c>
      <c r="H1883">
        <v>38.5</v>
      </c>
      <c r="I1883" t="s">
        <v>3620</v>
      </c>
      <c r="J1883">
        <v>1.84</v>
      </c>
      <c r="K1883">
        <v>1.84</v>
      </c>
      <c r="L1883">
        <v>36.6</v>
      </c>
      <c r="M1883">
        <v>39.26</v>
      </c>
      <c r="N1883">
        <v>36.6</v>
      </c>
    </row>
    <row r="1884" spans="1:14" x14ac:dyDescent="0.5">
      <c r="A1884" t="str">
        <f>"300499"</f>
        <v>300499</v>
      </c>
      <c r="B1884" t="s">
        <v>3621</v>
      </c>
      <c r="C1884">
        <v>0.32</v>
      </c>
      <c r="D1884">
        <v>38.619999999999997</v>
      </c>
      <c r="E1884">
        <v>15.51</v>
      </c>
      <c r="F1884">
        <v>0.05</v>
      </c>
      <c r="G1884">
        <v>15.51</v>
      </c>
      <c r="H1884">
        <v>15.54</v>
      </c>
      <c r="I1884" t="s">
        <v>2623</v>
      </c>
      <c r="J1884">
        <v>3.26</v>
      </c>
      <c r="K1884">
        <v>3.26</v>
      </c>
      <c r="L1884">
        <v>15.48</v>
      </c>
      <c r="M1884">
        <v>15.58</v>
      </c>
      <c r="N1884">
        <v>15.3</v>
      </c>
    </row>
    <row r="1885" spans="1:14" x14ac:dyDescent="0.5">
      <c r="A1885" t="str">
        <f>"300500"</f>
        <v>300500</v>
      </c>
      <c r="B1885" t="s">
        <v>3622</v>
      </c>
      <c r="C1885">
        <v>0.98</v>
      </c>
      <c r="D1885">
        <v>35.049999999999997</v>
      </c>
      <c r="E1885">
        <v>23.69</v>
      </c>
      <c r="F1885">
        <v>0.23</v>
      </c>
      <c r="G1885">
        <v>23.69</v>
      </c>
      <c r="H1885">
        <v>23.7</v>
      </c>
      <c r="I1885" t="s">
        <v>3623</v>
      </c>
      <c r="J1885">
        <v>1.76</v>
      </c>
      <c r="K1885">
        <v>1.76</v>
      </c>
      <c r="L1885">
        <v>23.59</v>
      </c>
      <c r="M1885">
        <v>23.84</v>
      </c>
      <c r="N1885">
        <v>23.39</v>
      </c>
    </row>
    <row r="1886" spans="1:14" x14ac:dyDescent="0.5">
      <c r="A1886" t="str">
        <f>"300501"</f>
        <v>300501</v>
      </c>
      <c r="B1886" t="s">
        <v>3624</v>
      </c>
      <c r="C1886">
        <v>7.38</v>
      </c>
      <c r="D1886">
        <v>29.22</v>
      </c>
      <c r="E1886">
        <v>21.11</v>
      </c>
      <c r="F1886">
        <v>1.45</v>
      </c>
      <c r="G1886">
        <v>21.1</v>
      </c>
      <c r="H1886">
        <v>21.11</v>
      </c>
      <c r="I1886" t="s">
        <v>3625</v>
      </c>
      <c r="J1886">
        <v>5.46</v>
      </c>
      <c r="K1886">
        <v>5.46</v>
      </c>
      <c r="L1886">
        <v>19.7</v>
      </c>
      <c r="M1886">
        <v>21.61</v>
      </c>
      <c r="N1886">
        <v>19.670000000000002</v>
      </c>
    </row>
    <row r="1887" spans="1:14" x14ac:dyDescent="0.5">
      <c r="A1887" t="str">
        <f>"300502"</f>
        <v>300502</v>
      </c>
      <c r="B1887" t="s">
        <v>3626</v>
      </c>
      <c r="C1887">
        <v>9</v>
      </c>
      <c r="D1887">
        <v>336.36</v>
      </c>
      <c r="E1887">
        <v>31.6</v>
      </c>
      <c r="F1887">
        <v>2.61</v>
      </c>
      <c r="G1887">
        <v>31.59</v>
      </c>
      <c r="H1887">
        <v>31.6</v>
      </c>
      <c r="I1887" t="s">
        <v>3627</v>
      </c>
      <c r="J1887">
        <v>5.08</v>
      </c>
      <c r="K1887">
        <v>5.08</v>
      </c>
      <c r="L1887">
        <v>29.42</v>
      </c>
      <c r="M1887">
        <v>31.89</v>
      </c>
      <c r="N1887">
        <v>29.42</v>
      </c>
    </row>
    <row r="1888" spans="1:14" x14ac:dyDescent="0.5">
      <c r="A1888" t="str">
        <f>"300503"</f>
        <v>300503</v>
      </c>
      <c r="B1888" t="s">
        <v>3628</v>
      </c>
      <c r="C1888">
        <v>2.36</v>
      </c>
      <c r="D1888">
        <v>43.4</v>
      </c>
      <c r="E1888">
        <v>10.4</v>
      </c>
      <c r="F1888">
        <v>0.24</v>
      </c>
      <c r="G1888">
        <v>10.39</v>
      </c>
      <c r="H1888">
        <v>10.4</v>
      </c>
      <c r="I1888" t="s">
        <v>3629</v>
      </c>
      <c r="J1888">
        <v>5.94</v>
      </c>
      <c r="K1888">
        <v>5.94</v>
      </c>
      <c r="L1888">
        <v>10.17</v>
      </c>
      <c r="M1888">
        <v>10.43</v>
      </c>
      <c r="N1888">
        <v>10.119999999999999</v>
      </c>
    </row>
    <row r="1889" spans="1:14" x14ac:dyDescent="0.5">
      <c r="A1889" t="str">
        <f>"300504"</f>
        <v>300504</v>
      </c>
      <c r="B1889" t="s">
        <v>3630</v>
      </c>
      <c r="C1889">
        <v>6.76</v>
      </c>
      <c r="D1889">
        <v>39.5</v>
      </c>
      <c r="E1889">
        <v>31.27</v>
      </c>
      <c r="F1889">
        <v>1.98</v>
      </c>
      <c r="G1889">
        <v>31.27</v>
      </c>
      <c r="H1889">
        <v>31.28</v>
      </c>
      <c r="I1889" t="s">
        <v>3631</v>
      </c>
      <c r="J1889">
        <v>41.02</v>
      </c>
      <c r="K1889">
        <v>41.02</v>
      </c>
      <c r="L1889">
        <v>30.8</v>
      </c>
      <c r="M1889">
        <v>32.1</v>
      </c>
      <c r="N1889">
        <v>29.57</v>
      </c>
    </row>
    <row r="1890" spans="1:14" x14ac:dyDescent="0.5">
      <c r="A1890" t="str">
        <f>"300505"</f>
        <v>300505</v>
      </c>
      <c r="B1890" t="s">
        <v>3632</v>
      </c>
      <c r="C1890">
        <v>2.13</v>
      </c>
      <c r="D1890">
        <v>38.46</v>
      </c>
      <c r="E1890">
        <v>24.9</v>
      </c>
      <c r="F1890">
        <v>0.52</v>
      </c>
      <c r="G1890">
        <v>24.9</v>
      </c>
      <c r="H1890">
        <v>24.91</v>
      </c>
      <c r="I1890" t="s">
        <v>3633</v>
      </c>
      <c r="J1890">
        <v>10.61</v>
      </c>
      <c r="K1890">
        <v>10.61</v>
      </c>
      <c r="L1890">
        <v>24.3</v>
      </c>
      <c r="M1890">
        <v>24.98</v>
      </c>
      <c r="N1890">
        <v>24.16</v>
      </c>
    </row>
    <row r="1891" spans="1:14" x14ac:dyDescent="0.5">
      <c r="A1891" t="str">
        <f>"300506"</f>
        <v>300506</v>
      </c>
      <c r="B1891" t="s">
        <v>3634</v>
      </c>
      <c r="C1891">
        <v>2.77</v>
      </c>
      <c r="D1891">
        <v>18.489999999999998</v>
      </c>
      <c r="E1891">
        <v>17.829999999999998</v>
      </c>
      <c r="F1891">
        <v>0.48</v>
      </c>
      <c r="G1891">
        <v>17.829999999999998</v>
      </c>
      <c r="H1891">
        <v>17.84</v>
      </c>
      <c r="I1891" t="s">
        <v>3635</v>
      </c>
      <c r="J1891">
        <v>6.21</v>
      </c>
      <c r="K1891">
        <v>6.21</v>
      </c>
      <c r="L1891">
        <v>17.64</v>
      </c>
      <c r="M1891">
        <v>17.88</v>
      </c>
      <c r="N1891">
        <v>17.440000000000001</v>
      </c>
    </row>
    <row r="1892" spans="1:14" x14ac:dyDescent="0.5">
      <c r="A1892" t="str">
        <f>"300507"</f>
        <v>300507</v>
      </c>
      <c r="B1892" t="s">
        <v>3636</v>
      </c>
      <c r="C1892">
        <v>4.22</v>
      </c>
      <c r="D1892">
        <v>22.85</v>
      </c>
      <c r="E1892">
        <v>19.75</v>
      </c>
      <c r="F1892">
        <v>0.8</v>
      </c>
      <c r="G1892">
        <v>19.73</v>
      </c>
      <c r="H1892">
        <v>19.75</v>
      </c>
      <c r="I1892" t="s">
        <v>3637</v>
      </c>
      <c r="J1892">
        <v>4.2</v>
      </c>
      <c r="K1892">
        <v>4.2</v>
      </c>
      <c r="L1892">
        <v>18.82</v>
      </c>
      <c r="M1892">
        <v>19.86</v>
      </c>
      <c r="N1892">
        <v>18.82</v>
      </c>
    </row>
    <row r="1893" spans="1:14" x14ac:dyDescent="0.5">
      <c r="A1893" t="str">
        <f>"300508"</f>
        <v>300508</v>
      </c>
      <c r="B1893" t="s">
        <v>3638</v>
      </c>
      <c r="C1893">
        <v>6.21</v>
      </c>
      <c r="D1893">
        <v>157.75</v>
      </c>
      <c r="E1893">
        <v>27.52</v>
      </c>
      <c r="F1893">
        <v>1.61</v>
      </c>
      <c r="G1893">
        <v>27.52</v>
      </c>
      <c r="H1893">
        <v>27.53</v>
      </c>
      <c r="I1893" t="s">
        <v>3639</v>
      </c>
      <c r="J1893">
        <v>14.35</v>
      </c>
      <c r="K1893">
        <v>14.35</v>
      </c>
      <c r="L1893">
        <v>26.17</v>
      </c>
      <c r="M1893">
        <v>27.95</v>
      </c>
      <c r="N1893">
        <v>26.12</v>
      </c>
    </row>
    <row r="1894" spans="1:14" x14ac:dyDescent="0.5">
      <c r="A1894" t="str">
        <f>"300509"</f>
        <v>300509</v>
      </c>
      <c r="B1894" t="s">
        <v>3640</v>
      </c>
      <c r="C1894">
        <v>3.33</v>
      </c>
      <c r="D1894">
        <v>30.66</v>
      </c>
      <c r="E1894">
        <v>13.05</v>
      </c>
      <c r="F1894">
        <v>0.42</v>
      </c>
      <c r="G1894">
        <v>13.05</v>
      </c>
      <c r="H1894">
        <v>13.06</v>
      </c>
      <c r="I1894" t="s">
        <v>3641</v>
      </c>
      <c r="J1894">
        <v>7.71</v>
      </c>
      <c r="K1894">
        <v>7.71</v>
      </c>
      <c r="L1894">
        <v>12.62</v>
      </c>
      <c r="M1894">
        <v>13.07</v>
      </c>
      <c r="N1894">
        <v>12.32</v>
      </c>
    </row>
    <row r="1895" spans="1:14" x14ac:dyDescent="0.5">
      <c r="A1895" t="str">
        <f>"300510"</f>
        <v>300510</v>
      </c>
      <c r="B1895" t="s">
        <v>3642</v>
      </c>
      <c r="C1895">
        <v>1.57</v>
      </c>
      <c r="D1895">
        <v>36.090000000000003</v>
      </c>
      <c r="E1895">
        <v>11.65</v>
      </c>
      <c r="F1895">
        <v>0.18</v>
      </c>
      <c r="G1895">
        <v>11.65</v>
      </c>
      <c r="H1895">
        <v>11.66</v>
      </c>
      <c r="I1895" t="s">
        <v>3643</v>
      </c>
      <c r="J1895">
        <v>4.99</v>
      </c>
      <c r="K1895">
        <v>4.99</v>
      </c>
      <c r="L1895">
        <v>11.5</v>
      </c>
      <c r="M1895">
        <v>11.67</v>
      </c>
      <c r="N1895">
        <v>11.43</v>
      </c>
    </row>
    <row r="1896" spans="1:14" x14ac:dyDescent="0.5">
      <c r="A1896" t="str">
        <f>"300511"</f>
        <v>300511</v>
      </c>
      <c r="B1896" t="s">
        <v>3644</v>
      </c>
      <c r="C1896">
        <v>3.57</v>
      </c>
      <c r="D1896">
        <v>18.78</v>
      </c>
      <c r="E1896">
        <v>7.83</v>
      </c>
      <c r="F1896">
        <v>0.27</v>
      </c>
      <c r="G1896">
        <v>7.82</v>
      </c>
      <c r="H1896">
        <v>7.83</v>
      </c>
      <c r="I1896" t="s">
        <v>2512</v>
      </c>
      <c r="J1896">
        <v>4.7300000000000004</v>
      </c>
      <c r="K1896">
        <v>4.7300000000000004</v>
      </c>
      <c r="L1896">
        <v>7.57</v>
      </c>
      <c r="M1896">
        <v>7.89</v>
      </c>
      <c r="N1896">
        <v>7.52</v>
      </c>
    </row>
    <row r="1897" spans="1:14" x14ac:dyDescent="0.5">
      <c r="A1897" t="str">
        <f>"300512"</f>
        <v>300512</v>
      </c>
      <c r="B1897" t="s">
        <v>3645</v>
      </c>
      <c r="C1897">
        <v>3.52</v>
      </c>
      <c r="D1897">
        <v>21.63</v>
      </c>
      <c r="E1897">
        <v>16.16</v>
      </c>
      <c r="F1897">
        <v>0.55000000000000004</v>
      </c>
      <c r="G1897">
        <v>16.149999999999999</v>
      </c>
      <c r="H1897">
        <v>16.16</v>
      </c>
      <c r="I1897" t="s">
        <v>3646</v>
      </c>
      <c r="J1897">
        <v>10.52</v>
      </c>
      <c r="K1897">
        <v>10.52</v>
      </c>
      <c r="L1897">
        <v>15.44</v>
      </c>
      <c r="M1897">
        <v>16.190000000000001</v>
      </c>
      <c r="N1897">
        <v>15.31</v>
      </c>
    </row>
    <row r="1898" spans="1:14" x14ac:dyDescent="0.5">
      <c r="A1898" t="str">
        <f>"300513"</f>
        <v>300513</v>
      </c>
      <c r="B1898" t="s">
        <v>3647</v>
      </c>
      <c r="C1898">
        <v>3.34</v>
      </c>
      <c r="D1898">
        <v>39.840000000000003</v>
      </c>
      <c r="E1898">
        <v>26.3</v>
      </c>
      <c r="F1898">
        <v>0.85</v>
      </c>
      <c r="G1898">
        <v>26.28</v>
      </c>
      <c r="H1898">
        <v>26.3</v>
      </c>
      <c r="I1898" t="s">
        <v>3648</v>
      </c>
      <c r="J1898">
        <v>7.1</v>
      </c>
      <c r="K1898">
        <v>7.1</v>
      </c>
      <c r="L1898">
        <v>25.38</v>
      </c>
      <c r="M1898">
        <v>26.3</v>
      </c>
      <c r="N1898">
        <v>24.96</v>
      </c>
    </row>
    <row r="1899" spans="1:14" x14ac:dyDescent="0.5">
      <c r="A1899" t="str">
        <f>"300514"</f>
        <v>300514</v>
      </c>
      <c r="B1899" t="s">
        <v>3649</v>
      </c>
      <c r="C1899">
        <v>4.8</v>
      </c>
      <c r="D1899">
        <v>51.4</v>
      </c>
      <c r="E1899">
        <v>13.31</v>
      </c>
      <c r="F1899">
        <v>0.61</v>
      </c>
      <c r="G1899">
        <v>13.31</v>
      </c>
      <c r="H1899">
        <v>13.32</v>
      </c>
      <c r="I1899" t="s">
        <v>2617</v>
      </c>
      <c r="J1899">
        <v>11.29</v>
      </c>
      <c r="K1899">
        <v>11.29</v>
      </c>
      <c r="L1899">
        <v>12.68</v>
      </c>
      <c r="M1899">
        <v>13.34</v>
      </c>
      <c r="N1899">
        <v>12.58</v>
      </c>
    </row>
    <row r="1900" spans="1:14" x14ac:dyDescent="0.5">
      <c r="A1900" t="str">
        <f>"300515"</f>
        <v>300515</v>
      </c>
      <c r="B1900" t="s">
        <v>3650</v>
      </c>
      <c r="C1900">
        <v>2.65</v>
      </c>
      <c r="D1900">
        <v>58.98</v>
      </c>
      <c r="E1900">
        <v>10.07</v>
      </c>
      <c r="F1900">
        <v>0.26</v>
      </c>
      <c r="G1900">
        <v>10.07</v>
      </c>
      <c r="H1900">
        <v>10.08</v>
      </c>
      <c r="I1900" t="s">
        <v>3651</v>
      </c>
      <c r="J1900">
        <v>5.69</v>
      </c>
      <c r="K1900">
        <v>5.69</v>
      </c>
      <c r="L1900">
        <v>9.76</v>
      </c>
      <c r="M1900">
        <v>10.09</v>
      </c>
      <c r="N1900">
        <v>9.76</v>
      </c>
    </row>
    <row r="1901" spans="1:14" x14ac:dyDescent="0.5">
      <c r="A1901" t="str">
        <f>"300516"</f>
        <v>300516</v>
      </c>
      <c r="B1901" t="s">
        <v>3652</v>
      </c>
      <c r="C1901">
        <v>2.31</v>
      </c>
      <c r="D1901">
        <v>99.22</v>
      </c>
      <c r="E1901">
        <v>34.1</v>
      </c>
      <c r="F1901">
        <v>0.77</v>
      </c>
      <c r="G1901">
        <v>34.1</v>
      </c>
      <c r="H1901">
        <v>34.119999999999997</v>
      </c>
      <c r="I1901" t="s">
        <v>2558</v>
      </c>
      <c r="J1901">
        <v>2.34</v>
      </c>
      <c r="K1901">
        <v>2.34</v>
      </c>
      <c r="L1901">
        <v>33.35</v>
      </c>
      <c r="M1901">
        <v>34.130000000000003</v>
      </c>
      <c r="N1901">
        <v>33.19</v>
      </c>
    </row>
    <row r="1902" spans="1:14" x14ac:dyDescent="0.5">
      <c r="A1902" t="str">
        <f>"300517"</f>
        <v>300517</v>
      </c>
      <c r="B1902" t="s">
        <v>3653</v>
      </c>
      <c r="C1902">
        <v>1.54</v>
      </c>
      <c r="D1902">
        <v>43.84</v>
      </c>
      <c r="E1902">
        <v>15.2</v>
      </c>
      <c r="F1902">
        <v>0.23</v>
      </c>
      <c r="G1902">
        <v>15.19</v>
      </c>
      <c r="H1902">
        <v>15.2</v>
      </c>
      <c r="I1902" t="s">
        <v>3654</v>
      </c>
      <c r="J1902">
        <v>9.68</v>
      </c>
      <c r="K1902">
        <v>9.68</v>
      </c>
      <c r="L1902">
        <v>14.64</v>
      </c>
      <c r="M1902">
        <v>15.2</v>
      </c>
      <c r="N1902">
        <v>14.63</v>
      </c>
    </row>
    <row r="1903" spans="1:14" x14ac:dyDescent="0.5">
      <c r="A1903" t="str">
        <f>"300518"</f>
        <v>300518</v>
      </c>
      <c r="B1903" t="s">
        <v>3655</v>
      </c>
      <c r="C1903">
        <v>5.03</v>
      </c>
      <c r="D1903">
        <v>150.80000000000001</v>
      </c>
      <c r="E1903">
        <v>25.49</v>
      </c>
      <c r="F1903">
        <v>1.22</v>
      </c>
      <c r="G1903">
        <v>25.49</v>
      </c>
      <c r="H1903">
        <v>25.5</v>
      </c>
      <c r="I1903" t="s">
        <v>3656</v>
      </c>
      <c r="J1903">
        <v>7.5</v>
      </c>
      <c r="K1903">
        <v>7.5</v>
      </c>
      <c r="L1903">
        <v>24.19</v>
      </c>
      <c r="M1903">
        <v>25.8</v>
      </c>
      <c r="N1903">
        <v>24</v>
      </c>
    </row>
    <row r="1904" spans="1:14" x14ac:dyDescent="0.5">
      <c r="A1904" t="str">
        <f>"300519"</f>
        <v>300519</v>
      </c>
      <c r="B1904" t="s">
        <v>3657</v>
      </c>
      <c r="C1904">
        <v>1.92</v>
      </c>
      <c r="D1904">
        <v>24.83</v>
      </c>
      <c r="E1904">
        <v>15.41</v>
      </c>
      <c r="F1904">
        <v>0.28999999999999998</v>
      </c>
      <c r="G1904">
        <v>15.4</v>
      </c>
      <c r="H1904">
        <v>15.41</v>
      </c>
      <c r="I1904" t="s">
        <v>3658</v>
      </c>
      <c r="J1904">
        <v>2.9</v>
      </c>
      <c r="K1904">
        <v>2.9</v>
      </c>
      <c r="L1904">
        <v>15.12</v>
      </c>
      <c r="M1904">
        <v>15.42</v>
      </c>
      <c r="N1904">
        <v>15.11</v>
      </c>
    </row>
    <row r="1905" spans="1:14" x14ac:dyDescent="0.5">
      <c r="A1905" t="str">
        <f>"300520"</f>
        <v>300520</v>
      </c>
      <c r="B1905" t="s">
        <v>3659</v>
      </c>
      <c r="C1905">
        <v>6.87</v>
      </c>
      <c r="D1905">
        <v>94.21</v>
      </c>
      <c r="E1905">
        <v>20.7</v>
      </c>
      <c r="F1905">
        <v>1.33</v>
      </c>
      <c r="G1905">
        <v>20.7</v>
      </c>
      <c r="H1905">
        <v>20.71</v>
      </c>
      <c r="I1905" t="s">
        <v>3660</v>
      </c>
      <c r="J1905">
        <v>18.7</v>
      </c>
      <c r="K1905">
        <v>18.7</v>
      </c>
      <c r="L1905">
        <v>21.31</v>
      </c>
      <c r="M1905">
        <v>21.31</v>
      </c>
      <c r="N1905">
        <v>20.149999999999999</v>
      </c>
    </row>
    <row r="1906" spans="1:14" x14ac:dyDescent="0.5">
      <c r="A1906" t="str">
        <f>"300521"</f>
        <v>300521</v>
      </c>
      <c r="B1906" t="s">
        <v>3661</v>
      </c>
      <c r="C1906">
        <v>2.11</v>
      </c>
      <c r="D1906">
        <v>62.67</v>
      </c>
      <c r="E1906">
        <v>11.6</v>
      </c>
      <c r="F1906">
        <v>0.24</v>
      </c>
      <c r="G1906">
        <v>11.6</v>
      </c>
      <c r="H1906">
        <v>11.61</v>
      </c>
      <c r="I1906" t="s">
        <v>3662</v>
      </c>
      <c r="J1906">
        <v>5.37</v>
      </c>
      <c r="K1906">
        <v>5.37</v>
      </c>
      <c r="L1906">
        <v>11.15</v>
      </c>
      <c r="M1906">
        <v>11.6</v>
      </c>
      <c r="N1906">
        <v>11.09</v>
      </c>
    </row>
    <row r="1907" spans="1:14" x14ac:dyDescent="0.5">
      <c r="A1907" t="str">
        <f>"300522"</f>
        <v>300522</v>
      </c>
      <c r="B1907" t="s">
        <v>3663</v>
      </c>
      <c r="C1907">
        <v>1.91</v>
      </c>
      <c r="D1907">
        <v>33.75</v>
      </c>
      <c r="E1907">
        <v>18.68</v>
      </c>
      <c r="F1907">
        <v>0.35</v>
      </c>
      <c r="G1907">
        <v>18.68</v>
      </c>
      <c r="H1907">
        <v>18.690000000000001</v>
      </c>
      <c r="I1907" t="s">
        <v>3664</v>
      </c>
      <c r="J1907">
        <v>5.79</v>
      </c>
      <c r="K1907">
        <v>5.79</v>
      </c>
      <c r="L1907">
        <v>18.3</v>
      </c>
      <c r="M1907">
        <v>18.68</v>
      </c>
      <c r="N1907">
        <v>18.190000000000001</v>
      </c>
    </row>
    <row r="1908" spans="1:14" x14ac:dyDescent="0.5">
      <c r="A1908" t="str">
        <f>"300523"</f>
        <v>300523</v>
      </c>
      <c r="B1908" t="s">
        <v>3665</v>
      </c>
      <c r="C1908">
        <v>2.69</v>
      </c>
      <c r="D1908">
        <v>44.32</v>
      </c>
      <c r="E1908">
        <v>51.99</v>
      </c>
      <c r="F1908">
        <v>1.36</v>
      </c>
      <c r="G1908">
        <v>51.99</v>
      </c>
      <c r="H1908">
        <v>52</v>
      </c>
      <c r="I1908" t="s">
        <v>3666</v>
      </c>
      <c r="J1908">
        <v>1.62</v>
      </c>
      <c r="K1908">
        <v>1.62</v>
      </c>
      <c r="L1908">
        <v>50.62</v>
      </c>
      <c r="M1908">
        <v>52</v>
      </c>
      <c r="N1908">
        <v>50.41</v>
      </c>
    </row>
    <row r="1909" spans="1:14" x14ac:dyDescent="0.5">
      <c r="A1909" t="str">
        <f>"300525"</f>
        <v>300525</v>
      </c>
      <c r="B1909" t="s">
        <v>3667</v>
      </c>
      <c r="C1909">
        <v>0.22</v>
      </c>
      <c r="D1909">
        <v>91.55</v>
      </c>
      <c r="E1909">
        <v>32.47</v>
      </c>
      <c r="F1909">
        <v>7.0000000000000007E-2</v>
      </c>
      <c r="G1909">
        <v>32.46</v>
      </c>
      <c r="H1909">
        <v>32.47</v>
      </c>
      <c r="I1909" t="s">
        <v>756</v>
      </c>
      <c r="J1909">
        <v>1.83</v>
      </c>
      <c r="K1909">
        <v>1.83</v>
      </c>
      <c r="L1909">
        <v>32.4</v>
      </c>
      <c r="M1909">
        <v>32.700000000000003</v>
      </c>
      <c r="N1909">
        <v>31.51</v>
      </c>
    </row>
    <row r="1910" spans="1:14" x14ac:dyDescent="0.5">
      <c r="A1910" t="str">
        <f>"300526"</f>
        <v>300526</v>
      </c>
      <c r="B1910" t="s">
        <v>3668</v>
      </c>
      <c r="C1910">
        <v>1.77</v>
      </c>
      <c r="D1910">
        <v>68.38</v>
      </c>
      <c r="E1910">
        <v>12.68</v>
      </c>
      <c r="F1910">
        <v>0.22</v>
      </c>
      <c r="G1910">
        <v>12.68</v>
      </c>
      <c r="H1910">
        <v>12.69</v>
      </c>
      <c r="I1910" t="s">
        <v>3669</v>
      </c>
      <c r="J1910">
        <v>4.38</v>
      </c>
      <c r="K1910">
        <v>4.38</v>
      </c>
      <c r="L1910">
        <v>12.33</v>
      </c>
      <c r="M1910">
        <v>12.69</v>
      </c>
      <c r="N1910">
        <v>12.3</v>
      </c>
    </row>
    <row r="1911" spans="1:14" x14ac:dyDescent="0.5">
      <c r="A1911" t="str">
        <f>"300527"</f>
        <v>300527</v>
      </c>
      <c r="B1911" t="s">
        <v>3670</v>
      </c>
      <c r="C1911">
        <v>3.99</v>
      </c>
      <c r="D1911">
        <v>36.6</v>
      </c>
      <c r="E1911">
        <v>8.6</v>
      </c>
      <c r="F1911">
        <v>0.33</v>
      </c>
      <c r="G1911">
        <v>8.6</v>
      </c>
      <c r="H1911">
        <v>8.61</v>
      </c>
      <c r="I1911" t="s">
        <v>3671</v>
      </c>
      <c r="J1911">
        <v>9.25</v>
      </c>
      <c r="K1911">
        <v>9.25</v>
      </c>
      <c r="L1911">
        <v>8.19</v>
      </c>
      <c r="M1911">
        <v>8.67</v>
      </c>
      <c r="N1911">
        <v>8.11</v>
      </c>
    </row>
    <row r="1912" spans="1:14" x14ac:dyDescent="0.5">
      <c r="A1912" t="str">
        <f>"300528"</f>
        <v>300528</v>
      </c>
      <c r="B1912" t="s">
        <v>3672</v>
      </c>
      <c r="C1912">
        <v>1.96</v>
      </c>
      <c r="D1912">
        <v>21.72</v>
      </c>
      <c r="E1912">
        <v>8.86</v>
      </c>
      <c r="F1912">
        <v>0.17</v>
      </c>
      <c r="G1912">
        <v>8.86</v>
      </c>
      <c r="H1912">
        <v>8.8699999999999992</v>
      </c>
      <c r="I1912" t="s">
        <v>3494</v>
      </c>
      <c r="J1912">
        <v>4.45</v>
      </c>
      <c r="K1912">
        <v>4.45</v>
      </c>
      <c r="L1912">
        <v>8.65</v>
      </c>
      <c r="M1912">
        <v>8.89</v>
      </c>
      <c r="N1912">
        <v>8.61</v>
      </c>
    </row>
    <row r="1913" spans="1:14" x14ac:dyDescent="0.5">
      <c r="A1913" t="str">
        <f>"300529"</f>
        <v>300529</v>
      </c>
      <c r="B1913" t="s">
        <v>3673</v>
      </c>
      <c r="C1913">
        <v>2.58</v>
      </c>
      <c r="D1913">
        <v>51.99</v>
      </c>
      <c r="E1913">
        <v>50.07</v>
      </c>
      <c r="F1913">
        <v>1.26</v>
      </c>
      <c r="G1913">
        <v>50.04</v>
      </c>
      <c r="H1913">
        <v>50.07</v>
      </c>
      <c r="I1913" t="s">
        <v>3674</v>
      </c>
      <c r="J1913">
        <v>1.73</v>
      </c>
      <c r="K1913">
        <v>1.73</v>
      </c>
      <c r="L1913">
        <v>48.7</v>
      </c>
      <c r="M1913">
        <v>50.13</v>
      </c>
      <c r="N1913">
        <v>48.1</v>
      </c>
    </row>
    <row r="1914" spans="1:14" x14ac:dyDescent="0.5">
      <c r="A1914" t="str">
        <f>"300530"</f>
        <v>300530</v>
      </c>
      <c r="B1914" t="s">
        <v>3675</v>
      </c>
      <c r="C1914">
        <v>-1.02</v>
      </c>
      <c r="D1914">
        <v>48.17</v>
      </c>
      <c r="E1914">
        <v>38.03</v>
      </c>
      <c r="F1914">
        <v>-0.39</v>
      </c>
      <c r="G1914">
        <v>38.020000000000003</v>
      </c>
      <c r="H1914">
        <v>38.03</v>
      </c>
      <c r="I1914" t="s">
        <v>3676</v>
      </c>
      <c r="J1914">
        <v>2.0499999999999998</v>
      </c>
      <c r="K1914">
        <v>2.0499999999999998</v>
      </c>
      <c r="L1914">
        <v>37.28</v>
      </c>
      <c r="M1914">
        <v>38.64</v>
      </c>
      <c r="N1914">
        <v>37.28</v>
      </c>
    </row>
    <row r="1915" spans="1:14" x14ac:dyDescent="0.5">
      <c r="A1915" t="str">
        <f>"300531"</f>
        <v>300531</v>
      </c>
      <c r="B1915" t="s">
        <v>3677</v>
      </c>
      <c r="C1915">
        <v>6.14</v>
      </c>
      <c r="D1915">
        <v>47.8</v>
      </c>
      <c r="E1915">
        <v>19.350000000000001</v>
      </c>
      <c r="F1915">
        <v>1.1200000000000001</v>
      </c>
      <c r="G1915">
        <v>19.27</v>
      </c>
      <c r="H1915">
        <v>19.350000000000001</v>
      </c>
      <c r="I1915" t="s">
        <v>2907</v>
      </c>
      <c r="J1915">
        <v>7.02</v>
      </c>
      <c r="K1915">
        <v>7.02</v>
      </c>
      <c r="L1915">
        <v>18.38</v>
      </c>
      <c r="M1915">
        <v>19.489999999999998</v>
      </c>
      <c r="N1915">
        <v>18.3</v>
      </c>
    </row>
    <row r="1916" spans="1:14" x14ac:dyDescent="0.5">
      <c r="A1916" t="str">
        <f>"300532"</f>
        <v>300532</v>
      </c>
      <c r="B1916" t="s">
        <v>3678</v>
      </c>
      <c r="C1916">
        <v>2.4900000000000002</v>
      </c>
      <c r="D1916">
        <v>73.069999999999993</v>
      </c>
      <c r="E1916">
        <v>14.39</v>
      </c>
      <c r="F1916">
        <v>0.35</v>
      </c>
      <c r="G1916">
        <v>14.39</v>
      </c>
      <c r="H1916">
        <v>14.4</v>
      </c>
      <c r="I1916" t="s">
        <v>3679</v>
      </c>
      <c r="J1916">
        <v>7.56</v>
      </c>
      <c r="K1916">
        <v>7.56</v>
      </c>
      <c r="L1916">
        <v>13.91</v>
      </c>
      <c r="M1916">
        <v>14.52</v>
      </c>
      <c r="N1916">
        <v>13.74</v>
      </c>
    </row>
    <row r="1917" spans="1:14" x14ac:dyDescent="0.5">
      <c r="A1917" t="str">
        <f>"300533"</f>
        <v>300533</v>
      </c>
      <c r="B1917" t="s">
        <v>3680</v>
      </c>
      <c r="C1917">
        <v>3.76</v>
      </c>
      <c r="D1917">
        <v>35.64</v>
      </c>
      <c r="E1917">
        <v>36.68</v>
      </c>
      <c r="F1917">
        <v>1.33</v>
      </c>
      <c r="G1917">
        <v>36.68</v>
      </c>
      <c r="H1917">
        <v>36.69</v>
      </c>
      <c r="I1917" t="s">
        <v>3681</v>
      </c>
      <c r="J1917">
        <v>3.4</v>
      </c>
      <c r="K1917">
        <v>3.4</v>
      </c>
      <c r="L1917">
        <v>35.29</v>
      </c>
      <c r="M1917">
        <v>36.68</v>
      </c>
      <c r="N1917">
        <v>35.01</v>
      </c>
    </row>
    <row r="1918" spans="1:14" x14ac:dyDescent="0.5">
      <c r="A1918" t="str">
        <f>"300534"</f>
        <v>300534</v>
      </c>
      <c r="B1918" t="s">
        <v>3682</v>
      </c>
      <c r="C1918">
        <v>2.82</v>
      </c>
      <c r="D1918">
        <v>129.44999999999999</v>
      </c>
      <c r="E1918">
        <v>6.57</v>
      </c>
      <c r="F1918">
        <v>0.18</v>
      </c>
      <c r="G1918">
        <v>6.56</v>
      </c>
      <c r="H1918">
        <v>6.57</v>
      </c>
      <c r="I1918" t="s">
        <v>3683</v>
      </c>
      <c r="J1918">
        <v>3.95</v>
      </c>
      <c r="K1918">
        <v>3.95</v>
      </c>
      <c r="L1918">
        <v>6.39</v>
      </c>
      <c r="M1918">
        <v>6.58</v>
      </c>
      <c r="N1918">
        <v>6.35</v>
      </c>
    </row>
    <row r="1919" spans="1:14" x14ac:dyDescent="0.5">
      <c r="A1919" t="str">
        <f>"300535"</f>
        <v>300535</v>
      </c>
      <c r="B1919" t="s">
        <v>3684</v>
      </c>
      <c r="C1919">
        <v>1.68</v>
      </c>
      <c r="D1919">
        <v>31.39</v>
      </c>
      <c r="E1919">
        <v>14.49</v>
      </c>
      <c r="F1919">
        <v>0.24</v>
      </c>
      <c r="G1919">
        <v>14.49</v>
      </c>
      <c r="H1919">
        <v>14.5</v>
      </c>
      <c r="I1919" t="s">
        <v>3685</v>
      </c>
      <c r="J1919">
        <v>6.35</v>
      </c>
      <c r="K1919">
        <v>6.35</v>
      </c>
      <c r="L1919">
        <v>14.25</v>
      </c>
      <c r="M1919">
        <v>14.5</v>
      </c>
      <c r="N1919">
        <v>14.23</v>
      </c>
    </row>
    <row r="1920" spans="1:14" x14ac:dyDescent="0.5">
      <c r="A1920" t="str">
        <f>"300536"</f>
        <v>300536</v>
      </c>
      <c r="B1920" t="s">
        <v>3686</v>
      </c>
      <c r="C1920">
        <v>1.86</v>
      </c>
      <c r="D1920">
        <v>30.22</v>
      </c>
      <c r="E1920">
        <v>9.8699999999999992</v>
      </c>
      <c r="F1920">
        <v>0.18</v>
      </c>
      <c r="G1920">
        <v>9.8699999999999992</v>
      </c>
      <c r="H1920">
        <v>9.8800000000000008</v>
      </c>
      <c r="I1920" t="s">
        <v>3687</v>
      </c>
      <c r="J1920">
        <v>4.92</v>
      </c>
      <c r="K1920">
        <v>4.92</v>
      </c>
      <c r="L1920">
        <v>9.6</v>
      </c>
      <c r="M1920">
        <v>9.9</v>
      </c>
      <c r="N1920">
        <v>9.6</v>
      </c>
    </row>
    <row r="1921" spans="1:14" x14ac:dyDescent="0.5">
      <c r="A1921" t="str">
        <f>"300537"</f>
        <v>300537</v>
      </c>
      <c r="B1921" t="s">
        <v>3688</v>
      </c>
      <c r="C1921">
        <v>2.15</v>
      </c>
      <c r="D1921">
        <v>42.05</v>
      </c>
      <c r="E1921">
        <v>11.39</v>
      </c>
      <c r="F1921">
        <v>0.24</v>
      </c>
      <c r="G1921">
        <v>11.39</v>
      </c>
      <c r="H1921">
        <v>11.4</v>
      </c>
      <c r="I1921" t="s">
        <v>3689</v>
      </c>
      <c r="J1921">
        <v>5.39</v>
      </c>
      <c r="K1921">
        <v>5.39</v>
      </c>
      <c r="L1921">
        <v>11.02</v>
      </c>
      <c r="M1921">
        <v>11.45</v>
      </c>
      <c r="N1921">
        <v>10.9</v>
      </c>
    </row>
    <row r="1922" spans="1:14" x14ac:dyDescent="0.5">
      <c r="A1922" t="str">
        <f>"300538"</f>
        <v>300538</v>
      </c>
      <c r="B1922" t="s">
        <v>3690</v>
      </c>
      <c r="C1922">
        <v>10</v>
      </c>
      <c r="D1922">
        <v>68.739999999999995</v>
      </c>
      <c r="E1922">
        <v>33.119999999999997</v>
      </c>
      <c r="F1922">
        <v>3.01</v>
      </c>
      <c r="G1922">
        <v>33.119999999999997</v>
      </c>
      <c r="H1922" t="s">
        <v>24</v>
      </c>
      <c r="I1922" t="s">
        <v>3691</v>
      </c>
      <c r="J1922">
        <v>3.91</v>
      </c>
      <c r="K1922">
        <v>3.91</v>
      </c>
      <c r="L1922">
        <v>33.119999999999997</v>
      </c>
      <c r="M1922">
        <v>33.119999999999997</v>
      </c>
      <c r="N1922">
        <v>33.119999999999997</v>
      </c>
    </row>
    <row r="1923" spans="1:14" x14ac:dyDescent="0.5">
      <c r="A1923" t="str">
        <f>"300539"</f>
        <v>300539</v>
      </c>
      <c r="B1923" t="s">
        <v>3692</v>
      </c>
      <c r="C1923">
        <v>-1.28</v>
      </c>
      <c r="D1923">
        <v>125.24</v>
      </c>
      <c r="E1923">
        <v>10.050000000000001</v>
      </c>
      <c r="F1923">
        <v>-0.13</v>
      </c>
      <c r="G1923">
        <v>10.050000000000001</v>
      </c>
      <c r="H1923">
        <v>10.06</v>
      </c>
      <c r="I1923" t="s">
        <v>3693</v>
      </c>
      <c r="J1923">
        <v>8.9</v>
      </c>
      <c r="K1923">
        <v>8.9</v>
      </c>
      <c r="L1923">
        <v>10.09</v>
      </c>
      <c r="M1923">
        <v>10.220000000000001</v>
      </c>
      <c r="N1923">
        <v>9.98</v>
      </c>
    </row>
    <row r="1924" spans="1:14" x14ac:dyDescent="0.5">
      <c r="A1924" t="str">
        <f>"300540"</f>
        <v>300540</v>
      </c>
      <c r="B1924" t="s">
        <v>3694</v>
      </c>
      <c r="C1924">
        <v>1.24</v>
      </c>
      <c r="D1924">
        <v>106.22</v>
      </c>
      <c r="E1924">
        <v>13.1</v>
      </c>
      <c r="F1924">
        <v>0.16</v>
      </c>
      <c r="G1924">
        <v>13.1</v>
      </c>
      <c r="H1924">
        <v>13.12</v>
      </c>
      <c r="I1924" t="s">
        <v>3695</v>
      </c>
      <c r="J1924">
        <v>4.4000000000000004</v>
      </c>
      <c r="K1924">
        <v>4.4000000000000004</v>
      </c>
      <c r="L1924">
        <v>12.91</v>
      </c>
      <c r="M1924">
        <v>13.15</v>
      </c>
      <c r="N1924">
        <v>12.67</v>
      </c>
    </row>
    <row r="1925" spans="1:14" x14ac:dyDescent="0.5">
      <c r="A1925" t="str">
        <f>"300541"</f>
        <v>300541</v>
      </c>
      <c r="B1925" t="s">
        <v>3696</v>
      </c>
      <c r="C1925">
        <v>4.26</v>
      </c>
      <c r="D1925">
        <v>61.24</v>
      </c>
      <c r="E1925">
        <v>17.13</v>
      </c>
      <c r="F1925">
        <v>0.7</v>
      </c>
      <c r="G1925">
        <v>17.13</v>
      </c>
      <c r="H1925">
        <v>17.14</v>
      </c>
      <c r="I1925" t="s">
        <v>3697</v>
      </c>
      <c r="J1925">
        <v>8.7799999999999994</v>
      </c>
      <c r="K1925">
        <v>8.7799999999999994</v>
      </c>
      <c r="L1925">
        <v>16.25</v>
      </c>
      <c r="M1925">
        <v>17.16</v>
      </c>
      <c r="N1925">
        <v>16.25</v>
      </c>
    </row>
    <row r="1926" spans="1:14" x14ac:dyDescent="0.5">
      <c r="A1926" t="str">
        <f>"300542"</f>
        <v>300542</v>
      </c>
      <c r="B1926" t="s">
        <v>3698</v>
      </c>
      <c r="C1926">
        <v>4.78</v>
      </c>
      <c r="D1926">
        <v>66.2</v>
      </c>
      <c r="E1926">
        <v>16.45</v>
      </c>
      <c r="F1926">
        <v>0.75</v>
      </c>
      <c r="G1926">
        <v>16.440000000000001</v>
      </c>
      <c r="H1926">
        <v>16.45</v>
      </c>
      <c r="I1926" t="s">
        <v>3699</v>
      </c>
      <c r="J1926">
        <v>11.1</v>
      </c>
      <c r="K1926">
        <v>11.1</v>
      </c>
      <c r="L1926">
        <v>15.38</v>
      </c>
      <c r="M1926">
        <v>16.600000000000001</v>
      </c>
      <c r="N1926">
        <v>15.36</v>
      </c>
    </row>
    <row r="1927" spans="1:14" x14ac:dyDescent="0.5">
      <c r="A1927" t="str">
        <f>"300543"</f>
        <v>300543</v>
      </c>
      <c r="B1927" t="s">
        <v>3700</v>
      </c>
      <c r="C1927">
        <v>4.79</v>
      </c>
      <c r="D1927">
        <v>45.23</v>
      </c>
      <c r="E1927">
        <v>19.27</v>
      </c>
      <c r="F1927">
        <v>0.88</v>
      </c>
      <c r="G1927">
        <v>19.27</v>
      </c>
      <c r="H1927">
        <v>19.28</v>
      </c>
      <c r="I1927" t="s">
        <v>3701</v>
      </c>
      <c r="J1927">
        <v>12.65</v>
      </c>
      <c r="K1927">
        <v>12.65</v>
      </c>
      <c r="L1927">
        <v>18.21</v>
      </c>
      <c r="M1927">
        <v>19.5</v>
      </c>
      <c r="N1927">
        <v>18.21</v>
      </c>
    </row>
    <row r="1928" spans="1:14" x14ac:dyDescent="0.5">
      <c r="A1928" t="str">
        <f>"300545"</f>
        <v>300545</v>
      </c>
      <c r="B1928" t="s">
        <v>3702</v>
      </c>
      <c r="C1928">
        <v>10.02</v>
      </c>
      <c r="D1928">
        <v>54.37</v>
      </c>
      <c r="E1928">
        <v>35.700000000000003</v>
      </c>
      <c r="F1928">
        <v>3.25</v>
      </c>
      <c r="G1928">
        <v>35.700000000000003</v>
      </c>
      <c r="H1928" t="s">
        <v>24</v>
      </c>
      <c r="I1928" t="s">
        <v>3703</v>
      </c>
      <c r="J1928">
        <v>40.159999999999997</v>
      </c>
      <c r="K1928">
        <v>40.159999999999997</v>
      </c>
      <c r="L1928">
        <v>31.73</v>
      </c>
      <c r="M1928">
        <v>35.700000000000003</v>
      </c>
      <c r="N1928">
        <v>31.58</v>
      </c>
    </row>
    <row r="1929" spans="1:14" x14ac:dyDescent="0.5">
      <c r="A1929" t="str">
        <f>"300546"</f>
        <v>300546</v>
      </c>
      <c r="B1929" t="s">
        <v>3704</v>
      </c>
      <c r="C1929">
        <v>2.98</v>
      </c>
      <c r="D1929">
        <v>42.18</v>
      </c>
      <c r="E1929">
        <v>30.8</v>
      </c>
      <c r="F1929">
        <v>0.89</v>
      </c>
      <c r="G1929">
        <v>30.79</v>
      </c>
      <c r="H1929">
        <v>30.8</v>
      </c>
      <c r="I1929" t="s">
        <v>3705</v>
      </c>
      <c r="J1929">
        <v>4.6900000000000004</v>
      </c>
      <c r="K1929">
        <v>4.6900000000000004</v>
      </c>
      <c r="L1929">
        <v>29.71</v>
      </c>
      <c r="M1929">
        <v>30.8</v>
      </c>
      <c r="N1929">
        <v>29.6</v>
      </c>
    </row>
    <row r="1930" spans="1:14" x14ac:dyDescent="0.5">
      <c r="A1930" t="str">
        <f>"300547"</f>
        <v>300547</v>
      </c>
      <c r="B1930" t="s">
        <v>3706</v>
      </c>
      <c r="C1930">
        <v>0.8</v>
      </c>
      <c r="D1930">
        <v>23.1</v>
      </c>
      <c r="E1930">
        <v>25.18</v>
      </c>
      <c r="F1930">
        <v>0.2</v>
      </c>
      <c r="G1930">
        <v>25.18</v>
      </c>
      <c r="H1930">
        <v>25.19</v>
      </c>
      <c r="I1930" t="s">
        <v>3707</v>
      </c>
      <c r="J1930">
        <v>9.5399999999999991</v>
      </c>
      <c r="K1930">
        <v>9.5399999999999991</v>
      </c>
      <c r="L1930">
        <v>24.7</v>
      </c>
      <c r="M1930">
        <v>25.19</v>
      </c>
      <c r="N1930">
        <v>24.48</v>
      </c>
    </row>
    <row r="1931" spans="1:14" x14ac:dyDescent="0.5">
      <c r="A1931" t="str">
        <f>"300548"</f>
        <v>300548</v>
      </c>
      <c r="B1931" t="s">
        <v>3708</v>
      </c>
      <c r="C1931">
        <v>1.51</v>
      </c>
      <c r="D1931">
        <v>50.97</v>
      </c>
      <c r="E1931">
        <v>43.02</v>
      </c>
      <c r="F1931">
        <v>0.64</v>
      </c>
      <c r="G1931">
        <v>43</v>
      </c>
      <c r="H1931">
        <v>43.02</v>
      </c>
      <c r="I1931" t="s">
        <v>3709</v>
      </c>
      <c r="J1931">
        <v>5.18</v>
      </c>
      <c r="K1931">
        <v>5.18</v>
      </c>
      <c r="L1931">
        <v>42.7</v>
      </c>
      <c r="M1931">
        <v>43.45</v>
      </c>
      <c r="N1931">
        <v>42.16</v>
      </c>
    </row>
    <row r="1932" spans="1:14" x14ac:dyDescent="0.5">
      <c r="A1932" t="str">
        <f>"300549"</f>
        <v>300549</v>
      </c>
      <c r="B1932" t="s">
        <v>3710</v>
      </c>
      <c r="C1932">
        <v>3.48</v>
      </c>
      <c r="D1932">
        <v>35.200000000000003</v>
      </c>
      <c r="E1932">
        <v>14.29</v>
      </c>
      <c r="F1932">
        <v>0.48</v>
      </c>
      <c r="G1932">
        <v>14.29</v>
      </c>
      <c r="H1932">
        <v>14.3</v>
      </c>
      <c r="I1932" t="s">
        <v>3603</v>
      </c>
      <c r="J1932">
        <v>3.99</v>
      </c>
      <c r="K1932">
        <v>3.99</v>
      </c>
      <c r="L1932">
        <v>13.94</v>
      </c>
      <c r="M1932">
        <v>14.4</v>
      </c>
      <c r="N1932">
        <v>13.94</v>
      </c>
    </row>
    <row r="1933" spans="1:14" x14ac:dyDescent="0.5">
      <c r="A1933" t="str">
        <f>"300550"</f>
        <v>300550</v>
      </c>
      <c r="B1933" t="s">
        <v>3711</v>
      </c>
      <c r="C1933">
        <v>1.88</v>
      </c>
      <c r="D1933">
        <v>116.2</v>
      </c>
      <c r="E1933">
        <v>55.2</v>
      </c>
      <c r="F1933">
        <v>1.02</v>
      </c>
      <c r="G1933">
        <v>55.15</v>
      </c>
      <c r="H1933">
        <v>55.2</v>
      </c>
      <c r="I1933" t="s">
        <v>3118</v>
      </c>
      <c r="J1933">
        <v>1.18</v>
      </c>
      <c r="K1933">
        <v>1.18</v>
      </c>
      <c r="L1933">
        <v>54.17</v>
      </c>
      <c r="M1933">
        <v>56.55</v>
      </c>
      <c r="N1933">
        <v>54.15</v>
      </c>
    </row>
    <row r="1934" spans="1:14" x14ac:dyDescent="0.5">
      <c r="A1934" t="str">
        <f>"300551"</f>
        <v>300551</v>
      </c>
      <c r="B1934" t="s">
        <v>3712</v>
      </c>
      <c r="C1934">
        <v>-0.14000000000000001</v>
      </c>
      <c r="D1934">
        <v>147.72999999999999</v>
      </c>
      <c r="E1934">
        <v>14.01</v>
      </c>
      <c r="F1934">
        <v>-0.02</v>
      </c>
      <c r="G1934">
        <v>14.01</v>
      </c>
      <c r="H1934">
        <v>14.02</v>
      </c>
      <c r="I1934" t="s">
        <v>2591</v>
      </c>
      <c r="J1934">
        <v>12.35</v>
      </c>
      <c r="K1934">
        <v>12.35</v>
      </c>
      <c r="L1934">
        <v>14.03</v>
      </c>
      <c r="M1934">
        <v>14.2</v>
      </c>
      <c r="N1934">
        <v>13.68</v>
      </c>
    </row>
    <row r="1935" spans="1:14" x14ac:dyDescent="0.5">
      <c r="A1935" t="str">
        <f>"300552"</f>
        <v>300552</v>
      </c>
      <c r="B1935" t="s">
        <v>3713</v>
      </c>
      <c r="C1935">
        <v>5.88</v>
      </c>
      <c r="D1935">
        <v>191.17</v>
      </c>
      <c r="E1935">
        <v>18.739999999999998</v>
      </c>
      <c r="F1935">
        <v>1.04</v>
      </c>
      <c r="G1935">
        <v>18.66</v>
      </c>
      <c r="H1935">
        <v>18.739999999999998</v>
      </c>
      <c r="I1935" t="s">
        <v>3714</v>
      </c>
      <c r="J1935">
        <v>5.64</v>
      </c>
      <c r="K1935">
        <v>5.64</v>
      </c>
      <c r="L1935">
        <v>17.95</v>
      </c>
      <c r="M1935">
        <v>19.079999999999998</v>
      </c>
      <c r="N1935">
        <v>17.5</v>
      </c>
    </row>
    <row r="1936" spans="1:14" x14ac:dyDescent="0.5">
      <c r="A1936" t="str">
        <f>"300553"</f>
        <v>300553</v>
      </c>
      <c r="B1936" t="s">
        <v>3715</v>
      </c>
      <c r="C1936">
        <v>1.91</v>
      </c>
      <c r="D1936">
        <v>75.5</v>
      </c>
      <c r="E1936">
        <v>35.82</v>
      </c>
      <c r="F1936">
        <v>0.67</v>
      </c>
      <c r="G1936">
        <v>35.82</v>
      </c>
      <c r="H1936">
        <v>35.85</v>
      </c>
      <c r="I1936" t="s">
        <v>3716</v>
      </c>
      <c r="J1936">
        <v>3.23</v>
      </c>
      <c r="K1936">
        <v>3.23</v>
      </c>
      <c r="L1936">
        <v>35.28</v>
      </c>
      <c r="M1936">
        <v>35.82</v>
      </c>
      <c r="N1936">
        <v>35.15</v>
      </c>
    </row>
    <row r="1937" spans="1:14" x14ac:dyDescent="0.5">
      <c r="A1937" t="str">
        <f>"300554"</f>
        <v>300554</v>
      </c>
      <c r="B1937" t="s">
        <v>3717</v>
      </c>
      <c r="C1937">
        <v>0.88</v>
      </c>
      <c r="D1937">
        <v>16.53</v>
      </c>
      <c r="E1937">
        <v>19.45</v>
      </c>
      <c r="F1937">
        <v>0.17</v>
      </c>
      <c r="G1937">
        <v>19.440000000000001</v>
      </c>
      <c r="H1937">
        <v>19.45</v>
      </c>
      <c r="I1937" t="s">
        <v>3718</v>
      </c>
      <c r="J1937">
        <v>7.04</v>
      </c>
      <c r="K1937">
        <v>7.04</v>
      </c>
      <c r="L1937">
        <v>19.28</v>
      </c>
      <c r="M1937">
        <v>19.48</v>
      </c>
      <c r="N1937">
        <v>19.059999999999999</v>
      </c>
    </row>
    <row r="1938" spans="1:14" x14ac:dyDescent="0.5">
      <c r="A1938" t="str">
        <f>"300555"</f>
        <v>300555</v>
      </c>
      <c r="B1938" t="s">
        <v>3719</v>
      </c>
      <c r="C1938">
        <v>6.57</v>
      </c>
      <c r="D1938">
        <v>79.63</v>
      </c>
      <c r="E1938">
        <v>12.66</v>
      </c>
      <c r="F1938">
        <v>0.78</v>
      </c>
      <c r="G1938">
        <v>12.66</v>
      </c>
      <c r="H1938">
        <v>12.67</v>
      </c>
      <c r="I1938" t="s">
        <v>3720</v>
      </c>
      <c r="J1938">
        <v>21.36</v>
      </c>
      <c r="K1938">
        <v>21.36</v>
      </c>
      <c r="L1938">
        <v>11.69</v>
      </c>
      <c r="M1938">
        <v>12.7</v>
      </c>
      <c r="N1938">
        <v>11.43</v>
      </c>
    </row>
    <row r="1939" spans="1:14" x14ac:dyDescent="0.5">
      <c r="A1939" t="str">
        <f>"300556"</f>
        <v>300556</v>
      </c>
      <c r="B1939" t="s">
        <v>3721</v>
      </c>
      <c r="C1939">
        <v>2.58</v>
      </c>
      <c r="D1939">
        <v>42.02</v>
      </c>
      <c r="E1939">
        <v>21.89</v>
      </c>
      <c r="F1939">
        <v>0.55000000000000004</v>
      </c>
      <c r="G1939">
        <v>21.89</v>
      </c>
      <c r="H1939">
        <v>21.9</v>
      </c>
      <c r="I1939" t="s">
        <v>3722</v>
      </c>
      <c r="J1939">
        <v>17.690000000000001</v>
      </c>
      <c r="K1939">
        <v>17.690000000000001</v>
      </c>
      <c r="L1939">
        <v>21.2</v>
      </c>
      <c r="M1939">
        <v>22.44</v>
      </c>
      <c r="N1939">
        <v>21</v>
      </c>
    </row>
    <row r="1940" spans="1:14" x14ac:dyDescent="0.5">
      <c r="A1940" t="str">
        <f>"300557"</f>
        <v>300557</v>
      </c>
      <c r="B1940" t="s">
        <v>3723</v>
      </c>
      <c r="C1940">
        <v>0.22</v>
      </c>
      <c r="D1940" t="s">
        <v>24</v>
      </c>
      <c r="E1940">
        <v>27.46</v>
      </c>
      <c r="F1940">
        <v>0.06</v>
      </c>
      <c r="G1940">
        <v>27.45</v>
      </c>
      <c r="H1940">
        <v>27.46</v>
      </c>
      <c r="I1940" t="s">
        <v>3724</v>
      </c>
      <c r="J1940">
        <v>6.63</v>
      </c>
      <c r="K1940">
        <v>6.63</v>
      </c>
      <c r="L1940">
        <v>27.08</v>
      </c>
      <c r="M1940">
        <v>27.58</v>
      </c>
      <c r="N1940">
        <v>26.92</v>
      </c>
    </row>
    <row r="1941" spans="1:14" x14ac:dyDescent="0.5">
      <c r="A1941" t="str">
        <f>"300558"</f>
        <v>300558</v>
      </c>
      <c r="B1941" t="s">
        <v>3725</v>
      </c>
      <c r="C1941">
        <v>3.53</v>
      </c>
      <c r="D1941">
        <v>84.21</v>
      </c>
      <c r="E1941">
        <v>46.4</v>
      </c>
      <c r="F1941">
        <v>1.58</v>
      </c>
      <c r="G1941">
        <v>46.4</v>
      </c>
      <c r="H1941">
        <v>46.45</v>
      </c>
      <c r="I1941" t="s">
        <v>3726</v>
      </c>
      <c r="J1941">
        <v>2.5499999999999998</v>
      </c>
      <c r="K1941">
        <v>2.5499999999999998</v>
      </c>
      <c r="L1941">
        <v>44.99</v>
      </c>
      <c r="M1941">
        <v>46.4</v>
      </c>
      <c r="N1941">
        <v>43.9</v>
      </c>
    </row>
    <row r="1942" spans="1:14" x14ac:dyDescent="0.5">
      <c r="A1942" t="str">
        <f>"300559"</f>
        <v>300559</v>
      </c>
      <c r="B1942" t="s">
        <v>3727</v>
      </c>
      <c r="C1942">
        <v>0.86</v>
      </c>
      <c r="D1942">
        <v>58.81</v>
      </c>
      <c r="E1942">
        <v>45.69</v>
      </c>
      <c r="F1942">
        <v>0.39</v>
      </c>
      <c r="G1942">
        <v>45.69</v>
      </c>
      <c r="H1942">
        <v>45.7</v>
      </c>
      <c r="I1942" t="s">
        <v>3728</v>
      </c>
      <c r="J1942">
        <v>2.17</v>
      </c>
      <c r="K1942">
        <v>2.17</v>
      </c>
      <c r="L1942">
        <v>45.49</v>
      </c>
      <c r="M1942">
        <v>46.28</v>
      </c>
      <c r="N1942">
        <v>44.72</v>
      </c>
    </row>
    <row r="1943" spans="1:14" x14ac:dyDescent="0.5">
      <c r="A1943" t="str">
        <f>"300560"</f>
        <v>300560</v>
      </c>
      <c r="B1943" t="s">
        <v>3729</v>
      </c>
      <c r="C1943">
        <v>4.5</v>
      </c>
      <c r="D1943">
        <v>77.83</v>
      </c>
      <c r="E1943">
        <v>21.58</v>
      </c>
      <c r="F1943">
        <v>0.93</v>
      </c>
      <c r="G1943">
        <v>21.58</v>
      </c>
      <c r="H1943">
        <v>21.59</v>
      </c>
      <c r="I1943" t="s">
        <v>3105</v>
      </c>
      <c r="J1943">
        <v>12.14</v>
      </c>
      <c r="K1943">
        <v>12.14</v>
      </c>
      <c r="L1943">
        <v>20.68</v>
      </c>
      <c r="M1943">
        <v>21.62</v>
      </c>
      <c r="N1943">
        <v>20.100000000000001</v>
      </c>
    </row>
    <row r="1944" spans="1:14" x14ac:dyDescent="0.5">
      <c r="A1944" t="str">
        <f>"300561"</f>
        <v>300561</v>
      </c>
      <c r="B1944" t="s">
        <v>3730</v>
      </c>
      <c r="C1944">
        <v>3.91</v>
      </c>
      <c r="D1944">
        <v>48.59</v>
      </c>
      <c r="E1944">
        <v>15.43</v>
      </c>
      <c r="F1944">
        <v>0.57999999999999996</v>
      </c>
      <c r="G1944">
        <v>15.42</v>
      </c>
      <c r="H1944">
        <v>15.43</v>
      </c>
      <c r="I1944" t="s">
        <v>3731</v>
      </c>
      <c r="J1944">
        <v>11.15</v>
      </c>
      <c r="K1944">
        <v>11.15</v>
      </c>
      <c r="L1944">
        <v>14.64</v>
      </c>
      <c r="M1944">
        <v>15.47</v>
      </c>
      <c r="N1944">
        <v>14.63</v>
      </c>
    </row>
    <row r="1945" spans="1:14" x14ac:dyDescent="0.5">
      <c r="A1945" t="str">
        <f>"300562"</f>
        <v>300562</v>
      </c>
      <c r="B1945" t="s">
        <v>3732</v>
      </c>
      <c r="C1945">
        <v>2.14</v>
      </c>
      <c r="D1945">
        <v>59.72</v>
      </c>
      <c r="E1945">
        <v>12.4</v>
      </c>
      <c r="F1945">
        <v>0.26</v>
      </c>
      <c r="G1945">
        <v>12.4</v>
      </c>
      <c r="H1945">
        <v>12.41</v>
      </c>
      <c r="I1945" t="s">
        <v>3733</v>
      </c>
      <c r="J1945">
        <v>6.48</v>
      </c>
      <c r="K1945">
        <v>6.48</v>
      </c>
      <c r="L1945">
        <v>12.07</v>
      </c>
      <c r="M1945">
        <v>12.4</v>
      </c>
      <c r="N1945">
        <v>11.91</v>
      </c>
    </row>
    <row r="1946" spans="1:14" x14ac:dyDescent="0.5">
      <c r="A1946" t="str">
        <f>"300563"</f>
        <v>300563</v>
      </c>
      <c r="B1946" t="s">
        <v>3734</v>
      </c>
      <c r="C1946">
        <v>3.45</v>
      </c>
      <c r="D1946">
        <v>52.72</v>
      </c>
      <c r="E1946">
        <v>27.86</v>
      </c>
      <c r="F1946">
        <v>0.93</v>
      </c>
      <c r="G1946">
        <v>27.86</v>
      </c>
      <c r="H1946">
        <v>27.87</v>
      </c>
      <c r="I1946" t="s">
        <v>3735</v>
      </c>
      <c r="J1946">
        <v>7.91</v>
      </c>
      <c r="K1946">
        <v>7.91</v>
      </c>
      <c r="L1946">
        <v>27.03</v>
      </c>
      <c r="M1946">
        <v>27.96</v>
      </c>
      <c r="N1946">
        <v>26.91</v>
      </c>
    </row>
    <row r="1947" spans="1:14" x14ac:dyDescent="0.5">
      <c r="A1947" t="str">
        <f>"300565"</f>
        <v>300565</v>
      </c>
      <c r="B1947" t="s">
        <v>3736</v>
      </c>
      <c r="C1947">
        <v>5.53</v>
      </c>
      <c r="D1947">
        <v>77.53</v>
      </c>
      <c r="E1947">
        <v>15.65</v>
      </c>
      <c r="F1947">
        <v>0.82</v>
      </c>
      <c r="G1947">
        <v>15.65</v>
      </c>
      <c r="H1947">
        <v>15.66</v>
      </c>
      <c r="I1947" t="s">
        <v>3737</v>
      </c>
      <c r="J1947">
        <v>11.48</v>
      </c>
      <c r="K1947">
        <v>11.48</v>
      </c>
      <c r="L1947">
        <v>14.86</v>
      </c>
      <c r="M1947">
        <v>15.81</v>
      </c>
      <c r="N1947">
        <v>14.72</v>
      </c>
    </row>
    <row r="1948" spans="1:14" x14ac:dyDescent="0.5">
      <c r="A1948" t="str">
        <f>"300566"</f>
        <v>300566</v>
      </c>
      <c r="B1948" t="s">
        <v>3738</v>
      </c>
      <c r="C1948">
        <v>10.02</v>
      </c>
      <c r="D1948">
        <v>38.229999999999997</v>
      </c>
      <c r="E1948">
        <v>16.91</v>
      </c>
      <c r="F1948">
        <v>1.54</v>
      </c>
      <c r="G1948">
        <v>16.91</v>
      </c>
      <c r="H1948" t="s">
        <v>24</v>
      </c>
      <c r="I1948" t="s">
        <v>3739</v>
      </c>
      <c r="J1948">
        <v>10.42</v>
      </c>
      <c r="K1948">
        <v>10.42</v>
      </c>
      <c r="L1948">
        <v>15.38</v>
      </c>
      <c r="M1948">
        <v>16.91</v>
      </c>
      <c r="N1948">
        <v>15.28</v>
      </c>
    </row>
    <row r="1949" spans="1:14" x14ac:dyDescent="0.5">
      <c r="A1949" t="str">
        <f>"300567"</f>
        <v>300567</v>
      </c>
      <c r="B1949" t="s">
        <v>3740</v>
      </c>
      <c r="C1949">
        <v>4.72</v>
      </c>
      <c r="D1949">
        <v>44.64</v>
      </c>
      <c r="E1949">
        <v>74.349999999999994</v>
      </c>
      <c r="F1949">
        <v>3.35</v>
      </c>
      <c r="G1949">
        <v>74.3</v>
      </c>
      <c r="H1949">
        <v>74.349999999999994</v>
      </c>
      <c r="I1949" t="s">
        <v>2514</v>
      </c>
      <c r="J1949">
        <v>2.35</v>
      </c>
      <c r="K1949">
        <v>2.35</v>
      </c>
      <c r="L1949">
        <v>70.88</v>
      </c>
      <c r="M1949">
        <v>74.88</v>
      </c>
      <c r="N1949">
        <v>70.02</v>
      </c>
    </row>
    <row r="1950" spans="1:14" x14ac:dyDescent="0.5">
      <c r="A1950" t="str">
        <f>"300568"</f>
        <v>300568</v>
      </c>
      <c r="B1950" t="s">
        <v>3741</v>
      </c>
      <c r="C1950">
        <v>-0.91</v>
      </c>
      <c r="D1950">
        <v>30.98</v>
      </c>
      <c r="E1950">
        <v>31.67</v>
      </c>
      <c r="F1950">
        <v>-0.28999999999999998</v>
      </c>
      <c r="G1950">
        <v>31.67</v>
      </c>
      <c r="H1950">
        <v>31.68</v>
      </c>
      <c r="I1950" t="s">
        <v>3742</v>
      </c>
      <c r="J1950">
        <v>4.92</v>
      </c>
      <c r="K1950">
        <v>4.92</v>
      </c>
      <c r="L1950">
        <v>31.64</v>
      </c>
      <c r="M1950">
        <v>31.78</v>
      </c>
      <c r="N1950">
        <v>30.8</v>
      </c>
    </row>
    <row r="1951" spans="1:14" x14ac:dyDescent="0.5">
      <c r="A1951" t="str">
        <f>"300569"</f>
        <v>300569</v>
      </c>
      <c r="B1951" t="s">
        <v>3743</v>
      </c>
      <c r="C1951">
        <v>0.56999999999999995</v>
      </c>
      <c r="D1951">
        <v>33.5</v>
      </c>
      <c r="E1951">
        <v>19.52</v>
      </c>
      <c r="F1951">
        <v>0.11</v>
      </c>
      <c r="G1951">
        <v>19.5</v>
      </c>
      <c r="H1951">
        <v>19.52</v>
      </c>
      <c r="I1951" t="s">
        <v>3744</v>
      </c>
      <c r="J1951">
        <v>3.28</v>
      </c>
      <c r="K1951">
        <v>3.28</v>
      </c>
      <c r="L1951">
        <v>19.100000000000001</v>
      </c>
      <c r="M1951">
        <v>19.649999999999999</v>
      </c>
      <c r="N1951">
        <v>19.100000000000001</v>
      </c>
    </row>
    <row r="1952" spans="1:14" x14ac:dyDescent="0.5">
      <c r="A1952" t="str">
        <f>"300570"</f>
        <v>300570</v>
      </c>
      <c r="B1952" t="s">
        <v>3745</v>
      </c>
      <c r="C1952">
        <v>3.08</v>
      </c>
      <c r="D1952">
        <v>40.700000000000003</v>
      </c>
      <c r="E1952">
        <v>23.41</v>
      </c>
      <c r="F1952">
        <v>0.7</v>
      </c>
      <c r="G1952">
        <v>23.41</v>
      </c>
      <c r="H1952">
        <v>23.42</v>
      </c>
      <c r="I1952" t="s">
        <v>3746</v>
      </c>
      <c r="J1952">
        <v>9.44</v>
      </c>
      <c r="K1952">
        <v>9.44</v>
      </c>
      <c r="L1952">
        <v>22.71</v>
      </c>
      <c r="M1952">
        <v>23.45</v>
      </c>
      <c r="N1952">
        <v>22.55</v>
      </c>
    </row>
    <row r="1953" spans="1:14" x14ac:dyDescent="0.5">
      <c r="A1953" t="str">
        <f>"300571"</f>
        <v>300571</v>
      </c>
      <c r="B1953" t="s">
        <v>3747</v>
      </c>
      <c r="C1953">
        <v>7.65</v>
      </c>
      <c r="D1953">
        <v>29.32</v>
      </c>
      <c r="E1953">
        <v>56.45</v>
      </c>
      <c r="F1953">
        <v>4.01</v>
      </c>
      <c r="G1953">
        <v>56.43</v>
      </c>
      <c r="H1953">
        <v>56.45</v>
      </c>
      <c r="I1953" t="s">
        <v>3748</v>
      </c>
      <c r="J1953">
        <v>6.84</v>
      </c>
      <c r="K1953">
        <v>6.84</v>
      </c>
      <c r="L1953">
        <v>52</v>
      </c>
      <c r="M1953">
        <v>56.65</v>
      </c>
      <c r="N1953">
        <v>51.5</v>
      </c>
    </row>
    <row r="1954" spans="1:14" x14ac:dyDescent="0.5">
      <c r="A1954" t="str">
        <f>"300572"</f>
        <v>300572</v>
      </c>
      <c r="B1954" t="s">
        <v>3749</v>
      </c>
      <c r="C1954">
        <v>-0.11</v>
      </c>
      <c r="D1954">
        <v>64.040000000000006</v>
      </c>
      <c r="E1954">
        <v>61.9</v>
      </c>
      <c r="F1954">
        <v>-7.0000000000000007E-2</v>
      </c>
      <c r="G1954">
        <v>61.9</v>
      </c>
      <c r="H1954">
        <v>61.96</v>
      </c>
      <c r="I1954" t="s">
        <v>3750</v>
      </c>
      <c r="J1954">
        <v>2</v>
      </c>
      <c r="K1954">
        <v>2</v>
      </c>
      <c r="L1954">
        <v>61.12</v>
      </c>
      <c r="M1954">
        <v>63.33</v>
      </c>
      <c r="N1954">
        <v>60.76</v>
      </c>
    </row>
    <row r="1955" spans="1:14" x14ac:dyDescent="0.5">
      <c r="A1955" t="str">
        <f>"300573"</f>
        <v>300573</v>
      </c>
      <c r="B1955" t="s">
        <v>3751</v>
      </c>
      <c r="C1955">
        <v>1.86</v>
      </c>
      <c r="D1955">
        <v>134.56</v>
      </c>
      <c r="E1955">
        <v>18.079999999999998</v>
      </c>
      <c r="F1955">
        <v>0.33</v>
      </c>
      <c r="G1955">
        <v>18.059999999999999</v>
      </c>
      <c r="H1955">
        <v>18.079999999999998</v>
      </c>
      <c r="I1955" t="s">
        <v>3752</v>
      </c>
      <c r="J1955">
        <v>1.64</v>
      </c>
      <c r="K1955">
        <v>1.64</v>
      </c>
      <c r="L1955">
        <v>17.82</v>
      </c>
      <c r="M1955">
        <v>18.079999999999998</v>
      </c>
      <c r="N1955">
        <v>17.68</v>
      </c>
    </row>
    <row r="1956" spans="1:14" x14ac:dyDescent="0.5">
      <c r="A1956" t="str">
        <f>"300575"</f>
        <v>300575</v>
      </c>
      <c r="B1956" t="s">
        <v>3753</v>
      </c>
      <c r="C1956">
        <v>1.59</v>
      </c>
      <c r="D1956">
        <v>23.83</v>
      </c>
      <c r="E1956">
        <v>56.99</v>
      </c>
      <c r="F1956">
        <v>0.89</v>
      </c>
      <c r="G1956">
        <v>56.99</v>
      </c>
      <c r="H1956">
        <v>57</v>
      </c>
      <c r="I1956" t="s">
        <v>2261</v>
      </c>
      <c r="J1956">
        <v>3.15</v>
      </c>
      <c r="K1956">
        <v>3.15</v>
      </c>
      <c r="L1956">
        <v>55.7</v>
      </c>
      <c r="M1956">
        <v>57.38</v>
      </c>
      <c r="N1956">
        <v>55.7</v>
      </c>
    </row>
    <row r="1957" spans="1:14" x14ac:dyDescent="0.5">
      <c r="A1957" t="str">
        <f>"300576"</f>
        <v>300576</v>
      </c>
      <c r="B1957" t="s">
        <v>3754</v>
      </c>
      <c r="C1957">
        <v>4.29</v>
      </c>
      <c r="D1957">
        <v>51.38</v>
      </c>
      <c r="E1957">
        <v>16.53</v>
      </c>
      <c r="F1957">
        <v>0.68</v>
      </c>
      <c r="G1957">
        <v>16.52</v>
      </c>
      <c r="H1957">
        <v>16.53</v>
      </c>
      <c r="I1957" t="s">
        <v>3755</v>
      </c>
      <c r="J1957">
        <v>12.08</v>
      </c>
      <c r="K1957">
        <v>12.08</v>
      </c>
      <c r="L1957">
        <v>15.86</v>
      </c>
      <c r="M1957">
        <v>16.64</v>
      </c>
      <c r="N1957">
        <v>15.66</v>
      </c>
    </row>
    <row r="1958" spans="1:14" x14ac:dyDescent="0.5">
      <c r="A1958" t="str">
        <f>"300577"</f>
        <v>300577</v>
      </c>
      <c r="B1958" t="s">
        <v>3756</v>
      </c>
      <c r="C1958">
        <v>-1.38</v>
      </c>
      <c r="D1958">
        <v>43.91</v>
      </c>
      <c r="E1958">
        <v>33.53</v>
      </c>
      <c r="F1958">
        <v>-0.47</v>
      </c>
      <c r="G1958">
        <v>33.53</v>
      </c>
      <c r="H1958">
        <v>33.58</v>
      </c>
      <c r="I1958" t="s">
        <v>3757</v>
      </c>
      <c r="J1958">
        <v>1.57</v>
      </c>
      <c r="K1958">
        <v>1.57</v>
      </c>
      <c r="L1958">
        <v>33.61</v>
      </c>
      <c r="M1958">
        <v>33.96</v>
      </c>
      <c r="N1958">
        <v>33.08</v>
      </c>
    </row>
    <row r="1959" spans="1:14" x14ac:dyDescent="0.5">
      <c r="A1959" t="str">
        <f>"300578"</f>
        <v>300578</v>
      </c>
      <c r="B1959" t="s">
        <v>3758</v>
      </c>
      <c r="C1959">
        <v>3.8</v>
      </c>
      <c r="D1959">
        <v>82.49</v>
      </c>
      <c r="E1959">
        <v>19.920000000000002</v>
      </c>
      <c r="F1959">
        <v>0.73</v>
      </c>
      <c r="G1959">
        <v>19.920000000000002</v>
      </c>
      <c r="H1959">
        <v>19.93</v>
      </c>
      <c r="I1959" t="s">
        <v>3759</v>
      </c>
      <c r="J1959">
        <v>14.29</v>
      </c>
      <c r="K1959">
        <v>14.29</v>
      </c>
      <c r="L1959">
        <v>18.850000000000001</v>
      </c>
      <c r="M1959">
        <v>19.920000000000002</v>
      </c>
      <c r="N1959">
        <v>18.7</v>
      </c>
    </row>
    <row r="1960" spans="1:14" x14ac:dyDescent="0.5">
      <c r="A1960" t="str">
        <f>"300579"</f>
        <v>300579</v>
      </c>
      <c r="B1960" t="s">
        <v>3760</v>
      </c>
      <c r="C1960">
        <v>4.43</v>
      </c>
      <c r="D1960">
        <v>52.15</v>
      </c>
      <c r="E1960">
        <v>34.619999999999997</v>
      </c>
      <c r="F1960">
        <v>1.47</v>
      </c>
      <c r="G1960">
        <v>34.619999999999997</v>
      </c>
      <c r="H1960">
        <v>34.630000000000003</v>
      </c>
      <c r="I1960" t="s">
        <v>389</v>
      </c>
      <c r="J1960">
        <v>7.02</v>
      </c>
      <c r="K1960">
        <v>7.02</v>
      </c>
      <c r="L1960">
        <v>33</v>
      </c>
      <c r="M1960">
        <v>34.909999999999997</v>
      </c>
      <c r="N1960">
        <v>32.5</v>
      </c>
    </row>
    <row r="1961" spans="1:14" x14ac:dyDescent="0.5">
      <c r="A1961" t="str">
        <f>"300580"</f>
        <v>300580</v>
      </c>
      <c r="B1961" t="s">
        <v>3761</v>
      </c>
      <c r="C1961">
        <v>1.26</v>
      </c>
      <c r="D1961">
        <v>21.67</v>
      </c>
      <c r="E1961">
        <v>16.88</v>
      </c>
      <c r="F1961">
        <v>0.21</v>
      </c>
      <c r="G1961">
        <v>16.87</v>
      </c>
      <c r="H1961">
        <v>16.88</v>
      </c>
      <c r="I1961" t="s">
        <v>3762</v>
      </c>
      <c r="J1961">
        <v>5.33</v>
      </c>
      <c r="K1961">
        <v>5.33</v>
      </c>
      <c r="L1961">
        <v>16.75</v>
      </c>
      <c r="M1961">
        <v>16.899999999999999</v>
      </c>
      <c r="N1961">
        <v>16.600000000000001</v>
      </c>
    </row>
    <row r="1962" spans="1:14" x14ac:dyDescent="0.5">
      <c r="A1962" t="str">
        <f>"300581"</f>
        <v>300581</v>
      </c>
      <c r="B1962" t="s">
        <v>3763</v>
      </c>
      <c r="C1962">
        <v>2.13</v>
      </c>
      <c r="D1962">
        <v>45.49</v>
      </c>
      <c r="E1962">
        <v>15.8</v>
      </c>
      <c r="F1962">
        <v>0.33</v>
      </c>
      <c r="G1962">
        <v>15.79</v>
      </c>
      <c r="H1962">
        <v>15.8</v>
      </c>
      <c r="I1962" t="s">
        <v>3764</v>
      </c>
      <c r="J1962">
        <v>9.3800000000000008</v>
      </c>
      <c r="K1962">
        <v>9.3800000000000008</v>
      </c>
      <c r="L1962">
        <v>15.28</v>
      </c>
      <c r="M1962">
        <v>15.86</v>
      </c>
      <c r="N1962">
        <v>15.11</v>
      </c>
    </row>
    <row r="1963" spans="1:14" x14ac:dyDescent="0.5">
      <c r="A1963" t="str">
        <f>"300582"</f>
        <v>300582</v>
      </c>
      <c r="B1963" t="s">
        <v>3765</v>
      </c>
      <c r="C1963">
        <v>2.31</v>
      </c>
      <c r="D1963">
        <v>64.36</v>
      </c>
      <c r="E1963">
        <v>15.51</v>
      </c>
      <c r="F1963">
        <v>0.35</v>
      </c>
      <c r="G1963">
        <v>15.51</v>
      </c>
      <c r="H1963">
        <v>15.52</v>
      </c>
      <c r="I1963" t="s">
        <v>3766</v>
      </c>
      <c r="J1963">
        <v>9.98</v>
      </c>
      <c r="K1963">
        <v>9.98</v>
      </c>
      <c r="L1963">
        <v>15.04</v>
      </c>
      <c r="M1963">
        <v>15.53</v>
      </c>
      <c r="N1963">
        <v>14.75</v>
      </c>
    </row>
    <row r="1964" spans="1:14" x14ac:dyDescent="0.5">
      <c r="A1964" t="str">
        <f>"300583"</f>
        <v>300583</v>
      </c>
      <c r="B1964" t="s">
        <v>3767</v>
      </c>
      <c r="C1964">
        <v>1.1100000000000001</v>
      </c>
      <c r="D1964">
        <v>26.11</v>
      </c>
      <c r="E1964">
        <v>36.340000000000003</v>
      </c>
      <c r="F1964">
        <v>0.4</v>
      </c>
      <c r="G1964">
        <v>36.33</v>
      </c>
      <c r="H1964">
        <v>36.340000000000003</v>
      </c>
      <c r="I1964" t="s">
        <v>3768</v>
      </c>
      <c r="J1964">
        <v>3.11</v>
      </c>
      <c r="K1964">
        <v>3.11</v>
      </c>
      <c r="L1964">
        <v>35.799999999999997</v>
      </c>
      <c r="M1964">
        <v>36.36</v>
      </c>
      <c r="N1964">
        <v>35.619999999999997</v>
      </c>
    </row>
    <row r="1965" spans="1:14" x14ac:dyDescent="0.5">
      <c r="A1965" t="str">
        <f>"300584"</f>
        <v>300584</v>
      </c>
      <c r="B1965" t="s">
        <v>3769</v>
      </c>
      <c r="C1965">
        <v>0.54</v>
      </c>
      <c r="D1965">
        <v>40.049999999999997</v>
      </c>
      <c r="E1965">
        <v>28</v>
      </c>
      <c r="F1965">
        <v>0.15</v>
      </c>
      <c r="G1965">
        <v>27.99</v>
      </c>
      <c r="H1965">
        <v>28</v>
      </c>
      <c r="I1965" t="s">
        <v>3770</v>
      </c>
      <c r="J1965">
        <v>6.2</v>
      </c>
      <c r="K1965">
        <v>6.2</v>
      </c>
      <c r="L1965">
        <v>27.38</v>
      </c>
      <c r="M1965">
        <v>28.02</v>
      </c>
      <c r="N1965">
        <v>27.23</v>
      </c>
    </row>
    <row r="1966" spans="1:14" x14ac:dyDescent="0.5">
      <c r="A1966" t="str">
        <f>"300585"</f>
        <v>300585</v>
      </c>
      <c r="B1966" t="s">
        <v>3771</v>
      </c>
      <c r="C1966">
        <v>3.19</v>
      </c>
      <c r="D1966">
        <v>34.119999999999997</v>
      </c>
      <c r="E1966">
        <v>10.36</v>
      </c>
      <c r="F1966">
        <v>0.32</v>
      </c>
      <c r="G1966">
        <v>10.35</v>
      </c>
      <c r="H1966">
        <v>10.36</v>
      </c>
      <c r="I1966" t="s">
        <v>3772</v>
      </c>
      <c r="J1966">
        <v>8.61</v>
      </c>
      <c r="K1966">
        <v>8.61</v>
      </c>
      <c r="L1966">
        <v>9.98</v>
      </c>
      <c r="M1966">
        <v>10.36</v>
      </c>
      <c r="N1966">
        <v>9.98</v>
      </c>
    </row>
    <row r="1967" spans="1:14" x14ac:dyDescent="0.5">
      <c r="A1967" t="str">
        <f>"300586"</f>
        <v>300586</v>
      </c>
      <c r="B1967" t="s">
        <v>3773</v>
      </c>
      <c r="C1967">
        <v>0.47</v>
      </c>
      <c r="D1967">
        <v>54.22</v>
      </c>
      <c r="E1967">
        <v>14.85</v>
      </c>
      <c r="F1967">
        <v>7.0000000000000007E-2</v>
      </c>
      <c r="G1967">
        <v>14.84</v>
      </c>
      <c r="H1967">
        <v>14.85</v>
      </c>
      <c r="I1967" t="s">
        <v>3774</v>
      </c>
      <c r="J1967">
        <v>10.99</v>
      </c>
      <c r="K1967">
        <v>10.99</v>
      </c>
      <c r="L1967">
        <v>14.88</v>
      </c>
      <c r="M1967">
        <v>14.9</v>
      </c>
      <c r="N1967">
        <v>14.4</v>
      </c>
    </row>
    <row r="1968" spans="1:14" x14ac:dyDescent="0.5">
      <c r="A1968" t="str">
        <f>"300587"</f>
        <v>300587</v>
      </c>
      <c r="B1968" t="s">
        <v>3775</v>
      </c>
      <c r="C1968">
        <v>1.23</v>
      </c>
      <c r="D1968">
        <v>37.880000000000003</v>
      </c>
      <c r="E1968">
        <v>24.7</v>
      </c>
      <c r="F1968">
        <v>0.3</v>
      </c>
      <c r="G1968">
        <v>24.69</v>
      </c>
      <c r="H1968">
        <v>24.7</v>
      </c>
      <c r="I1968" t="s">
        <v>3776</v>
      </c>
      <c r="J1968">
        <v>18.36</v>
      </c>
      <c r="K1968">
        <v>18.36</v>
      </c>
      <c r="L1968">
        <v>24.22</v>
      </c>
      <c r="M1968">
        <v>24.89</v>
      </c>
      <c r="N1968">
        <v>23.93</v>
      </c>
    </row>
    <row r="1969" spans="1:14" x14ac:dyDescent="0.5">
      <c r="A1969" t="str">
        <f>"300588"</f>
        <v>300588</v>
      </c>
      <c r="B1969" t="s">
        <v>3777</v>
      </c>
      <c r="C1969">
        <v>5.36</v>
      </c>
      <c r="D1969">
        <v>46.59</v>
      </c>
      <c r="E1969">
        <v>14.95</v>
      </c>
      <c r="F1969">
        <v>0.76</v>
      </c>
      <c r="G1969">
        <v>14.95</v>
      </c>
      <c r="H1969">
        <v>14.96</v>
      </c>
      <c r="I1969" t="s">
        <v>3235</v>
      </c>
      <c r="J1969">
        <v>17.03</v>
      </c>
      <c r="K1969">
        <v>17.03</v>
      </c>
      <c r="L1969">
        <v>14.09</v>
      </c>
      <c r="M1969">
        <v>15.15</v>
      </c>
      <c r="N1969">
        <v>13.96</v>
      </c>
    </row>
    <row r="1970" spans="1:14" x14ac:dyDescent="0.5">
      <c r="A1970" t="str">
        <f>"300589"</f>
        <v>300589</v>
      </c>
      <c r="B1970" t="s">
        <v>3778</v>
      </c>
      <c r="C1970">
        <v>4.8499999999999996</v>
      </c>
      <c r="D1970">
        <v>96.41</v>
      </c>
      <c r="E1970">
        <v>14.27</v>
      </c>
      <c r="F1970">
        <v>0.66</v>
      </c>
      <c r="G1970">
        <v>14.26</v>
      </c>
      <c r="H1970">
        <v>14.27</v>
      </c>
      <c r="I1970" t="s">
        <v>3779</v>
      </c>
      <c r="J1970">
        <v>24.19</v>
      </c>
      <c r="K1970">
        <v>24.19</v>
      </c>
      <c r="L1970">
        <v>13.53</v>
      </c>
      <c r="M1970">
        <v>14.4</v>
      </c>
      <c r="N1970">
        <v>13.4</v>
      </c>
    </row>
    <row r="1971" spans="1:14" x14ac:dyDescent="0.5">
      <c r="A1971" t="str">
        <f>"300590"</f>
        <v>300590</v>
      </c>
      <c r="B1971" t="s">
        <v>3780</v>
      </c>
      <c r="C1971">
        <v>10</v>
      </c>
      <c r="D1971">
        <v>46.91</v>
      </c>
      <c r="E1971">
        <v>38.159999999999997</v>
      </c>
      <c r="F1971">
        <v>3.47</v>
      </c>
      <c r="G1971">
        <v>38.159999999999997</v>
      </c>
      <c r="H1971" t="s">
        <v>24</v>
      </c>
      <c r="I1971" t="s">
        <v>3781</v>
      </c>
      <c r="J1971">
        <v>5.85</v>
      </c>
      <c r="K1971">
        <v>5.85</v>
      </c>
      <c r="L1971">
        <v>34.64</v>
      </c>
      <c r="M1971">
        <v>38.159999999999997</v>
      </c>
      <c r="N1971">
        <v>34.01</v>
      </c>
    </row>
    <row r="1972" spans="1:14" x14ac:dyDescent="0.5">
      <c r="A1972" t="str">
        <f>"300591"</f>
        <v>300591</v>
      </c>
      <c r="B1972" t="s">
        <v>3782</v>
      </c>
      <c r="C1972">
        <v>1.59</v>
      </c>
      <c r="D1972">
        <v>72.3</v>
      </c>
      <c r="E1972">
        <v>6.39</v>
      </c>
      <c r="F1972">
        <v>0.1</v>
      </c>
      <c r="G1972">
        <v>6.39</v>
      </c>
      <c r="H1972">
        <v>6.4</v>
      </c>
      <c r="I1972" t="s">
        <v>3783</v>
      </c>
      <c r="J1972">
        <v>3.13</v>
      </c>
      <c r="K1972">
        <v>3.13</v>
      </c>
      <c r="L1972">
        <v>6.31</v>
      </c>
      <c r="M1972">
        <v>6.4</v>
      </c>
      <c r="N1972">
        <v>6.26</v>
      </c>
    </row>
    <row r="1973" spans="1:14" x14ac:dyDescent="0.5">
      <c r="A1973" t="str">
        <f>"300592"</f>
        <v>300592</v>
      </c>
      <c r="B1973" t="s">
        <v>3784</v>
      </c>
      <c r="C1973">
        <v>2.84</v>
      </c>
      <c r="D1973">
        <v>38.909999999999997</v>
      </c>
      <c r="E1973">
        <v>10.51</v>
      </c>
      <c r="F1973">
        <v>0.28999999999999998</v>
      </c>
      <c r="G1973">
        <v>10.5</v>
      </c>
      <c r="H1973">
        <v>10.51</v>
      </c>
      <c r="I1973" t="s">
        <v>3785</v>
      </c>
      <c r="J1973">
        <v>3.5</v>
      </c>
      <c r="K1973">
        <v>3.5</v>
      </c>
      <c r="L1973">
        <v>10.220000000000001</v>
      </c>
      <c r="M1973">
        <v>10.54</v>
      </c>
      <c r="N1973">
        <v>10.199999999999999</v>
      </c>
    </row>
    <row r="1974" spans="1:14" x14ac:dyDescent="0.5">
      <c r="A1974" t="str">
        <f>"300593"</f>
        <v>300593</v>
      </c>
      <c r="B1974" t="s">
        <v>3786</v>
      </c>
      <c r="C1974">
        <v>3.01</v>
      </c>
      <c r="D1974">
        <v>63.4</v>
      </c>
      <c r="E1974">
        <v>21.92</v>
      </c>
      <c r="F1974">
        <v>0.64</v>
      </c>
      <c r="G1974">
        <v>21.9</v>
      </c>
      <c r="H1974">
        <v>21.92</v>
      </c>
      <c r="I1974" t="s">
        <v>3709</v>
      </c>
      <c r="J1974">
        <v>4.17</v>
      </c>
      <c r="K1974">
        <v>4.17</v>
      </c>
      <c r="L1974">
        <v>21.32</v>
      </c>
      <c r="M1974">
        <v>21.97</v>
      </c>
      <c r="N1974">
        <v>21.18</v>
      </c>
    </row>
    <row r="1975" spans="1:14" x14ac:dyDescent="0.5">
      <c r="A1975" t="str">
        <f>"300595"</f>
        <v>300595</v>
      </c>
      <c r="B1975" t="s">
        <v>3787</v>
      </c>
      <c r="C1975">
        <v>-0.16</v>
      </c>
      <c r="D1975">
        <v>52.41</v>
      </c>
      <c r="E1975">
        <v>49.22</v>
      </c>
      <c r="F1975">
        <v>-0.08</v>
      </c>
      <c r="G1975">
        <v>49.22</v>
      </c>
      <c r="H1975">
        <v>49.23</v>
      </c>
      <c r="I1975" t="s">
        <v>3788</v>
      </c>
      <c r="J1975">
        <v>1.97</v>
      </c>
      <c r="K1975">
        <v>1.97</v>
      </c>
      <c r="L1975">
        <v>49.25</v>
      </c>
      <c r="M1975">
        <v>49.54</v>
      </c>
      <c r="N1975">
        <v>48.15</v>
      </c>
    </row>
    <row r="1976" spans="1:14" x14ac:dyDescent="0.5">
      <c r="A1976" t="str">
        <f>"300596"</f>
        <v>300596</v>
      </c>
      <c r="B1976" t="s">
        <v>3789</v>
      </c>
      <c r="C1976">
        <v>2.75</v>
      </c>
      <c r="D1976">
        <v>29.66</v>
      </c>
      <c r="E1976">
        <v>33.24</v>
      </c>
      <c r="F1976">
        <v>0.89</v>
      </c>
      <c r="G1976">
        <v>33.229999999999997</v>
      </c>
      <c r="H1976">
        <v>33.24</v>
      </c>
      <c r="I1976" t="s">
        <v>3790</v>
      </c>
      <c r="J1976">
        <v>1.45</v>
      </c>
      <c r="K1976">
        <v>1.45</v>
      </c>
      <c r="L1976">
        <v>32.35</v>
      </c>
      <c r="M1976">
        <v>33.39</v>
      </c>
      <c r="N1976">
        <v>31.61</v>
      </c>
    </row>
    <row r="1977" spans="1:14" x14ac:dyDescent="0.5">
      <c r="A1977" t="str">
        <f>"300597"</f>
        <v>300597</v>
      </c>
      <c r="B1977" t="s">
        <v>3791</v>
      </c>
      <c r="C1977">
        <v>4.04</v>
      </c>
      <c r="D1977">
        <v>106.49</v>
      </c>
      <c r="E1977">
        <v>15.21</v>
      </c>
      <c r="F1977">
        <v>0.59</v>
      </c>
      <c r="G1977">
        <v>15.21</v>
      </c>
      <c r="H1977">
        <v>15.22</v>
      </c>
      <c r="I1977" t="s">
        <v>3792</v>
      </c>
      <c r="J1977">
        <v>12.25</v>
      </c>
      <c r="K1977">
        <v>12.25</v>
      </c>
      <c r="L1977">
        <v>14.56</v>
      </c>
      <c r="M1977">
        <v>15.22</v>
      </c>
      <c r="N1977">
        <v>14.42</v>
      </c>
    </row>
    <row r="1978" spans="1:14" x14ac:dyDescent="0.5">
      <c r="A1978" t="str">
        <f>"300598"</f>
        <v>300598</v>
      </c>
      <c r="B1978" t="s">
        <v>3793</v>
      </c>
      <c r="C1978">
        <v>5.0999999999999996</v>
      </c>
      <c r="D1978">
        <v>74</v>
      </c>
      <c r="E1978">
        <v>25.76</v>
      </c>
      <c r="F1978">
        <v>1.25</v>
      </c>
      <c r="G1978">
        <v>25.74</v>
      </c>
      <c r="H1978">
        <v>25.76</v>
      </c>
      <c r="I1978" t="s">
        <v>3794</v>
      </c>
      <c r="J1978">
        <v>12.12</v>
      </c>
      <c r="K1978">
        <v>12.12</v>
      </c>
      <c r="L1978">
        <v>24.44</v>
      </c>
      <c r="M1978">
        <v>25.8</v>
      </c>
      <c r="N1978">
        <v>24.25</v>
      </c>
    </row>
    <row r="1979" spans="1:14" x14ac:dyDescent="0.5">
      <c r="A1979" t="str">
        <f>"300599"</f>
        <v>300599</v>
      </c>
      <c r="B1979" t="s">
        <v>3795</v>
      </c>
      <c r="C1979">
        <v>1.1200000000000001</v>
      </c>
      <c r="D1979">
        <v>17.77</v>
      </c>
      <c r="E1979">
        <v>11.77</v>
      </c>
      <c r="F1979">
        <v>0.13</v>
      </c>
      <c r="G1979">
        <v>11.77</v>
      </c>
      <c r="H1979">
        <v>11.78</v>
      </c>
      <c r="I1979" t="s">
        <v>3796</v>
      </c>
      <c r="J1979">
        <v>3.21</v>
      </c>
      <c r="K1979">
        <v>3.21</v>
      </c>
      <c r="L1979">
        <v>11.59</v>
      </c>
      <c r="M1979">
        <v>11.78</v>
      </c>
      <c r="N1979">
        <v>11.57</v>
      </c>
    </row>
    <row r="1980" spans="1:14" x14ac:dyDescent="0.5">
      <c r="A1980" t="str">
        <f>"300600"</f>
        <v>300600</v>
      </c>
      <c r="B1980" t="s">
        <v>3797</v>
      </c>
      <c r="C1980">
        <v>3.74</v>
      </c>
      <c r="D1980">
        <v>37.03</v>
      </c>
      <c r="E1980">
        <v>25.22</v>
      </c>
      <c r="F1980">
        <v>0.91</v>
      </c>
      <c r="G1980">
        <v>25.22</v>
      </c>
      <c r="H1980">
        <v>25.23</v>
      </c>
      <c r="I1980" t="s">
        <v>2419</v>
      </c>
      <c r="J1980">
        <v>4.41</v>
      </c>
      <c r="K1980">
        <v>4.41</v>
      </c>
      <c r="L1980">
        <v>24.11</v>
      </c>
      <c r="M1980">
        <v>25.22</v>
      </c>
      <c r="N1980">
        <v>24</v>
      </c>
    </row>
    <row r="1981" spans="1:14" x14ac:dyDescent="0.5">
      <c r="A1981" t="str">
        <f>"300601"</f>
        <v>300601</v>
      </c>
      <c r="B1981" t="s">
        <v>3798</v>
      </c>
      <c r="C1981">
        <v>1.04</v>
      </c>
      <c r="D1981">
        <v>61.85</v>
      </c>
      <c r="E1981">
        <v>44.86</v>
      </c>
      <c r="F1981">
        <v>0.46</v>
      </c>
      <c r="G1981">
        <v>44.85</v>
      </c>
      <c r="H1981">
        <v>44.86</v>
      </c>
      <c r="I1981" t="s">
        <v>3214</v>
      </c>
      <c r="J1981">
        <v>4.0599999999999996</v>
      </c>
      <c r="K1981">
        <v>4.0599999999999996</v>
      </c>
      <c r="L1981">
        <v>44</v>
      </c>
      <c r="M1981">
        <v>45.55</v>
      </c>
      <c r="N1981">
        <v>43.53</v>
      </c>
    </row>
    <row r="1982" spans="1:14" x14ac:dyDescent="0.5">
      <c r="A1982" t="str">
        <f>"300602"</f>
        <v>300602</v>
      </c>
      <c r="B1982" t="s">
        <v>3799</v>
      </c>
      <c r="C1982">
        <v>3.06</v>
      </c>
      <c r="D1982">
        <v>50.15</v>
      </c>
      <c r="E1982">
        <v>41.44</v>
      </c>
      <c r="F1982">
        <v>1.23</v>
      </c>
      <c r="G1982">
        <v>41.43</v>
      </c>
      <c r="H1982">
        <v>41.44</v>
      </c>
      <c r="I1982" t="s">
        <v>3800</v>
      </c>
      <c r="J1982">
        <v>8.3699999999999992</v>
      </c>
      <c r="K1982">
        <v>8.3699999999999992</v>
      </c>
      <c r="L1982">
        <v>40.4</v>
      </c>
      <c r="M1982">
        <v>41.69</v>
      </c>
      <c r="N1982">
        <v>39.81</v>
      </c>
    </row>
    <row r="1983" spans="1:14" x14ac:dyDescent="0.5">
      <c r="A1983" t="str">
        <f>"300603"</f>
        <v>300603</v>
      </c>
      <c r="B1983" t="s">
        <v>3801</v>
      </c>
      <c r="C1983">
        <v>7.04</v>
      </c>
      <c r="D1983">
        <v>69.75</v>
      </c>
      <c r="E1983">
        <v>30.1</v>
      </c>
      <c r="F1983">
        <v>1.98</v>
      </c>
      <c r="G1983">
        <v>30.1</v>
      </c>
      <c r="H1983">
        <v>30.13</v>
      </c>
      <c r="I1983" t="s">
        <v>3802</v>
      </c>
      <c r="J1983">
        <v>14.38</v>
      </c>
      <c r="K1983">
        <v>14.38</v>
      </c>
      <c r="L1983">
        <v>28.63</v>
      </c>
      <c r="M1983">
        <v>30.27</v>
      </c>
      <c r="N1983">
        <v>28.45</v>
      </c>
    </row>
    <row r="1984" spans="1:14" x14ac:dyDescent="0.5">
      <c r="A1984" t="str">
        <f>"300604"</f>
        <v>300604</v>
      </c>
      <c r="B1984" t="s">
        <v>3803</v>
      </c>
      <c r="C1984">
        <v>10</v>
      </c>
      <c r="D1984">
        <v>88.42</v>
      </c>
      <c r="E1984">
        <v>37.840000000000003</v>
      </c>
      <c r="F1984">
        <v>3.44</v>
      </c>
      <c r="G1984">
        <v>37.840000000000003</v>
      </c>
      <c r="H1984" t="s">
        <v>24</v>
      </c>
      <c r="I1984" t="s">
        <v>3804</v>
      </c>
      <c r="J1984">
        <v>13.19</v>
      </c>
      <c r="K1984">
        <v>13.19</v>
      </c>
      <c r="L1984">
        <v>33.72</v>
      </c>
      <c r="M1984">
        <v>37.840000000000003</v>
      </c>
      <c r="N1984">
        <v>33.700000000000003</v>
      </c>
    </row>
    <row r="1985" spans="1:14" x14ac:dyDescent="0.5">
      <c r="A1985" t="str">
        <f>"300605"</f>
        <v>300605</v>
      </c>
      <c r="B1985" t="s">
        <v>3805</v>
      </c>
      <c r="C1985">
        <v>3.98</v>
      </c>
      <c r="D1985">
        <v>41.03</v>
      </c>
      <c r="E1985">
        <v>17.77</v>
      </c>
      <c r="F1985">
        <v>0.68</v>
      </c>
      <c r="G1985">
        <v>17.760000000000002</v>
      </c>
      <c r="H1985">
        <v>17.77</v>
      </c>
      <c r="I1985" t="s">
        <v>3806</v>
      </c>
      <c r="J1985">
        <v>5.39</v>
      </c>
      <c r="K1985">
        <v>5.39</v>
      </c>
      <c r="L1985">
        <v>17.09</v>
      </c>
      <c r="M1985">
        <v>17.77</v>
      </c>
      <c r="N1985">
        <v>17.02</v>
      </c>
    </row>
    <row r="1986" spans="1:14" x14ac:dyDescent="0.5">
      <c r="A1986" t="str">
        <f>"300606"</f>
        <v>300606</v>
      </c>
      <c r="B1986" t="s">
        <v>3807</v>
      </c>
      <c r="C1986">
        <v>1.97</v>
      </c>
      <c r="D1986">
        <v>31.5</v>
      </c>
      <c r="E1986">
        <v>19.68</v>
      </c>
      <c r="F1986">
        <v>0.38</v>
      </c>
      <c r="G1986">
        <v>19.670000000000002</v>
      </c>
      <c r="H1986">
        <v>19.68</v>
      </c>
      <c r="I1986" t="s">
        <v>3808</v>
      </c>
      <c r="J1986">
        <v>8.83</v>
      </c>
      <c r="K1986">
        <v>8.83</v>
      </c>
      <c r="L1986">
        <v>19.21</v>
      </c>
      <c r="M1986">
        <v>19.77</v>
      </c>
      <c r="N1986">
        <v>19.16</v>
      </c>
    </row>
    <row r="1987" spans="1:14" x14ac:dyDescent="0.5">
      <c r="A1987" t="str">
        <f>"300607"</f>
        <v>300607</v>
      </c>
      <c r="B1987" t="s">
        <v>3809</v>
      </c>
      <c r="C1987">
        <v>7.35</v>
      </c>
      <c r="D1987">
        <v>29.99</v>
      </c>
      <c r="E1987">
        <v>41.03</v>
      </c>
      <c r="F1987">
        <v>2.81</v>
      </c>
      <c r="G1987">
        <v>41.02</v>
      </c>
      <c r="H1987">
        <v>41.03</v>
      </c>
      <c r="I1987" t="s">
        <v>3810</v>
      </c>
      <c r="J1987">
        <v>9.64</v>
      </c>
      <c r="K1987">
        <v>9.64</v>
      </c>
      <c r="L1987">
        <v>37.979999999999997</v>
      </c>
      <c r="M1987">
        <v>41.58</v>
      </c>
      <c r="N1987">
        <v>37.71</v>
      </c>
    </row>
    <row r="1988" spans="1:14" x14ac:dyDescent="0.5">
      <c r="A1988" t="str">
        <f>"300608"</f>
        <v>300608</v>
      </c>
      <c r="B1988" t="s">
        <v>3811</v>
      </c>
      <c r="C1988">
        <v>4.34</v>
      </c>
      <c r="D1988">
        <v>41.16</v>
      </c>
      <c r="E1988">
        <v>25.49</v>
      </c>
      <c r="F1988">
        <v>1.06</v>
      </c>
      <c r="G1988">
        <v>25.49</v>
      </c>
      <c r="H1988">
        <v>25.5</v>
      </c>
      <c r="I1988" t="s">
        <v>3812</v>
      </c>
      <c r="J1988">
        <v>2.6</v>
      </c>
      <c r="K1988">
        <v>2.6</v>
      </c>
      <c r="L1988">
        <v>24.22</v>
      </c>
      <c r="M1988">
        <v>25.51</v>
      </c>
      <c r="N1988">
        <v>23.98</v>
      </c>
    </row>
    <row r="1989" spans="1:14" x14ac:dyDescent="0.5">
      <c r="A1989" t="str">
        <f>"300609"</f>
        <v>300609</v>
      </c>
      <c r="B1989" t="s">
        <v>3813</v>
      </c>
      <c r="C1989">
        <v>-2.83</v>
      </c>
      <c r="D1989">
        <v>62.38</v>
      </c>
      <c r="E1989">
        <v>41.93</v>
      </c>
      <c r="F1989">
        <v>-1.22</v>
      </c>
      <c r="G1989">
        <v>41.93</v>
      </c>
      <c r="H1989">
        <v>41.94</v>
      </c>
      <c r="I1989" t="s">
        <v>37</v>
      </c>
      <c r="J1989">
        <v>3.85</v>
      </c>
      <c r="K1989">
        <v>3.85</v>
      </c>
      <c r="L1989">
        <v>42.37</v>
      </c>
      <c r="M1989">
        <v>43.15</v>
      </c>
      <c r="N1989">
        <v>40.69</v>
      </c>
    </row>
    <row r="1990" spans="1:14" x14ac:dyDescent="0.5">
      <c r="A1990" t="str">
        <f>"300610"</f>
        <v>300610</v>
      </c>
      <c r="B1990" t="s">
        <v>3814</v>
      </c>
      <c r="C1990">
        <v>1.92</v>
      </c>
      <c r="D1990">
        <v>25.12</v>
      </c>
      <c r="E1990">
        <v>13.77</v>
      </c>
      <c r="F1990">
        <v>0.26</v>
      </c>
      <c r="G1990">
        <v>13.76</v>
      </c>
      <c r="H1990">
        <v>13.77</v>
      </c>
      <c r="I1990" t="s">
        <v>3815</v>
      </c>
      <c r="J1990">
        <v>4.37</v>
      </c>
      <c r="K1990">
        <v>4.37</v>
      </c>
      <c r="L1990">
        <v>13.39</v>
      </c>
      <c r="M1990">
        <v>13.83</v>
      </c>
      <c r="N1990">
        <v>13.39</v>
      </c>
    </row>
    <row r="1991" spans="1:14" x14ac:dyDescent="0.5">
      <c r="A1991" t="str">
        <f>"300611"</f>
        <v>300611</v>
      </c>
      <c r="B1991" t="s">
        <v>3816</v>
      </c>
      <c r="C1991">
        <v>2.1800000000000002</v>
      </c>
      <c r="D1991">
        <v>41.86</v>
      </c>
      <c r="E1991">
        <v>9.83</v>
      </c>
      <c r="F1991">
        <v>0.21</v>
      </c>
      <c r="G1991">
        <v>9.82</v>
      </c>
      <c r="H1991">
        <v>9.83</v>
      </c>
      <c r="I1991" t="s">
        <v>3817</v>
      </c>
      <c r="J1991">
        <v>4.7300000000000004</v>
      </c>
      <c r="K1991">
        <v>4.7300000000000004</v>
      </c>
      <c r="L1991">
        <v>9.57</v>
      </c>
      <c r="M1991">
        <v>9.85</v>
      </c>
      <c r="N1991">
        <v>9.49</v>
      </c>
    </row>
    <row r="1992" spans="1:14" x14ac:dyDescent="0.5">
      <c r="A1992" t="str">
        <f>"300612"</f>
        <v>300612</v>
      </c>
      <c r="B1992" t="s">
        <v>3818</v>
      </c>
      <c r="C1992">
        <v>3.63</v>
      </c>
      <c r="D1992">
        <v>87.03</v>
      </c>
      <c r="E1992">
        <v>28.84</v>
      </c>
      <c r="F1992">
        <v>1.01</v>
      </c>
      <c r="G1992">
        <v>28.84</v>
      </c>
      <c r="H1992">
        <v>28.85</v>
      </c>
      <c r="I1992" t="s">
        <v>3819</v>
      </c>
      <c r="J1992">
        <v>18.739999999999998</v>
      </c>
      <c r="K1992">
        <v>18.739999999999998</v>
      </c>
      <c r="L1992">
        <v>28.02</v>
      </c>
      <c r="M1992">
        <v>30.1</v>
      </c>
      <c r="N1992">
        <v>26.8</v>
      </c>
    </row>
    <row r="1993" spans="1:14" x14ac:dyDescent="0.5">
      <c r="A1993" t="str">
        <f>"300613"</f>
        <v>300613</v>
      </c>
      <c r="B1993" t="s">
        <v>3820</v>
      </c>
      <c r="C1993">
        <v>9.4499999999999993</v>
      </c>
      <c r="D1993">
        <v>65.650000000000006</v>
      </c>
      <c r="E1993">
        <v>118.89</v>
      </c>
      <c r="F1993">
        <v>10.27</v>
      </c>
      <c r="G1993">
        <v>118.88</v>
      </c>
      <c r="H1993">
        <v>118.89</v>
      </c>
      <c r="I1993" t="s">
        <v>3821</v>
      </c>
      <c r="J1993">
        <v>12.54</v>
      </c>
      <c r="K1993">
        <v>12.54</v>
      </c>
      <c r="L1993">
        <v>108.49</v>
      </c>
      <c r="M1993">
        <v>118.99</v>
      </c>
      <c r="N1993">
        <v>107.45</v>
      </c>
    </row>
    <row r="1994" spans="1:14" x14ac:dyDescent="0.5">
      <c r="A1994" t="str">
        <f>"300615"</f>
        <v>300615</v>
      </c>
      <c r="B1994" t="s">
        <v>3822</v>
      </c>
      <c r="C1994">
        <v>3.69</v>
      </c>
      <c r="D1994">
        <v>104.27</v>
      </c>
      <c r="E1994">
        <v>21.61</v>
      </c>
      <c r="F1994">
        <v>0.77</v>
      </c>
      <c r="G1994">
        <v>21.61</v>
      </c>
      <c r="H1994">
        <v>21.62</v>
      </c>
      <c r="I1994" t="s">
        <v>3823</v>
      </c>
      <c r="J1994">
        <v>18.23</v>
      </c>
      <c r="K1994">
        <v>18.23</v>
      </c>
      <c r="L1994">
        <v>20.62</v>
      </c>
      <c r="M1994">
        <v>21.61</v>
      </c>
      <c r="N1994">
        <v>20.55</v>
      </c>
    </row>
    <row r="1995" spans="1:14" x14ac:dyDescent="0.5">
      <c r="A1995" t="str">
        <f>"300616"</f>
        <v>300616</v>
      </c>
      <c r="B1995" t="s">
        <v>3824</v>
      </c>
      <c r="C1995">
        <v>1.3</v>
      </c>
      <c r="D1995">
        <v>34.03</v>
      </c>
      <c r="E1995">
        <v>83.5</v>
      </c>
      <c r="F1995">
        <v>1.07</v>
      </c>
      <c r="G1995">
        <v>83.48</v>
      </c>
      <c r="H1995">
        <v>83.5</v>
      </c>
      <c r="I1995" t="s">
        <v>3825</v>
      </c>
      <c r="J1995">
        <v>0.78</v>
      </c>
      <c r="K1995">
        <v>0.78</v>
      </c>
      <c r="L1995">
        <v>82.75</v>
      </c>
      <c r="M1995">
        <v>84.2</v>
      </c>
      <c r="N1995">
        <v>80.81</v>
      </c>
    </row>
    <row r="1996" spans="1:14" x14ac:dyDescent="0.5">
      <c r="A1996" t="str">
        <f>"300617"</f>
        <v>300617</v>
      </c>
      <c r="B1996" t="s">
        <v>3826</v>
      </c>
      <c r="C1996">
        <v>3.93</v>
      </c>
      <c r="D1996">
        <v>32.020000000000003</v>
      </c>
      <c r="E1996">
        <v>25.15</v>
      </c>
      <c r="F1996">
        <v>0.95</v>
      </c>
      <c r="G1996">
        <v>25.15</v>
      </c>
      <c r="H1996">
        <v>25.17</v>
      </c>
      <c r="I1996" t="s">
        <v>3827</v>
      </c>
      <c r="J1996">
        <v>5.26</v>
      </c>
      <c r="K1996">
        <v>5.26</v>
      </c>
      <c r="L1996">
        <v>24.25</v>
      </c>
      <c r="M1996">
        <v>25.2</v>
      </c>
      <c r="N1996">
        <v>24.11</v>
      </c>
    </row>
    <row r="1997" spans="1:14" x14ac:dyDescent="0.5">
      <c r="A1997" t="str">
        <f>"300618"</f>
        <v>300618</v>
      </c>
      <c r="B1997" t="s">
        <v>3828</v>
      </c>
      <c r="C1997">
        <v>-0.57999999999999996</v>
      </c>
      <c r="D1997">
        <v>18.38</v>
      </c>
      <c r="E1997">
        <v>79.88</v>
      </c>
      <c r="F1997">
        <v>-0.47</v>
      </c>
      <c r="G1997">
        <v>79.87</v>
      </c>
      <c r="H1997">
        <v>79.88</v>
      </c>
      <c r="I1997" t="s">
        <v>3829</v>
      </c>
      <c r="J1997">
        <v>5.93</v>
      </c>
      <c r="K1997">
        <v>5.93</v>
      </c>
      <c r="L1997">
        <v>79.010000000000005</v>
      </c>
      <c r="M1997">
        <v>79.900000000000006</v>
      </c>
      <c r="N1997">
        <v>78.400000000000006</v>
      </c>
    </row>
    <row r="1998" spans="1:14" x14ac:dyDescent="0.5">
      <c r="A1998" t="str">
        <f>"300619"</f>
        <v>300619</v>
      </c>
      <c r="B1998" t="s">
        <v>3830</v>
      </c>
      <c r="C1998">
        <v>1.82</v>
      </c>
      <c r="D1998">
        <v>42.15</v>
      </c>
      <c r="E1998">
        <v>26.8</v>
      </c>
      <c r="F1998">
        <v>0.48</v>
      </c>
      <c r="G1998">
        <v>26.8</v>
      </c>
      <c r="H1998">
        <v>26.81</v>
      </c>
      <c r="I1998" t="s">
        <v>2474</v>
      </c>
      <c r="J1998">
        <v>6.33</v>
      </c>
      <c r="K1998">
        <v>6.33</v>
      </c>
      <c r="L1998">
        <v>26.4</v>
      </c>
      <c r="M1998">
        <v>26.8</v>
      </c>
      <c r="N1998">
        <v>26.03</v>
      </c>
    </row>
    <row r="1999" spans="1:14" x14ac:dyDescent="0.5">
      <c r="A1999" t="str">
        <f>"300620"</f>
        <v>300620</v>
      </c>
      <c r="B1999" t="s">
        <v>3831</v>
      </c>
      <c r="C1999">
        <v>2.27</v>
      </c>
      <c r="D1999">
        <v>42.27</v>
      </c>
      <c r="E1999">
        <v>42.33</v>
      </c>
      <c r="F1999">
        <v>0.94</v>
      </c>
      <c r="G1999">
        <v>42.33</v>
      </c>
      <c r="H1999">
        <v>42.34</v>
      </c>
      <c r="I1999" t="s">
        <v>3832</v>
      </c>
      <c r="J1999">
        <v>9.6300000000000008</v>
      </c>
      <c r="K1999">
        <v>9.6300000000000008</v>
      </c>
      <c r="L1999">
        <v>41.1</v>
      </c>
      <c r="M1999">
        <v>42.35</v>
      </c>
      <c r="N1999">
        <v>40.9</v>
      </c>
    </row>
    <row r="2000" spans="1:14" x14ac:dyDescent="0.5">
      <c r="A2000" t="str">
        <f>"300621"</f>
        <v>300621</v>
      </c>
      <c r="B2000" t="s">
        <v>3833</v>
      </c>
      <c r="C2000">
        <v>1.73</v>
      </c>
      <c r="D2000">
        <v>22.35</v>
      </c>
      <c r="E2000">
        <v>10.58</v>
      </c>
      <c r="F2000">
        <v>0.18</v>
      </c>
      <c r="G2000">
        <v>10.57</v>
      </c>
      <c r="H2000">
        <v>10.58</v>
      </c>
      <c r="I2000" t="s">
        <v>3834</v>
      </c>
      <c r="J2000">
        <v>4.4800000000000004</v>
      </c>
      <c r="K2000">
        <v>4.4800000000000004</v>
      </c>
      <c r="L2000">
        <v>10.4</v>
      </c>
      <c r="M2000">
        <v>10.59</v>
      </c>
      <c r="N2000">
        <v>10.25</v>
      </c>
    </row>
    <row r="2001" spans="1:14" x14ac:dyDescent="0.5">
      <c r="A2001" t="str">
        <f>"300622"</f>
        <v>300622</v>
      </c>
      <c r="B2001" t="s">
        <v>3835</v>
      </c>
      <c r="C2001">
        <v>1.25</v>
      </c>
      <c r="D2001">
        <v>27.06</v>
      </c>
      <c r="E2001">
        <v>18.57</v>
      </c>
      <c r="F2001">
        <v>0.23</v>
      </c>
      <c r="G2001">
        <v>18.559999999999999</v>
      </c>
      <c r="H2001">
        <v>18.57</v>
      </c>
      <c r="I2001" t="s">
        <v>3836</v>
      </c>
      <c r="J2001">
        <v>3.92</v>
      </c>
      <c r="K2001">
        <v>3.92</v>
      </c>
      <c r="L2001">
        <v>18.27</v>
      </c>
      <c r="M2001">
        <v>18.61</v>
      </c>
      <c r="N2001">
        <v>18.23</v>
      </c>
    </row>
    <row r="2002" spans="1:14" x14ac:dyDescent="0.5">
      <c r="A2002" t="str">
        <f>"300623"</f>
        <v>300623</v>
      </c>
      <c r="B2002" t="s">
        <v>3837</v>
      </c>
      <c r="C2002">
        <v>4.1500000000000004</v>
      </c>
      <c r="D2002">
        <v>33.130000000000003</v>
      </c>
      <c r="E2002">
        <v>31.86</v>
      </c>
      <c r="F2002">
        <v>1.27</v>
      </c>
      <c r="G2002">
        <v>31.86</v>
      </c>
      <c r="H2002">
        <v>31.88</v>
      </c>
      <c r="I2002" t="s">
        <v>2934</v>
      </c>
      <c r="J2002">
        <v>9.81</v>
      </c>
      <c r="K2002">
        <v>9.81</v>
      </c>
      <c r="L2002">
        <v>30.28</v>
      </c>
      <c r="M2002">
        <v>31.86</v>
      </c>
      <c r="N2002">
        <v>30.04</v>
      </c>
    </row>
    <row r="2003" spans="1:14" x14ac:dyDescent="0.5">
      <c r="A2003" t="str">
        <f>"300624"</f>
        <v>300624</v>
      </c>
      <c r="B2003" t="s">
        <v>3838</v>
      </c>
      <c r="C2003">
        <v>0.48</v>
      </c>
      <c r="D2003">
        <v>56.07</v>
      </c>
      <c r="E2003">
        <v>62.2</v>
      </c>
      <c r="F2003">
        <v>0.3</v>
      </c>
      <c r="G2003">
        <v>62.18</v>
      </c>
      <c r="H2003">
        <v>62.2</v>
      </c>
      <c r="I2003" t="s">
        <v>2947</v>
      </c>
      <c r="J2003">
        <v>4.26</v>
      </c>
      <c r="K2003">
        <v>4.26</v>
      </c>
      <c r="L2003">
        <v>61.2</v>
      </c>
      <c r="M2003">
        <v>62.21</v>
      </c>
      <c r="N2003">
        <v>60.54</v>
      </c>
    </row>
    <row r="2004" spans="1:14" x14ac:dyDescent="0.5">
      <c r="A2004" t="str">
        <f>"300625"</f>
        <v>300625</v>
      </c>
      <c r="B2004" t="s">
        <v>3839</v>
      </c>
      <c r="C2004">
        <v>2.4700000000000002</v>
      </c>
      <c r="D2004">
        <v>20.81</v>
      </c>
      <c r="E2004">
        <v>16.170000000000002</v>
      </c>
      <c r="F2004">
        <v>0.39</v>
      </c>
      <c r="G2004">
        <v>16.170000000000002</v>
      </c>
      <c r="H2004">
        <v>16.18</v>
      </c>
      <c r="I2004" t="s">
        <v>3840</v>
      </c>
      <c r="J2004">
        <v>2.69</v>
      </c>
      <c r="K2004">
        <v>2.69</v>
      </c>
      <c r="L2004">
        <v>15.75</v>
      </c>
      <c r="M2004">
        <v>16.18</v>
      </c>
      <c r="N2004">
        <v>15.66</v>
      </c>
    </row>
    <row r="2005" spans="1:14" x14ac:dyDescent="0.5">
      <c r="A2005" t="str">
        <f>"300626"</f>
        <v>300626</v>
      </c>
      <c r="B2005" t="s">
        <v>3841</v>
      </c>
      <c r="C2005">
        <v>2.0299999999999998</v>
      </c>
      <c r="D2005">
        <v>32.18</v>
      </c>
      <c r="E2005">
        <v>9.0500000000000007</v>
      </c>
      <c r="F2005">
        <v>0.18</v>
      </c>
      <c r="G2005">
        <v>9.0500000000000007</v>
      </c>
      <c r="H2005">
        <v>9.06</v>
      </c>
      <c r="I2005" t="s">
        <v>3842</v>
      </c>
      <c r="J2005">
        <v>3.61</v>
      </c>
      <c r="K2005">
        <v>3.61</v>
      </c>
      <c r="L2005">
        <v>8.86</v>
      </c>
      <c r="M2005">
        <v>9.0500000000000007</v>
      </c>
      <c r="N2005">
        <v>8.81</v>
      </c>
    </row>
    <row r="2006" spans="1:14" x14ac:dyDescent="0.5">
      <c r="A2006" t="str">
        <f>"300627"</f>
        <v>300627</v>
      </c>
      <c r="B2006" t="s">
        <v>3843</v>
      </c>
      <c r="C2006">
        <v>7.03</v>
      </c>
      <c r="D2006">
        <v>35.979999999999997</v>
      </c>
      <c r="E2006">
        <v>20.71</v>
      </c>
      <c r="F2006">
        <v>1.36</v>
      </c>
      <c r="G2006">
        <v>20.71</v>
      </c>
      <c r="H2006">
        <v>20.72</v>
      </c>
      <c r="I2006" t="s">
        <v>3844</v>
      </c>
      <c r="J2006">
        <v>6.33</v>
      </c>
      <c r="K2006">
        <v>6.33</v>
      </c>
      <c r="L2006">
        <v>19.39</v>
      </c>
      <c r="M2006">
        <v>20.97</v>
      </c>
      <c r="N2006">
        <v>19.3</v>
      </c>
    </row>
    <row r="2007" spans="1:14" x14ac:dyDescent="0.5">
      <c r="A2007" t="str">
        <f>"300628"</f>
        <v>300628</v>
      </c>
      <c r="B2007" t="s">
        <v>3845</v>
      </c>
      <c r="C2007">
        <v>-0.66</v>
      </c>
      <c r="D2007">
        <v>35.24</v>
      </c>
      <c r="E2007">
        <v>99.19</v>
      </c>
      <c r="F2007">
        <v>-0.66</v>
      </c>
      <c r="G2007">
        <v>99.18</v>
      </c>
      <c r="H2007">
        <v>99.19</v>
      </c>
      <c r="I2007" t="s">
        <v>3846</v>
      </c>
      <c r="J2007">
        <v>2.85</v>
      </c>
      <c r="K2007">
        <v>2.85</v>
      </c>
      <c r="L2007">
        <v>98.01</v>
      </c>
      <c r="M2007">
        <v>102.6</v>
      </c>
      <c r="N2007">
        <v>98</v>
      </c>
    </row>
    <row r="2008" spans="1:14" x14ac:dyDescent="0.5">
      <c r="A2008" t="str">
        <f>"300629"</f>
        <v>300629</v>
      </c>
      <c r="B2008" t="s">
        <v>3847</v>
      </c>
      <c r="C2008">
        <v>1.3</v>
      </c>
      <c r="D2008">
        <v>84.72</v>
      </c>
      <c r="E2008">
        <v>20.25</v>
      </c>
      <c r="F2008">
        <v>0.26</v>
      </c>
      <c r="G2008">
        <v>20.25</v>
      </c>
      <c r="H2008">
        <v>20.260000000000002</v>
      </c>
      <c r="I2008" t="s">
        <v>3848</v>
      </c>
      <c r="J2008">
        <v>6.21</v>
      </c>
      <c r="K2008">
        <v>6.21</v>
      </c>
      <c r="L2008">
        <v>19.850000000000001</v>
      </c>
      <c r="M2008">
        <v>20.28</v>
      </c>
      <c r="N2008">
        <v>19.61</v>
      </c>
    </row>
    <row r="2009" spans="1:14" x14ac:dyDescent="0.5">
      <c r="A2009" t="str">
        <f>"300630"</f>
        <v>300630</v>
      </c>
      <c r="B2009" t="s">
        <v>3849</v>
      </c>
      <c r="C2009">
        <v>0.2</v>
      </c>
      <c r="D2009">
        <v>70.19</v>
      </c>
      <c r="E2009">
        <v>61.05</v>
      </c>
      <c r="F2009">
        <v>0.12</v>
      </c>
      <c r="G2009">
        <v>61.05</v>
      </c>
      <c r="H2009">
        <v>61.07</v>
      </c>
      <c r="I2009" t="s">
        <v>3850</v>
      </c>
      <c r="J2009">
        <v>0.65</v>
      </c>
      <c r="K2009">
        <v>0.65</v>
      </c>
      <c r="L2009">
        <v>60.7</v>
      </c>
      <c r="M2009">
        <v>61.55</v>
      </c>
      <c r="N2009">
        <v>59.48</v>
      </c>
    </row>
    <row r="2010" spans="1:14" x14ac:dyDescent="0.5">
      <c r="A2010" t="str">
        <f>"300631"</f>
        <v>300631</v>
      </c>
      <c r="B2010" t="s">
        <v>3851</v>
      </c>
      <c r="C2010">
        <v>3.25</v>
      </c>
      <c r="D2010">
        <v>34.369999999999997</v>
      </c>
      <c r="E2010">
        <v>17.47</v>
      </c>
      <c r="F2010">
        <v>0.55000000000000004</v>
      </c>
      <c r="G2010">
        <v>17.46</v>
      </c>
      <c r="H2010">
        <v>17.47</v>
      </c>
      <c r="I2010" t="s">
        <v>3852</v>
      </c>
      <c r="J2010">
        <v>5.04</v>
      </c>
      <c r="K2010">
        <v>5.04</v>
      </c>
      <c r="L2010">
        <v>16.850000000000001</v>
      </c>
      <c r="M2010">
        <v>17.600000000000001</v>
      </c>
      <c r="N2010">
        <v>16.77</v>
      </c>
    </row>
    <row r="2011" spans="1:14" x14ac:dyDescent="0.5">
      <c r="A2011" t="str">
        <f>"300632"</f>
        <v>300632</v>
      </c>
      <c r="B2011" t="s">
        <v>3853</v>
      </c>
      <c r="C2011">
        <v>2.95</v>
      </c>
      <c r="D2011">
        <v>23.16</v>
      </c>
      <c r="E2011">
        <v>18.850000000000001</v>
      </c>
      <c r="F2011">
        <v>0.54</v>
      </c>
      <c r="G2011">
        <v>18.84</v>
      </c>
      <c r="H2011">
        <v>18.850000000000001</v>
      </c>
      <c r="I2011" t="s">
        <v>2453</v>
      </c>
      <c r="J2011">
        <v>14.31</v>
      </c>
      <c r="K2011">
        <v>14.31</v>
      </c>
      <c r="L2011">
        <v>18.13</v>
      </c>
      <c r="M2011">
        <v>19</v>
      </c>
      <c r="N2011">
        <v>18.13</v>
      </c>
    </row>
    <row r="2012" spans="1:14" x14ac:dyDescent="0.5">
      <c r="A2012" t="str">
        <f>"300633"</f>
        <v>300633</v>
      </c>
      <c r="B2012" t="s">
        <v>3854</v>
      </c>
      <c r="C2012">
        <v>-1.21</v>
      </c>
      <c r="D2012">
        <v>51.96</v>
      </c>
      <c r="E2012">
        <v>31.73</v>
      </c>
      <c r="F2012">
        <v>-0.39</v>
      </c>
      <c r="G2012">
        <v>31.73</v>
      </c>
      <c r="H2012">
        <v>31.74</v>
      </c>
      <c r="I2012" t="s">
        <v>3855</v>
      </c>
      <c r="J2012">
        <v>1.84</v>
      </c>
      <c r="K2012">
        <v>1.84</v>
      </c>
      <c r="L2012">
        <v>31.6</v>
      </c>
      <c r="M2012">
        <v>32.19</v>
      </c>
      <c r="N2012">
        <v>31.07</v>
      </c>
    </row>
    <row r="2013" spans="1:14" x14ac:dyDescent="0.5">
      <c r="A2013" t="str">
        <f>"300634"</f>
        <v>300634</v>
      </c>
      <c r="B2013" t="s">
        <v>3856</v>
      </c>
      <c r="C2013">
        <v>10</v>
      </c>
      <c r="D2013">
        <v>69.28</v>
      </c>
      <c r="E2013">
        <v>30.02</v>
      </c>
      <c r="F2013">
        <v>2.73</v>
      </c>
      <c r="G2013">
        <v>30.02</v>
      </c>
      <c r="H2013" t="s">
        <v>24</v>
      </c>
      <c r="I2013" t="s">
        <v>3857</v>
      </c>
      <c r="J2013">
        <v>25.67</v>
      </c>
      <c r="K2013">
        <v>25.67</v>
      </c>
      <c r="L2013">
        <v>27.39</v>
      </c>
      <c r="M2013">
        <v>30.02</v>
      </c>
      <c r="N2013">
        <v>27.01</v>
      </c>
    </row>
    <row r="2014" spans="1:14" x14ac:dyDescent="0.5">
      <c r="A2014" t="str">
        <f>"300635"</f>
        <v>300635</v>
      </c>
      <c r="B2014" t="s">
        <v>3858</v>
      </c>
      <c r="C2014">
        <v>2.69</v>
      </c>
      <c r="D2014">
        <v>43.31</v>
      </c>
      <c r="E2014">
        <v>17.2</v>
      </c>
      <c r="F2014">
        <v>0.45</v>
      </c>
      <c r="G2014">
        <v>17.2</v>
      </c>
      <c r="H2014">
        <v>17.21</v>
      </c>
      <c r="I2014" t="s">
        <v>3859</v>
      </c>
      <c r="J2014">
        <v>16.850000000000001</v>
      </c>
      <c r="K2014">
        <v>16.850000000000001</v>
      </c>
      <c r="L2014">
        <v>16.87</v>
      </c>
      <c r="M2014">
        <v>17.22</v>
      </c>
      <c r="N2014">
        <v>16.690000000000001</v>
      </c>
    </row>
    <row r="2015" spans="1:14" x14ac:dyDescent="0.5">
      <c r="A2015" t="str">
        <f>"300636"</f>
        <v>300636</v>
      </c>
      <c r="B2015" t="s">
        <v>3860</v>
      </c>
      <c r="C2015">
        <v>2.12</v>
      </c>
      <c r="D2015">
        <v>40.58</v>
      </c>
      <c r="E2015">
        <v>19.78</v>
      </c>
      <c r="F2015">
        <v>0.41</v>
      </c>
      <c r="G2015">
        <v>19.77</v>
      </c>
      <c r="H2015">
        <v>19.78</v>
      </c>
      <c r="I2015" t="s">
        <v>3861</v>
      </c>
      <c r="J2015">
        <v>1.51</v>
      </c>
      <c r="K2015">
        <v>1.51</v>
      </c>
      <c r="L2015">
        <v>19.37</v>
      </c>
      <c r="M2015">
        <v>19.8</v>
      </c>
      <c r="N2015">
        <v>19.36</v>
      </c>
    </row>
    <row r="2016" spans="1:14" x14ac:dyDescent="0.5">
      <c r="A2016" t="str">
        <f>"300637"</f>
        <v>300637</v>
      </c>
      <c r="B2016" t="s">
        <v>3862</v>
      </c>
      <c r="C2016">
        <v>1.5</v>
      </c>
      <c r="D2016">
        <v>32.81</v>
      </c>
      <c r="E2016">
        <v>33.18</v>
      </c>
      <c r="F2016">
        <v>0.49</v>
      </c>
      <c r="G2016">
        <v>33.17</v>
      </c>
      <c r="H2016">
        <v>33.18</v>
      </c>
      <c r="I2016" t="s">
        <v>3863</v>
      </c>
      <c r="J2016">
        <v>6.79</v>
      </c>
      <c r="K2016">
        <v>6.79</v>
      </c>
      <c r="L2016">
        <v>32.42</v>
      </c>
      <c r="M2016">
        <v>33.5</v>
      </c>
      <c r="N2016">
        <v>32.42</v>
      </c>
    </row>
    <row r="2017" spans="1:14" x14ac:dyDescent="0.5">
      <c r="A2017" t="str">
        <f>"300638"</f>
        <v>300638</v>
      </c>
      <c r="B2017" t="s">
        <v>3864</v>
      </c>
      <c r="C2017">
        <v>2.97</v>
      </c>
      <c r="D2017">
        <v>68.260000000000005</v>
      </c>
      <c r="E2017">
        <v>47.88</v>
      </c>
      <c r="F2017">
        <v>1.38</v>
      </c>
      <c r="G2017">
        <v>47.87</v>
      </c>
      <c r="H2017">
        <v>47.88</v>
      </c>
      <c r="I2017" t="s">
        <v>3865</v>
      </c>
      <c r="J2017">
        <v>13.82</v>
      </c>
      <c r="K2017">
        <v>13.82</v>
      </c>
      <c r="L2017">
        <v>45.64</v>
      </c>
      <c r="M2017">
        <v>49.5</v>
      </c>
      <c r="N2017">
        <v>45.1</v>
      </c>
    </row>
    <row r="2018" spans="1:14" x14ac:dyDescent="0.5">
      <c r="A2018" t="str">
        <f>"300639"</f>
        <v>300639</v>
      </c>
      <c r="B2018" t="s">
        <v>3866</v>
      </c>
      <c r="C2018">
        <v>1.1399999999999999</v>
      </c>
      <c r="D2018">
        <v>28.22</v>
      </c>
      <c r="E2018">
        <v>16.920000000000002</v>
      </c>
      <c r="F2018">
        <v>0.19</v>
      </c>
      <c r="G2018">
        <v>16.91</v>
      </c>
      <c r="H2018">
        <v>16.920000000000002</v>
      </c>
      <c r="I2018" t="s">
        <v>2787</v>
      </c>
      <c r="J2018">
        <v>3.28</v>
      </c>
      <c r="K2018">
        <v>3.28</v>
      </c>
      <c r="L2018">
        <v>16.7</v>
      </c>
      <c r="M2018">
        <v>16.940000000000001</v>
      </c>
      <c r="N2018">
        <v>16.57</v>
      </c>
    </row>
    <row r="2019" spans="1:14" x14ac:dyDescent="0.5">
      <c r="A2019" t="str">
        <f>"300640"</f>
        <v>300640</v>
      </c>
      <c r="B2019" t="s">
        <v>3867</v>
      </c>
      <c r="C2019">
        <v>1.58</v>
      </c>
      <c r="D2019">
        <v>45.55</v>
      </c>
      <c r="E2019">
        <v>10.92</v>
      </c>
      <c r="F2019">
        <v>0.17</v>
      </c>
      <c r="G2019">
        <v>10.92</v>
      </c>
      <c r="H2019">
        <v>10.93</v>
      </c>
      <c r="I2019" t="s">
        <v>3868</v>
      </c>
      <c r="J2019">
        <v>4.3</v>
      </c>
      <c r="K2019">
        <v>4.3</v>
      </c>
      <c r="L2019">
        <v>10.65</v>
      </c>
      <c r="M2019">
        <v>10.92</v>
      </c>
      <c r="N2019">
        <v>10.6</v>
      </c>
    </row>
    <row r="2020" spans="1:14" x14ac:dyDescent="0.5">
      <c r="A2020" t="str">
        <f>"300641"</f>
        <v>300641</v>
      </c>
      <c r="B2020" t="s">
        <v>3869</v>
      </c>
      <c r="C2020">
        <v>2.41</v>
      </c>
      <c r="D2020">
        <v>36.93</v>
      </c>
      <c r="E2020">
        <v>5.96</v>
      </c>
      <c r="F2020">
        <v>0.14000000000000001</v>
      </c>
      <c r="G2020">
        <v>5.96</v>
      </c>
      <c r="H2020">
        <v>5.97</v>
      </c>
      <c r="I2020" t="s">
        <v>3683</v>
      </c>
      <c r="J2020">
        <v>2.94</v>
      </c>
      <c r="K2020">
        <v>2.94</v>
      </c>
      <c r="L2020">
        <v>5.8</v>
      </c>
      <c r="M2020">
        <v>5.96</v>
      </c>
      <c r="N2020">
        <v>5.76</v>
      </c>
    </row>
    <row r="2021" spans="1:14" x14ac:dyDescent="0.5">
      <c r="A2021" t="str">
        <f>"300642"</f>
        <v>300642</v>
      </c>
      <c r="B2021" t="s">
        <v>3870</v>
      </c>
      <c r="C2021">
        <v>1.58</v>
      </c>
      <c r="D2021">
        <v>27.19</v>
      </c>
      <c r="E2021">
        <v>43.05</v>
      </c>
      <c r="F2021">
        <v>0.67</v>
      </c>
      <c r="G2021">
        <v>43.05</v>
      </c>
      <c r="H2021">
        <v>43.06</v>
      </c>
      <c r="I2021" t="s">
        <v>3871</v>
      </c>
      <c r="J2021">
        <v>3.01</v>
      </c>
      <c r="K2021">
        <v>3.01</v>
      </c>
      <c r="L2021">
        <v>42.3</v>
      </c>
      <c r="M2021">
        <v>43.09</v>
      </c>
      <c r="N2021">
        <v>42</v>
      </c>
    </row>
    <row r="2022" spans="1:14" x14ac:dyDescent="0.5">
      <c r="A2022" t="str">
        <f>"300643"</f>
        <v>300643</v>
      </c>
      <c r="B2022" t="s">
        <v>3872</v>
      </c>
      <c r="C2022">
        <v>2.6</v>
      </c>
      <c r="D2022">
        <v>55.05</v>
      </c>
      <c r="E2022">
        <v>9.8699999999999992</v>
      </c>
      <c r="F2022">
        <v>0.25</v>
      </c>
      <c r="G2022">
        <v>9.8699999999999992</v>
      </c>
      <c r="H2022">
        <v>9.8800000000000008</v>
      </c>
      <c r="I2022" t="s">
        <v>3873</v>
      </c>
      <c r="J2022">
        <v>9.2799999999999994</v>
      </c>
      <c r="K2022">
        <v>9.2799999999999994</v>
      </c>
      <c r="L2022">
        <v>9.6199999999999992</v>
      </c>
      <c r="M2022">
        <v>9.8699999999999992</v>
      </c>
      <c r="N2022">
        <v>9.56</v>
      </c>
    </row>
    <row r="2023" spans="1:14" x14ac:dyDescent="0.5">
      <c r="A2023" t="str">
        <f>"300644"</f>
        <v>300644</v>
      </c>
      <c r="B2023" t="s">
        <v>3874</v>
      </c>
      <c r="C2023">
        <v>1.21</v>
      </c>
      <c r="D2023">
        <v>51.31</v>
      </c>
      <c r="E2023">
        <v>31.88</v>
      </c>
      <c r="F2023">
        <v>0.38</v>
      </c>
      <c r="G2023">
        <v>31.87</v>
      </c>
      <c r="H2023">
        <v>31.88</v>
      </c>
      <c r="I2023" t="s">
        <v>2443</v>
      </c>
      <c r="J2023">
        <v>9</v>
      </c>
      <c r="K2023">
        <v>9</v>
      </c>
      <c r="L2023">
        <v>31.5</v>
      </c>
      <c r="M2023">
        <v>31.88</v>
      </c>
      <c r="N2023">
        <v>31.3</v>
      </c>
    </row>
    <row r="2024" spans="1:14" x14ac:dyDescent="0.5">
      <c r="A2024" t="str">
        <f>"300645"</f>
        <v>300645</v>
      </c>
      <c r="B2024" t="s">
        <v>3875</v>
      </c>
      <c r="C2024">
        <v>2.19</v>
      </c>
      <c r="D2024">
        <v>53.68</v>
      </c>
      <c r="E2024">
        <v>36.93</v>
      </c>
      <c r="F2024">
        <v>0.79</v>
      </c>
      <c r="G2024">
        <v>36.92</v>
      </c>
      <c r="H2024">
        <v>36.93</v>
      </c>
      <c r="I2024" t="s">
        <v>3067</v>
      </c>
      <c r="J2024">
        <v>11.31</v>
      </c>
      <c r="K2024">
        <v>11.31</v>
      </c>
      <c r="L2024">
        <v>36.07</v>
      </c>
      <c r="M2024">
        <v>36.950000000000003</v>
      </c>
      <c r="N2024">
        <v>35.89</v>
      </c>
    </row>
    <row r="2025" spans="1:14" x14ac:dyDescent="0.5">
      <c r="A2025" t="str">
        <f>"300647"</f>
        <v>300647</v>
      </c>
      <c r="B2025" t="s">
        <v>3876</v>
      </c>
      <c r="C2025">
        <v>0.12</v>
      </c>
      <c r="D2025">
        <v>209.37</v>
      </c>
      <c r="E2025">
        <v>17.100000000000001</v>
      </c>
      <c r="F2025">
        <v>0.02</v>
      </c>
      <c r="G2025">
        <v>17.100000000000001</v>
      </c>
      <c r="H2025">
        <v>17.11</v>
      </c>
      <c r="I2025" t="s">
        <v>2556</v>
      </c>
      <c r="J2025">
        <v>15.11</v>
      </c>
      <c r="K2025">
        <v>15.11</v>
      </c>
      <c r="L2025">
        <v>16.809999999999999</v>
      </c>
      <c r="M2025">
        <v>17.11</v>
      </c>
      <c r="N2025">
        <v>16.510000000000002</v>
      </c>
    </row>
    <row r="2026" spans="1:14" x14ac:dyDescent="0.5">
      <c r="A2026" t="str">
        <f>"300648"</f>
        <v>300648</v>
      </c>
      <c r="B2026" t="s">
        <v>3877</v>
      </c>
      <c r="C2026">
        <v>0.68</v>
      </c>
      <c r="D2026">
        <v>58.22</v>
      </c>
      <c r="E2026">
        <v>19.329999999999998</v>
      </c>
      <c r="F2026">
        <v>0.13</v>
      </c>
      <c r="G2026">
        <v>19.329999999999998</v>
      </c>
      <c r="H2026">
        <v>19.34</v>
      </c>
      <c r="I2026" t="s">
        <v>3878</v>
      </c>
      <c r="J2026">
        <v>5.39</v>
      </c>
      <c r="K2026">
        <v>5.39</v>
      </c>
      <c r="L2026">
        <v>19.16</v>
      </c>
      <c r="M2026">
        <v>19.45</v>
      </c>
      <c r="N2026">
        <v>18.899999999999999</v>
      </c>
    </row>
    <row r="2027" spans="1:14" x14ac:dyDescent="0.5">
      <c r="A2027" t="str">
        <f>"300649"</f>
        <v>300649</v>
      </c>
      <c r="B2027" t="s">
        <v>3879</v>
      </c>
      <c r="C2027">
        <v>0.68</v>
      </c>
      <c r="D2027">
        <v>70.930000000000007</v>
      </c>
      <c r="E2027">
        <v>26.61</v>
      </c>
      <c r="F2027">
        <v>0.18</v>
      </c>
      <c r="G2027">
        <v>26.6</v>
      </c>
      <c r="H2027">
        <v>26.61</v>
      </c>
      <c r="I2027" t="s">
        <v>3880</v>
      </c>
      <c r="J2027">
        <v>8.65</v>
      </c>
      <c r="K2027">
        <v>8.65</v>
      </c>
      <c r="L2027">
        <v>26.3</v>
      </c>
      <c r="M2027">
        <v>26.67</v>
      </c>
      <c r="N2027">
        <v>26.2</v>
      </c>
    </row>
    <row r="2028" spans="1:14" x14ac:dyDescent="0.5">
      <c r="A2028" t="str">
        <f>"300650"</f>
        <v>300650</v>
      </c>
      <c r="B2028" t="s">
        <v>3881</v>
      </c>
      <c r="C2028">
        <v>4.87</v>
      </c>
      <c r="D2028">
        <v>28.82</v>
      </c>
      <c r="E2028">
        <v>15.93</v>
      </c>
      <c r="F2028">
        <v>0.74</v>
      </c>
      <c r="G2028">
        <v>15.92</v>
      </c>
      <c r="H2028">
        <v>15.93</v>
      </c>
      <c r="I2028" t="s">
        <v>2500</v>
      </c>
      <c r="J2028">
        <v>5.89</v>
      </c>
      <c r="K2028">
        <v>5.89</v>
      </c>
      <c r="L2028">
        <v>15.21</v>
      </c>
      <c r="M2028">
        <v>15.93</v>
      </c>
      <c r="N2028">
        <v>15.21</v>
      </c>
    </row>
    <row r="2029" spans="1:14" x14ac:dyDescent="0.5">
      <c r="A2029" t="str">
        <f>"300651"</f>
        <v>300651</v>
      </c>
      <c r="B2029" t="s">
        <v>3882</v>
      </c>
      <c r="C2029">
        <v>-2.02</v>
      </c>
      <c r="D2029">
        <v>76.03</v>
      </c>
      <c r="E2029">
        <v>49.09</v>
      </c>
      <c r="F2029">
        <v>-1.01</v>
      </c>
      <c r="G2029">
        <v>49.03</v>
      </c>
      <c r="H2029">
        <v>49.09</v>
      </c>
      <c r="I2029" t="s">
        <v>3883</v>
      </c>
      <c r="J2029">
        <v>3.55</v>
      </c>
      <c r="K2029">
        <v>3.55</v>
      </c>
      <c r="L2029">
        <v>49.62</v>
      </c>
      <c r="M2029">
        <v>49.8</v>
      </c>
      <c r="N2029">
        <v>48.72</v>
      </c>
    </row>
    <row r="2030" spans="1:14" x14ac:dyDescent="0.5">
      <c r="A2030" t="str">
        <f>"300652"</f>
        <v>300652</v>
      </c>
      <c r="B2030" t="s">
        <v>3884</v>
      </c>
      <c r="C2030">
        <v>1.65</v>
      </c>
      <c r="D2030">
        <v>23.01</v>
      </c>
      <c r="E2030">
        <v>22.77</v>
      </c>
      <c r="F2030">
        <v>0.37</v>
      </c>
      <c r="G2030">
        <v>22.74</v>
      </c>
      <c r="H2030">
        <v>22.77</v>
      </c>
      <c r="I2030" t="s">
        <v>3885</v>
      </c>
      <c r="J2030">
        <v>2.6</v>
      </c>
      <c r="K2030">
        <v>2.6</v>
      </c>
      <c r="L2030">
        <v>22.3</v>
      </c>
      <c r="M2030">
        <v>22.8</v>
      </c>
      <c r="N2030">
        <v>22.28</v>
      </c>
    </row>
    <row r="2031" spans="1:14" x14ac:dyDescent="0.5">
      <c r="A2031" t="str">
        <f>"300653"</f>
        <v>300653</v>
      </c>
      <c r="B2031" t="s">
        <v>3886</v>
      </c>
      <c r="C2031">
        <v>3</v>
      </c>
      <c r="D2031">
        <v>49.45</v>
      </c>
      <c r="E2031">
        <v>56.34</v>
      </c>
      <c r="F2031">
        <v>1.64</v>
      </c>
      <c r="G2031">
        <v>56.33</v>
      </c>
      <c r="H2031">
        <v>56.34</v>
      </c>
      <c r="I2031" t="s">
        <v>3887</v>
      </c>
      <c r="J2031">
        <v>3.93</v>
      </c>
      <c r="K2031">
        <v>3.93</v>
      </c>
      <c r="L2031">
        <v>55.5</v>
      </c>
      <c r="M2031">
        <v>57.05</v>
      </c>
      <c r="N2031">
        <v>55.01</v>
      </c>
    </row>
    <row r="2032" spans="1:14" x14ac:dyDescent="0.5">
      <c r="A2032" t="str">
        <f>"300654"</f>
        <v>300654</v>
      </c>
      <c r="B2032" t="s">
        <v>3888</v>
      </c>
      <c r="C2032">
        <v>1.33</v>
      </c>
      <c r="D2032">
        <v>82.95</v>
      </c>
      <c r="E2032">
        <v>21.38</v>
      </c>
      <c r="F2032">
        <v>0.28000000000000003</v>
      </c>
      <c r="G2032">
        <v>21.38</v>
      </c>
      <c r="H2032">
        <v>21.4</v>
      </c>
      <c r="I2032" t="s">
        <v>3889</v>
      </c>
      <c r="J2032">
        <v>7.43</v>
      </c>
      <c r="K2032">
        <v>7.43</v>
      </c>
      <c r="L2032">
        <v>21.6</v>
      </c>
      <c r="M2032">
        <v>21.65</v>
      </c>
      <c r="N2032">
        <v>21.11</v>
      </c>
    </row>
    <row r="2033" spans="1:14" x14ac:dyDescent="0.5">
      <c r="A2033" t="str">
        <f>"300655"</f>
        <v>300655</v>
      </c>
      <c r="B2033" t="s">
        <v>3890</v>
      </c>
      <c r="C2033">
        <v>3.83</v>
      </c>
      <c r="D2033">
        <v>48.5</v>
      </c>
      <c r="E2033">
        <v>17.600000000000001</v>
      </c>
      <c r="F2033">
        <v>0.65</v>
      </c>
      <c r="G2033">
        <v>17.600000000000001</v>
      </c>
      <c r="H2033">
        <v>17.62</v>
      </c>
      <c r="I2033" t="s">
        <v>2411</v>
      </c>
      <c r="J2033">
        <v>5.75</v>
      </c>
      <c r="K2033">
        <v>5.75</v>
      </c>
      <c r="L2033">
        <v>16.760000000000002</v>
      </c>
      <c r="M2033">
        <v>17.68</v>
      </c>
      <c r="N2033">
        <v>16.72</v>
      </c>
    </row>
    <row r="2034" spans="1:14" x14ac:dyDescent="0.5">
      <c r="A2034" t="str">
        <f>"300656"</f>
        <v>300656</v>
      </c>
      <c r="B2034" t="s">
        <v>3891</v>
      </c>
      <c r="C2034">
        <v>5.77</v>
      </c>
      <c r="D2034">
        <v>37.82</v>
      </c>
      <c r="E2034">
        <v>24.75</v>
      </c>
      <c r="F2034">
        <v>1.35</v>
      </c>
      <c r="G2034">
        <v>24.75</v>
      </c>
      <c r="H2034">
        <v>24.78</v>
      </c>
      <c r="I2034" t="s">
        <v>3607</v>
      </c>
      <c r="J2034">
        <v>4.47</v>
      </c>
      <c r="K2034">
        <v>4.47</v>
      </c>
      <c r="L2034">
        <v>23.4</v>
      </c>
      <c r="M2034">
        <v>24.87</v>
      </c>
      <c r="N2034">
        <v>23.4</v>
      </c>
    </row>
    <row r="2035" spans="1:14" x14ac:dyDescent="0.5">
      <c r="A2035" t="str">
        <f>"300657"</f>
        <v>300657</v>
      </c>
      <c r="B2035" t="s">
        <v>3892</v>
      </c>
      <c r="C2035">
        <v>6.45</v>
      </c>
      <c r="D2035">
        <v>39.01</v>
      </c>
      <c r="E2035">
        <v>45.86</v>
      </c>
      <c r="F2035">
        <v>2.78</v>
      </c>
      <c r="G2035">
        <v>45.61</v>
      </c>
      <c r="H2035">
        <v>45.86</v>
      </c>
      <c r="I2035" t="s">
        <v>3893</v>
      </c>
      <c r="J2035">
        <v>8.44</v>
      </c>
      <c r="K2035">
        <v>8.44</v>
      </c>
      <c r="L2035">
        <v>42.95</v>
      </c>
      <c r="M2035">
        <v>46.31</v>
      </c>
      <c r="N2035">
        <v>42.7</v>
      </c>
    </row>
    <row r="2036" spans="1:14" x14ac:dyDescent="0.5">
      <c r="A2036" t="str">
        <f>"300658"</f>
        <v>300658</v>
      </c>
      <c r="B2036" t="s">
        <v>3894</v>
      </c>
      <c r="C2036">
        <v>0</v>
      </c>
      <c r="D2036">
        <v>32.32</v>
      </c>
      <c r="E2036">
        <v>13.12</v>
      </c>
      <c r="F2036">
        <v>0</v>
      </c>
      <c r="G2036">
        <v>13.12</v>
      </c>
      <c r="H2036">
        <v>13.13</v>
      </c>
      <c r="I2036" t="s">
        <v>3895</v>
      </c>
      <c r="J2036">
        <v>8.24</v>
      </c>
      <c r="K2036">
        <v>8.24</v>
      </c>
      <c r="L2036">
        <v>13.13</v>
      </c>
      <c r="M2036">
        <v>13.14</v>
      </c>
      <c r="N2036">
        <v>12.92</v>
      </c>
    </row>
    <row r="2037" spans="1:14" x14ac:dyDescent="0.5">
      <c r="A2037" t="str">
        <f>"300659"</f>
        <v>300659</v>
      </c>
      <c r="B2037" t="s">
        <v>3896</v>
      </c>
      <c r="C2037">
        <v>2.13</v>
      </c>
      <c r="D2037">
        <v>107.81</v>
      </c>
      <c r="E2037">
        <v>30.64</v>
      </c>
      <c r="F2037">
        <v>0.64</v>
      </c>
      <c r="G2037">
        <v>30.6</v>
      </c>
      <c r="H2037">
        <v>30.64</v>
      </c>
      <c r="I2037" t="s">
        <v>3897</v>
      </c>
      <c r="J2037">
        <v>4.8499999999999996</v>
      </c>
      <c r="K2037">
        <v>4.8499999999999996</v>
      </c>
      <c r="L2037">
        <v>30.58</v>
      </c>
      <c r="M2037">
        <v>31.12</v>
      </c>
      <c r="N2037">
        <v>28.81</v>
      </c>
    </row>
    <row r="2038" spans="1:14" x14ac:dyDescent="0.5">
      <c r="A2038" t="str">
        <f>"300660"</f>
        <v>300660</v>
      </c>
      <c r="B2038" t="s">
        <v>3898</v>
      </c>
      <c r="C2038">
        <v>3.24</v>
      </c>
      <c r="D2038">
        <v>20.05</v>
      </c>
      <c r="E2038">
        <v>22.62</v>
      </c>
      <c r="F2038">
        <v>0.71</v>
      </c>
      <c r="G2038">
        <v>22.62</v>
      </c>
      <c r="H2038">
        <v>22.63</v>
      </c>
      <c r="I2038" t="s">
        <v>3899</v>
      </c>
      <c r="J2038">
        <v>5.9</v>
      </c>
      <c r="K2038">
        <v>5.9</v>
      </c>
      <c r="L2038">
        <v>21.93</v>
      </c>
      <c r="M2038">
        <v>22.65</v>
      </c>
      <c r="N2038">
        <v>21.76</v>
      </c>
    </row>
    <row r="2039" spans="1:14" x14ac:dyDescent="0.5">
      <c r="A2039" t="str">
        <f>"300661"</f>
        <v>300661</v>
      </c>
      <c r="B2039" t="s">
        <v>3900</v>
      </c>
      <c r="C2039">
        <v>10</v>
      </c>
      <c r="D2039">
        <v>65.86</v>
      </c>
      <c r="E2039">
        <v>101.54</v>
      </c>
      <c r="F2039">
        <v>9.23</v>
      </c>
      <c r="G2039">
        <v>101.54</v>
      </c>
      <c r="H2039" t="s">
        <v>24</v>
      </c>
      <c r="I2039" t="s">
        <v>3318</v>
      </c>
      <c r="J2039">
        <v>1.99</v>
      </c>
      <c r="K2039">
        <v>1.99</v>
      </c>
      <c r="L2039">
        <v>92</v>
      </c>
      <c r="M2039">
        <v>101.54</v>
      </c>
      <c r="N2039">
        <v>91.36</v>
      </c>
    </row>
    <row r="2040" spans="1:14" x14ac:dyDescent="0.5">
      <c r="A2040" t="str">
        <f>"300662"</f>
        <v>300662</v>
      </c>
      <c r="B2040" t="s">
        <v>3901</v>
      </c>
      <c r="C2040">
        <v>-0.61</v>
      </c>
      <c r="D2040">
        <v>55.49</v>
      </c>
      <c r="E2040">
        <v>34.25</v>
      </c>
      <c r="F2040">
        <v>-0.21</v>
      </c>
      <c r="G2040">
        <v>34.25</v>
      </c>
      <c r="H2040">
        <v>34.26</v>
      </c>
      <c r="I2040" t="s">
        <v>55</v>
      </c>
      <c r="J2040">
        <v>2.96</v>
      </c>
      <c r="K2040">
        <v>2.96</v>
      </c>
      <c r="L2040">
        <v>33.6</v>
      </c>
      <c r="M2040">
        <v>34.4</v>
      </c>
      <c r="N2040">
        <v>33.229999999999997</v>
      </c>
    </row>
    <row r="2041" spans="1:14" x14ac:dyDescent="0.5">
      <c r="A2041" t="str">
        <f>"300663"</f>
        <v>300663</v>
      </c>
      <c r="B2041" t="s">
        <v>3902</v>
      </c>
      <c r="C2041">
        <v>5.13</v>
      </c>
      <c r="D2041">
        <v>101.95</v>
      </c>
      <c r="E2041">
        <v>21.5</v>
      </c>
      <c r="F2041">
        <v>1.05</v>
      </c>
      <c r="G2041">
        <v>21.49</v>
      </c>
      <c r="H2041">
        <v>21.5</v>
      </c>
      <c r="I2041" t="s">
        <v>3903</v>
      </c>
      <c r="J2041">
        <v>7.38</v>
      </c>
      <c r="K2041">
        <v>7.38</v>
      </c>
      <c r="L2041">
        <v>20.2</v>
      </c>
      <c r="M2041">
        <v>21.78</v>
      </c>
      <c r="N2041">
        <v>20.16</v>
      </c>
    </row>
    <row r="2042" spans="1:14" x14ac:dyDescent="0.5">
      <c r="A2042" t="str">
        <f>"300664"</f>
        <v>300664</v>
      </c>
      <c r="B2042" t="s">
        <v>3904</v>
      </c>
      <c r="C2042">
        <v>0.44</v>
      </c>
      <c r="D2042">
        <v>32.74</v>
      </c>
      <c r="E2042">
        <v>11.47</v>
      </c>
      <c r="F2042">
        <v>0.05</v>
      </c>
      <c r="G2042">
        <v>11.47</v>
      </c>
      <c r="H2042">
        <v>11.48</v>
      </c>
      <c r="I2042" t="s">
        <v>3905</v>
      </c>
      <c r="J2042">
        <v>2.08</v>
      </c>
      <c r="K2042">
        <v>2.08</v>
      </c>
      <c r="L2042">
        <v>11.4</v>
      </c>
      <c r="M2042">
        <v>11.55</v>
      </c>
      <c r="N2042">
        <v>11.28</v>
      </c>
    </row>
    <row r="2043" spans="1:14" x14ac:dyDescent="0.5">
      <c r="A2043" t="str">
        <f>"300665"</f>
        <v>300665</v>
      </c>
      <c r="B2043" t="s">
        <v>3906</v>
      </c>
      <c r="C2043">
        <v>1.61</v>
      </c>
      <c r="D2043">
        <v>40.19</v>
      </c>
      <c r="E2043">
        <v>11.37</v>
      </c>
      <c r="F2043">
        <v>0.18</v>
      </c>
      <c r="G2043">
        <v>11.37</v>
      </c>
      <c r="H2043">
        <v>11.38</v>
      </c>
      <c r="I2043" t="s">
        <v>3907</v>
      </c>
      <c r="J2043">
        <v>8.01</v>
      </c>
      <c r="K2043">
        <v>8.01</v>
      </c>
      <c r="L2043">
        <v>11.17</v>
      </c>
      <c r="M2043">
        <v>11.38</v>
      </c>
      <c r="N2043">
        <v>11.1</v>
      </c>
    </row>
    <row r="2044" spans="1:14" x14ac:dyDescent="0.5">
      <c r="A2044" t="str">
        <f>"300666"</f>
        <v>300666</v>
      </c>
      <c r="B2044" t="s">
        <v>3908</v>
      </c>
      <c r="C2044">
        <v>5.65</v>
      </c>
      <c r="D2044">
        <v>134.35</v>
      </c>
      <c r="E2044">
        <v>46.22</v>
      </c>
      <c r="F2044">
        <v>2.4700000000000002</v>
      </c>
      <c r="G2044">
        <v>46.22</v>
      </c>
      <c r="H2044">
        <v>46.23</v>
      </c>
      <c r="I2044" t="s">
        <v>3909</v>
      </c>
      <c r="J2044">
        <v>10.49</v>
      </c>
      <c r="K2044">
        <v>10.49</v>
      </c>
      <c r="L2044">
        <v>43.7</v>
      </c>
      <c r="M2044">
        <v>46.66</v>
      </c>
      <c r="N2044">
        <v>43.16</v>
      </c>
    </row>
    <row r="2045" spans="1:14" x14ac:dyDescent="0.5">
      <c r="A2045" t="str">
        <f>"300667"</f>
        <v>300667</v>
      </c>
      <c r="B2045" t="s">
        <v>3910</v>
      </c>
      <c r="C2045" t="s">
        <v>24</v>
      </c>
      <c r="D2045">
        <v>61.85</v>
      </c>
      <c r="E2045">
        <v>27.18</v>
      </c>
      <c r="F2045" t="s">
        <v>24</v>
      </c>
      <c r="G2045" t="s">
        <v>24</v>
      </c>
      <c r="H2045" t="s">
        <v>24</v>
      </c>
      <c r="I2045" t="s">
        <v>3570</v>
      </c>
      <c r="J2045">
        <v>0</v>
      </c>
      <c r="K2045">
        <v>0</v>
      </c>
      <c r="L2045" t="s">
        <v>24</v>
      </c>
      <c r="M2045" t="s">
        <v>24</v>
      </c>
      <c r="N2045" t="s">
        <v>24</v>
      </c>
    </row>
    <row r="2046" spans="1:14" x14ac:dyDescent="0.5">
      <c r="A2046" t="str">
        <f>"300668"</f>
        <v>300668</v>
      </c>
      <c r="B2046" t="s">
        <v>3911</v>
      </c>
      <c r="C2046">
        <v>1.59</v>
      </c>
      <c r="D2046">
        <v>26.59</v>
      </c>
      <c r="E2046">
        <v>20.5</v>
      </c>
      <c r="F2046">
        <v>0.32</v>
      </c>
      <c r="G2046">
        <v>20.5</v>
      </c>
      <c r="H2046">
        <v>20.51</v>
      </c>
      <c r="I2046" t="s">
        <v>2582</v>
      </c>
      <c r="J2046">
        <v>7.91</v>
      </c>
      <c r="K2046">
        <v>7.91</v>
      </c>
      <c r="L2046">
        <v>20.05</v>
      </c>
      <c r="M2046">
        <v>20.55</v>
      </c>
      <c r="N2046">
        <v>20.05</v>
      </c>
    </row>
    <row r="2047" spans="1:14" x14ac:dyDescent="0.5">
      <c r="A2047" t="str">
        <f>"300669"</f>
        <v>300669</v>
      </c>
      <c r="B2047" t="s">
        <v>3912</v>
      </c>
      <c r="C2047">
        <v>1.47</v>
      </c>
      <c r="D2047">
        <v>44.07</v>
      </c>
      <c r="E2047">
        <v>19.97</v>
      </c>
      <c r="F2047">
        <v>0.28999999999999998</v>
      </c>
      <c r="G2047">
        <v>19.97</v>
      </c>
      <c r="H2047">
        <v>19.989999999999998</v>
      </c>
      <c r="I2047" t="s">
        <v>3913</v>
      </c>
      <c r="J2047">
        <v>3.62</v>
      </c>
      <c r="K2047">
        <v>3.62</v>
      </c>
      <c r="L2047">
        <v>19.68</v>
      </c>
      <c r="M2047">
        <v>20.010000000000002</v>
      </c>
      <c r="N2047">
        <v>19.61</v>
      </c>
    </row>
    <row r="2048" spans="1:14" x14ac:dyDescent="0.5">
      <c r="A2048" t="str">
        <f>"300670"</f>
        <v>300670</v>
      </c>
      <c r="B2048" t="s">
        <v>3914</v>
      </c>
      <c r="C2048">
        <v>0.41</v>
      </c>
      <c r="D2048">
        <v>74.790000000000006</v>
      </c>
      <c r="E2048">
        <v>17.32</v>
      </c>
      <c r="F2048">
        <v>7.0000000000000007E-2</v>
      </c>
      <c r="G2048">
        <v>17.32</v>
      </c>
      <c r="H2048">
        <v>17.329999999999998</v>
      </c>
      <c r="I2048" t="s">
        <v>2886</v>
      </c>
      <c r="J2048">
        <v>8.1</v>
      </c>
      <c r="K2048">
        <v>8.1</v>
      </c>
      <c r="L2048">
        <v>17.02</v>
      </c>
      <c r="M2048">
        <v>17.329999999999998</v>
      </c>
      <c r="N2048">
        <v>16.899999999999999</v>
      </c>
    </row>
    <row r="2049" spans="1:14" x14ac:dyDescent="0.5">
      <c r="A2049" t="str">
        <f>"300671"</f>
        <v>300671</v>
      </c>
      <c r="B2049" t="s">
        <v>3915</v>
      </c>
      <c r="C2049">
        <v>5.2</v>
      </c>
      <c r="D2049">
        <v>36.97</v>
      </c>
      <c r="E2049">
        <v>20.23</v>
      </c>
      <c r="F2049">
        <v>1</v>
      </c>
      <c r="G2049">
        <v>20.22</v>
      </c>
      <c r="H2049">
        <v>20.23</v>
      </c>
      <c r="I2049" t="s">
        <v>3916</v>
      </c>
      <c r="J2049">
        <v>8.9499999999999993</v>
      </c>
      <c r="K2049">
        <v>8.9499999999999993</v>
      </c>
      <c r="L2049">
        <v>19.100000000000001</v>
      </c>
      <c r="M2049">
        <v>20.23</v>
      </c>
      <c r="N2049">
        <v>19.010000000000002</v>
      </c>
    </row>
    <row r="2050" spans="1:14" x14ac:dyDescent="0.5">
      <c r="A2050" t="str">
        <f>"300672"</f>
        <v>300672</v>
      </c>
      <c r="B2050" t="s">
        <v>3917</v>
      </c>
      <c r="C2050">
        <v>9.99</v>
      </c>
      <c r="D2050" t="s">
        <v>24</v>
      </c>
      <c r="E2050">
        <v>52.31</v>
      </c>
      <c r="F2050">
        <v>4.75</v>
      </c>
      <c r="G2050">
        <v>52.3</v>
      </c>
      <c r="H2050">
        <v>52.31</v>
      </c>
      <c r="I2050" t="s">
        <v>1373</v>
      </c>
      <c r="J2050">
        <v>6.04</v>
      </c>
      <c r="K2050">
        <v>6.04</v>
      </c>
      <c r="L2050">
        <v>47.8</v>
      </c>
      <c r="M2050">
        <v>52.32</v>
      </c>
      <c r="N2050">
        <v>47.15</v>
      </c>
    </row>
    <row r="2051" spans="1:14" x14ac:dyDescent="0.5">
      <c r="A2051" t="str">
        <f>"300673"</f>
        <v>300673</v>
      </c>
      <c r="B2051" t="s">
        <v>3918</v>
      </c>
      <c r="C2051">
        <v>1.21</v>
      </c>
      <c r="D2051">
        <v>36.08</v>
      </c>
      <c r="E2051">
        <v>46.05</v>
      </c>
      <c r="F2051">
        <v>0.55000000000000004</v>
      </c>
      <c r="G2051">
        <v>46.03</v>
      </c>
      <c r="H2051">
        <v>46.05</v>
      </c>
      <c r="I2051" t="s">
        <v>3919</v>
      </c>
      <c r="J2051">
        <v>6.91</v>
      </c>
      <c r="K2051">
        <v>6.91</v>
      </c>
      <c r="L2051">
        <v>45.47</v>
      </c>
      <c r="M2051">
        <v>46.45</v>
      </c>
      <c r="N2051">
        <v>45.2</v>
      </c>
    </row>
    <row r="2052" spans="1:14" x14ac:dyDescent="0.5">
      <c r="A2052" t="str">
        <f>"300674"</f>
        <v>300674</v>
      </c>
      <c r="B2052" t="s">
        <v>3920</v>
      </c>
      <c r="C2052">
        <v>3.53</v>
      </c>
      <c r="D2052">
        <v>69.459999999999994</v>
      </c>
      <c r="E2052">
        <v>36.92</v>
      </c>
      <c r="F2052">
        <v>1.26</v>
      </c>
      <c r="G2052">
        <v>36.909999999999997</v>
      </c>
      <c r="H2052">
        <v>36.92</v>
      </c>
      <c r="I2052" t="s">
        <v>3921</v>
      </c>
      <c r="J2052">
        <v>34.04</v>
      </c>
      <c r="K2052">
        <v>34.04</v>
      </c>
      <c r="L2052">
        <v>34.86</v>
      </c>
      <c r="M2052">
        <v>37.06</v>
      </c>
      <c r="N2052">
        <v>34.630000000000003</v>
      </c>
    </row>
    <row r="2053" spans="1:14" x14ac:dyDescent="0.5">
      <c r="A2053" t="str">
        <f>"300675"</f>
        <v>300675</v>
      </c>
      <c r="B2053" t="s">
        <v>3922</v>
      </c>
      <c r="C2053">
        <v>3.73</v>
      </c>
      <c r="D2053">
        <v>118.45</v>
      </c>
      <c r="E2053">
        <v>29.5</v>
      </c>
      <c r="F2053">
        <v>1.06</v>
      </c>
      <c r="G2053">
        <v>29.4</v>
      </c>
      <c r="H2053">
        <v>29.5</v>
      </c>
      <c r="I2053" t="s">
        <v>3923</v>
      </c>
      <c r="J2053">
        <v>4.34</v>
      </c>
      <c r="K2053">
        <v>4.34</v>
      </c>
      <c r="L2053">
        <v>28.28</v>
      </c>
      <c r="M2053">
        <v>29.5</v>
      </c>
      <c r="N2053">
        <v>28.2</v>
      </c>
    </row>
    <row r="2054" spans="1:14" x14ac:dyDescent="0.5">
      <c r="A2054" t="str">
        <f>"300676"</f>
        <v>300676</v>
      </c>
      <c r="B2054" t="s">
        <v>3924</v>
      </c>
      <c r="C2054">
        <v>-0.17</v>
      </c>
      <c r="D2054">
        <v>79.67</v>
      </c>
      <c r="E2054">
        <v>82.16</v>
      </c>
      <c r="F2054">
        <v>-0.14000000000000001</v>
      </c>
      <c r="G2054">
        <v>82.16</v>
      </c>
      <c r="H2054">
        <v>82.17</v>
      </c>
      <c r="I2054" t="s">
        <v>3925</v>
      </c>
      <c r="J2054">
        <v>3.38</v>
      </c>
      <c r="K2054">
        <v>3.38</v>
      </c>
      <c r="L2054">
        <v>81</v>
      </c>
      <c r="M2054">
        <v>82.4</v>
      </c>
      <c r="N2054">
        <v>80.36</v>
      </c>
    </row>
    <row r="2055" spans="1:14" x14ac:dyDescent="0.5">
      <c r="A2055" t="str">
        <f>"300677"</f>
        <v>300677</v>
      </c>
      <c r="B2055" t="s">
        <v>3926</v>
      </c>
      <c r="C2055">
        <v>1.92</v>
      </c>
      <c r="D2055">
        <v>22.31</v>
      </c>
      <c r="E2055">
        <v>19.14</v>
      </c>
      <c r="F2055">
        <v>0.36</v>
      </c>
      <c r="G2055">
        <v>19.13</v>
      </c>
      <c r="H2055">
        <v>19.14</v>
      </c>
      <c r="I2055" t="s">
        <v>3927</v>
      </c>
      <c r="J2055">
        <v>3.77</v>
      </c>
      <c r="K2055">
        <v>3.77</v>
      </c>
      <c r="L2055">
        <v>18.5</v>
      </c>
      <c r="M2055">
        <v>19.16</v>
      </c>
      <c r="N2055">
        <v>18.39</v>
      </c>
    </row>
    <row r="2056" spans="1:14" x14ac:dyDescent="0.5">
      <c r="A2056" t="str">
        <f>"300678"</f>
        <v>300678</v>
      </c>
      <c r="B2056" t="s">
        <v>3928</v>
      </c>
      <c r="C2056">
        <v>3.33</v>
      </c>
      <c r="D2056">
        <v>98.92</v>
      </c>
      <c r="E2056">
        <v>26.04</v>
      </c>
      <c r="F2056">
        <v>0.84</v>
      </c>
      <c r="G2056">
        <v>26.04</v>
      </c>
      <c r="H2056">
        <v>26.05</v>
      </c>
      <c r="I2056" t="s">
        <v>2342</v>
      </c>
      <c r="J2056">
        <v>13.21</v>
      </c>
      <c r="K2056">
        <v>13.21</v>
      </c>
      <c r="L2056">
        <v>24.7</v>
      </c>
      <c r="M2056">
        <v>26.38</v>
      </c>
      <c r="N2056">
        <v>24.61</v>
      </c>
    </row>
    <row r="2057" spans="1:14" x14ac:dyDescent="0.5">
      <c r="A2057" t="str">
        <f>"300679"</f>
        <v>300679</v>
      </c>
      <c r="B2057" t="s">
        <v>3929</v>
      </c>
      <c r="C2057">
        <v>1.52</v>
      </c>
      <c r="D2057">
        <v>25.24</v>
      </c>
      <c r="E2057">
        <v>37.340000000000003</v>
      </c>
      <c r="F2057">
        <v>0.56000000000000005</v>
      </c>
      <c r="G2057">
        <v>37.340000000000003</v>
      </c>
      <c r="H2057">
        <v>37.35</v>
      </c>
      <c r="I2057" t="s">
        <v>3930</v>
      </c>
      <c r="J2057">
        <v>8.39</v>
      </c>
      <c r="K2057">
        <v>8.39</v>
      </c>
      <c r="L2057">
        <v>36</v>
      </c>
      <c r="M2057">
        <v>38.6</v>
      </c>
      <c r="N2057">
        <v>35.770000000000003</v>
      </c>
    </row>
    <row r="2058" spans="1:14" x14ac:dyDescent="0.5">
      <c r="A2058" t="str">
        <f>"300680"</f>
        <v>300680</v>
      </c>
      <c r="B2058" t="s">
        <v>3931</v>
      </c>
      <c r="C2058">
        <v>2.3199999999999998</v>
      </c>
      <c r="D2058">
        <v>111.77</v>
      </c>
      <c r="E2058">
        <v>18.5</v>
      </c>
      <c r="F2058">
        <v>0.42</v>
      </c>
      <c r="G2058">
        <v>18.489999999999998</v>
      </c>
      <c r="H2058">
        <v>18.5</v>
      </c>
      <c r="I2058" t="s">
        <v>3932</v>
      </c>
      <c r="J2058">
        <v>7.44</v>
      </c>
      <c r="K2058">
        <v>7.44</v>
      </c>
      <c r="L2058">
        <v>18.010000000000002</v>
      </c>
      <c r="M2058">
        <v>18.5</v>
      </c>
      <c r="N2058">
        <v>17.899999999999999</v>
      </c>
    </row>
    <row r="2059" spans="1:14" x14ac:dyDescent="0.5">
      <c r="A2059" t="str">
        <f>"300681"</f>
        <v>300681</v>
      </c>
      <c r="B2059" t="s">
        <v>3933</v>
      </c>
      <c r="C2059">
        <v>0.96</v>
      </c>
      <c r="D2059">
        <v>31.12</v>
      </c>
      <c r="E2059">
        <v>35.9</v>
      </c>
      <c r="F2059">
        <v>0.34</v>
      </c>
      <c r="G2059">
        <v>35.89</v>
      </c>
      <c r="H2059">
        <v>35.9</v>
      </c>
      <c r="I2059" t="s">
        <v>3934</v>
      </c>
      <c r="J2059">
        <v>6.23</v>
      </c>
      <c r="K2059">
        <v>6.23</v>
      </c>
      <c r="L2059">
        <v>35.5</v>
      </c>
      <c r="M2059">
        <v>35.909999999999997</v>
      </c>
      <c r="N2059">
        <v>35.17</v>
      </c>
    </row>
    <row r="2060" spans="1:14" x14ac:dyDescent="0.5">
      <c r="A2060" t="str">
        <f>"300682"</f>
        <v>300682</v>
      </c>
      <c r="B2060" t="s">
        <v>3935</v>
      </c>
      <c r="C2060">
        <v>7.09</v>
      </c>
      <c r="D2060">
        <v>155.32</v>
      </c>
      <c r="E2060">
        <v>20.55</v>
      </c>
      <c r="F2060">
        <v>1.36</v>
      </c>
      <c r="G2060">
        <v>20.54</v>
      </c>
      <c r="H2060">
        <v>20.55</v>
      </c>
      <c r="I2060" t="s">
        <v>1215</v>
      </c>
      <c r="J2060">
        <v>4.26</v>
      </c>
      <c r="K2060">
        <v>4.26</v>
      </c>
      <c r="L2060">
        <v>18.79</v>
      </c>
      <c r="M2060">
        <v>21</v>
      </c>
      <c r="N2060">
        <v>18.73</v>
      </c>
    </row>
    <row r="2061" spans="1:14" x14ac:dyDescent="0.5">
      <c r="A2061" t="str">
        <f>"300683"</f>
        <v>300683</v>
      </c>
      <c r="B2061" t="s">
        <v>3936</v>
      </c>
      <c r="C2061">
        <v>2.0699999999999998</v>
      </c>
      <c r="D2061">
        <v>27.76</v>
      </c>
      <c r="E2061">
        <v>30.52</v>
      </c>
      <c r="F2061">
        <v>0.62</v>
      </c>
      <c r="G2061">
        <v>30.52</v>
      </c>
      <c r="H2061">
        <v>30.53</v>
      </c>
      <c r="I2061" t="s">
        <v>454</v>
      </c>
      <c r="J2061">
        <v>3.89</v>
      </c>
      <c r="K2061">
        <v>3.89</v>
      </c>
      <c r="L2061">
        <v>29.91</v>
      </c>
      <c r="M2061">
        <v>30.54</v>
      </c>
      <c r="N2061">
        <v>29.75</v>
      </c>
    </row>
    <row r="2062" spans="1:14" x14ac:dyDescent="0.5">
      <c r="A2062" t="str">
        <f>"300684"</f>
        <v>300684</v>
      </c>
      <c r="B2062" t="s">
        <v>3937</v>
      </c>
      <c r="C2062">
        <v>1.64</v>
      </c>
      <c r="D2062">
        <v>42.38</v>
      </c>
      <c r="E2062">
        <v>43.3</v>
      </c>
      <c r="F2062">
        <v>0.7</v>
      </c>
      <c r="G2062">
        <v>43.3</v>
      </c>
      <c r="H2062">
        <v>43.31</v>
      </c>
      <c r="I2062" t="s">
        <v>3938</v>
      </c>
      <c r="J2062">
        <v>13.26</v>
      </c>
      <c r="K2062">
        <v>13.26</v>
      </c>
      <c r="L2062">
        <v>41.7</v>
      </c>
      <c r="M2062">
        <v>43.88</v>
      </c>
      <c r="N2062">
        <v>41.68</v>
      </c>
    </row>
    <row r="2063" spans="1:14" x14ac:dyDescent="0.5">
      <c r="A2063" t="str">
        <f>"300685"</f>
        <v>300685</v>
      </c>
      <c r="B2063" t="s">
        <v>3939</v>
      </c>
      <c r="C2063">
        <v>1.97</v>
      </c>
      <c r="D2063">
        <v>59.15</v>
      </c>
      <c r="E2063">
        <v>55.4</v>
      </c>
      <c r="F2063">
        <v>1.07</v>
      </c>
      <c r="G2063">
        <v>55.4</v>
      </c>
      <c r="H2063">
        <v>55.41</v>
      </c>
      <c r="I2063" t="s">
        <v>3940</v>
      </c>
      <c r="J2063">
        <v>1.66</v>
      </c>
      <c r="K2063">
        <v>1.66</v>
      </c>
      <c r="L2063">
        <v>54.21</v>
      </c>
      <c r="M2063">
        <v>55.95</v>
      </c>
      <c r="N2063">
        <v>53.4</v>
      </c>
    </row>
    <row r="2064" spans="1:14" x14ac:dyDescent="0.5">
      <c r="A2064" t="str">
        <f>"300686"</f>
        <v>300686</v>
      </c>
      <c r="B2064" t="s">
        <v>3941</v>
      </c>
      <c r="C2064">
        <v>2.89</v>
      </c>
      <c r="D2064">
        <v>84.59</v>
      </c>
      <c r="E2064">
        <v>11.76</v>
      </c>
      <c r="F2064">
        <v>0.33</v>
      </c>
      <c r="G2064">
        <v>11.76</v>
      </c>
      <c r="H2064">
        <v>11.77</v>
      </c>
      <c r="I2064" t="s">
        <v>2633</v>
      </c>
      <c r="J2064">
        <v>11.07</v>
      </c>
      <c r="K2064">
        <v>11.07</v>
      </c>
      <c r="L2064">
        <v>11.35</v>
      </c>
      <c r="M2064">
        <v>11.78</v>
      </c>
      <c r="N2064">
        <v>11.23</v>
      </c>
    </row>
    <row r="2065" spans="1:14" x14ac:dyDescent="0.5">
      <c r="A2065" t="str">
        <f>"300687"</f>
        <v>300687</v>
      </c>
      <c r="B2065" t="s">
        <v>3942</v>
      </c>
      <c r="C2065">
        <v>9.1</v>
      </c>
      <c r="D2065">
        <v>34.68</v>
      </c>
      <c r="E2065">
        <v>28.52</v>
      </c>
      <c r="F2065">
        <v>2.38</v>
      </c>
      <c r="G2065">
        <v>28.51</v>
      </c>
      <c r="H2065">
        <v>28.52</v>
      </c>
      <c r="I2065" t="s">
        <v>3943</v>
      </c>
      <c r="J2065">
        <v>13.02</v>
      </c>
      <c r="K2065">
        <v>13.02</v>
      </c>
      <c r="L2065">
        <v>25.91</v>
      </c>
      <c r="M2065">
        <v>28.75</v>
      </c>
      <c r="N2065">
        <v>25.9</v>
      </c>
    </row>
    <row r="2066" spans="1:14" x14ac:dyDescent="0.5">
      <c r="A2066" t="str">
        <f>"300688"</f>
        <v>300688</v>
      </c>
      <c r="B2066" t="s">
        <v>3944</v>
      </c>
      <c r="C2066">
        <v>4.78</v>
      </c>
      <c r="D2066">
        <v>59.47</v>
      </c>
      <c r="E2066">
        <v>45.36</v>
      </c>
      <c r="F2066">
        <v>2.0699999999999998</v>
      </c>
      <c r="G2066">
        <v>45.36</v>
      </c>
      <c r="H2066">
        <v>45.37</v>
      </c>
      <c r="I2066" t="s">
        <v>3945</v>
      </c>
      <c r="J2066">
        <v>14.12</v>
      </c>
      <c r="K2066">
        <v>14.12</v>
      </c>
      <c r="L2066">
        <v>42.99</v>
      </c>
      <c r="M2066">
        <v>45.74</v>
      </c>
      <c r="N2066">
        <v>42.46</v>
      </c>
    </row>
    <row r="2067" spans="1:14" x14ac:dyDescent="0.5">
      <c r="A2067" t="str">
        <f>"300689"</f>
        <v>300689</v>
      </c>
      <c r="B2067" t="s">
        <v>3946</v>
      </c>
      <c r="C2067">
        <v>3.37</v>
      </c>
      <c r="D2067">
        <v>46.93</v>
      </c>
      <c r="E2067">
        <v>35.54</v>
      </c>
      <c r="F2067">
        <v>1.1599999999999999</v>
      </c>
      <c r="G2067">
        <v>35.53</v>
      </c>
      <c r="H2067">
        <v>35.549999999999997</v>
      </c>
      <c r="I2067" t="s">
        <v>3947</v>
      </c>
      <c r="J2067">
        <v>8.82</v>
      </c>
      <c r="K2067">
        <v>8.82</v>
      </c>
      <c r="L2067">
        <v>34.380000000000003</v>
      </c>
      <c r="M2067">
        <v>35.58</v>
      </c>
      <c r="N2067">
        <v>34.380000000000003</v>
      </c>
    </row>
    <row r="2068" spans="1:14" x14ac:dyDescent="0.5">
      <c r="A2068" t="str">
        <f>"300690"</f>
        <v>300690</v>
      </c>
      <c r="B2068" t="s">
        <v>3948</v>
      </c>
      <c r="C2068">
        <v>5.87</v>
      </c>
      <c r="D2068">
        <v>22.95</v>
      </c>
      <c r="E2068">
        <v>21.1</v>
      </c>
      <c r="F2068">
        <v>1.17</v>
      </c>
      <c r="G2068">
        <v>21.1</v>
      </c>
      <c r="H2068">
        <v>21.11</v>
      </c>
      <c r="I2068" t="s">
        <v>2338</v>
      </c>
      <c r="J2068">
        <v>9.59</v>
      </c>
      <c r="K2068">
        <v>9.59</v>
      </c>
      <c r="L2068">
        <v>19.98</v>
      </c>
      <c r="M2068">
        <v>21.16</v>
      </c>
      <c r="N2068">
        <v>19.91</v>
      </c>
    </row>
    <row r="2069" spans="1:14" x14ac:dyDescent="0.5">
      <c r="A2069" t="str">
        <f>"300691"</f>
        <v>300691</v>
      </c>
      <c r="B2069" t="s">
        <v>3949</v>
      </c>
      <c r="C2069">
        <v>10</v>
      </c>
      <c r="D2069">
        <v>52.81</v>
      </c>
      <c r="E2069">
        <v>30.8</v>
      </c>
      <c r="F2069">
        <v>2.8</v>
      </c>
      <c r="G2069">
        <v>30.8</v>
      </c>
      <c r="H2069" t="s">
        <v>24</v>
      </c>
      <c r="I2069" t="s">
        <v>3950</v>
      </c>
      <c r="J2069">
        <v>1.06</v>
      </c>
      <c r="K2069">
        <v>1.06</v>
      </c>
      <c r="L2069">
        <v>30.8</v>
      </c>
      <c r="M2069">
        <v>30.8</v>
      </c>
      <c r="N2069">
        <v>30.8</v>
      </c>
    </row>
    <row r="2070" spans="1:14" x14ac:dyDescent="0.5">
      <c r="A2070" t="str">
        <f>"300692"</f>
        <v>300692</v>
      </c>
      <c r="B2070" t="s">
        <v>3951</v>
      </c>
      <c r="C2070">
        <v>0.86</v>
      </c>
      <c r="D2070">
        <v>40.99</v>
      </c>
      <c r="E2070">
        <v>15.33</v>
      </c>
      <c r="F2070">
        <v>0.13</v>
      </c>
      <c r="G2070">
        <v>15.33</v>
      </c>
      <c r="H2070">
        <v>15.34</v>
      </c>
      <c r="I2070" t="s">
        <v>345</v>
      </c>
      <c r="J2070">
        <v>5.8</v>
      </c>
      <c r="K2070">
        <v>5.8</v>
      </c>
      <c r="L2070">
        <v>15.06</v>
      </c>
      <c r="M2070">
        <v>15.38</v>
      </c>
      <c r="N2070">
        <v>14.81</v>
      </c>
    </row>
    <row r="2071" spans="1:14" x14ac:dyDescent="0.5">
      <c r="A2071" t="str">
        <f>"300693"</f>
        <v>300693</v>
      </c>
      <c r="B2071" t="s">
        <v>3952</v>
      </c>
      <c r="C2071">
        <v>1.36</v>
      </c>
      <c r="D2071">
        <v>50.5</v>
      </c>
      <c r="E2071">
        <v>19.37</v>
      </c>
      <c r="F2071">
        <v>0.26</v>
      </c>
      <c r="G2071">
        <v>19.37</v>
      </c>
      <c r="H2071">
        <v>19.38</v>
      </c>
      <c r="I2071" t="s">
        <v>3953</v>
      </c>
      <c r="J2071">
        <v>10.52</v>
      </c>
      <c r="K2071">
        <v>10.52</v>
      </c>
      <c r="L2071">
        <v>19.25</v>
      </c>
      <c r="M2071">
        <v>19.579999999999998</v>
      </c>
      <c r="N2071">
        <v>19.010000000000002</v>
      </c>
    </row>
    <row r="2072" spans="1:14" x14ac:dyDescent="0.5">
      <c r="A2072" t="str">
        <f>"300694"</f>
        <v>300694</v>
      </c>
      <c r="B2072" t="s">
        <v>3954</v>
      </c>
      <c r="C2072">
        <v>-0.49</v>
      </c>
      <c r="D2072">
        <v>48.1</v>
      </c>
      <c r="E2072">
        <v>22.13</v>
      </c>
      <c r="F2072">
        <v>-0.11</v>
      </c>
      <c r="G2072">
        <v>22.13</v>
      </c>
      <c r="H2072">
        <v>22.14</v>
      </c>
      <c r="I2072" t="s">
        <v>3955</v>
      </c>
      <c r="J2072">
        <v>20.36</v>
      </c>
      <c r="K2072">
        <v>20.36</v>
      </c>
      <c r="L2072">
        <v>21.99</v>
      </c>
      <c r="M2072">
        <v>22.15</v>
      </c>
      <c r="N2072">
        <v>21.73</v>
      </c>
    </row>
    <row r="2073" spans="1:14" x14ac:dyDescent="0.5">
      <c r="A2073" t="str">
        <f>"300695"</f>
        <v>300695</v>
      </c>
      <c r="B2073" t="s">
        <v>3956</v>
      </c>
      <c r="C2073">
        <v>0.19</v>
      </c>
      <c r="D2073">
        <v>19.28</v>
      </c>
      <c r="E2073">
        <v>63.4</v>
      </c>
      <c r="F2073">
        <v>0.12</v>
      </c>
      <c r="G2073">
        <v>63.4</v>
      </c>
      <c r="H2073">
        <v>63.41</v>
      </c>
      <c r="I2073" t="s">
        <v>3957</v>
      </c>
      <c r="J2073">
        <v>3.81</v>
      </c>
      <c r="K2073">
        <v>3.81</v>
      </c>
      <c r="L2073">
        <v>63.01</v>
      </c>
      <c r="M2073">
        <v>63.71</v>
      </c>
      <c r="N2073">
        <v>62.5</v>
      </c>
    </row>
    <row r="2074" spans="1:14" x14ac:dyDescent="0.5">
      <c r="A2074" t="str">
        <f>"300696"</f>
        <v>300696</v>
      </c>
      <c r="B2074" t="s">
        <v>3958</v>
      </c>
      <c r="C2074">
        <v>0.93</v>
      </c>
      <c r="D2074">
        <v>34.46</v>
      </c>
      <c r="E2074">
        <v>25.06</v>
      </c>
      <c r="F2074">
        <v>0.23</v>
      </c>
      <c r="G2074">
        <v>25.06</v>
      </c>
      <c r="H2074">
        <v>25.07</v>
      </c>
      <c r="I2074" t="s">
        <v>3959</v>
      </c>
      <c r="J2074">
        <v>4.99</v>
      </c>
      <c r="K2074">
        <v>4.99</v>
      </c>
      <c r="L2074">
        <v>24.58</v>
      </c>
      <c r="M2074">
        <v>25.1</v>
      </c>
      <c r="N2074">
        <v>24.19</v>
      </c>
    </row>
    <row r="2075" spans="1:14" x14ac:dyDescent="0.5">
      <c r="A2075" t="str">
        <f>"300697"</f>
        <v>300697</v>
      </c>
      <c r="B2075" t="s">
        <v>3960</v>
      </c>
      <c r="C2075">
        <v>2.31</v>
      </c>
      <c r="D2075">
        <v>37.24</v>
      </c>
      <c r="E2075">
        <v>12.42</v>
      </c>
      <c r="F2075">
        <v>0.28000000000000003</v>
      </c>
      <c r="G2075">
        <v>12.41</v>
      </c>
      <c r="H2075">
        <v>12.42</v>
      </c>
      <c r="I2075" t="s">
        <v>3961</v>
      </c>
      <c r="J2075">
        <v>11.55</v>
      </c>
      <c r="K2075">
        <v>11.55</v>
      </c>
      <c r="L2075">
        <v>12.14</v>
      </c>
      <c r="M2075">
        <v>12.47</v>
      </c>
      <c r="N2075">
        <v>12.14</v>
      </c>
    </row>
    <row r="2076" spans="1:14" x14ac:dyDescent="0.5">
      <c r="A2076" t="str">
        <f>"300698"</f>
        <v>300698</v>
      </c>
      <c r="B2076" t="s">
        <v>3962</v>
      </c>
      <c r="C2076">
        <v>4.59</v>
      </c>
      <c r="D2076">
        <v>671.87</v>
      </c>
      <c r="E2076">
        <v>18.010000000000002</v>
      </c>
      <c r="F2076">
        <v>0.79</v>
      </c>
      <c r="G2076">
        <v>18.010000000000002</v>
      </c>
      <c r="H2076">
        <v>18.02</v>
      </c>
      <c r="I2076" t="s">
        <v>3963</v>
      </c>
      <c r="J2076">
        <v>15.85</v>
      </c>
      <c r="K2076">
        <v>15.85</v>
      </c>
      <c r="L2076">
        <v>17.100000000000001</v>
      </c>
      <c r="M2076">
        <v>18.079999999999998</v>
      </c>
      <c r="N2076">
        <v>17.100000000000001</v>
      </c>
    </row>
    <row r="2077" spans="1:14" x14ac:dyDescent="0.5">
      <c r="A2077" t="str">
        <f>"300699"</f>
        <v>300699</v>
      </c>
      <c r="B2077" t="s">
        <v>3964</v>
      </c>
      <c r="C2077">
        <v>0.4</v>
      </c>
      <c r="D2077">
        <v>50.25</v>
      </c>
      <c r="E2077">
        <v>47.38</v>
      </c>
      <c r="F2077">
        <v>0.19</v>
      </c>
      <c r="G2077">
        <v>47.38</v>
      </c>
      <c r="H2077">
        <v>47.39</v>
      </c>
      <c r="I2077" t="s">
        <v>3965</v>
      </c>
      <c r="J2077">
        <v>1.69</v>
      </c>
      <c r="K2077">
        <v>1.69</v>
      </c>
      <c r="L2077">
        <v>46.81</v>
      </c>
      <c r="M2077">
        <v>47.45</v>
      </c>
      <c r="N2077">
        <v>46.47</v>
      </c>
    </row>
    <row r="2078" spans="1:14" x14ac:dyDescent="0.5">
      <c r="A2078" t="str">
        <f>"300700"</f>
        <v>300700</v>
      </c>
      <c r="B2078" t="s">
        <v>3966</v>
      </c>
      <c r="C2078">
        <v>1.22</v>
      </c>
      <c r="D2078">
        <v>59.65</v>
      </c>
      <c r="E2078">
        <v>24.8</v>
      </c>
      <c r="F2078">
        <v>0.3</v>
      </c>
      <c r="G2078">
        <v>24.8</v>
      </c>
      <c r="H2078">
        <v>24.81</v>
      </c>
      <c r="I2078" t="s">
        <v>3967</v>
      </c>
      <c r="J2078">
        <v>6.2</v>
      </c>
      <c r="K2078">
        <v>6.2</v>
      </c>
      <c r="L2078">
        <v>24.35</v>
      </c>
      <c r="M2078">
        <v>24.8</v>
      </c>
      <c r="N2078">
        <v>24.25</v>
      </c>
    </row>
    <row r="2079" spans="1:14" x14ac:dyDescent="0.5">
      <c r="A2079" t="str">
        <f>"300701"</f>
        <v>300701</v>
      </c>
      <c r="B2079" t="s">
        <v>3968</v>
      </c>
      <c r="C2079">
        <v>2.44</v>
      </c>
      <c r="D2079">
        <v>40.61</v>
      </c>
      <c r="E2079">
        <v>36.119999999999997</v>
      </c>
      <c r="F2079">
        <v>0.86</v>
      </c>
      <c r="G2079">
        <v>36.11</v>
      </c>
      <c r="H2079">
        <v>36.119999999999997</v>
      </c>
      <c r="I2079" t="s">
        <v>3963</v>
      </c>
      <c r="J2079">
        <v>10.050000000000001</v>
      </c>
      <c r="K2079">
        <v>10.050000000000001</v>
      </c>
      <c r="L2079">
        <v>35.020000000000003</v>
      </c>
      <c r="M2079">
        <v>36.159999999999997</v>
      </c>
      <c r="N2079">
        <v>34.97</v>
      </c>
    </row>
    <row r="2080" spans="1:14" x14ac:dyDescent="0.5">
      <c r="A2080" t="str">
        <f>"300702"</f>
        <v>300702</v>
      </c>
      <c r="B2080" t="s">
        <v>3969</v>
      </c>
      <c r="C2080">
        <v>-0.28999999999999998</v>
      </c>
      <c r="D2080">
        <v>67.900000000000006</v>
      </c>
      <c r="E2080">
        <v>27.18</v>
      </c>
      <c r="F2080">
        <v>-0.08</v>
      </c>
      <c r="G2080">
        <v>27.18</v>
      </c>
      <c r="H2080">
        <v>27.2</v>
      </c>
      <c r="I2080" t="s">
        <v>3970</v>
      </c>
      <c r="J2080">
        <v>5.16</v>
      </c>
      <c r="K2080">
        <v>5.16</v>
      </c>
      <c r="L2080">
        <v>26.72</v>
      </c>
      <c r="M2080">
        <v>27.29</v>
      </c>
      <c r="N2080">
        <v>26.56</v>
      </c>
    </row>
    <row r="2081" spans="1:14" x14ac:dyDescent="0.5">
      <c r="A2081" t="str">
        <f>"300703"</f>
        <v>300703</v>
      </c>
      <c r="B2081" t="s">
        <v>3971</v>
      </c>
      <c r="C2081">
        <v>0.37</v>
      </c>
      <c r="D2081">
        <v>22.47</v>
      </c>
      <c r="E2081">
        <v>16.32</v>
      </c>
      <c r="F2081">
        <v>0.06</v>
      </c>
      <c r="G2081">
        <v>16.32</v>
      </c>
      <c r="H2081">
        <v>16.329999999999998</v>
      </c>
      <c r="I2081" t="s">
        <v>3972</v>
      </c>
      <c r="J2081">
        <v>6.37</v>
      </c>
      <c r="K2081">
        <v>6.37</v>
      </c>
      <c r="L2081">
        <v>16.25</v>
      </c>
      <c r="M2081">
        <v>16.350000000000001</v>
      </c>
      <c r="N2081">
        <v>16.04</v>
      </c>
    </row>
    <row r="2082" spans="1:14" x14ac:dyDescent="0.5">
      <c r="A2082" t="str">
        <f>"300705"</f>
        <v>300705</v>
      </c>
      <c r="B2082" t="s">
        <v>3973</v>
      </c>
      <c r="C2082">
        <v>2.56</v>
      </c>
      <c r="D2082">
        <v>49.23</v>
      </c>
      <c r="E2082">
        <v>14.45</v>
      </c>
      <c r="F2082">
        <v>0.36</v>
      </c>
      <c r="G2082">
        <v>14.45</v>
      </c>
      <c r="H2082">
        <v>14.46</v>
      </c>
      <c r="I2082" t="s">
        <v>3974</v>
      </c>
      <c r="J2082">
        <v>10.46</v>
      </c>
      <c r="K2082">
        <v>10.46</v>
      </c>
      <c r="L2082">
        <v>14.08</v>
      </c>
      <c r="M2082">
        <v>14.71</v>
      </c>
      <c r="N2082">
        <v>13.85</v>
      </c>
    </row>
    <row r="2083" spans="1:14" x14ac:dyDescent="0.5">
      <c r="A2083" t="str">
        <f>"300706"</f>
        <v>300706</v>
      </c>
      <c r="B2083" t="s">
        <v>3975</v>
      </c>
      <c r="C2083">
        <v>7.32</v>
      </c>
      <c r="D2083">
        <v>123.5</v>
      </c>
      <c r="E2083">
        <v>31.1</v>
      </c>
      <c r="F2083">
        <v>2.12</v>
      </c>
      <c r="G2083">
        <v>31.09</v>
      </c>
      <c r="H2083">
        <v>31.1</v>
      </c>
      <c r="I2083" t="s">
        <v>3976</v>
      </c>
      <c r="J2083">
        <v>20.12</v>
      </c>
      <c r="K2083">
        <v>20.12</v>
      </c>
      <c r="L2083">
        <v>28.82</v>
      </c>
      <c r="M2083">
        <v>31.32</v>
      </c>
      <c r="N2083">
        <v>28.33</v>
      </c>
    </row>
    <row r="2084" spans="1:14" x14ac:dyDescent="0.5">
      <c r="A2084" t="str">
        <f>"300707"</f>
        <v>300707</v>
      </c>
      <c r="B2084" t="s">
        <v>3977</v>
      </c>
      <c r="C2084">
        <v>1.92</v>
      </c>
      <c r="D2084">
        <v>28.81</v>
      </c>
      <c r="E2084">
        <v>17.510000000000002</v>
      </c>
      <c r="F2084">
        <v>0.33</v>
      </c>
      <c r="G2084">
        <v>17.510000000000002</v>
      </c>
      <c r="H2084">
        <v>17.52</v>
      </c>
      <c r="I2084" t="s">
        <v>2683</v>
      </c>
      <c r="J2084">
        <v>6.02</v>
      </c>
      <c r="K2084">
        <v>6.02</v>
      </c>
      <c r="L2084">
        <v>17.010000000000002</v>
      </c>
      <c r="M2084">
        <v>17.649999999999999</v>
      </c>
      <c r="N2084">
        <v>16.98</v>
      </c>
    </row>
    <row r="2085" spans="1:14" x14ac:dyDescent="0.5">
      <c r="A2085" t="str">
        <f>"300708"</f>
        <v>300708</v>
      </c>
      <c r="B2085" t="s">
        <v>3978</v>
      </c>
      <c r="C2085">
        <v>6.05</v>
      </c>
      <c r="D2085" t="s">
        <v>24</v>
      </c>
      <c r="E2085">
        <v>12.1</v>
      </c>
      <c r="F2085">
        <v>0.69</v>
      </c>
      <c r="G2085">
        <v>12.09</v>
      </c>
      <c r="H2085">
        <v>12.1</v>
      </c>
      <c r="I2085" t="s">
        <v>3979</v>
      </c>
      <c r="J2085">
        <v>11.18</v>
      </c>
      <c r="K2085">
        <v>11.18</v>
      </c>
      <c r="L2085">
        <v>11.41</v>
      </c>
      <c r="M2085">
        <v>12.25</v>
      </c>
      <c r="N2085">
        <v>11.22</v>
      </c>
    </row>
    <row r="2086" spans="1:14" x14ac:dyDescent="0.5">
      <c r="A2086" t="str">
        <f>"300709"</f>
        <v>300709</v>
      </c>
      <c r="B2086" t="s">
        <v>3980</v>
      </c>
      <c r="C2086">
        <v>2.19</v>
      </c>
      <c r="D2086">
        <v>49.6</v>
      </c>
      <c r="E2086">
        <v>32.6</v>
      </c>
      <c r="F2086">
        <v>0.7</v>
      </c>
      <c r="G2086">
        <v>32.590000000000003</v>
      </c>
      <c r="H2086">
        <v>32.6</v>
      </c>
      <c r="I2086" t="s">
        <v>3231</v>
      </c>
      <c r="J2086">
        <v>1.76</v>
      </c>
      <c r="K2086">
        <v>1.76</v>
      </c>
      <c r="L2086">
        <v>31.6</v>
      </c>
      <c r="M2086">
        <v>32.6</v>
      </c>
      <c r="N2086">
        <v>31.3</v>
      </c>
    </row>
    <row r="2087" spans="1:14" x14ac:dyDescent="0.5">
      <c r="A2087" t="str">
        <f>"300710"</f>
        <v>300710</v>
      </c>
      <c r="B2087" t="s">
        <v>3981</v>
      </c>
      <c r="C2087">
        <v>9.99</v>
      </c>
      <c r="D2087">
        <v>115.88</v>
      </c>
      <c r="E2087">
        <v>36.44</v>
      </c>
      <c r="F2087">
        <v>3.31</v>
      </c>
      <c r="G2087">
        <v>36.44</v>
      </c>
      <c r="H2087" t="s">
        <v>24</v>
      </c>
      <c r="I2087" t="s">
        <v>2697</v>
      </c>
      <c r="J2087">
        <v>35.78</v>
      </c>
      <c r="K2087">
        <v>35.78</v>
      </c>
      <c r="L2087">
        <v>36.44</v>
      </c>
      <c r="M2087">
        <v>36.44</v>
      </c>
      <c r="N2087">
        <v>36.44</v>
      </c>
    </row>
    <row r="2088" spans="1:14" x14ac:dyDescent="0.5">
      <c r="A2088" t="str">
        <f>"300711"</f>
        <v>300711</v>
      </c>
      <c r="B2088" t="s">
        <v>3982</v>
      </c>
      <c r="C2088">
        <v>4.01</v>
      </c>
      <c r="D2088">
        <v>72.489999999999995</v>
      </c>
      <c r="E2088">
        <v>20.48</v>
      </c>
      <c r="F2088">
        <v>0.79</v>
      </c>
      <c r="G2088">
        <v>20.47</v>
      </c>
      <c r="H2088">
        <v>20.48</v>
      </c>
      <c r="I2088" t="s">
        <v>3983</v>
      </c>
      <c r="J2088">
        <v>16.739999999999998</v>
      </c>
      <c r="K2088">
        <v>16.739999999999998</v>
      </c>
      <c r="L2088">
        <v>19.86</v>
      </c>
      <c r="M2088">
        <v>20.49</v>
      </c>
      <c r="N2088">
        <v>19.690000000000001</v>
      </c>
    </row>
    <row r="2089" spans="1:14" x14ac:dyDescent="0.5">
      <c r="A2089" t="str">
        <f>"300712"</f>
        <v>300712</v>
      </c>
      <c r="B2089" t="s">
        <v>3984</v>
      </c>
      <c r="C2089">
        <v>1.26</v>
      </c>
      <c r="D2089">
        <v>29.29</v>
      </c>
      <c r="E2089">
        <v>16.04</v>
      </c>
      <c r="F2089">
        <v>0.2</v>
      </c>
      <c r="G2089">
        <v>16.04</v>
      </c>
      <c r="H2089">
        <v>16.05</v>
      </c>
      <c r="I2089" t="s">
        <v>3985</v>
      </c>
      <c r="J2089">
        <v>3.14</v>
      </c>
      <c r="K2089">
        <v>3.14</v>
      </c>
      <c r="L2089">
        <v>15.79</v>
      </c>
      <c r="M2089">
        <v>16.05</v>
      </c>
      <c r="N2089">
        <v>15.71</v>
      </c>
    </row>
    <row r="2090" spans="1:14" x14ac:dyDescent="0.5">
      <c r="A2090" t="str">
        <f>"300713"</f>
        <v>300713</v>
      </c>
      <c r="B2090" t="s">
        <v>3986</v>
      </c>
      <c r="C2090">
        <v>2.2200000000000002</v>
      </c>
      <c r="D2090">
        <v>36.68</v>
      </c>
      <c r="E2090">
        <v>22.57</v>
      </c>
      <c r="F2090">
        <v>0.49</v>
      </c>
      <c r="G2090">
        <v>22.57</v>
      </c>
      <c r="H2090">
        <v>22.58</v>
      </c>
      <c r="I2090" t="s">
        <v>3987</v>
      </c>
      <c r="J2090">
        <v>6.54</v>
      </c>
      <c r="K2090">
        <v>6.54</v>
      </c>
      <c r="L2090">
        <v>22.15</v>
      </c>
      <c r="M2090">
        <v>22.87</v>
      </c>
      <c r="N2090">
        <v>22.15</v>
      </c>
    </row>
    <row r="2091" spans="1:14" x14ac:dyDescent="0.5">
      <c r="A2091" t="str">
        <f>"300715"</f>
        <v>300715</v>
      </c>
      <c r="B2091" t="s">
        <v>3988</v>
      </c>
      <c r="C2091">
        <v>1.1299999999999999</v>
      </c>
      <c r="D2091">
        <v>58.06</v>
      </c>
      <c r="E2091">
        <v>24.98</v>
      </c>
      <c r="F2091">
        <v>0.28000000000000003</v>
      </c>
      <c r="G2091">
        <v>24.95</v>
      </c>
      <c r="H2091">
        <v>24.98</v>
      </c>
      <c r="I2091" t="s">
        <v>3752</v>
      </c>
      <c r="J2091">
        <v>3.35</v>
      </c>
      <c r="K2091">
        <v>3.35</v>
      </c>
      <c r="L2091">
        <v>24.7</v>
      </c>
      <c r="M2091">
        <v>25</v>
      </c>
      <c r="N2091">
        <v>24.48</v>
      </c>
    </row>
    <row r="2092" spans="1:14" x14ac:dyDescent="0.5">
      <c r="A2092" t="str">
        <f>"300716"</f>
        <v>300716</v>
      </c>
      <c r="B2092" t="s">
        <v>3989</v>
      </c>
      <c r="C2092">
        <v>2.14</v>
      </c>
      <c r="D2092">
        <v>28.49</v>
      </c>
      <c r="E2092">
        <v>11.93</v>
      </c>
      <c r="F2092">
        <v>0.25</v>
      </c>
      <c r="G2092">
        <v>11.93</v>
      </c>
      <c r="H2092">
        <v>11.94</v>
      </c>
      <c r="I2092" t="s">
        <v>3990</v>
      </c>
      <c r="J2092">
        <v>3.34</v>
      </c>
      <c r="K2092">
        <v>3.34</v>
      </c>
      <c r="L2092">
        <v>11.7</v>
      </c>
      <c r="M2092">
        <v>11.94</v>
      </c>
      <c r="N2092">
        <v>11.58</v>
      </c>
    </row>
    <row r="2093" spans="1:14" x14ac:dyDescent="0.5">
      <c r="A2093" t="str">
        <f>"300717"</f>
        <v>300717</v>
      </c>
      <c r="B2093" t="s">
        <v>3991</v>
      </c>
      <c r="C2093">
        <v>2.21</v>
      </c>
      <c r="D2093">
        <v>36.47</v>
      </c>
      <c r="E2093">
        <v>16.63</v>
      </c>
      <c r="F2093">
        <v>0.36</v>
      </c>
      <c r="G2093">
        <v>16.63</v>
      </c>
      <c r="H2093">
        <v>16.64</v>
      </c>
      <c r="I2093" t="s">
        <v>3471</v>
      </c>
      <c r="J2093">
        <v>7.59</v>
      </c>
      <c r="K2093">
        <v>7.59</v>
      </c>
      <c r="L2093">
        <v>16.260000000000002</v>
      </c>
      <c r="M2093">
        <v>16.649999999999999</v>
      </c>
      <c r="N2093">
        <v>16.05</v>
      </c>
    </row>
    <row r="2094" spans="1:14" x14ac:dyDescent="0.5">
      <c r="A2094" t="str">
        <f>"300718"</f>
        <v>300718</v>
      </c>
      <c r="B2094" t="s">
        <v>3992</v>
      </c>
      <c r="C2094">
        <v>1.95</v>
      </c>
      <c r="D2094">
        <v>25.22</v>
      </c>
      <c r="E2094">
        <v>17.25</v>
      </c>
      <c r="F2094">
        <v>0.33</v>
      </c>
      <c r="G2094">
        <v>17.239999999999998</v>
      </c>
      <c r="H2094">
        <v>17.25</v>
      </c>
      <c r="I2094" t="s">
        <v>3993</v>
      </c>
      <c r="J2094">
        <v>8.59</v>
      </c>
      <c r="K2094">
        <v>8.59</v>
      </c>
      <c r="L2094">
        <v>16.95</v>
      </c>
      <c r="M2094">
        <v>17.3</v>
      </c>
      <c r="N2094">
        <v>16.690000000000001</v>
      </c>
    </row>
    <row r="2095" spans="1:14" x14ac:dyDescent="0.5">
      <c r="A2095" t="str">
        <f>"300719"</f>
        <v>300719</v>
      </c>
      <c r="B2095" t="s">
        <v>3994</v>
      </c>
      <c r="C2095">
        <v>3</v>
      </c>
      <c r="D2095">
        <v>46.42</v>
      </c>
      <c r="E2095">
        <v>12.03</v>
      </c>
      <c r="F2095">
        <v>0.35</v>
      </c>
      <c r="G2095">
        <v>12.02</v>
      </c>
      <c r="H2095">
        <v>12.03</v>
      </c>
      <c r="I2095" t="s">
        <v>3995</v>
      </c>
      <c r="J2095">
        <v>9.31</v>
      </c>
      <c r="K2095">
        <v>9.31</v>
      </c>
      <c r="L2095">
        <v>11.61</v>
      </c>
      <c r="M2095">
        <v>12.06</v>
      </c>
      <c r="N2095">
        <v>11.5</v>
      </c>
    </row>
    <row r="2096" spans="1:14" x14ac:dyDescent="0.5">
      <c r="A2096" t="str">
        <f>"300720"</f>
        <v>300720</v>
      </c>
      <c r="B2096" t="s">
        <v>3996</v>
      </c>
      <c r="C2096">
        <v>-0.14000000000000001</v>
      </c>
      <c r="D2096">
        <v>43.2</v>
      </c>
      <c r="E2096">
        <v>28.8</v>
      </c>
      <c r="F2096">
        <v>-0.04</v>
      </c>
      <c r="G2096">
        <v>28.8</v>
      </c>
      <c r="H2096">
        <v>28.81</v>
      </c>
      <c r="I2096" t="s">
        <v>3997</v>
      </c>
      <c r="J2096">
        <v>19.190000000000001</v>
      </c>
      <c r="K2096">
        <v>19.190000000000001</v>
      </c>
      <c r="L2096">
        <v>28.48</v>
      </c>
      <c r="M2096">
        <v>29.13</v>
      </c>
      <c r="N2096">
        <v>28.31</v>
      </c>
    </row>
    <row r="2097" spans="1:14" x14ac:dyDescent="0.5">
      <c r="A2097" t="str">
        <f>"300721"</f>
        <v>300721</v>
      </c>
      <c r="B2097" t="s">
        <v>3998</v>
      </c>
      <c r="C2097">
        <v>1.08</v>
      </c>
      <c r="D2097">
        <v>32.659999999999997</v>
      </c>
      <c r="E2097">
        <v>20.59</v>
      </c>
      <c r="F2097">
        <v>0.22</v>
      </c>
      <c r="G2097">
        <v>20.59</v>
      </c>
      <c r="H2097">
        <v>20.6</v>
      </c>
      <c r="I2097" t="s">
        <v>3999</v>
      </c>
      <c r="J2097">
        <v>5.89</v>
      </c>
      <c r="K2097">
        <v>5.89</v>
      </c>
      <c r="L2097">
        <v>20.23</v>
      </c>
      <c r="M2097">
        <v>20.6</v>
      </c>
      <c r="N2097">
        <v>20.010000000000002</v>
      </c>
    </row>
    <row r="2098" spans="1:14" x14ac:dyDescent="0.5">
      <c r="A2098" t="str">
        <f>"300722"</f>
        <v>300722</v>
      </c>
      <c r="B2098" t="s">
        <v>4000</v>
      </c>
      <c r="C2098">
        <v>4.2</v>
      </c>
      <c r="D2098">
        <v>55.1</v>
      </c>
      <c r="E2098">
        <v>38.700000000000003</v>
      </c>
      <c r="F2098">
        <v>1.56</v>
      </c>
      <c r="G2098">
        <v>38.700000000000003</v>
      </c>
      <c r="H2098">
        <v>38.72</v>
      </c>
      <c r="I2098" t="s">
        <v>4001</v>
      </c>
      <c r="J2098">
        <v>19.27</v>
      </c>
      <c r="K2098">
        <v>19.27</v>
      </c>
      <c r="L2098">
        <v>37</v>
      </c>
      <c r="M2098">
        <v>39</v>
      </c>
      <c r="N2098">
        <v>36.85</v>
      </c>
    </row>
    <row r="2099" spans="1:14" x14ac:dyDescent="0.5">
      <c r="A2099" t="str">
        <f>"300723"</f>
        <v>300723</v>
      </c>
      <c r="B2099" t="s">
        <v>4002</v>
      </c>
      <c r="C2099">
        <v>0.59</v>
      </c>
      <c r="D2099">
        <v>30.81</v>
      </c>
      <c r="E2099">
        <v>34.15</v>
      </c>
      <c r="F2099">
        <v>0.2</v>
      </c>
      <c r="G2099">
        <v>34.1</v>
      </c>
      <c r="H2099">
        <v>34.15</v>
      </c>
      <c r="I2099" t="s">
        <v>3118</v>
      </c>
      <c r="J2099">
        <v>2.13</v>
      </c>
      <c r="K2099">
        <v>2.13</v>
      </c>
      <c r="L2099">
        <v>33.950000000000003</v>
      </c>
      <c r="M2099">
        <v>34.409999999999997</v>
      </c>
      <c r="N2099">
        <v>33.770000000000003</v>
      </c>
    </row>
    <row r="2100" spans="1:14" x14ac:dyDescent="0.5">
      <c r="A2100" t="str">
        <f>"300724"</f>
        <v>300724</v>
      </c>
      <c r="B2100" t="s">
        <v>4003</v>
      </c>
      <c r="C2100">
        <v>0.16</v>
      </c>
      <c r="D2100">
        <v>40.130000000000003</v>
      </c>
      <c r="E2100">
        <v>37.06</v>
      </c>
      <c r="F2100">
        <v>0.06</v>
      </c>
      <c r="G2100">
        <v>37.06</v>
      </c>
      <c r="H2100">
        <v>37.07</v>
      </c>
      <c r="I2100" t="s">
        <v>4004</v>
      </c>
      <c r="J2100">
        <v>5.85</v>
      </c>
      <c r="K2100">
        <v>5.85</v>
      </c>
      <c r="L2100">
        <v>37</v>
      </c>
      <c r="M2100">
        <v>37.36</v>
      </c>
      <c r="N2100">
        <v>36.68</v>
      </c>
    </row>
    <row r="2101" spans="1:14" x14ac:dyDescent="0.5">
      <c r="A2101" t="str">
        <f>"300725"</f>
        <v>300725</v>
      </c>
      <c r="B2101" t="s">
        <v>4005</v>
      </c>
      <c r="C2101">
        <v>-0.8</v>
      </c>
      <c r="D2101">
        <v>82.84</v>
      </c>
      <c r="E2101">
        <v>82.24</v>
      </c>
      <c r="F2101">
        <v>-0.66</v>
      </c>
      <c r="G2101">
        <v>82.24</v>
      </c>
      <c r="H2101">
        <v>82.47</v>
      </c>
      <c r="I2101" t="s">
        <v>4006</v>
      </c>
      <c r="J2101">
        <v>2.0499999999999998</v>
      </c>
      <c r="K2101">
        <v>2.0499999999999998</v>
      </c>
      <c r="L2101">
        <v>82.9</v>
      </c>
      <c r="M2101">
        <v>84.54</v>
      </c>
      <c r="N2101">
        <v>81.3</v>
      </c>
    </row>
    <row r="2102" spans="1:14" x14ac:dyDescent="0.5">
      <c r="A2102" t="str">
        <f>"300726"</f>
        <v>300726</v>
      </c>
      <c r="B2102" t="s">
        <v>4007</v>
      </c>
      <c r="C2102">
        <v>4.8</v>
      </c>
      <c r="D2102">
        <v>34.79</v>
      </c>
      <c r="E2102">
        <v>21.18</v>
      </c>
      <c r="F2102">
        <v>0.97</v>
      </c>
      <c r="G2102">
        <v>21.18</v>
      </c>
      <c r="H2102">
        <v>21.19</v>
      </c>
      <c r="I2102" t="s">
        <v>2417</v>
      </c>
      <c r="J2102">
        <v>11.17</v>
      </c>
      <c r="K2102">
        <v>11.17</v>
      </c>
      <c r="L2102">
        <v>20.010000000000002</v>
      </c>
      <c r="M2102">
        <v>21.2</v>
      </c>
      <c r="N2102">
        <v>19.8</v>
      </c>
    </row>
    <row r="2103" spans="1:14" x14ac:dyDescent="0.5">
      <c r="A2103" t="str">
        <f>"300727"</f>
        <v>300727</v>
      </c>
      <c r="B2103" t="s">
        <v>4008</v>
      </c>
      <c r="C2103">
        <v>0.69</v>
      </c>
      <c r="D2103">
        <v>36.520000000000003</v>
      </c>
      <c r="E2103">
        <v>20.5</v>
      </c>
      <c r="F2103">
        <v>0.14000000000000001</v>
      </c>
      <c r="G2103">
        <v>20.5</v>
      </c>
      <c r="H2103">
        <v>20.51</v>
      </c>
      <c r="I2103" t="s">
        <v>4009</v>
      </c>
      <c r="J2103">
        <v>9.81</v>
      </c>
      <c r="K2103">
        <v>9.81</v>
      </c>
      <c r="L2103">
        <v>20.010000000000002</v>
      </c>
      <c r="M2103">
        <v>20.53</v>
      </c>
      <c r="N2103">
        <v>20.010000000000002</v>
      </c>
    </row>
    <row r="2104" spans="1:14" x14ac:dyDescent="0.5">
      <c r="A2104" t="str">
        <f>"300729"</f>
        <v>300729</v>
      </c>
      <c r="B2104" t="s">
        <v>4010</v>
      </c>
      <c r="C2104">
        <v>1.45</v>
      </c>
      <c r="D2104">
        <v>35.46</v>
      </c>
      <c r="E2104">
        <v>25.25</v>
      </c>
      <c r="F2104">
        <v>0.36</v>
      </c>
      <c r="G2104">
        <v>25.23</v>
      </c>
      <c r="H2104">
        <v>25.25</v>
      </c>
      <c r="I2104" t="s">
        <v>4011</v>
      </c>
      <c r="J2104">
        <v>9.1199999999999992</v>
      </c>
      <c r="K2104">
        <v>9.1199999999999992</v>
      </c>
      <c r="L2104">
        <v>24.65</v>
      </c>
      <c r="M2104">
        <v>25.3</v>
      </c>
      <c r="N2104">
        <v>24.65</v>
      </c>
    </row>
    <row r="2105" spans="1:14" x14ac:dyDescent="0.5">
      <c r="A2105" t="str">
        <f>"300730"</f>
        <v>300730</v>
      </c>
      <c r="B2105" t="s">
        <v>4012</v>
      </c>
      <c r="C2105">
        <v>3.8</v>
      </c>
      <c r="D2105">
        <v>68.39</v>
      </c>
      <c r="E2105">
        <v>20.5</v>
      </c>
      <c r="F2105">
        <v>0.75</v>
      </c>
      <c r="G2105">
        <v>20.5</v>
      </c>
      <c r="H2105">
        <v>20.51</v>
      </c>
      <c r="I2105" t="s">
        <v>4013</v>
      </c>
      <c r="J2105">
        <v>16.09</v>
      </c>
      <c r="K2105">
        <v>16.09</v>
      </c>
      <c r="L2105">
        <v>19.5</v>
      </c>
      <c r="M2105">
        <v>20.7</v>
      </c>
      <c r="N2105">
        <v>19.38</v>
      </c>
    </row>
    <row r="2106" spans="1:14" x14ac:dyDescent="0.5">
      <c r="A2106" t="str">
        <f>"300731"</f>
        <v>300731</v>
      </c>
      <c r="B2106" t="s">
        <v>4014</v>
      </c>
      <c r="C2106">
        <v>5.59</v>
      </c>
      <c r="D2106">
        <v>39.43</v>
      </c>
      <c r="E2106">
        <v>27.6</v>
      </c>
      <c r="F2106">
        <v>1.46</v>
      </c>
      <c r="G2106">
        <v>27.6</v>
      </c>
      <c r="H2106">
        <v>27.61</v>
      </c>
      <c r="I2106" t="s">
        <v>2215</v>
      </c>
      <c r="J2106">
        <v>9.52</v>
      </c>
      <c r="K2106">
        <v>9.52</v>
      </c>
      <c r="L2106">
        <v>26.03</v>
      </c>
      <c r="M2106">
        <v>27.95</v>
      </c>
      <c r="N2106">
        <v>26.03</v>
      </c>
    </row>
    <row r="2107" spans="1:14" x14ac:dyDescent="0.5">
      <c r="A2107" t="str">
        <f>"300732"</f>
        <v>300732</v>
      </c>
      <c r="B2107" t="s">
        <v>4015</v>
      </c>
      <c r="C2107">
        <v>0.35</v>
      </c>
      <c r="D2107">
        <v>17.899999999999999</v>
      </c>
      <c r="E2107">
        <v>37.299999999999997</v>
      </c>
      <c r="F2107">
        <v>0.13</v>
      </c>
      <c r="G2107">
        <v>37.29</v>
      </c>
      <c r="H2107">
        <v>37.299999999999997</v>
      </c>
      <c r="I2107" t="s">
        <v>4016</v>
      </c>
      <c r="J2107">
        <v>3.58</v>
      </c>
      <c r="K2107">
        <v>3.58</v>
      </c>
      <c r="L2107">
        <v>37</v>
      </c>
      <c r="M2107">
        <v>37.4</v>
      </c>
      <c r="N2107">
        <v>36.5</v>
      </c>
    </row>
    <row r="2108" spans="1:14" x14ac:dyDescent="0.5">
      <c r="A2108" t="str">
        <f>"300733"</f>
        <v>300733</v>
      </c>
      <c r="B2108" t="s">
        <v>4017</v>
      </c>
      <c r="C2108">
        <v>1.53</v>
      </c>
      <c r="D2108">
        <v>26.07</v>
      </c>
      <c r="E2108">
        <v>15.25</v>
      </c>
      <c r="F2108">
        <v>0.23</v>
      </c>
      <c r="G2108">
        <v>15.24</v>
      </c>
      <c r="H2108">
        <v>15.25</v>
      </c>
      <c r="I2108" t="s">
        <v>2562</v>
      </c>
      <c r="J2108">
        <v>5.26</v>
      </c>
      <c r="K2108">
        <v>5.26</v>
      </c>
      <c r="L2108">
        <v>14.91</v>
      </c>
      <c r="M2108">
        <v>15.26</v>
      </c>
      <c r="N2108">
        <v>14.9</v>
      </c>
    </row>
    <row r="2109" spans="1:14" x14ac:dyDescent="0.5">
      <c r="A2109" t="str">
        <f>"300735"</f>
        <v>300735</v>
      </c>
      <c r="B2109" t="s">
        <v>4018</v>
      </c>
      <c r="C2109">
        <v>6</v>
      </c>
      <c r="D2109">
        <v>35.22</v>
      </c>
      <c r="E2109">
        <v>22.78</v>
      </c>
      <c r="F2109">
        <v>1.29</v>
      </c>
      <c r="G2109">
        <v>22.77</v>
      </c>
      <c r="H2109">
        <v>22.78</v>
      </c>
      <c r="I2109" t="s">
        <v>4019</v>
      </c>
      <c r="J2109">
        <v>9.08</v>
      </c>
      <c r="K2109">
        <v>9.08</v>
      </c>
      <c r="L2109">
        <v>21.47</v>
      </c>
      <c r="M2109">
        <v>22.96</v>
      </c>
      <c r="N2109">
        <v>21.21</v>
      </c>
    </row>
    <row r="2110" spans="1:14" x14ac:dyDescent="0.5">
      <c r="A2110" t="str">
        <f>"300736"</f>
        <v>300736</v>
      </c>
      <c r="B2110" t="s">
        <v>4020</v>
      </c>
      <c r="C2110">
        <v>4.22</v>
      </c>
      <c r="D2110">
        <v>59.45</v>
      </c>
      <c r="E2110">
        <v>21.98</v>
      </c>
      <c r="F2110">
        <v>0.89</v>
      </c>
      <c r="G2110">
        <v>21.98</v>
      </c>
      <c r="H2110">
        <v>21.99</v>
      </c>
      <c r="I2110" t="s">
        <v>3796</v>
      </c>
      <c r="J2110">
        <v>8.15</v>
      </c>
      <c r="K2110">
        <v>8.15</v>
      </c>
      <c r="L2110">
        <v>20.9</v>
      </c>
      <c r="M2110">
        <v>21.98</v>
      </c>
      <c r="N2110">
        <v>20.84</v>
      </c>
    </row>
    <row r="2111" spans="1:14" x14ac:dyDescent="0.5">
      <c r="A2111" t="str">
        <f>"300737"</f>
        <v>300737</v>
      </c>
      <c r="B2111" t="s">
        <v>4021</v>
      </c>
      <c r="C2111">
        <v>1.08</v>
      </c>
      <c r="D2111">
        <v>26.59</v>
      </c>
      <c r="E2111">
        <v>9.39</v>
      </c>
      <c r="F2111">
        <v>0.1</v>
      </c>
      <c r="G2111">
        <v>9.39</v>
      </c>
      <c r="H2111">
        <v>9.4</v>
      </c>
      <c r="I2111" t="s">
        <v>4022</v>
      </c>
      <c r="J2111">
        <v>2.62</v>
      </c>
      <c r="K2111">
        <v>2.62</v>
      </c>
      <c r="L2111">
        <v>9.31</v>
      </c>
      <c r="M2111">
        <v>9.4</v>
      </c>
      <c r="N2111">
        <v>9.1999999999999993</v>
      </c>
    </row>
    <row r="2112" spans="1:14" x14ac:dyDescent="0.5">
      <c r="A2112" t="str">
        <f>"300738"</f>
        <v>300738</v>
      </c>
      <c r="B2112" t="s">
        <v>4023</v>
      </c>
      <c r="C2112">
        <v>5.96</v>
      </c>
      <c r="D2112">
        <v>50.66</v>
      </c>
      <c r="E2112">
        <v>45</v>
      </c>
      <c r="F2112">
        <v>2.5299999999999998</v>
      </c>
      <c r="G2112">
        <v>44.99</v>
      </c>
      <c r="H2112">
        <v>45</v>
      </c>
      <c r="I2112" t="s">
        <v>4024</v>
      </c>
      <c r="J2112">
        <v>6.31</v>
      </c>
      <c r="K2112">
        <v>6.31</v>
      </c>
      <c r="L2112">
        <v>42.39</v>
      </c>
      <c r="M2112">
        <v>45.2</v>
      </c>
      <c r="N2112">
        <v>42.03</v>
      </c>
    </row>
    <row r="2113" spans="1:14" x14ac:dyDescent="0.5">
      <c r="A2113" t="str">
        <f>"300739"</f>
        <v>300739</v>
      </c>
      <c r="B2113" t="s">
        <v>4025</v>
      </c>
      <c r="C2113">
        <v>3.46</v>
      </c>
      <c r="D2113">
        <v>35.58</v>
      </c>
      <c r="E2113">
        <v>23.9</v>
      </c>
      <c r="F2113">
        <v>0.8</v>
      </c>
      <c r="G2113">
        <v>23.9</v>
      </c>
      <c r="H2113">
        <v>23.91</v>
      </c>
      <c r="I2113" t="s">
        <v>2765</v>
      </c>
      <c r="J2113">
        <v>16.34</v>
      </c>
      <c r="K2113">
        <v>16.34</v>
      </c>
      <c r="L2113">
        <v>23</v>
      </c>
      <c r="M2113">
        <v>23.98</v>
      </c>
      <c r="N2113">
        <v>22.88</v>
      </c>
    </row>
    <row r="2114" spans="1:14" x14ac:dyDescent="0.5">
      <c r="A2114" t="str">
        <f>"300740"</f>
        <v>300740</v>
      </c>
      <c r="B2114" t="s">
        <v>4026</v>
      </c>
      <c r="C2114">
        <v>1.33</v>
      </c>
      <c r="D2114">
        <v>27.3</v>
      </c>
      <c r="E2114">
        <v>17.489999999999998</v>
      </c>
      <c r="F2114">
        <v>0.23</v>
      </c>
      <c r="G2114">
        <v>17.489999999999998</v>
      </c>
      <c r="H2114">
        <v>17.5</v>
      </c>
      <c r="I2114" t="s">
        <v>4027</v>
      </c>
      <c r="J2114">
        <v>5.34</v>
      </c>
      <c r="K2114">
        <v>5.34</v>
      </c>
      <c r="L2114">
        <v>17.11</v>
      </c>
      <c r="M2114">
        <v>17.489999999999998</v>
      </c>
      <c r="N2114">
        <v>17.100000000000001</v>
      </c>
    </row>
    <row r="2115" spans="1:14" x14ac:dyDescent="0.5">
      <c r="A2115" t="str">
        <f>"300741"</f>
        <v>300741</v>
      </c>
      <c r="B2115" t="s">
        <v>4028</v>
      </c>
      <c r="C2115">
        <v>1.28</v>
      </c>
      <c r="D2115">
        <v>17.239999999999998</v>
      </c>
      <c r="E2115">
        <v>34.82</v>
      </c>
      <c r="F2115">
        <v>0.44</v>
      </c>
      <c r="G2115">
        <v>34.81</v>
      </c>
      <c r="H2115">
        <v>34.82</v>
      </c>
      <c r="I2115" t="s">
        <v>4029</v>
      </c>
      <c r="J2115">
        <v>3.85</v>
      </c>
      <c r="K2115">
        <v>3.85</v>
      </c>
      <c r="L2115">
        <v>34.24</v>
      </c>
      <c r="M2115">
        <v>34.85</v>
      </c>
      <c r="N2115">
        <v>34.1</v>
      </c>
    </row>
    <row r="2116" spans="1:14" x14ac:dyDescent="0.5">
      <c r="A2116" t="str">
        <f>"300742"</f>
        <v>300742</v>
      </c>
      <c r="B2116" t="s">
        <v>4030</v>
      </c>
      <c r="C2116">
        <v>2.09</v>
      </c>
      <c r="D2116">
        <v>36.409999999999997</v>
      </c>
      <c r="E2116">
        <v>44.36</v>
      </c>
      <c r="F2116">
        <v>0.91</v>
      </c>
      <c r="G2116">
        <v>44.35</v>
      </c>
      <c r="H2116">
        <v>44.36</v>
      </c>
      <c r="I2116" t="s">
        <v>3823</v>
      </c>
      <c r="J2116">
        <v>11.38</v>
      </c>
      <c r="K2116">
        <v>11.38</v>
      </c>
      <c r="L2116">
        <v>43.44</v>
      </c>
      <c r="M2116">
        <v>44.88</v>
      </c>
      <c r="N2116">
        <v>42.96</v>
      </c>
    </row>
    <row r="2117" spans="1:14" x14ac:dyDescent="0.5">
      <c r="A2117" t="str">
        <f>"300743"</f>
        <v>300743</v>
      </c>
      <c r="B2117" t="s">
        <v>4031</v>
      </c>
      <c r="C2117">
        <v>4.84</v>
      </c>
      <c r="D2117">
        <v>73.08</v>
      </c>
      <c r="E2117">
        <v>41.39</v>
      </c>
      <c r="F2117">
        <v>1.91</v>
      </c>
      <c r="G2117">
        <v>41.39</v>
      </c>
      <c r="H2117">
        <v>41.4</v>
      </c>
      <c r="I2117" t="s">
        <v>2572</v>
      </c>
      <c r="J2117">
        <v>19.649999999999999</v>
      </c>
      <c r="K2117">
        <v>19.649999999999999</v>
      </c>
      <c r="L2117">
        <v>39.229999999999997</v>
      </c>
      <c r="M2117">
        <v>42.5</v>
      </c>
      <c r="N2117">
        <v>39.159999999999997</v>
      </c>
    </row>
    <row r="2118" spans="1:14" x14ac:dyDescent="0.5">
      <c r="A2118" t="str">
        <f>"300745"</f>
        <v>300745</v>
      </c>
      <c r="B2118" t="s">
        <v>4032</v>
      </c>
      <c r="C2118">
        <v>2.0099999999999998</v>
      </c>
      <c r="D2118">
        <v>47.74</v>
      </c>
      <c r="E2118">
        <v>39.17</v>
      </c>
      <c r="F2118">
        <v>0.77</v>
      </c>
      <c r="G2118">
        <v>39.17</v>
      </c>
      <c r="H2118">
        <v>39.18</v>
      </c>
      <c r="I2118" t="s">
        <v>3607</v>
      </c>
      <c r="J2118">
        <v>19.760000000000002</v>
      </c>
      <c r="K2118">
        <v>19.760000000000002</v>
      </c>
      <c r="L2118">
        <v>38.4</v>
      </c>
      <c r="M2118">
        <v>39.880000000000003</v>
      </c>
      <c r="N2118">
        <v>38.06</v>
      </c>
    </row>
    <row r="2119" spans="1:14" x14ac:dyDescent="0.5">
      <c r="A2119" t="str">
        <f>"300746"</f>
        <v>300746</v>
      </c>
      <c r="B2119" t="s">
        <v>4033</v>
      </c>
      <c r="C2119">
        <v>2.72</v>
      </c>
      <c r="D2119">
        <v>65.34</v>
      </c>
      <c r="E2119">
        <v>21.88</v>
      </c>
      <c r="F2119">
        <v>0.57999999999999996</v>
      </c>
      <c r="G2119">
        <v>21.87</v>
      </c>
      <c r="H2119">
        <v>21.88</v>
      </c>
      <c r="I2119" t="s">
        <v>2539</v>
      </c>
      <c r="J2119">
        <v>18.59</v>
      </c>
      <c r="K2119">
        <v>18.59</v>
      </c>
      <c r="L2119">
        <v>21.35</v>
      </c>
      <c r="M2119">
        <v>21.88</v>
      </c>
      <c r="N2119">
        <v>21.28</v>
      </c>
    </row>
    <row r="2120" spans="1:14" x14ac:dyDescent="0.5">
      <c r="A2120" t="str">
        <f>"300747"</f>
        <v>300747</v>
      </c>
      <c r="B2120" t="s">
        <v>4034</v>
      </c>
      <c r="C2120">
        <v>4.41</v>
      </c>
      <c r="D2120">
        <v>42.95</v>
      </c>
      <c r="E2120">
        <v>153.03</v>
      </c>
      <c r="F2120">
        <v>6.47</v>
      </c>
      <c r="G2120">
        <v>153.02000000000001</v>
      </c>
      <c r="H2120">
        <v>153.03</v>
      </c>
      <c r="I2120" t="s">
        <v>4035</v>
      </c>
      <c r="J2120">
        <v>12.27</v>
      </c>
      <c r="K2120">
        <v>12.27</v>
      </c>
      <c r="L2120">
        <v>145.16999999999999</v>
      </c>
      <c r="M2120">
        <v>153.69</v>
      </c>
      <c r="N2120">
        <v>144.75</v>
      </c>
    </row>
    <row r="2121" spans="1:14" x14ac:dyDescent="0.5">
      <c r="A2121" t="str">
        <f>"300748"</f>
        <v>300748</v>
      </c>
      <c r="B2121" t="s">
        <v>4036</v>
      </c>
      <c r="C2121">
        <v>-0.28999999999999998</v>
      </c>
      <c r="D2121">
        <v>75.02</v>
      </c>
      <c r="E2121">
        <v>27.12</v>
      </c>
      <c r="F2121">
        <v>-0.08</v>
      </c>
      <c r="G2121">
        <v>27.12</v>
      </c>
      <c r="H2121">
        <v>27.13</v>
      </c>
      <c r="I2121" t="s">
        <v>4037</v>
      </c>
      <c r="J2121">
        <v>21.11</v>
      </c>
      <c r="K2121">
        <v>21.11</v>
      </c>
      <c r="L2121">
        <v>26.73</v>
      </c>
      <c r="M2121">
        <v>27.18</v>
      </c>
      <c r="N2121">
        <v>26.6</v>
      </c>
    </row>
    <row r="2122" spans="1:14" x14ac:dyDescent="0.5">
      <c r="A2122" t="str">
        <f>"300749"</f>
        <v>300749</v>
      </c>
      <c r="B2122" t="s">
        <v>4038</v>
      </c>
      <c r="C2122">
        <v>0.7</v>
      </c>
      <c r="D2122">
        <v>50.25</v>
      </c>
      <c r="E2122">
        <v>37.4</v>
      </c>
      <c r="F2122">
        <v>0.26</v>
      </c>
      <c r="G2122">
        <v>37.39</v>
      </c>
      <c r="H2122">
        <v>37.4</v>
      </c>
      <c r="I2122" t="s">
        <v>3796</v>
      </c>
      <c r="J2122">
        <v>22.73</v>
      </c>
      <c r="K2122">
        <v>22.73</v>
      </c>
      <c r="L2122">
        <v>36.880000000000003</v>
      </c>
      <c r="M2122">
        <v>37.47</v>
      </c>
      <c r="N2122">
        <v>36.659999999999997</v>
      </c>
    </row>
    <row r="2123" spans="1:14" x14ac:dyDescent="0.5">
      <c r="A2123" t="str">
        <f>"300750"</f>
        <v>300750</v>
      </c>
      <c r="B2123" t="s">
        <v>4039</v>
      </c>
      <c r="C2123">
        <v>0.23</v>
      </c>
      <c r="D2123">
        <v>53.61</v>
      </c>
      <c r="E2123">
        <v>92.6</v>
      </c>
      <c r="F2123">
        <v>0.21</v>
      </c>
      <c r="G2123">
        <v>92.59</v>
      </c>
      <c r="H2123">
        <v>92.6</v>
      </c>
      <c r="I2123" t="s">
        <v>4040</v>
      </c>
      <c r="J2123">
        <v>3.97</v>
      </c>
      <c r="K2123">
        <v>3.97</v>
      </c>
      <c r="L2123">
        <v>92.38</v>
      </c>
      <c r="M2123">
        <v>92.98</v>
      </c>
      <c r="N2123">
        <v>91.2</v>
      </c>
    </row>
    <row r="2124" spans="1:14" x14ac:dyDescent="0.5">
      <c r="A2124" t="str">
        <f>"300751"</f>
        <v>300751</v>
      </c>
      <c r="B2124" t="s">
        <v>4041</v>
      </c>
      <c r="C2124">
        <v>-0.33</v>
      </c>
      <c r="D2124">
        <v>50.75</v>
      </c>
      <c r="E2124">
        <v>172.29</v>
      </c>
      <c r="F2124">
        <v>-0.56999999999999995</v>
      </c>
      <c r="G2124">
        <v>172.28</v>
      </c>
      <c r="H2124">
        <v>172.29</v>
      </c>
      <c r="I2124" t="s">
        <v>335</v>
      </c>
      <c r="J2124">
        <v>8.3699999999999992</v>
      </c>
      <c r="K2124">
        <v>8.3699999999999992</v>
      </c>
      <c r="L2124">
        <v>171.1</v>
      </c>
      <c r="M2124">
        <v>175.4</v>
      </c>
      <c r="N2124">
        <v>167.31</v>
      </c>
    </row>
    <row r="2125" spans="1:14" x14ac:dyDescent="0.5">
      <c r="A2125" t="str">
        <f>"300752"</f>
        <v>300752</v>
      </c>
      <c r="B2125" t="s">
        <v>4042</v>
      </c>
      <c r="C2125">
        <v>4.9800000000000004</v>
      </c>
      <c r="D2125">
        <v>52.17</v>
      </c>
      <c r="E2125">
        <v>76.91</v>
      </c>
      <c r="F2125">
        <v>3.65</v>
      </c>
      <c r="G2125">
        <v>76.91</v>
      </c>
      <c r="H2125">
        <v>76.95</v>
      </c>
      <c r="I2125" t="s">
        <v>4043</v>
      </c>
      <c r="J2125">
        <v>25.03</v>
      </c>
      <c r="K2125">
        <v>25.03</v>
      </c>
      <c r="L2125">
        <v>73.260000000000005</v>
      </c>
      <c r="M2125">
        <v>77.8</v>
      </c>
      <c r="N2125">
        <v>72.8</v>
      </c>
    </row>
    <row r="2126" spans="1:14" x14ac:dyDescent="0.5">
      <c r="A2126" t="str">
        <f>"300753"</f>
        <v>300753</v>
      </c>
      <c r="B2126" t="s">
        <v>4044</v>
      </c>
      <c r="C2126">
        <v>0.2</v>
      </c>
      <c r="D2126">
        <v>47.21</v>
      </c>
      <c r="E2126">
        <v>44.25</v>
      </c>
      <c r="F2126">
        <v>0.09</v>
      </c>
      <c r="G2126">
        <v>44.24</v>
      </c>
      <c r="H2126">
        <v>44.25</v>
      </c>
      <c r="I2126" t="s">
        <v>3735</v>
      </c>
      <c r="J2126">
        <v>15.29</v>
      </c>
      <c r="K2126">
        <v>15.29</v>
      </c>
      <c r="L2126">
        <v>43.94</v>
      </c>
      <c r="M2126">
        <v>44.56</v>
      </c>
      <c r="N2126">
        <v>43.52</v>
      </c>
    </row>
    <row r="2127" spans="1:14" x14ac:dyDescent="0.5">
      <c r="A2127" t="str">
        <f>"300755"</f>
        <v>300755</v>
      </c>
      <c r="B2127" t="s">
        <v>4045</v>
      </c>
      <c r="C2127">
        <v>-1.1000000000000001</v>
      </c>
      <c r="D2127">
        <v>30.98</v>
      </c>
      <c r="E2127">
        <v>30.59</v>
      </c>
      <c r="F2127">
        <v>-0.34</v>
      </c>
      <c r="G2127">
        <v>30.59</v>
      </c>
      <c r="H2127">
        <v>30.6</v>
      </c>
      <c r="I2127" t="s">
        <v>4046</v>
      </c>
      <c r="J2127">
        <v>19.43</v>
      </c>
      <c r="K2127">
        <v>19.43</v>
      </c>
      <c r="L2127">
        <v>30.56</v>
      </c>
      <c r="M2127">
        <v>30.78</v>
      </c>
      <c r="N2127">
        <v>30.18</v>
      </c>
    </row>
    <row r="2128" spans="1:14" x14ac:dyDescent="0.5">
      <c r="A2128" t="str">
        <f>"300756"</f>
        <v>300756</v>
      </c>
      <c r="B2128" t="s">
        <v>4047</v>
      </c>
      <c r="C2128">
        <v>-0.3</v>
      </c>
      <c r="D2128">
        <v>35.96</v>
      </c>
      <c r="E2128">
        <v>96.82</v>
      </c>
      <c r="F2128">
        <v>-0.28999999999999998</v>
      </c>
      <c r="G2128">
        <v>96.82</v>
      </c>
      <c r="H2128">
        <v>96.84</v>
      </c>
      <c r="I2128" t="s">
        <v>4048</v>
      </c>
      <c r="J2128">
        <v>13.18</v>
      </c>
      <c r="K2128">
        <v>13.18</v>
      </c>
      <c r="L2128">
        <v>96.98</v>
      </c>
      <c r="M2128">
        <v>96.98</v>
      </c>
      <c r="N2128">
        <v>95.48</v>
      </c>
    </row>
    <row r="2129" spans="1:14" x14ac:dyDescent="0.5">
      <c r="A2129" t="str">
        <f>"300757"</f>
        <v>300757</v>
      </c>
      <c r="B2129" t="s">
        <v>4049</v>
      </c>
      <c r="C2129">
        <v>-1.08</v>
      </c>
      <c r="D2129">
        <v>53.52</v>
      </c>
      <c r="E2129">
        <v>70.22</v>
      </c>
      <c r="F2129">
        <v>-0.77</v>
      </c>
      <c r="G2129">
        <v>70.209999999999994</v>
      </c>
      <c r="H2129">
        <v>70.22</v>
      </c>
      <c r="I2129" t="s">
        <v>4050</v>
      </c>
      <c r="J2129">
        <v>16.96</v>
      </c>
      <c r="K2129">
        <v>16.96</v>
      </c>
      <c r="L2129">
        <v>70.31</v>
      </c>
      <c r="M2129">
        <v>70.599999999999994</v>
      </c>
      <c r="N2129">
        <v>69.400000000000006</v>
      </c>
    </row>
    <row r="2130" spans="1:14" x14ac:dyDescent="0.5">
      <c r="A2130" t="str">
        <f>"300758"</f>
        <v>300758</v>
      </c>
      <c r="B2130" t="s">
        <v>4051</v>
      </c>
      <c r="C2130">
        <v>2.04</v>
      </c>
      <c r="D2130">
        <v>47.76</v>
      </c>
      <c r="E2130">
        <v>57.5</v>
      </c>
      <c r="F2130">
        <v>1.1499999999999999</v>
      </c>
      <c r="G2130">
        <v>57.49</v>
      </c>
      <c r="H2130">
        <v>57.5</v>
      </c>
      <c r="I2130" t="s">
        <v>3044</v>
      </c>
      <c r="J2130">
        <v>51.7</v>
      </c>
      <c r="K2130">
        <v>51.7</v>
      </c>
      <c r="L2130">
        <v>55.2</v>
      </c>
      <c r="M2130">
        <v>58.55</v>
      </c>
      <c r="N2130">
        <v>55</v>
      </c>
    </row>
    <row r="2131" spans="1:14" x14ac:dyDescent="0.5">
      <c r="A2131" t="str">
        <f>"300759"</f>
        <v>300759</v>
      </c>
      <c r="B2131" t="s">
        <v>4052</v>
      </c>
      <c r="C2131">
        <v>-1.1299999999999999</v>
      </c>
      <c r="D2131">
        <v>88.19</v>
      </c>
      <c r="E2131">
        <v>41.98</v>
      </c>
      <c r="F2131">
        <v>-0.48</v>
      </c>
      <c r="G2131">
        <v>41.98</v>
      </c>
      <c r="H2131">
        <v>41.99</v>
      </c>
      <c r="I2131" t="s">
        <v>4053</v>
      </c>
      <c r="J2131">
        <v>30.31</v>
      </c>
      <c r="K2131">
        <v>30.31</v>
      </c>
      <c r="L2131">
        <v>41.64</v>
      </c>
      <c r="M2131">
        <v>42.32</v>
      </c>
      <c r="N2131">
        <v>41.17</v>
      </c>
    </row>
    <row r="2132" spans="1:14" x14ac:dyDescent="0.5">
      <c r="A2132" t="str">
        <f>"300760"</f>
        <v>300760</v>
      </c>
      <c r="B2132" t="s">
        <v>4054</v>
      </c>
      <c r="C2132">
        <v>0.04</v>
      </c>
      <c r="D2132">
        <v>44.7</v>
      </c>
      <c r="E2132">
        <v>132.6</v>
      </c>
      <c r="F2132">
        <v>0.05</v>
      </c>
      <c r="G2132">
        <v>132.59</v>
      </c>
      <c r="H2132">
        <v>132.62</v>
      </c>
      <c r="I2132" t="s">
        <v>4055</v>
      </c>
      <c r="J2132">
        <v>3.98</v>
      </c>
      <c r="K2132">
        <v>3.98</v>
      </c>
      <c r="L2132">
        <v>129.80000000000001</v>
      </c>
      <c r="M2132">
        <v>133.62</v>
      </c>
      <c r="N2132">
        <v>129.19999999999999</v>
      </c>
    </row>
    <row r="2133" spans="1:14" x14ac:dyDescent="0.5">
      <c r="A2133" t="str">
        <f>"300761"</f>
        <v>300761</v>
      </c>
      <c r="B2133" t="s">
        <v>4056</v>
      </c>
      <c r="C2133">
        <v>-3.83</v>
      </c>
      <c r="D2133">
        <v>22.38</v>
      </c>
      <c r="E2133">
        <v>87.78</v>
      </c>
      <c r="F2133">
        <v>-3.5</v>
      </c>
      <c r="G2133">
        <v>87.78</v>
      </c>
      <c r="H2133">
        <v>87.79</v>
      </c>
      <c r="I2133" t="s">
        <v>4057</v>
      </c>
      <c r="J2133">
        <v>31.15</v>
      </c>
      <c r="K2133">
        <v>31.15</v>
      </c>
      <c r="L2133">
        <v>87</v>
      </c>
      <c r="M2133">
        <v>90.9</v>
      </c>
      <c r="N2133">
        <v>85.92</v>
      </c>
    </row>
    <row r="2134" spans="1:14" x14ac:dyDescent="0.5">
      <c r="A2134" t="str">
        <f>"300762"</f>
        <v>300762</v>
      </c>
      <c r="B2134" t="s">
        <v>4058</v>
      </c>
      <c r="C2134" t="s">
        <v>24</v>
      </c>
      <c r="D2134" t="s">
        <v>24</v>
      </c>
      <c r="E2134">
        <v>16.28</v>
      </c>
      <c r="F2134" t="s">
        <v>24</v>
      </c>
      <c r="G2134" t="s">
        <v>24</v>
      </c>
      <c r="H2134" t="s">
        <v>24</v>
      </c>
      <c r="I2134" t="s">
        <v>24</v>
      </c>
      <c r="J2134" t="s">
        <v>24</v>
      </c>
      <c r="K2134" t="s">
        <v>24</v>
      </c>
      <c r="L2134" t="s">
        <v>24</v>
      </c>
      <c r="M2134" t="s">
        <v>24</v>
      </c>
      <c r="N2134" t="s">
        <v>24</v>
      </c>
    </row>
    <row r="2135" spans="1:14" x14ac:dyDescent="0.5">
      <c r="A2135" t="str">
        <f>"000693"</f>
        <v>000693</v>
      </c>
      <c r="B2135" t="s">
        <v>4059</v>
      </c>
      <c r="C2135" t="s">
        <v>24</v>
      </c>
      <c r="D2135" t="s">
        <v>24</v>
      </c>
      <c r="E2135">
        <v>0</v>
      </c>
      <c r="F2135" t="s">
        <v>24</v>
      </c>
      <c r="G2135" t="s">
        <v>24</v>
      </c>
      <c r="H2135" t="s">
        <v>24</v>
      </c>
      <c r="I2135" t="s">
        <v>4060</v>
      </c>
      <c r="J2135">
        <v>0</v>
      </c>
      <c r="K2135">
        <v>0</v>
      </c>
      <c r="L2135" t="s">
        <v>24</v>
      </c>
      <c r="M2135" t="s">
        <v>24</v>
      </c>
      <c r="N2135" t="s">
        <v>24</v>
      </c>
    </row>
    <row r="2136" spans="1:14" x14ac:dyDescent="0.5">
      <c r="A2136" t="str">
        <f>"002070"</f>
        <v>002070</v>
      </c>
      <c r="B2136" t="s">
        <v>4061</v>
      </c>
      <c r="C2136" t="s">
        <v>24</v>
      </c>
      <c r="D2136" t="s">
        <v>24</v>
      </c>
      <c r="E2136">
        <v>0</v>
      </c>
      <c r="F2136" t="s">
        <v>24</v>
      </c>
      <c r="G2136" t="s">
        <v>24</v>
      </c>
      <c r="H2136" t="s">
        <v>24</v>
      </c>
      <c r="I2136" t="s">
        <v>4060</v>
      </c>
      <c r="J2136">
        <v>0</v>
      </c>
      <c r="K2136">
        <v>0</v>
      </c>
      <c r="L2136" t="s">
        <v>24</v>
      </c>
      <c r="M2136" t="s">
        <v>24</v>
      </c>
      <c r="N2136" t="s">
        <v>24</v>
      </c>
    </row>
    <row r="2137" spans="1:14" x14ac:dyDescent="0.5">
      <c r="A2137" t="str">
        <f>"002950"</f>
        <v>002950</v>
      </c>
      <c r="B2137" t="s">
        <v>4062</v>
      </c>
      <c r="C2137" t="s">
        <v>24</v>
      </c>
      <c r="D2137" t="s">
        <v>24</v>
      </c>
      <c r="E2137">
        <v>0</v>
      </c>
      <c r="F2137" t="s">
        <v>24</v>
      </c>
      <c r="G2137" t="s">
        <v>24</v>
      </c>
      <c r="H2137" t="s">
        <v>24</v>
      </c>
      <c r="I2137" t="s">
        <v>24</v>
      </c>
      <c r="J2137" t="s">
        <v>24</v>
      </c>
      <c r="K2137" t="s">
        <v>24</v>
      </c>
      <c r="L2137" t="s">
        <v>24</v>
      </c>
      <c r="M2137" t="s">
        <v>24</v>
      </c>
      <c r="N2137" t="s">
        <v>24</v>
      </c>
    </row>
    <row r="2138" spans="1:14" x14ac:dyDescent="0.5">
      <c r="A2138" t="str">
        <f>"002951"</f>
        <v>002951</v>
      </c>
      <c r="B2138" t="s">
        <v>4063</v>
      </c>
      <c r="C2138" t="s">
        <v>24</v>
      </c>
      <c r="D2138" t="s">
        <v>24</v>
      </c>
      <c r="E2138">
        <v>0</v>
      </c>
      <c r="F2138" t="s">
        <v>24</v>
      </c>
      <c r="G2138" t="s">
        <v>24</v>
      </c>
      <c r="H2138" t="s">
        <v>24</v>
      </c>
      <c r="I2138" t="s">
        <v>24</v>
      </c>
      <c r="J2138" t="s">
        <v>24</v>
      </c>
      <c r="K2138" t="s">
        <v>24</v>
      </c>
      <c r="L2138" t="s">
        <v>24</v>
      </c>
      <c r="M2138" t="s">
        <v>24</v>
      </c>
      <c r="N2138" t="s">
        <v>24</v>
      </c>
    </row>
    <row r="2139" spans="1:14" x14ac:dyDescent="0.5">
      <c r="A2139" t="str">
        <f>"002958"</f>
        <v>002958</v>
      </c>
      <c r="B2139" t="s">
        <v>4064</v>
      </c>
      <c r="C2139" t="s">
        <v>24</v>
      </c>
      <c r="D2139" t="s">
        <v>24</v>
      </c>
      <c r="E2139">
        <v>0</v>
      </c>
      <c r="F2139" t="s">
        <v>24</v>
      </c>
      <c r="G2139" t="s">
        <v>24</v>
      </c>
      <c r="H2139" t="s">
        <v>24</v>
      </c>
      <c r="I2139" t="s">
        <v>24</v>
      </c>
      <c r="J2139" t="s">
        <v>24</v>
      </c>
      <c r="K2139" t="s">
        <v>24</v>
      </c>
      <c r="L2139" t="s">
        <v>24</v>
      </c>
      <c r="M2139" t="s">
        <v>24</v>
      </c>
      <c r="N2139" t="s">
        <v>24</v>
      </c>
    </row>
    <row r="2140" spans="1:14" x14ac:dyDescent="0.5">
      <c r="A2140" t="str">
        <f>"300766"</f>
        <v>300766</v>
      </c>
      <c r="B2140" t="s">
        <v>4065</v>
      </c>
      <c r="C2140" t="s">
        <v>24</v>
      </c>
      <c r="D2140" t="s">
        <v>24</v>
      </c>
      <c r="E2140">
        <v>0</v>
      </c>
      <c r="F2140" t="s">
        <v>24</v>
      </c>
      <c r="G2140" t="s">
        <v>24</v>
      </c>
      <c r="H2140" t="s">
        <v>24</v>
      </c>
      <c r="I2140" t="s">
        <v>24</v>
      </c>
      <c r="J2140" t="s">
        <v>24</v>
      </c>
      <c r="K2140" t="s">
        <v>24</v>
      </c>
      <c r="L2140" t="s">
        <v>24</v>
      </c>
      <c r="M2140" t="s">
        <v>24</v>
      </c>
      <c r="N2140" t="s">
        <v>24</v>
      </c>
    </row>
    <row r="2141" spans="1:14" x14ac:dyDescent="0.5">
      <c r="A2141" t="str">
        <f>"600000"</f>
        <v>600000</v>
      </c>
      <c r="B2141" t="s">
        <v>4066</v>
      </c>
      <c r="C2141">
        <v>-0.33</v>
      </c>
      <c r="D2141">
        <v>6.35</v>
      </c>
      <c r="E2141">
        <v>11.98</v>
      </c>
      <c r="F2141">
        <v>-0.04</v>
      </c>
      <c r="G2141">
        <v>11.98</v>
      </c>
      <c r="H2141">
        <v>11.99</v>
      </c>
      <c r="I2141" t="s">
        <v>4067</v>
      </c>
      <c r="J2141">
        <v>0.19</v>
      </c>
      <c r="K2141">
        <v>0.19</v>
      </c>
      <c r="L2141">
        <v>12.01</v>
      </c>
      <c r="M2141">
        <v>12.04</v>
      </c>
      <c r="N2141">
        <v>11.87</v>
      </c>
    </row>
    <row r="2142" spans="1:14" x14ac:dyDescent="0.5">
      <c r="A2142" t="str">
        <f>"600004"</f>
        <v>600004</v>
      </c>
      <c r="B2142" t="s">
        <v>4068</v>
      </c>
      <c r="C2142">
        <v>-1.18</v>
      </c>
      <c r="D2142">
        <v>20.34</v>
      </c>
      <c r="E2142">
        <v>13.44</v>
      </c>
      <c r="F2142">
        <v>-0.16</v>
      </c>
      <c r="G2142">
        <v>13.44</v>
      </c>
      <c r="H2142">
        <v>13.45</v>
      </c>
      <c r="I2142" t="s">
        <v>4069</v>
      </c>
      <c r="J2142">
        <v>0.98</v>
      </c>
      <c r="K2142">
        <v>0.98</v>
      </c>
      <c r="L2142">
        <v>13.49</v>
      </c>
      <c r="M2142">
        <v>13.58</v>
      </c>
      <c r="N2142">
        <v>13.26</v>
      </c>
    </row>
    <row r="2143" spans="1:14" x14ac:dyDescent="0.5">
      <c r="A2143" t="str">
        <f>"600006"</f>
        <v>600006</v>
      </c>
      <c r="B2143" t="s">
        <v>4070</v>
      </c>
      <c r="C2143">
        <v>1.37</v>
      </c>
      <c r="D2143">
        <v>17.43</v>
      </c>
      <c r="E2143">
        <v>4.4400000000000004</v>
      </c>
      <c r="F2143">
        <v>0.06</v>
      </c>
      <c r="G2143">
        <v>4.43</v>
      </c>
      <c r="H2143">
        <v>4.4400000000000004</v>
      </c>
      <c r="I2143" t="s">
        <v>4071</v>
      </c>
      <c r="J2143">
        <v>0.77</v>
      </c>
      <c r="K2143">
        <v>0.77</v>
      </c>
      <c r="L2143">
        <v>4.38</v>
      </c>
      <c r="M2143">
        <v>4.4400000000000004</v>
      </c>
      <c r="N2143">
        <v>4.3499999999999996</v>
      </c>
    </row>
    <row r="2144" spans="1:14" x14ac:dyDescent="0.5">
      <c r="A2144" t="str">
        <f>"600007"</f>
        <v>600007</v>
      </c>
      <c r="B2144" t="s">
        <v>4072</v>
      </c>
      <c r="C2144">
        <v>-1.27</v>
      </c>
      <c r="D2144">
        <v>19.5</v>
      </c>
      <c r="E2144">
        <v>14.8</v>
      </c>
      <c r="F2144">
        <v>-0.19</v>
      </c>
      <c r="G2144">
        <v>14.79</v>
      </c>
      <c r="H2144">
        <v>14.8</v>
      </c>
      <c r="I2144" t="s">
        <v>4073</v>
      </c>
      <c r="J2144">
        <v>0.23</v>
      </c>
      <c r="K2144">
        <v>0.23</v>
      </c>
      <c r="L2144">
        <v>14.83</v>
      </c>
      <c r="M2144">
        <v>14.93</v>
      </c>
      <c r="N2144">
        <v>14.64</v>
      </c>
    </row>
    <row r="2145" spans="1:14" x14ac:dyDescent="0.5">
      <c r="A2145" t="str">
        <f>"600008"</f>
        <v>600008</v>
      </c>
      <c r="B2145" t="s">
        <v>4074</v>
      </c>
      <c r="C2145">
        <v>0.73</v>
      </c>
      <c r="D2145">
        <v>36.979999999999997</v>
      </c>
      <c r="E2145">
        <v>4.13</v>
      </c>
      <c r="F2145">
        <v>0.03</v>
      </c>
      <c r="G2145">
        <v>4.13</v>
      </c>
      <c r="H2145">
        <v>4.1399999999999997</v>
      </c>
      <c r="I2145" t="s">
        <v>4075</v>
      </c>
      <c r="J2145">
        <v>1.1100000000000001</v>
      </c>
      <c r="K2145">
        <v>1.1100000000000001</v>
      </c>
      <c r="L2145">
        <v>4.07</v>
      </c>
      <c r="M2145">
        <v>4.1399999999999997</v>
      </c>
      <c r="N2145">
        <v>4.05</v>
      </c>
    </row>
    <row r="2146" spans="1:14" x14ac:dyDescent="0.5">
      <c r="A2146" t="str">
        <f>"600009"</f>
        <v>600009</v>
      </c>
      <c r="B2146" t="s">
        <v>4076</v>
      </c>
      <c r="C2146">
        <v>-1.75</v>
      </c>
      <c r="D2146">
        <v>27.75</v>
      </c>
      <c r="E2146">
        <v>57.86</v>
      </c>
      <c r="F2146">
        <v>-1.03</v>
      </c>
      <c r="G2146">
        <v>57.86</v>
      </c>
      <c r="H2146">
        <v>57.87</v>
      </c>
      <c r="I2146" t="s">
        <v>4077</v>
      </c>
      <c r="J2146">
        <v>0.91</v>
      </c>
      <c r="K2146">
        <v>0.91</v>
      </c>
      <c r="L2146">
        <v>58.45</v>
      </c>
      <c r="M2146">
        <v>58.94</v>
      </c>
      <c r="N2146">
        <v>57.34</v>
      </c>
    </row>
    <row r="2147" spans="1:14" x14ac:dyDescent="0.5">
      <c r="A2147" t="str">
        <f>"600010"</f>
        <v>600010</v>
      </c>
      <c r="B2147" t="s">
        <v>4078</v>
      </c>
      <c r="C2147">
        <v>0.55000000000000004</v>
      </c>
      <c r="D2147">
        <v>27.73</v>
      </c>
      <c r="E2147">
        <v>1.84</v>
      </c>
      <c r="F2147">
        <v>0.01</v>
      </c>
      <c r="G2147">
        <v>1.83</v>
      </c>
      <c r="H2147">
        <v>1.84</v>
      </c>
      <c r="I2147" t="s">
        <v>4079</v>
      </c>
      <c r="J2147">
        <v>1.48</v>
      </c>
      <c r="K2147">
        <v>1.48</v>
      </c>
      <c r="L2147">
        <v>1.81</v>
      </c>
      <c r="M2147">
        <v>1.84</v>
      </c>
      <c r="N2147">
        <v>1.8</v>
      </c>
    </row>
    <row r="2148" spans="1:14" x14ac:dyDescent="0.5">
      <c r="A2148" t="str">
        <f>"600011"</f>
        <v>600011</v>
      </c>
      <c r="B2148" t="s">
        <v>4080</v>
      </c>
      <c r="C2148">
        <v>3.1</v>
      </c>
      <c r="D2148">
        <v>109.66</v>
      </c>
      <c r="E2148">
        <v>7.31</v>
      </c>
      <c r="F2148">
        <v>0.22</v>
      </c>
      <c r="G2148">
        <v>7.31</v>
      </c>
      <c r="H2148">
        <v>7.32</v>
      </c>
      <c r="I2148" t="s">
        <v>4081</v>
      </c>
      <c r="J2148">
        <v>0.62</v>
      </c>
      <c r="K2148">
        <v>0.62</v>
      </c>
      <c r="L2148">
        <v>7.2</v>
      </c>
      <c r="M2148">
        <v>7.42</v>
      </c>
      <c r="N2148">
        <v>7.17</v>
      </c>
    </row>
    <row r="2149" spans="1:14" x14ac:dyDescent="0.5">
      <c r="A2149" t="str">
        <f>"600012"</f>
        <v>600012</v>
      </c>
      <c r="B2149" t="s">
        <v>4082</v>
      </c>
      <c r="C2149">
        <v>1.82</v>
      </c>
      <c r="D2149">
        <v>9.77</v>
      </c>
      <c r="E2149">
        <v>6.7</v>
      </c>
      <c r="F2149">
        <v>0.12</v>
      </c>
      <c r="G2149">
        <v>6.69</v>
      </c>
      <c r="H2149">
        <v>6.7</v>
      </c>
      <c r="I2149" t="s">
        <v>4083</v>
      </c>
      <c r="J2149">
        <v>0.93</v>
      </c>
      <c r="K2149">
        <v>0.93</v>
      </c>
      <c r="L2149">
        <v>6.56</v>
      </c>
      <c r="M2149">
        <v>6.7</v>
      </c>
      <c r="N2149">
        <v>6.54</v>
      </c>
    </row>
    <row r="2150" spans="1:14" x14ac:dyDescent="0.5">
      <c r="A2150" t="str">
        <f>"600015"</f>
        <v>600015</v>
      </c>
      <c r="B2150" t="s">
        <v>4084</v>
      </c>
      <c r="C2150">
        <v>-0.35</v>
      </c>
      <c r="D2150">
        <v>6.57</v>
      </c>
      <c r="E2150">
        <v>8.52</v>
      </c>
      <c r="F2150">
        <v>-0.03</v>
      </c>
      <c r="G2150">
        <v>8.52</v>
      </c>
      <c r="H2150">
        <v>8.5299999999999994</v>
      </c>
      <c r="I2150" t="s">
        <v>4085</v>
      </c>
      <c r="J2150">
        <v>0.45</v>
      </c>
      <c r="K2150">
        <v>0.45</v>
      </c>
      <c r="L2150">
        <v>8.5</v>
      </c>
      <c r="M2150">
        <v>8.5399999999999991</v>
      </c>
      <c r="N2150">
        <v>8.44</v>
      </c>
    </row>
    <row r="2151" spans="1:14" x14ac:dyDescent="0.5">
      <c r="A2151" t="str">
        <f>"600016"</f>
        <v>600016</v>
      </c>
      <c r="B2151" t="s">
        <v>4086</v>
      </c>
      <c r="C2151">
        <v>0.15</v>
      </c>
      <c r="D2151">
        <v>5.61</v>
      </c>
      <c r="E2151">
        <v>6.75</v>
      </c>
      <c r="F2151">
        <v>0.01</v>
      </c>
      <c r="G2151">
        <v>6.74</v>
      </c>
      <c r="H2151">
        <v>6.75</v>
      </c>
      <c r="I2151" t="s">
        <v>4087</v>
      </c>
      <c r="J2151">
        <v>0.42</v>
      </c>
      <c r="K2151">
        <v>0.42</v>
      </c>
      <c r="L2151">
        <v>6.72</v>
      </c>
      <c r="M2151">
        <v>6.76</v>
      </c>
      <c r="N2151">
        <v>6.69</v>
      </c>
    </row>
    <row r="2152" spans="1:14" x14ac:dyDescent="0.5">
      <c r="A2152" t="str">
        <f>"600017"</f>
        <v>600017</v>
      </c>
      <c r="B2152" t="s">
        <v>4088</v>
      </c>
      <c r="C2152">
        <v>0.91</v>
      </c>
      <c r="D2152">
        <v>17.55</v>
      </c>
      <c r="E2152">
        <v>3.32</v>
      </c>
      <c r="F2152">
        <v>0.03</v>
      </c>
      <c r="G2152">
        <v>3.31</v>
      </c>
      <c r="H2152">
        <v>3.32</v>
      </c>
      <c r="I2152" t="s">
        <v>4089</v>
      </c>
      <c r="J2152">
        <v>0.93</v>
      </c>
      <c r="K2152">
        <v>0.93</v>
      </c>
      <c r="L2152">
        <v>3.28</v>
      </c>
      <c r="M2152">
        <v>3.33</v>
      </c>
      <c r="N2152">
        <v>3.25</v>
      </c>
    </row>
    <row r="2153" spans="1:14" x14ac:dyDescent="0.5">
      <c r="A2153" t="str">
        <f>"600018"</f>
        <v>600018</v>
      </c>
      <c r="B2153" t="s">
        <v>4090</v>
      </c>
      <c r="C2153">
        <v>1.81</v>
      </c>
      <c r="D2153">
        <v>11.78</v>
      </c>
      <c r="E2153">
        <v>6.18</v>
      </c>
      <c r="F2153">
        <v>0.11</v>
      </c>
      <c r="G2153">
        <v>6.18</v>
      </c>
      <c r="H2153">
        <v>6.19</v>
      </c>
      <c r="I2153" t="s">
        <v>4091</v>
      </c>
      <c r="J2153">
        <v>0.13</v>
      </c>
      <c r="K2153">
        <v>0.13</v>
      </c>
      <c r="L2153">
        <v>6.08</v>
      </c>
      <c r="M2153">
        <v>6.24</v>
      </c>
      <c r="N2153">
        <v>6.02</v>
      </c>
    </row>
    <row r="2154" spans="1:14" x14ac:dyDescent="0.5">
      <c r="A2154" t="str">
        <f>"600019"</f>
        <v>600019</v>
      </c>
      <c r="B2154" t="s">
        <v>4092</v>
      </c>
      <c r="C2154">
        <v>0.13</v>
      </c>
      <c r="D2154">
        <v>7.29</v>
      </c>
      <c r="E2154">
        <v>7.71</v>
      </c>
      <c r="F2154">
        <v>0.01</v>
      </c>
      <c r="G2154">
        <v>7.71</v>
      </c>
      <c r="H2154">
        <v>7.72</v>
      </c>
      <c r="I2154" t="s">
        <v>4093</v>
      </c>
      <c r="J2154">
        <v>0.24</v>
      </c>
      <c r="K2154">
        <v>0.24</v>
      </c>
      <c r="L2154">
        <v>7.69</v>
      </c>
      <c r="M2154">
        <v>7.72</v>
      </c>
      <c r="N2154">
        <v>7.64</v>
      </c>
    </row>
    <row r="2155" spans="1:14" x14ac:dyDescent="0.5">
      <c r="A2155" t="str">
        <f>"600020"</f>
        <v>600020</v>
      </c>
      <c r="B2155" t="s">
        <v>4094</v>
      </c>
      <c r="C2155">
        <v>6.33</v>
      </c>
      <c r="D2155">
        <v>10.19</v>
      </c>
      <c r="E2155">
        <v>5.21</v>
      </c>
      <c r="F2155">
        <v>0.31</v>
      </c>
      <c r="G2155">
        <v>5.21</v>
      </c>
      <c r="H2155">
        <v>5.22</v>
      </c>
      <c r="I2155" t="s">
        <v>4095</v>
      </c>
      <c r="J2155">
        <v>4.79</v>
      </c>
      <c r="K2155">
        <v>4.79</v>
      </c>
      <c r="L2155">
        <v>4.8499999999999996</v>
      </c>
      <c r="M2155">
        <v>5.27</v>
      </c>
      <c r="N2155">
        <v>4.82</v>
      </c>
    </row>
    <row r="2156" spans="1:14" x14ac:dyDescent="0.5">
      <c r="A2156" t="str">
        <f>"600021"</f>
        <v>600021</v>
      </c>
      <c r="B2156" t="s">
        <v>4096</v>
      </c>
      <c r="C2156">
        <v>-0.33</v>
      </c>
      <c r="D2156">
        <v>21.51</v>
      </c>
      <c r="E2156">
        <v>9.0500000000000007</v>
      </c>
      <c r="F2156">
        <v>-0.03</v>
      </c>
      <c r="G2156">
        <v>9.0500000000000007</v>
      </c>
      <c r="H2156">
        <v>9.06</v>
      </c>
      <c r="I2156" t="s">
        <v>4097</v>
      </c>
      <c r="J2156">
        <v>1.08</v>
      </c>
      <c r="K2156">
        <v>1.08</v>
      </c>
      <c r="L2156">
        <v>9.07</v>
      </c>
      <c r="M2156">
        <v>9.15</v>
      </c>
      <c r="N2156">
        <v>8.9499999999999993</v>
      </c>
    </row>
    <row r="2157" spans="1:14" x14ac:dyDescent="0.5">
      <c r="A2157" t="str">
        <f>"600022"</f>
        <v>600022</v>
      </c>
      <c r="B2157" t="s">
        <v>4098</v>
      </c>
      <c r="C2157">
        <v>-0.52</v>
      </c>
      <c r="D2157">
        <v>6.39</v>
      </c>
      <c r="E2157">
        <v>1.92</v>
      </c>
      <c r="F2157">
        <v>-0.01</v>
      </c>
      <c r="G2157">
        <v>1.92</v>
      </c>
      <c r="H2157">
        <v>1.93</v>
      </c>
      <c r="I2157" t="s">
        <v>4099</v>
      </c>
      <c r="J2157">
        <v>1.55</v>
      </c>
      <c r="K2157">
        <v>1.55</v>
      </c>
      <c r="L2157">
        <v>1.91</v>
      </c>
      <c r="M2157">
        <v>1.93</v>
      </c>
      <c r="N2157">
        <v>1.89</v>
      </c>
    </row>
    <row r="2158" spans="1:14" x14ac:dyDescent="0.5">
      <c r="A2158" t="str">
        <f>"600023"</f>
        <v>600023</v>
      </c>
      <c r="B2158" t="s">
        <v>4100</v>
      </c>
      <c r="C2158">
        <v>0.21</v>
      </c>
      <c r="D2158">
        <v>15.05</v>
      </c>
      <c r="E2158">
        <v>4.88</v>
      </c>
      <c r="F2158">
        <v>0.01</v>
      </c>
      <c r="G2158">
        <v>4.88</v>
      </c>
      <c r="H2158">
        <v>4.8899999999999997</v>
      </c>
      <c r="I2158" t="s">
        <v>4101</v>
      </c>
      <c r="J2158">
        <v>0.17</v>
      </c>
      <c r="K2158">
        <v>0.17</v>
      </c>
      <c r="L2158">
        <v>4.8600000000000003</v>
      </c>
      <c r="M2158">
        <v>4.9000000000000004</v>
      </c>
      <c r="N2158">
        <v>4.83</v>
      </c>
    </row>
    <row r="2159" spans="1:14" x14ac:dyDescent="0.5">
      <c r="A2159" t="str">
        <f>"600025"</f>
        <v>600025</v>
      </c>
      <c r="B2159" t="s">
        <v>4102</v>
      </c>
      <c r="C2159">
        <v>1.95</v>
      </c>
      <c r="D2159">
        <v>22.79</v>
      </c>
      <c r="E2159">
        <v>3.66</v>
      </c>
      <c r="F2159">
        <v>7.0000000000000007E-2</v>
      </c>
      <c r="G2159">
        <v>3.66</v>
      </c>
      <c r="H2159">
        <v>3.67</v>
      </c>
      <c r="I2159" t="s">
        <v>4103</v>
      </c>
      <c r="J2159">
        <v>0.56000000000000005</v>
      </c>
      <c r="K2159">
        <v>0.56000000000000005</v>
      </c>
      <c r="L2159">
        <v>3.6</v>
      </c>
      <c r="M2159">
        <v>3.67</v>
      </c>
      <c r="N2159">
        <v>3.58</v>
      </c>
    </row>
    <row r="2160" spans="1:14" x14ac:dyDescent="0.5">
      <c r="A2160" t="str">
        <f>"600026"</f>
        <v>600026</v>
      </c>
      <c r="B2160" t="s">
        <v>4104</v>
      </c>
      <c r="C2160">
        <v>0.17</v>
      </c>
      <c r="D2160">
        <v>96.29</v>
      </c>
      <c r="E2160">
        <v>5.92</v>
      </c>
      <c r="F2160">
        <v>0.01</v>
      </c>
      <c r="G2160">
        <v>5.91</v>
      </c>
      <c r="H2160">
        <v>5.92</v>
      </c>
      <c r="I2160" t="s">
        <v>4105</v>
      </c>
      <c r="J2160">
        <v>1.06</v>
      </c>
      <c r="K2160">
        <v>1.06</v>
      </c>
      <c r="L2160">
        <v>5.92</v>
      </c>
      <c r="M2160">
        <v>5.99</v>
      </c>
      <c r="N2160">
        <v>5.85</v>
      </c>
    </row>
    <row r="2161" spans="1:14" x14ac:dyDescent="0.5">
      <c r="A2161" t="str">
        <f>"600027"</f>
        <v>600027</v>
      </c>
      <c r="B2161" t="s">
        <v>4106</v>
      </c>
      <c r="C2161">
        <v>2.8</v>
      </c>
      <c r="D2161">
        <v>19.88</v>
      </c>
      <c r="E2161">
        <v>4.78</v>
      </c>
      <c r="F2161">
        <v>0.13</v>
      </c>
      <c r="G2161">
        <v>4.7699999999999996</v>
      </c>
      <c r="H2161">
        <v>4.78</v>
      </c>
      <c r="I2161" t="s">
        <v>4107</v>
      </c>
      <c r="J2161">
        <v>1.69</v>
      </c>
      <c r="K2161">
        <v>1.69</v>
      </c>
      <c r="L2161">
        <v>4.9000000000000004</v>
      </c>
      <c r="M2161">
        <v>4.99</v>
      </c>
      <c r="N2161">
        <v>4.66</v>
      </c>
    </row>
    <row r="2162" spans="1:14" x14ac:dyDescent="0.5">
      <c r="A2162" t="str">
        <f>"600028"</f>
        <v>600028</v>
      </c>
      <c r="B2162" t="s">
        <v>4108</v>
      </c>
      <c r="C2162">
        <v>-0.33</v>
      </c>
      <c r="D2162">
        <v>10.119999999999999</v>
      </c>
      <c r="E2162">
        <v>6.09</v>
      </c>
      <c r="F2162">
        <v>-0.02</v>
      </c>
      <c r="G2162">
        <v>6.09</v>
      </c>
      <c r="H2162">
        <v>6.1</v>
      </c>
      <c r="I2162" t="s">
        <v>4109</v>
      </c>
      <c r="J2162">
        <v>0.18</v>
      </c>
      <c r="K2162">
        <v>0.18</v>
      </c>
      <c r="L2162">
        <v>6.11</v>
      </c>
      <c r="M2162">
        <v>6.11</v>
      </c>
      <c r="N2162">
        <v>6.04</v>
      </c>
    </row>
    <row r="2163" spans="1:14" x14ac:dyDescent="0.5">
      <c r="A2163" t="str">
        <f>"600029"</f>
        <v>600029</v>
      </c>
      <c r="B2163" t="s">
        <v>4110</v>
      </c>
      <c r="C2163">
        <v>0.95</v>
      </c>
      <c r="D2163">
        <v>33.869999999999997</v>
      </c>
      <c r="E2163">
        <v>8.5</v>
      </c>
      <c r="F2163">
        <v>0.08</v>
      </c>
      <c r="G2163">
        <v>8.5</v>
      </c>
      <c r="H2163">
        <v>8.51</v>
      </c>
      <c r="I2163" t="s">
        <v>4111</v>
      </c>
      <c r="J2163">
        <v>1.1200000000000001</v>
      </c>
      <c r="K2163">
        <v>1.1200000000000001</v>
      </c>
      <c r="L2163">
        <v>8.4</v>
      </c>
      <c r="M2163">
        <v>8.56</v>
      </c>
      <c r="N2163">
        <v>8.2100000000000009</v>
      </c>
    </row>
    <row r="2164" spans="1:14" x14ac:dyDescent="0.5">
      <c r="A2164" t="str">
        <f>"600030"</f>
        <v>600030</v>
      </c>
      <c r="B2164" t="s">
        <v>4112</v>
      </c>
      <c r="C2164">
        <v>1.27</v>
      </c>
      <c r="D2164">
        <v>27.39</v>
      </c>
      <c r="E2164">
        <v>24.8</v>
      </c>
      <c r="F2164">
        <v>0.31</v>
      </c>
      <c r="G2164">
        <v>24.8</v>
      </c>
      <c r="H2164">
        <v>24.81</v>
      </c>
      <c r="I2164" t="s">
        <v>4113</v>
      </c>
      <c r="J2164">
        <v>3.21</v>
      </c>
      <c r="K2164">
        <v>3.21</v>
      </c>
      <c r="L2164">
        <v>24.65</v>
      </c>
      <c r="M2164">
        <v>24.98</v>
      </c>
      <c r="N2164">
        <v>24.18</v>
      </c>
    </row>
    <row r="2165" spans="1:14" x14ac:dyDescent="0.5">
      <c r="A2165" t="str">
        <f>"600031"</f>
        <v>600031</v>
      </c>
      <c r="B2165" t="s">
        <v>4114</v>
      </c>
      <c r="C2165">
        <v>-0.52</v>
      </c>
      <c r="D2165">
        <v>16.170000000000002</v>
      </c>
      <c r="E2165">
        <v>11.48</v>
      </c>
      <c r="F2165">
        <v>-0.06</v>
      </c>
      <c r="G2165">
        <v>11.48</v>
      </c>
      <c r="H2165">
        <v>11.49</v>
      </c>
      <c r="I2165" t="s">
        <v>4115</v>
      </c>
      <c r="J2165">
        <v>2.13</v>
      </c>
      <c r="K2165">
        <v>2.13</v>
      </c>
      <c r="L2165">
        <v>11.54</v>
      </c>
      <c r="M2165">
        <v>11.72</v>
      </c>
      <c r="N2165">
        <v>11.28</v>
      </c>
    </row>
    <row r="2166" spans="1:14" x14ac:dyDescent="0.5">
      <c r="A2166" t="str">
        <f>"600033"</f>
        <v>600033</v>
      </c>
      <c r="B2166" t="s">
        <v>4116</v>
      </c>
      <c r="C2166">
        <v>0.3</v>
      </c>
      <c r="D2166">
        <v>13.62</v>
      </c>
      <c r="E2166">
        <v>3.38</v>
      </c>
      <c r="F2166">
        <v>0.01</v>
      </c>
      <c r="G2166">
        <v>3.38</v>
      </c>
      <c r="H2166">
        <v>3.39</v>
      </c>
      <c r="I2166" t="s">
        <v>4117</v>
      </c>
      <c r="J2166">
        <v>0.39</v>
      </c>
      <c r="K2166">
        <v>0.39</v>
      </c>
      <c r="L2166">
        <v>3.38</v>
      </c>
      <c r="M2166">
        <v>3.38</v>
      </c>
      <c r="N2166">
        <v>3.35</v>
      </c>
    </row>
    <row r="2167" spans="1:14" x14ac:dyDescent="0.5">
      <c r="A2167" t="str">
        <f>"600035"</f>
        <v>600035</v>
      </c>
      <c r="B2167" t="s">
        <v>4118</v>
      </c>
      <c r="C2167">
        <v>2.33</v>
      </c>
      <c r="D2167">
        <v>10.07</v>
      </c>
      <c r="E2167">
        <v>3.52</v>
      </c>
      <c r="F2167">
        <v>0.08</v>
      </c>
      <c r="G2167">
        <v>3.51</v>
      </c>
      <c r="H2167">
        <v>3.52</v>
      </c>
      <c r="I2167" t="s">
        <v>4119</v>
      </c>
      <c r="J2167">
        <v>1.1100000000000001</v>
      </c>
      <c r="K2167">
        <v>1.1100000000000001</v>
      </c>
      <c r="L2167">
        <v>3.44</v>
      </c>
      <c r="M2167">
        <v>3.52</v>
      </c>
      <c r="N2167">
        <v>3.41</v>
      </c>
    </row>
    <row r="2168" spans="1:14" x14ac:dyDescent="0.5">
      <c r="A2168" t="str">
        <f>"600036"</f>
        <v>600036</v>
      </c>
      <c r="B2168" t="s">
        <v>4120</v>
      </c>
      <c r="C2168">
        <v>-1.04</v>
      </c>
      <c r="D2168">
        <v>10.54</v>
      </c>
      <c r="E2168">
        <v>32.35</v>
      </c>
      <c r="F2168">
        <v>-0.34</v>
      </c>
      <c r="G2168">
        <v>32.340000000000003</v>
      </c>
      <c r="H2168">
        <v>32.35</v>
      </c>
      <c r="I2168" t="s">
        <v>4121</v>
      </c>
      <c r="J2168">
        <v>0.33</v>
      </c>
      <c r="K2168">
        <v>0.33</v>
      </c>
      <c r="L2168">
        <v>32.86</v>
      </c>
      <c r="M2168">
        <v>32.86</v>
      </c>
      <c r="N2168">
        <v>32.1</v>
      </c>
    </row>
    <row r="2169" spans="1:14" x14ac:dyDescent="0.5">
      <c r="A2169" t="str">
        <f>"600037"</f>
        <v>600037</v>
      </c>
      <c r="B2169" t="s">
        <v>4122</v>
      </c>
      <c r="C2169">
        <v>1.28</v>
      </c>
      <c r="D2169">
        <v>22.09</v>
      </c>
      <c r="E2169">
        <v>11.87</v>
      </c>
      <c r="F2169">
        <v>0.15</v>
      </c>
      <c r="G2169">
        <v>11.86</v>
      </c>
      <c r="H2169">
        <v>11.87</v>
      </c>
      <c r="I2169" t="s">
        <v>4123</v>
      </c>
      <c r="J2169">
        <v>2.39</v>
      </c>
      <c r="K2169">
        <v>2.39</v>
      </c>
      <c r="L2169">
        <v>11.78</v>
      </c>
      <c r="M2169">
        <v>12.13</v>
      </c>
      <c r="N2169">
        <v>11.6</v>
      </c>
    </row>
    <row r="2170" spans="1:14" x14ac:dyDescent="0.5">
      <c r="A2170" t="str">
        <f>"600038"</f>
        <v>600038</v>
      </c>
      <c r="B2170" t="s">
        <v>4124</v>
      </c>
      <c r="C2170">
        <v>0.74</v>
      </c>
      <c r="D2170">
        <v>56.45</v>
      </c>
      <c r="E2170">
        <v>47.54</v>
      </c>
      <c r="F2170">
        <v>0.35</v>
      </c>
      <c r="G2170">
        <v>47.54</v>
      </c>
      <c r="H2170">
        <v>47.55</v>
      </c>
      <c r="I2170" t="s">
        <v>4125</v>
      </c>
      <c r="J2170">
        <v>1.55</v>
      </c>
      <c r="K2170">
        <v>1.55</v>
      </c>
      <c r="L2170">
        <v>47.19</v>
      </c>
      <c r="M2170">
        <v>47.57</v>
      </c>
      <c r="N2170">
        <v>46.45</v>
      </c>
    </row>
    <row r="2171" spans="1:14" x14ac:dyDescent="0.5">
      <c r="A2171" t="str">
        <f>"600039"</f>
        <v>600039</v>
      </c>
      <c r="B2171" t="s">
        <v>4126</v>
      </c>
      <c r="C2171">
        <v>1.05</v>
      </c>
      <c r="D2171">
        <v>11.4</v>
      </c>
      <c r="E2171">
        <v>3.84</v>
      </c>
      <c r="F2171">
        <v>0.04</v>
      </c>
      <c r="G2171">
        <v>3.84</v>
      </c>
      <c r="H2171">
        <v>3.85</v>
      </c>
      <c r="I2171" t="s">
        <v>4127</v>
      </c>
      <c r="J2171">
        <v>1.61</v>
      </c>
      <c r="K2171">
        <v>1.61</v>
      </c>
      <c r="L2171">
        <v>3.78</v>
      </c>
      <c r="M2171">
        <v>3.89</v>
      </c>
      <c r="N2171">
        <v>3.75</v>
      </c>
    </row>
    <row r="2172" spans="1:14" x14ac:dyDescent="0.5">
      <c r="A2172" t="str">
        <f>"600048"</f>
        <v>600048</v>
      </c>
      <c r="B2172" t="s">
        <v>4128</v>
      </c>
      <c r="C2172">
        <v>1.87</v>
      </c>
      <c r="D2172">
        <v>9.3699999999999992</v>
      </c>
      <c r="E2172">
        <v>14.16</v>
      </c>
      <c r="F2172">
        <v>0.26</v>
      </c>
      <c r="G2172">
        <v>14.16</v>
      </c>
      <c r="H2172">
        <v>14.17</v>
      </c>
      <c r="I2172" t="s">
        <v>4129</v>
      </c>
      <c r="J2172">
        <v>1.53</v>
      </c>
      <c r="K2172">
        <v>1.53</v>
      </c>
      <c r="L2172">
        <v>13.9</v>
      </c>
      <c r="M2172">
        <v>14.42</v>
      </c>
      <c r="N2172">
        <v>13.8</v>
      </c>
    </row>
    <row r="2173" spans="1:14" x14ac:dyDescent="0.5">
      <c r="A2173" t="str">
        <f>"600050"</f>
        <v>600050</v>
      </c>
      <c r="B2173" t="s">
        <v>4130</v>
      </c>
      <c r="C2173">
        <v>4.26</v>
      </c>
      <c r="D2173">
        <v>78.650000000000006</v>
      </c>
      <c r="E2173">
        <v>6.85</v>
      </c>
      <c r="F2173">
        <v>0.28000000000000003</v>
      </c>
      <c r="G2173">
        <v>6.84</v>
      </c>
      <c r="H2173">
        <v>6.85</v>
      </c>
      <c r="I2173" t="s">
        <v>4131</v>
      </c>
      <c r="J2173">
        <v>2.13</v>
      </c>
      <c r="K2173">
        <v>2.13</v>
      </c>
      <c r="L2173">
        <v>6.57</v>
      </c>
      <c r="M2173">
        <v>6.88</v>
      </c>
      <c r="N2173">
        <v>6.5</v>
      </c>
    </row>
    <row r="2174" spans="1:14" x14ac:dyDescent="0.5">
      <c r="A2174" t="str">
        <f>"600051"</f>
        <v>600051</v>
      </c>
      <c r="B2174" t="s">
        <v>4132</v>
      </c>
      <c r="C2174">
        <v>1.23</v>
      </c>
      <c r="D2174">
        <v>4.38</v>
      </c>
      <c r="E2174">
        <v>6.56</v>
      </c>
      <c r="F2174">
        <v>0.08</v>
      </c>
      <c r="G2174">
        <v>6.55</v>
      </c>
      <c r="H2174">
        <v>6.56</v>
      </c>
      <c r="I2174" t="s">
        <v>4133</v>
      </c>
      <c r="J2174">
        <v>1.68</v>
      </c>
      <c r="K2174">
        <v>1.68</v>
      </c>
      <c r="L2174">
        <v>6.43</v>
      </c>
      <c r="M2174">
        <v>6.57</v>
      </c>
      <c r="N2174">
        <v>6.42</v>
      </c>
    </row>
    <row r="2175" spans="1:14" x14ac:dyDescent="0.5">
      <c r="A2175" t="str">
        <f>"600052"</f>
        <v>600052</v>
      </c>
      <c r="B2175" t="s">
        <v>4134</v>
      </c>
      <c r="C2175">
        <v>2.0499999999999998</v>
      </c>
      <c r="D2175">
        <v>11.54</v>
      </c>
      <c r="E2175">
        <v>3.49</v>
      </c>
      <c r="F2175">
        <v>7.0000000000000007E-2</v>
      </c>
      <c r="G2175">
        <v>3.48</v>
      </c>
      <c r="H2175">
        <v>3.49</v>
      </c>
      <c r="I2175" t="s">
        <v>3375</v>
      </c>
      <c r="J2175">
        <v>0.97</v>
      </c>
      <c r="K2175">
        <v>0.97</v>
      </c>
      <c r="L2175">
        <v>3.42</v>
      </c>
      <c r="M2175">
        <v>3.53</v>
      </c>
      <c r="N2175">
        <v>3.42</v>
      </c>
    </row>
    <row r="2176" spans="1:14" x14ac:dyDescent="0.5">
      <c r="A2176" t="str">
        <f>"600053"</f>
        <v>600053</v>
      </c>
      <c r="B2176" t="s">
        <v>4135</v>
      </c>
      <c r="C2176">
        <v>4.83</v>
      </c>
      <c r="D2176">
        <v>32.479999999999997</v>
      </c>
      <c r="E2176">
        <v>28.65</v>
      </c>
      <c r="F2176">
        <v>1.32</v>
      </c>
      <c r="G2176">
        <v>28.65</v>
      </c>
      <c r="H2176">
        <v>28.66</v>
      </c>
      <c r="I2176" t="s">
        <v>4136</v>
      </c>
      <c r="J2176">
        <v>3.26</v>
      </c>
      <c r="K2176">
        <v>3.26</v>
      </c>
      <c r="L2176">
        <v>27.5</v>
      </c>
      <c r="M2176">
        <v>29.1</v>
      </c>
      <c r="N2176">
        <v>26.76</v>
      </c>
    </row>
    <row r="2177" spans="1:14" x14ac:dyDescent="0.5">
      <c r="A2177" t="str">
        <f>"600054"</f>
        <v>600054</v>
      </c>
      <c r="B2177" t="s">
        <v>4137</v>
      </c>
      <c r="C2177">
        <v>0.56000000000000005</v>
      </c>
      <c r="D2177">
        <v>16.079999999999998</v>
      </c>
      <c r="E2177">
        <v>10.7</v>
      </c>
      <c r="F2177">
        <v>0.06</v>
      </c>
      <c r="G2177">
        <v>10.7</v>
      </c>
      <c r="H2177">
        <v>10.71</v>
      </c>
      <c r="I2177" t="s">
        <v>4138</v>
      </c>
      <c r="J2177">
        <v>1.57</v>
      </c>
      <c r="K2177">
        <v>1.57</v>
      </c>
      <c r="L2177">
        <v>10.61</v>
      </c>
      <c r="M2177">
        <v>10.71</v>
      </c>
      <c r="N2177">
        <v>10.58</v>
      </c>
    </row>
    <row r="2178" spans="1:14" x14ac:dyDescent="0.5">
      <c r="A2178" t="str">
        <f>"600055"</f>
        <v>600055</v>
      </c>
      <c r="B2178" t="s">
        <v>4139</v>
      </c>
      <c r="C2178">
        <v>0.08</v>
      </c>
      <c r="D2178">
        <v>51.75</v>
      </c>
      <c r="E2178">
        <v>13.11</v>
      </c>
      <c r="F2178">
        <v>0.01</v>
      </c>
      <c r="G2178">
        <v>13.11</v>
      </c>
      <c r="H2178">
        <v>13.12</v>
      </c>
      <c r="I2178" t="s">
        <v>4140</v>
      </c>
      <c r="J2178">
        <v>0.84</v>
      </c>
      <c r="K2178">
        <v>0.84</v>
      </c>
      <c r="L2178">
        <v>12.95</v>
      </c>
      <c r="M2178">
        <v>13.13</v>
      </c>
      <c r="N2178">
        <v>12.79</v>
      </c>
    </row>
    <row r="2179" spans="1:14" x14ac:dyDescent="0.5">
      <c r="A2179" t="str">
        <f>"600056"</f>
        <v>600056</v>
      </c>
      <c r="B2179" t="s">
        <v>4141</v>
      </c>
      <c r="C2179">
        <v>0.52</v>
      </c>
      <c r="D2179">
        <v>10.68</v>
      </c>
      <c r="E2179">
        <v>15.57</v>
      </c>
      <c r="F2179">
        <v>0.08</v>
      </c>
      <c r="G2179">
        <v>15.57</v>
      </c>
      <c r="H2179">
        <v>15.58</v>
      </c>
      <c r="I2179" t="s">
        <v>4142</v>
      </c>
      <c r="J2179">
        <v>1.67</v>
      </c>
      <c r="K2179">
        <v>1.67</v>
      </c>
      <c r="L2179">
        <v>15.41</v>
      </c>
      <c r="M2179">
        <v>15.64</v>
      </c>
      <c r="N2179">
        <v>15.35</v>
      </c>
    </row>
    <row r="2180" spans="1:14" x14ac:dyDescent="0.5">
      <c r="A2180" t="str">
        <f>"600057"</f>
        <v>600057</v>
      </c>
      <c r="B2180" t="s">
        <v>4143</v>
      </c>
      <c r="C2180">
        <v>1.04</v>
      </c>
      <c r="D2180">
        <v>9.89</v>
      </c>
      <c r="E2180">
        <v>4.8499999999999996</v>
      </c>
      <c r="F2180">
        <v>0.05</v>
      </c>
      <c r="G2180">
        <v>4.84</v>
      </c>
      <c r="H2180">
        <v>4.8499999999999996</v>
      </c>
      <c r="I2180" t="s">
        <v>1781</v>
      </c>
      <c r="J2180">
        <v>0.79</v>
      </c>
      <c r="K2180">
        <v>0.79</v>
      </c>
      <c r="L2180">
        <v>4.8099999999999996</v>
      </c>
      <c r="M2180">
        <v>4.8499999999999996</v>
      </c>
      <c r="N2180">
        <v>4.7699999999999996</v>
      </c>
    </row>
    <row r="2181" spans="1:14" x14ac:dyDescent="0.5">
      <c r="A2181" t="str">
        <f>"600058"</f>
        <v>600058</v>
      </c>
      <c r="B2181" t="s">
        <v>4144</v>
      </c>
      <c r="C2181">
        <v>0.99</v>
      </c>
      <c r="D2181" t="s">
        <v>24</v>
      </c>
      <c r="E2181">
        <v>8.19</v>
      </c>
      <c r="F2181">
        <v>0.08</v>
      </c>
      <c r="G2181">
        <v>8.19</v>
      </c>
      <c r="H2181">
        <v>8.1999999999999993</v>
      </c>
      <c r="I2181" t="s">
        <v>4145</v>
      </c>
      <c r="J2181">
        <v>0.56999999999999995</v>
      </c>
      <c r="K2181">
        <v>0.56999999999999995</v>
      </c>
      <c r="L2181">
        <v>8.06</v>
      </c>
      <c r="M2181">
        <v>8.2100000000000009</v>
      </c>
      <c r="N2181">
        <v>8.02</v>
      </c>
    </row>
    <row r="2182" spans="1:14" x14ac:dyDescent="0.5">
      <c r="A2182" t="str">
        <f>"600059"</f>
        <v>600059</v>
      </c>
      <c r="B2182" t="s">
        <v>4146</v>
      </c>
      <c r="C2182">
        <v>0.52</v>
      </c>
      <c r="D2182">
        <v>34.619999999999997</v>
      </c>
      <c r="E2182">
        <v>7.77</v>
      </c>
      <c r="F2182">
        <v>0.04</v>
      </c>
      <c r="G2182">
        <v>7.76</v>
      </c>
      <c r="H2182">
        <v>7.77</v>
      </c>
      <c r="I2182" t="s">
        <v>4147</v>
      </c>
      <c r="J2182">
        <v>0.67</v>
      </c>
      <c r="K2182">
        <v>0.67</v>
      </c>
      <c r="L2182">
        <v>7.73</v>
      </c>
      <c r="M2182">
        <v>7.77</v>
      </c>
      <c r="N2182">
        <v>7.66</v>
      </c>
    </row>
    <row r="2183" spans="1:14" x14ac:dyDescent="0.5">
      <c r="A2183" t="str">
        <f>"600060"</f>
        <v>600060</v>
      </c>
      <c r="B2183" t="s">
        <v>4148</v>
      </c>
      <c r="C2183">
        <v>10.039999999999999</v>
      </c>
      <c r="D2183">
        <v>17.95</v>
      </c>
      <c r="E2183">
        <v>11.73</v>
      </c>
      <c r="F2183">
        <v>1.07</v>
      </c>
      <c r="G2183">
        <v>11.73</v>
      </c>
      <c r="H2183" t="s">
        <v>24</v>
      </c>
      <c r="I2183" t="s">
        <v>4149</v>
      </c>
      <c r="J2183">
        <v>5.04</v>
      </c>
      <c r="K2183">
        <v>5.04</v>
      </c>
      <c r="L2183">
        <v>11.6</v>
      </c>
      <c r="M2183">
        <v>11.73</v>
      </c>
      <c r="N2183">
        <v>11.39</v>
      </c>
    </row>
    <row r="2184" spans="1:14" x14ac:dyDescent="0.5">
      <c r="A2184" t="str">
        <f>"600061"</f>
        <v>600061</v>
      </c>
      <c r="B2184" t="s">
        <v>4150</v>
      </c>
      <c r="C2184">
        <v>-0.15</v>
      </c>
      <c r="D2184">
        <v>31.82</v>
      </c>
      <c r="E2184">
        <v>13.53</v>
      </c>
      <c r="F2184">
        <v>-0.02</v>
      </c>
      <c r="G2184">
        <v>13.53</v>
      </c>
      <c r="H2184">
        <v>13.54</v>
      </c>
      <c r="I2184" t="s">
        <v>4151</v>
      </c>
      <c r="J2184">
        <v>0.87</v>
      </c>
      <c r="K2184">
        <v>0.87</v>
      </c>
      <c r="L2184">
        <v>13.2</v>
      </c>
      <c r="M2184">
        <v>13.6</v>
      </c>
      <c r="N2184">
        <v>13.06</v>
      </c>
    </row>
    <row r="2185" spans="1:14" x14ac:dyDescent="0.5">
      <c r="A2185" t="str">
        <f>"600062"</f>
        <v>600062</v>
      </c>
      <c r="B2185" t="s">
        <v>4152</v>
      </c>
      <c r="C2185">
        <v>2.2599999999999998</v>
      </c>
      <c r="D2185">
        <v>14.42</v>
      </c>
      <c r="E2185">
        <v>13.57</v>
      </c>
      <c r="F2185">
        <v>0.3</v>
      </c>
      <c r="G2185">
        <v>13.56</v>
      </c>
      <c r="H2185">
        <v>13.57</v>
      </c>
      <c r="I2185" t="s">
        <v>4153</v>
      </c>
      <c r="J2185">
        <v>2.5099999999999998</v>
      </c>
      <c r="K2185">
        <v>2.5099999999999998</v>
      </c>
      <c r="L2185">
        <v>13.28</v>
      </c>
      <c r="M2185">
        <v>13.57</v>
      </c>
      <c r="N2185">
        <v>13.21</v>
      </c>
    </row>
    <row r="2186" spans="1:14" x14ac:dyDescent="0.5">
      <c r="A2186" t="str">
        <f>"600063"</f>
        <v>600063</v>
      </c>
      <c r="B2186" t="s">
        <v>4154</v>
      </c>
      <c r="C2186">
        <v>1.26</v>
      </c>
      <c r="D2186">
        <v>54.1</v>
      </c>
      <c r="E2186">
        <v>3.21</v>
      </c>
      <c r="F2186">
        <v>0.04</v>
      </c>
      <c r="G2186">
        <v>3.21</v>
      </c>
      <c r="H2186">
        <v>3.22</v>
      </c>
      <c r="I2186" t="s">
        <v>4155</v>
      </c>
      <c r="J2186">
        <v>1.44</v>
      </c>
      <c r="K2186">
        <v>1.44</v>
      </c>
      <c r="L2186">
        <v>3.16</v>
      </c>
      <c r="M2186">
        <v>3.24</v>
      </c>
      <c r="N2186">
        <v>3.11</v>
      </c>
    </row>
    <row r="2187" spans="1:14" x14ac:dyDescent="0.5">
      <c r="A2187" t="str">
        <f>"600064"</f>
        <v>600064</v>
      </c>
      <c r="B2187" t="s">
        <v>4156</v>
      </c>
      <c r="C2187">
        <v>5.55</v>
      </c>
      <c r="D2187">
        <v>9.34</v>
      </c>
      <c r="E2187">
        <v>9.6999999999999993</v>
      </c>
      <c r="F2187">
        <v>0.51</v>
      </c>
      <c r="G2187">
        <v>9.69</v>
      </c>
      <c r="H2187">
        <v>9.6999999999999993</v>
      </c>
      <c r="I2187" t="s">
        <v>4157</v>
      </c>
      <c r="J2187">
        <v>4.22</v>
      </c>
      <c r="K2187">
        <v>4.22</v>
      </c>
      <c r="L2187">
        <v>9.17</v>
      </c>
      <c r="M2187">
        <v>9.83</v>
      </c>
      <c r="N2187">
        <v>9.11</v>
      </c>
    </row>
    <row r="2188" spans="1:14" x14ac:dyDescent="0.5">
      <c r="A2188" t="str">
        <f>"600066"</f>
        <v>600066</v>
      </c>
      <c r="B2188" t="s">
        <v>4158</v>
      </c>
      <c r="C2188">
        <v>-1.64</v>
      </c>
      <c r="D2188">
        <v>12.99</v>
      </c>
      <c r="E2188">
        <v>13.82</v>
      </c>
      <c r="F2188">
        <v>-0.23</v>
      </c>
      <c r="G2188">
        <v>13.82</v>
      </c>
      <c r="H2188">
        <v>13.83</v>
      </c>
      <c r="I2188" t="s">
        <v>4159</v>
      </c>
      <c r="J2188">
        <v>2.14</v>
      </c>
      <c r="K2188">
        <v>2.14</v>
      </c>
      <c r="L2188">
        <v>13.8</v>
      </c>
      <c r="M2188">
        <v>13.88</v>
      </c>
      <c r="N2188">
        <v>13.56</v>
      </c>
    </row>
    <row r="2189" spans="1:14" x14ac:dyDescent="0.5">
      <c r="A2189" t="str">
        <f>"600067"</f>
        <v>600067</v>
      </c>
      <c r="B2189" t="s">
        <v>4160</v>
      </c>
      <c r="C2189">
        <v>1.58</v>
      </c>
      <c r="D2189">
        <v>17.649999999999999</v>
      </c>
      <c r="E2189">
        <v>4.5</v>
      </c>
      <c r="F2189">
        <v>7.0000000000000007E-2</v>
      </c>
      <c r="G2189">
        <v>4.49</v>
      </c>
      <c r="H2189">
        <v>4.5</v>
      </c>
      <c r="I2189" t="s">
        <v>4161</v>
      </c>
      <c r="J2189">
        <v>0.79</v>
      </c>
      <c r="K2189">
        <v>0.79</v>
      </c>
      <c r="L2189">
        <v>4.41</v>
      </c>
      <c r="M2189">
        <v>4.51</v>
      </c>
      <c r="N2189">
        <v>4.4000000000000004</v>
      </c>
    </row>
    <row r="2190" spans="1:14" x14ac:dyDescent="0.5">
      <c r="A2190" t="str">
        <f>"600068"</f>
        <v>600068</v>
      </c>
      <c r="B2190" t="s">
        <v>4162</v>
      </c>
      <c r="C2190">
        <v>1.25</v>
      </c>
      <c r="D2190">
        <v>6.74</v>
      </c>
      <c r="E2190">
        <v>7.29</v>
      </c>
      <c r="F2190">
        <v>0.09</v>
      </c>
      <c r="G2190">
        <v>7.29</v>
      </c>
      <c r="H2190">
        <v>7.3</v>
      </c>
      <c r="I2190" t="s">
        <v>4163</v>
      </c>
      <c r="J2190">
        <v>1.65</v>
      </c>
      <c r="K2190">
        <v>1.65</v>
      </c>
      <c r="L2190">
        <v>7.2</v>
      </c>
      <c r="M2190">
        <v>7.37</v>
      </c>
      <c r="N2190">
        <v>7.13</v>
      </c>
    </row>
    <row r="2191" spans="1:14" x14ac:dyDescent="0.5">
      <c r="A2191" t="str">
        <f>"600069"</f>
        <v>600069</v>
      </c>
      <c r="B2191" t="s">
        <v>4164</v>
      </c>
      <c r="C2191">
        <v>7.39</v>
      </c>
      <c r="D2191">
        <v>105</v>
      </c>
      <c r="E2191">
        <v>3.78</v>
      </c>
      <c r="F2191">
        <v>0.26</v>
      </c>
      <c r="G2191">
        <v>3.78</v>
      </c>
      <c r="H2191">
        <v>3.79</v>
      </c>
      <c r="I2191" t="s">
        <v>4165</v>
      </c>
      <c r="J2191">
        <v>5.95</v>
      </c>
      <c r="K2191">
        <v>5.95</v>
      </c>
      <c r="L2191">
        <v>3.52</v>
      </c>
      <c r="M2191">
        <v>3.87</v>
      </c>
      <c r="N2191">
        <v>3.47</v>
      </c>
    </row>
    <row r="2192" spans="1:14" x14ac:dyDescent="0.5">
      <c r="A2192" t="str">
        <f>"600070"</f>
        <v>600070</v>
      </c>
      <c r="B2192" t="s">
        <v>4166</v>
      </c>
      <c r="C2192">
        <v>3.45</v>
      </c>
      <c r="D2192">
        <v>23.03</v>
      </c>
      <c r="E2192">
        <v>8.1</v>
      </c>
      <c r="F2192">
        <v>0.27</v>
      </c>
      <c r="G2192">
        <v>8.1</v>
      </c>
      <c r="H2192">
        <v>8.11</v>
      </c>
      <c r="I2192" t="s">
        <v>4167</v>
      </c>
      <c r="J2192">
        <v>4.3499999999999996</v>
      </c>
      <c r="K2192">
        <v>4.3499999999999996</v>
      </c>
      <c r="L2192">
        <v>7.83</v>
      </c>
      <c r="M2192">
        <v>8.1199999999999992</v>
      </c>
      <c r="N2192">
        <v>7.68</v>
      </c>
    </row>
    <row r="2193" spans="1:14" x14ac:dyDescent="0.5">
      <c r="A2193" t="str">
        <f>"600071"</f>
        <v>600071</v>
      </c>
      <c r="B2193" t="s">
        <v>4168</v>
      </c>
      <c r="C2193">
        <v>2.57</v>
      </c>
      <c r="D2193">
        <v>39.4</v>
      </c>
      <c r="E2193">
        <v>11.58</v>
      </c>
      <c r="F2193">
        <v>0.28999999999999998</v>
      </c>
      <c r="G2193">
        <v>11.57</v>
      </c>
      <c r="H2193">
        <v>11.58</v>
      </c>
      <c r="I2193" t="s">
        <v>2183</v>
      </c>
      <c r="J2193">
        <v>1.41</v>
      </c>
      <c r="K2193">
        <v>1.41</v>
      </c>
      <c r="L2193">
        <v>11.29</v>
      </c>
      <c r="M2193">
        <v>11.67</v>
      </c>
      <c r="N2193">
        <v>11.1</v>
      </c>
    </row>
    <row r="2194" spans="1:14" x14ac:dyDescent="0.5">
      <c r="A2194" t="str">
        <f>"600072"</f>
        <v>600072</v>
      </c>
      <c r="B2194" t="s">
        <v>4169</v>
      </c>
      <c r="C2194">
        <v>10.029999999999999</v>
      </c>
      <c r="D2194">
        <v>439.81</v>
      </c>
      <c r="E2194">
        <v>11.85</v>
      </c>
      <c r="F2194">
        <v>1.08</v>
      </c>
      <c r="G2194">
        <v>11.85</v>
      </c>
      <c r="H2194" t="s">
        <v>24</v>
      </c>
      <c r="I2194" t="s">
        <v>4170</v>
      </c>
      <c r="J2194">
        <v>8.3699999999999992</v>
      </c>
      <c r="K2194">
        <v>8.3699999999999992</v>
      </c>
      <c r="L2194">
        <v>10.97</v>
      </c>
      <c r="M2194">
        <v>11.85</v>
      </c>
      <c r="N2194">
        <v>10.82</v>
      </c>
    </row>
    <row r="2195" spans="1:14" x14ac:dyDescent="0.5">
      <c r="A2195" t="str">
        <f>"600073"</f>
        <v>600073</v>
      </c>
      <c r="B2195" t="s">
        <v>4171</v>
      </c>
      <c r="C2195">
        <v>1.5</v>
      </c>
      <c r="D2195">
        <v>28.01</v>
      </c>
      <c r="E2195">
        <v>8.7799999999999994</v>
      </c>
      <c r="F2195">
        <v>0.13</v>
      </c>
      <c r="G2195">
        <v>8.77</v>
      </c>
      <c r="H2195">
        <v>8.7799999999999994</v>
      </c>
      <c r="I2195" t="s">
        <v>4172</v>
      </c>
      <c r="J2195">
        <v>2.92</v>
      </c>
      <c r="K2195">
        <v>2.92</v>
      </c>
      <c r="L2195">
        <v>8.61</v>
      </c>
      <c r="M2195">
        <v>8.92</v>
      </c>
      <c r="N2195">
        <v>8.57</v>
      </c>
    </row>
    <row r="2196" spans="1:14" x14ac:dyDescent="0.5">
      <c r="A2196" t="str">
        <f>"600074"</f>
        <v>600074</v>
      </c>
      <c r="B2196" t="s">
        <v>4173</v>
      </c>
      <c r="C2196">
        <v>0</v>
      </c>
      <c r="D2196" t="s">
        <v>24</v>
      </c>
      <c r="E2196">
        <v>1.22</v>
      </c>
      <c r="F2196">
        <v>0</v>
      </c>
      <c r="G2196">
        <v>1.21</v>
      </c>
      <c r="H2196">
        <v>1.22</v>
      </c>
      <c r="I2196" t="s">
        <v>2623</v>
      </c>
      <c r="J2196">
        <v>1.72</v>
      </c>
      <c r="K2196">
        <v>1.72</v>
      </c>
      <c r="L2196">
        <v>1.21</v>
      </c>
      <c r="M2196">
        <v>1.22</v>
      </c>
      <c r="N2196">
        <v>1.2</v>
      </c>
    </row>
    <row r="2197" spans="1:14" x14ac:dyDescent="0.5">
      <c r="A2197" t="str">
        <f>"600075"</f>
        <v>600075</v>
      </c>
      <c r="B2197" t="s">
        <v>4174</v>
      </c>
      <c r="C2197">
        <v>1.32</v>
      </c>
      <c r="D2197">
        <v>14.94</v>
      </c>
      <c r="E2197">
        <v>5.39</v>
      </c>
      <c r="F2197">
        <v>7.0000000000000007E-2</v>
      </c>
      <c r="G2197">
        <v>5.38</v>
      </c>
      <c r="H2197">
        <v>5.39</v>
      </c>
      <c r="I2197" t="s">
        <v>4175</v>
      </c>
      <c r="J2197">
        <v>1.33</v>
      </c>
      <c r="K2197">
        <v>1.33</v>
      </c>
      <c r="L2197">
        <v>5.33</v>
      </c>
      <c r="M2197">
        <v>5.39</v>
      </c>
      <c r="N2197">
        <v>5.28</v>
      </c>
    </row>
    <row r="2198" spans="1:14" x14ac:dyDescent="0.5">
      <c r="A2198" t="str">
        <f>"600076"</f>
        <v>600076</v>
      </c>
      <c r="B2198" t="s">
        <v>4176</v>
      </c>
      <c r="C2198">
        <v>6.32</v>
      </c>
      <c r="D2198">
        <v>10.119999999999999</v>
      </c>
      <c r="E2198">
        <v>5.05</v>
      </c>
      <c r="F2198">
        <v>0.3</v>
      </c>
      <c r="G2198">
        <v>5.04</v>
      </c>
      <c r="H2198">
        <v>5.05</v>
      </c>
      <c r="I2198" t="s">
        <v>4177</v>
      </c>
      <c r="J2198">
        <v>4.5</v>
      </c>
      <c r="K2198">
        <v>4.5</v>
      </c>
      <c r="L2198">
        <v>4.75</v>
      </c>
      <c r="M2198">
        <v>5.17</v>
      </c>
      <c r="N2198">
        <v>4.72</v>
      </c>
    </row>
    <row r="2199" spans="1:14" x14ac:dyDescent="0.5">
      <c r="A2199" t="str">
        <f>"600077"</f>
        <v>600077</v>
      </c>
      <c r="B2199" t="s">
        <v>4178</v>
      </c>
      <c r="C2199">
        <v>1.55</v>
      </c>
      <c r="D2199">
        <v>13.4</v>
      </c>
      <c r="E2199">
        <v>3.27</v>
      </c>
      <c r="F2199">
        <v>0.05</v>
      </c>
      <c r="G2199">
        <v>3.27</v>
      </c>
      <c r="H2199">
        <v>3.28</v>
      </c>
      <c r="I2199" t="s">
        <v>4179</v>
      </c>
      <c r="J2199">
        <v>1.79</v>
      </c>
      <c r="K2199">
        <v>1.79</v>
      </c>
      <c r="L2199">
        <v>3.2</v>
      </c>
      <c r="M2199">
        <v>3.31</v>
      </c>
      <c r="N2199">
        <v>3.18</v>
      </c>
    </row>
    <row r="2200" spans="1:14" x14ac:dyDescent="0.5">
      <c r="A2200" t="str">
        <f>"600078"</f>
        <v>600078</v>
      </c>
      <c r="B2200" t="s">
        <v>4180</v>
      </c>
      <c r="C2200">
        <v>2.2400000000000002</v>
      </c>
      <c r="D2200">
        <v>126.37</v>
      </c>
      <c r="E2200">
        <v>4.0999999999999996</v>
      </c>
      <c r="F2200">
        <v>0.09</v>
      </c>
      <c r="G2200">
        <v>4.0999999999999996</v>
      </c>
      <c r="H2200">
        <v>4.1100000000000003</v>
      </c>
      <c r="I2200" t="s">
        <v>2326</v>
      </c>
      <c r="J2200">
        <v>2.38</v>
      </c>
      <c r="K2200">
        <v>2.38</v>
      </c>
      <c r="L2200">
        <v>4</v>
      </c>
      <c r="M2200">
        <v>4.1100000000000003</v>
      </c>
      <c r="N2200">
        <v>3.96</v>
      </c>
    </row>
    <row r="2201" spans="1:14" x14ac:dyDescent="0.5">
      <c r="A2201" t="str">
        <f>"600079"</f>
        <v>600079</v>
      </c>
      <c r="B2201" t="s">
        <v>4181</v>
      </c>
      <c r="C2201">
        <v>3.15</v>
      </c>
      <c r="D2201">
        <v>19.03</v>
      </c>
      <c r="E2201">
        <v>11.47</v>
      </c>
      <c r="F2201">
        <v>0.35</v>
      </c>
      <c r="G2201">
        <v>11.46</v>
      </c>
      <c r="H2201">
        <v>11.47</v>
      </c>
      <c r="I2201" t="s">
        <v>4182</v>
      </c>
      <c r="J2201">
        <v>1.92</v>
      </c>
      <c r="K2201">
        <v>1.92</v>
      </c>
      <c r="L2201">
        <v>11.14</v>
      </c>
      <c r="M2201">
        <v>11.56</v>
      </c>
      <c r="N2201">
        <v>11.06</v>
      </c>
    </row>
    <row r="2202" spans="1:14" x14ac:dyDescent="0.5">
      <c r="A2202" t="str">
        <f>"600080"</f>
        <v>600080</v>
      </c>
      <c r="B2202" t="s">
        <v>4183</v>
      </c>
      <c r="C2202">
        <v>2.0699999999999998</v>
      </c>
      <c r="D2202">
        <v>47.57</v>
      </c>
      <c r="E2202">
        <v>7.88</v>
      </c>
      <c r="F2202">
        <v>0.16</v>
      </c>
      <c r="G2202">
        <v>7.87</v>
      </c>
      <c r="H2202">
        <v>7.88</v>
      </c>
      <c r="I2202" t="s">
        <v>4184</v>
      </c>
      <c r="J2202">
        <v>7.54</v>
      </c>
      <c r="K2202">
        <v>7.54</v>
      </c>
      <c r="L2202">
        <v>7.68</v>
      </c>
      <c r="M2202">
        <v>7.88</v>
      </c>
      <c r="N2202">
        <v>7.63</v>
      </c>
    </row>
    <row r="2203" spans="1:14" x14ac:dyDescent="0.5">
      <c r="A2203" t="str">
        <f>"600081"</f>
        <v>600081</v>
      </c>
      <c r="B2203" t="s">
        <v>4185</v>
      </c>
      <c r="C2203">
        <v>1.1299999999999999</v>
      </c>
      <c r="D2203">
        <v>20.74</v>
      </c>
      <c r="E2203">
        <v>8.98</v>
      </c>
      <c r="F2203">
        <v>0.1</v>
      </c>
      <c r="G2203">
        <v>8.98</v>
      </c>
      <c r="H2203">
        <v>8.99</v>
      </c>
      <c r="I2203" t="s">
        <v>4186</v>
      </c>
      <c r="J2203">
        <v>1.29</v>
      </c>
      <c r="K2203">
        <v>1.29</v>
      </c>
      <c r="L2203">
        <v>8.8800000000000008</v>
      </c>
      <c r="M2203">
        <v>8.98</v>
      </c>
      <c r="N2203">
        <v>8.7899999999999991</v>
      </c>
    </row>
    <row r="2204" spans="1:14" x14ac:dyDescent="0.5">
      <c r="A2204" t="str">
        <f>"600082"</f>
        <v>600082</v>
      </c>
      <c r="B2204" t="s">
        <v>4187</v>
      </c>
      <c r="C2204">
        <v>6.54</v>
      </c>
      <c r="D2204">
        <v>52.35</v>
      </c>
      <c r="E2204">
        <v>5.21</v>
      </c>
      <c r="F2204">
        <v>0.32</v>
      </c>
      <c r="G2204">
        <v>5.21</v>
      </c>
      <c r="H2204">
        <v>5.22</v>
      </c>
      <c r="I2204" t="s">
        <v>4188</v>
      </c>
      <c r="J2204">
        <v>6.14</v>
      </c>
      <c r="K2204">
        <v>6.14</v>
      </c>
      <c r="L2204">
        <v>4.83</v>
      </c>
      <c r="M2204">
        <v>5.34</v>
      </c>
      <c r="N2204">
        <v>4.82</v>
      </c>
    </row>
    <row r="2205" spans="1:14" x14ac:dyDescent="0.5">
      <c r="A2205" t="str">
        <f>"600083"</f>
        <v>600083</v>
      </c>
      <c r="B2205" t="s">
        <v>4189</v>
      </c>
      <c r="C2205">
        <v>1.41</v>
      </c>
      <c r="D2205">
        <v>174.65</v>
      </c>
      <c r="E2205">
        <v>18.73</v>
      </c>
      <c r="F2205">
        <v>0.26</v>
      </c>
      <c r="G2205">
        <v>18.72</v>
      </c>
      <c r="H2205">
        <v>18.73</v>
      </c>
      <c r="I2205" t="s">
        <v>333</v>
      </c>
      <c r="J2205">
        <v>2.0699999999999998</v>
      </c>
      <c r="K2205">
        <v>2.0699999999999998</v>
      </c>
      <c r="L2205">
        <v>18.21</v>
      </c>
      <c r="M2205">
        <v>19.149999999999999</v>
      </c>
      <c r="N2205">
        <v>18.18</v>
      </c>
    </row>
    <row r="2206" spans="1:14" x14ac:dyDescent="0.5">
      <c r="A2206" t="str">
        <f>"600084"</f>
        <v>600084</v>
      </c>
      <c r="B2206" t="s">
        <v>4190</v>
      </c>
      <c r="C2206">
        <v>7.86</v>
      </c>
      <c r="D2206" t="s">
        <v>24</v>
      </c>
      <c r="E2206">
        <v>3.43</v>
      </c>
      <c r="F2206">
        <v>0.25</v>
      </c>
      <c r="G2206">
        <v>3.43</v>
      </c>
      <c r="H2206">
        <v>3.44</v>
      </c>
      <c r="I2206" t="s">
        <v>4191</v>
      </c>
      <c r="J2206">
        <v>5</v>
      </c>
      <c r="K2206">
        <v>5</v>
      </c>
      <c r="L2206">
        <v>3.21</v>
      </c>
      <c r="M2206">
        <v>3.49</v>
      </c>
      <c r="N2206">
        <v>3.2</v>
      </c>
    </row>
    <row r="2207" spans="1:14" x14ac:dyDescent="0.5">
      <c r="A2207" t="str">
        <f>"600085"</f>
        <v>600085</v>
      </c>
      <c r="B2207" t="s">
        <v>4192</v>
      </c>
      <c r="C2207">
        <v>3.51</v>
      </c>
      <c r="D2207">
        <v>38.39</v>
      </c>
      <c r="E2207">
        <v>30.63</v>
      </c>
      <c r="F2207">
        <v>1.04</v>
      </c>
      <c r="G2207">
        <v>30.63</v>
      </c>
      <c r="H2207">
        <v>30.64</v>
      </c>
      <c r="I2207" t="s">
        <v>4193</v>
      </c>
      <c r="J2207">
        <v>0.88</v>
      </c>
      <c r="K2207">
        <v>0.88</v>
      </c>
      <c r="L2207">
        <v>29.66</v>
      </c>
      <c r="M2207">
        <v>30.66</v>
      </c>
      <c r="N2207">
        <v>29.51</v>
      </c>
    </row>
    <row r="2208" spans="1:14" x14ac:dyDescent="0.5">
      <c r="A2208" t="str">
        <f>"600086"</f>
        <v>600086</v>
      </c>
      <c r="B2208" t="s">
        <v>4194</v>
      </c>
      <c r="C2208">
        <v>9.9600000000000009</v>
      </c>
      <c r="D2208" t="s">
        <v>24</v>
      </c>
      <c r="E2208">
        <v>5.96</v>
      </c>
      <c r="F2208">
        <v>0.54</v>
      </c>
      <c r="G2208">
        <v>5.96</v>
      </c>
      <c r="H2208" t="s">
        <v>24</v>
      </c>
      <c r="I2208" t="s">
        <v>4195</v>
      </c>
      <c r="J2208">
        <v>13.89</v>
      </c>
      <c r="K2208">
        <v>13.89</v>
      </c>
      <c r="L2208">
        <v>5.61</v>
      </c>
      <c r="M2208">
        <v>5.96</v>
      </c>
      <c r="N2208">
        <v>5.31</v>
      </c>
    </row>
    <row r="2209" spans="1:14" x14ac:dyDescent="0.5">
      <c r="A2209" t="str">
        <f>"600088"</f>
        <v>600088</v>
      </c>
      <c r="B2209" t="s">
        <v>4196</v>
      </c>
      <c r="C2209">
        <v>2.2799999999999998</v>
      </c>
      <c r="D2209">
        <v>47.83</v>
      </c>
      <c r="E2209">
        <v>11.66</v>
      </c>
      <c r="F2209">
        <v>0.26</v>
      </c>
      <c r="G2209">
        <v>11.65</v>
      </c>
      <c r="H2209">
        <v>11.66</v>
      </c>
      <c r="I2209" t="s">
        <v>4197</v>
      </c>
      <c r="J2209">
        <v>2.06</v>
      </c>
      <c r="K2209">
        <v>2.06</v>
      </c>
      <c r="L2209">
        <v>11.25</v>
      </c>
      <c r="M2209">
        <v>11.68</v>
      </c>
      <c r="N2209">
        <v>11.12</v>
      </c>
    </row>
    <row r="2210" spans="1:14" x14ac:dyDescent="0.5">
      <c r="A2210" t="str">
        <f>"600089"</f>
        <v>600089</v>
      </c>
      <c r="B2210" t="s">
        <v>4198</v>
      </c>
      <c r="C2210">
        <v>1.76</v>
      </c>
      <c r="D2210">
        <v>12.94</v>
      </c>
      <c r="E2210">
        <v>8.1</v>
      </c>
      <c r="F2210">
        <v>0.14000000000000001</v>
      </c>
      <c r="G2210">
        <v>8.09</v>
      </c>
      <c r="H2210">
        <v>8.1</v>
      </c>
      <c r="I2210" t="s">
        <v>4199</v>
      </c>
      <c r="J2210">
        <v>1.37</v>
      </c>
      <c r="K2210">
        <v>1.37</v>
      </c>
      <c r="L2210">
        <v>7.95</v>
      </c>
      <c r="M2210">
        <v>8.1</v>
      </c>
      <c r="N2210">
        <v>7.92</v>
      </c>
    </row>
    <row r="2211" spans="1:14" x14ac:dyDescent="0.5">
      <c r="A2211" t="str">
        <f>"600090"</f>
        <v>600090</v>
      </c>
      <c r="B2211" t="s">
        <v>4200</v>
      </c>
      <c r="C2211">
        <v>1.35</v>
      </c>
      <c r="D2211">
        <v>16.579999999999998</v>
      </c>
      <c r="E2211">
        <v>6.02</v>
      </c>
      <c r="F2211">
        <v>0.08</v>
      </c>
      <c r="G2211">
        <v>6.02</v>
      </c>
      <c r="H2211">
        <v>6.03</v>
      </c>
      <c r="I2211" t="s">
        <v>4201</v>
      </c>
      <c r="J2211">
        <v>2.66</v>
      </c>
      <c r="K2211">
        <v>2.66</v>
      </c>
      <c r="L2211">
        <v>5.97</v>
      </c>
      <c r="M2211">
        <v>6.03</v>
      </c>
      <c r="N2211">
        <v>5.91</v>
      </c>
    </row>
    <row r="2212" spans="1:14" x14ac:dyDescent="0.5">
      <c r="A2212" t="str">
        <f>"600091"</f>
        <v>600091</v>
      </c>
      <c r="B2212" t="s">
        <v>4202</v>
      </c>
      <c r="C2212">
        <v>-0.49</v>
      </c>
      <c r="D2212" t="s">
        <v>24</v>
      </c>
      <c r="E2212">
        <v>4.07</v>
      </c>
      <c r="F2212">
        <v>-0.02</v>
      </c>
      <c r="G2212">
        <v>4.07</v>
      </c>
      <c r="H2212">
        <v>4.08</v>
      </c>
      <c r="I2212" t="s">
        <v>4203</v>
      </c>
      <c r="J2212">
        <v>0.81</v>
      </c>
      <c r="K2212">
        <v>0.81</v>
      </c>
      <c r="L2212">
        <v>4.08</v>
      </c>
      <c r="M2212">
        <v>4.0999999999999996</v>
      </c>
      <c r="N2212">
        <v>4.04</v>
      </c>
    </row>
    <row r="2213" spans="1:14" x14ac:dyDescent="0.5">
      <c r="A2213" t="str">
        <f>"600093"</f>
        <v>600093</v>
      </c>
      <c r="B2213" t="s">
        <v>4204</v>
      </c>
      <c r="C2213">
        <v>9.9600000000000009</v>
      </c>
      <c r="D2213">
        <v>13.06</v>
      </c>
      <c r="E2213">
        <v>12.14</v>
      </c>
      <c r="F2213">
        <v>1.1000000000000001</v>
      </c>
      <c r="G2213">
        <v>12.14</v>
      </c>
      <c r="H2213" t="s">
        <v>24</v>
      </c>
      <c r="I2213" t="s">
        <v>4205</v>
      </c>
      <c r="J2213">
        <v>3.22</v>
      </c>
      <c r="K2213">
        <v>3.22</v>
      </c>
      <c r="L2213">
        <v>10.83</v>
      </c>
      <c r="M2213">
        <v>12.14</v>
      </c>
      <c r="N2213">
        <v>10.8</v>
      </c>
    </row>
    <row r="2214" spans="1:14" x14ac:dyDescent="0.5">
      <c r="A2214" t="str">
        <f>"600094"</f>
        <v>600094</v>
      </c>
      <c r="B2214" t="s">
        <v>4206</v>
      </c>
      <c r="C2214">
        <v>9.9600000000000009</v>
      </c>
      <c r="D2214">
        <v>15.33</v>
      </c>
      <c r="E2214">
        <v>6.07</v>
      </c>
      <c r="F2214">
        <v>0.55000000000000004</v>
      </c>
      <c r="G2214">
        <v>6.07</v>
      </c>
      <c r="H2214" t="s">
        <v>24</v>
      </c>
      <c r="I2214" t="s">
        <v>4207</v>
      </c>
      <c r="J2214">
        <v>1.45</v>
      </c>
      <c r="K2214">
        <v>1.45</v>
      </c>
      <c r="L2214">
        <v>6.06</v>
      </c>
      <c r="M2214">
        <v>6.07</v>
      </c>
      <c r="N2214">
        <v>5.81</v>
      </c>
    </row>
    <row r="2215" spans="1:14" x14ac:dyDescent="0.5">
      <c r="A2215" t="str">
        <f>"600095"</f>
        <v>600095</v>
      </c>
      <c r="B2215" t="s">
        <v>4208</v>
      </c>
      <c r="C2215">
        <v>3.06</v>
      </c>
      <c r="D2215">
        <v>133.88</v>
      </c>
      <c r="E2215">
        <v>4.71</v>
      </c>
      <c r="F2215">
        <v>0.14000000000000001</v>
      </c>
      <c r="G2215">
        <v>4.71</v>
      </c>
      <c r="H2215">
        <v>4.72</v>
      </c>
      <c r="I2215" t="s">
        <v>2306</v>
      </c>
      <c r="J2215">
        <v>4.13</v>
      </c>
      <c r="K2215">
        <v>4.13</v>
      </c>
      <c r="L2215">
        <v>4.5599999999999996</v>
      </c>
      <c r="M2215">
        <v>4.74</v>
      </c>
      <c r="N2215">
        <v>4.54</v>
      </c>
    </row>
    <row r="2216" spans="1:14" x14ac:dyDescent="0.5">
      <c r="A2216" t="str">
        <f>"600096"</f>
        <v>600096</v>
      </c>
      <c r="B2216" t="s">
        <v>4209</v>
      </c>
      <c r="C2216">
        <v>0.15</v>
      </c>
      <c r="D2216">
        <v>35.020000000000003</v>
      </c>
      <c r="E2216">
        <v>6.57</v>
      </c>
      <c r="F2216">
        <v>0.01</v>
      </c>
      <c r="G2216">
        <v>6.57</v>
      </c>
      <c r="H2216">
        <v>6.58</v>
      </c>
      <c r="I2216" t="s">
        <v>4210</v>
      </c>
      <c r="J2216">
        <v>0.64</v>
      </c>
      <c r="K2216">
        <v>0.64</v>
      </c>
      <c r="L2216">
        <v>6.56</v>
      </c>
      <c r="M2216">
        <v>6.6</v>
      </c>
      <c r="N2216">
        <v>6.47</v>
      </c>
    </row>
    <row r="2217" spans="1:14" x14ac:dyDescent="0.5">
      <c r="A2217" t="str">
        <f>"600097"</f>
        <v>600097</v>
      </c>
      <c r="B2217" t="s">
        <v>4211</v>
      </c>
      <c r="C2217">
        <v>1.58</v>
      </c>
      <c r="D2217">
        <v>13.19</v>
      </c>
      <c r="E2217">
        <v>12.24</v>
      </c>
      <c r="F2217">
        <v>0.19</v>
      </c>
      <c r="G2217">
        <v>12.24</v>
      </c>
      <c r="H2217">
        <v>12.25</v>
      </c>
      <c r="I2217" t="s">
        <v>179</v>
      </c>
      <c r="J2217">
        <v>1.26</v>
      </c>
      <c r="K2217">
        <v>1.26</v>
      </c>
      <c r="L2217">
        <v>11.96</v>
      </c>
      <c r="M2217">
        <v>12.26</v>
      </c>
      <c r="N2217">
        <v>11.91</v>
      </c>
    </row>
    <row r="2218" spans="1:14" x14ac:dyDescent="0.5">
      <c r="A2218" t="str">
        <f>"600098"</f>
        <v>600098</v>
      </c>
      <c r="B2218" t="s">
        <v>4212</v>
      </c>
      <c r="C2218">
        <v>0.64</v>
      </c>
      <c r="D2218">
        <v>23.29</v>
      </c>
      <c r="E2218">
        <v>6.32</v>
      </c>
      <c r="F2218">
        <v>0.04</v>
      </c>
      <c r="G2218">
        <v>6.32</v>
      </c>
      <c r="H2218">
        <v>6.33</v>
      </c>
      <c r="I2218" t="s">
        <v>4213</v>
      </c>
      <c r="J2218">
        <v>0.25</v>
      </c>
      <c r="K2218">
        <v>0.25</v>
      </c>
      <c r="L2218">
        <v>6.26</v>
      </c>
      <c r="M2218">
        <v>6.33</v>
      </c>
      <c r="N2218">
        <v>6.23</v>
      </c>
    </row>
    <row r="2219" spans="1:14" x14ac:dyDescent="0.5">
      <c r="A2219" t="str">
        <f>"600099"</f>
        <v>600099</v>
      </c>
      <c r="B2219" t="s">
        <v>4214</v>
      </c>
      <c r="C2219">
        <v>1.5</v>
      </c>
      <c r="D2219" t="s">
        <v>24</v>
      </c>
      <c r="E2219">
        <v>6.77</v>
      </c>
      <c r="F2219">
        <v>0.1</v>
      </c>
      <c r="G2219">
        <v>6.76</v>
      </c>
      <c r="H2219">
        <v>6.77</v>
      </c>
      <c r="I2219" t="s">
        <v>4215</v>
      </c>
      <c r="J2219">
        <v>1.76</v>
      </c>
      <c r="K2219">
        <v>1.76</v>
      </c>
      <c r="L2219">
        <v>6.64</v>
      </c>
      <c r="M2219">
        <v>6.82</v>
      </c>
      <c r="N2219">
        <v>6.55</v>
      </c>
    </row>
    <row r="2220" spans="1:14" x14ac:dyDescent="0.5">
      <c r="A2220" t="str">
        <f>"600100"</f>
        <v>600100</v>
      </c>
      <c r="B2220" t="s">
        <v>4216</v>
      </c>
      <c r="C2220">
        <v>1.1599999999999999</v>
      </c>
      <c r="D2220" t="s">
        <v>24</v>
      </c>
      <c r="E2220">
        <v>11.32</v>
      </c>
      <c r="F2220">
        <v>0.13</v>
      </c>
      <c r="G2220">
        <v>11.31</v>
      </c>
      <c r="H2220">
        <v>11.32</v>
      </c>
      <c r="I2220" t="s">
        <v>4217</v>
      </c>
      <c r="J2220">
        <v>1.39</v>
      </c>
      <c r="K2220">
        <v>1.39</v>
      </c>
      <c r="L2220">
        <v>10.99</v>
      </c>
      <c r="M2220">
        <v>11.4</v>
      </c>
      <c r="N2220">
        <v>10.91</v>
      </c>
    </row>
    <row r="2221" spans="1:14" x14ac:dyDescent="0.5">
      <c r="A2221" t="str">
        <f>"600101"</f>
        <v>600101</v>
      </c>
      <c r="B2221" t="s">
        <v>4218</v>
      </c>
      <c r="C2221">
        <v>1.75</v>
      </c>
      <c r="D2221">
        <v>24.59</v>
      </c>
      <c r="E2221">
        <v>8.7100000000000009</v>
      </c>
      <c r="F2221">
        <v>0.15</v>
      </c>
      <c r="G2221">
        <v>8.7100000000000009</v>
      </c>
      <c r="H2221">
        <v>8.7200000000000006</v>
      </c>
      <c r="I2221" t="s">
        <v>1942</v>
      </c>
      <c r="J2221">
        <v>7.02</v>
      </c>
      <c r="K2221">
        <v>7.02</v>
      </c>
      <c r="L2221">
        <v>9</v>
      </c>
      <c r="M2221">
        <v>9.42</v>
      </c>
      <c r="N2221">
        <v>8.56</v>
      </c>
    </row>
    <row r="2222" spans="1:14" x14ac:dyDescent="0.5">
      <c r="A2222" t="str">
        <f>"600103"</f>
        <v>600103</v>
      </c>
      <c r="B2222" t="s">
        <v>4219</v>
      </c>
      <c r="C2222">
        <v>0.62</v>
      </c>
      <c r="D2222">
        <v>31.9</v>
      </c>
      <c r="E2222">
        <v>3.25</v>
      </c>
      <c r="F2222">
        <v>0.02</v>
      </c>
      <c r="G2222">
        <v>3.24</v>
      </c>
      <c r="H2222">
        <v>3.25</v>
      </c>
      <c r="I2222" t="s">
        <v>2277</v>
      </c>
      <c r="J2222">
        <v>2.27</v>
      </c>
      <c r="K2222">
        <v>2.27</v>
      </c>
      <c r="L2222">
        <v>3.18</v>
      </c>
      <c r="M2222">
        <v>3.28</v>
      </c>
      <c r="N2222">
        <v>3.15</v>
      </c>
    </row>
    <row r="2223" spans="1:14" x14ac:dyDescent="0.5">
      <c r="A2223" t="str">
        <f>"600104"</f>
        <v>600104</v>
      </c>
      <c r="B2223" t="s">
        <v>4220</v>
      </c>
      <c r="C2223">
        <v>-1.47</v>
      </c>
      <c r="D2223">
        <v>8.9499999999999993</v>
      </c>
      <c r="E2223">
        <v>28.12</v>
      </c>
      <c r="F2223">
        <v>-0.42</v>
      </c>
      <c r="G2223">
        <v>28.12</v>
      </c>
      <c r="H2223">
        <v>28.13</v>
      </c>
      <c r="I2223" t="s">
        <v>4221</v>
      </c>
      <c r="J2223">
        <v>0.48</v>
      </c>
      <c r="K2223">
        <v>0.48</v>
      </c>
      <c r="L2223">
        <v>28.8</v>
      </c>
      <c r="M2223">
        <v>28.8</v>
      </c>
      <c r="N2223">
        <v>27.75</v>
      </c>
    </row>
    <row r="2224" spans="1:14" x14ac:dyDescent="0.5">
      <c r="A2224" t="str">
        <f>"600105"</f>
        <v>600105</v>
      </c>
      <c r="B2224" t="s">
        <v>4222</v>
      </c>
      <c r="C2224">
        <v>3.72</v>
      </c>
      <c r="D2224">
        <v>28.79</v>
      </c>
      <c r="E2224">
        <v>5.58</v>
      </c>
      <c r="F2224">
        <v>0.2</v>
      </c>
      <c r="G2224">
        <v>5.58</v>
      </c>
      <c r="H2224">
        <v>5.59</v>
      </c>
      <c r="I2224" t="s">
        <v>4223</v>
      </c>
      <c r="J2224">
        <v>3.6</v>
      </c>
      <c r="K2224">
        <v>3.6</v>
      </c>
      <c r="L2224">
        <v>5.31</v>
      </c>
      <c r="M2224">
        <v>5.59</v>
      </c>
      <c r="N2224">
        <v>5.31</v>
      </c>
    </row>
    <row r="2225" spans="1:14" x14ac:dyDescent="0.5">
      <c r="A2225" t="str">
        <f>"600106"</f>
        <v>600106</v>
      </c>
      <c r="B2225" t="s">
        <v>4224</v>
      </c>
      <c r="C2225">
        <v>1.42</v>
      </c>
      <c r="D2225">
        <v>14.47</v>
      </c>
      <c r="E2225">
        <v>3.58</v>
      </c>
      <c r="F2225">
        <v>0.05</v>
      </c>
      <c r="G2225">
        <v>3.58</v>
      </c>
      <c r="H2225">
        <v>3.59</v>
      </c>
      <c r="I2225" t="s">
        <v>4225</v>
      </c>
      <c r="J2225">
        <v>2.67</v>
      </c>
      <c r="K2225">
        <v>2.67</v>
      </c>
      <c r="L2225">
        <v>3.53</v>
      </c>
      <c r="M2225">
        <v>3.62</v>
      </c>
      <c r="N2225">
        <v>3.47</v>
      </c>
    </row>
    <row r="2226" spans="1:14" x14ac:dyDescent="0.5">
      <c r="A2226" t="str">
        <f>"600107"</f>
        <v>600107</v>
      </c>
      <c r="B2226" t="s">
        <v>4226</v>
      </c>
      <c r="C2226">
        <v>0.63</v>
      </c>
      <c r="D2226">
        <v>408.36</v>
      </c>
      <c r="E2226">
        <v>7.93</v>
      </c>
      <c r="F2226">
        <v>0.05</v>
      </c>
      <c r="G2226">
        <v>7.93</v>
      </c>
      <c r="H2226">
        <v>7.94</v>
      </c>
      <c r="I2226" t="s">
        <v>4227</v>
      </c>
      <c r="J2226">
        <v>5.0999999999999996</v>
      </c>
      <c r="K2226">
        <v>5.0999999999999996</v>
      </c>
      <c r="L2226">
        <v>7.83</v>
      </c>
      <c r="M2226">
        <v>7.96</v>
      </c>
      <c r="N2226">
        <v>7.73</v>
      </c>
    </row>
    <row r="2227" spans="1:14" x14ac:dyDescent="0.5">
      <c r="A2227" t="str">
        <f>"600108"</f>
        <v>600108</v>
      </c>
      <c r="B2227" t="s">
        <v>4228</v>
      </c>
      <c r="C2227">
        <v>1.59</v>
      </c>
      <c r="D2227">
        <v>61.52</v>
      </c>
      <c r="E2227">
        <v>3.19</v>
      </c>
      <c r="F2227">
        <v>0.05</v>
      </c>
      <c r="G2227">
        <v>3.19</v>
      </c>
      <c r="H2227">
        <v>3.2</v>
      </c>
      <c r="I2227" t="s">
        <v>4229</v>
      </c>
      <c r="J2227">
        <v>1.92</v>
      </c>
      <c r="K2227">
        <v>1.92</v>
      </c>
      <c r="L2227">
        <v>3.12</v>
      </c>
      <c r="M2227">
        <v>3.2</v>
      </c>
      <c r="N2227">
        <v>3.11</v>
      </c>
    </row>
    <row r="2228" spans="1:14" x14ac:dyDescent="0.5">
      <c r="A2228" t="str">
        <f>"600109"</f>
        <v>600109</v>
      </c>
      <c r="B2228" t="s">
        <v>4230</v>
      </c>
      <c r="C2228">
        <v>-0.59</v>
      </c>
      <c r="D2228">
        <v>29.69</v>
      </c>
      <c r="E2228">
        <v>10.09</v>
      </c>
      <c r="F2228">
        <v>-0.06</v>
      </c>
      <c r="G2228">
        <v>10.09</v>
      </c>
      <c r="H2228">
        <v>10.1</v>
      </c>
      <c r="I2228" t="s">
        <v>4231</v>
      </c>
      <c r="J2228">
        <v>2.2999999999999998</v>
      </c>
      <c r="K2228">
        <v>2.2999999999999998</v>
      </c>
      <c r="L2228">
        <v>9.98</v>
      </c>
      <c r="M2228">
        <v>10.119999999999999</v>
      </c>
      <c r="N2228">
        <v>9.9499999999999993</v>
      </c>
    </row>
    <row r="2229" spans="1:14" x14ac:dyDescent="0.5">
      <c r="A2229" t="str">
        <f>"600110"</f>
        <v>600110</v>
      </c>
      <c r="B2229" t="s">
        <v>4232</v>
      </c>
      <c r="C2229">
        <v>1.67</v>
      </c>
      <c r="D2229">
        <v>62.88</v>
      </c>
      <c r="E2229">
        <v>4.88</v>
      </c>
      <c r="F2229">
        <v>0.08</v>
      </c>
      <c r="G2229">
        <v>4.87</v>
      </c>
      <c r="H2229">
        <v>4.88</v>
      </c>
      <c r="I2229" t="s">
        <v>4233</v>
      </c>
      <c r="J2229">
        <v>4.49</v>
      </c>
      <c r="K2229">
        <v>4.49</v>
      </c>
      <c r="L2229">
        <v>4.75</v>
      </c>
      <c r="M2229">
        <v>4.8899999999999997</v>
      </c>
      <c r="N2229">
        <v>4.71</v>
      </c>
    </row>
    <row r="2230" spans="1:14" x14ac:dyDescent="0.5">
      <c r="A2230" t="str">
        <f>"600111"</f>
        <v>600111</v>
      </c>
      <c r="B2230" t="s">
        <v>4234</v>
      </c>
      <c r="C2230">
        <v>2.02</v>
      </c>
      <c r="D2230">
        <v>90.74</v>
      </c>
      <c r="E2230">
        <v>11.13</v>
      </c>
      <c r="F2230">
        <v>0.22</v>
      </c>
      <c r="G2230">
        <v>11.12</v>
      </c>
      <c r="H2230">
        <v>11.13</v>
      </c>
      <c r="I2230" t="s">
        <v>4235</v>
      </c>
      <c r="J2230">
        <v>2.5299999999999998</v>
      </c>
      <c r="K2230">
        <v>2.5299999999999998</v>
      </c>
      <c r="L2230">
        <v>10.8</v>
      </c>
      <c r="M2230">
        <v>11.13</v>
      </c>
      <c r="N2230">
        <v>10.73</v>
      </c>
    </row>
    <row r="2231" spans="1:14" x14ac:dyDescent="0.5">
      <c r="A2231" t="str">
        <f>"600112"</f>
        <v>600112</v>
      </c>
      <c r="B2231" t="s">
        <v>4236</v>
      </c>
      <c r="C2231">
        <v>4.18</v>
      </c>
      <c r="D2231">
        <v>27.06</v>
      </c>
      <c r="E2231">
        <v>4.74</v>
      </c>
      <c r="F2231">
        <v>0.19</v>
      </c>
      <c r="G2231">
        <v>4.74</v>
      </c>
      <c r="H2231">
        <v>4.75</v>
      </c>
      <c r="I2231" t="s">
        <v>4237</v>
      </c>
      <c r="J2231">
        <v>8.2100000000000009</v>
      </c>
      <c r="K2231">
        <v>8.2100000000000009</v>
      </c>
      <c r="L2231">
        <v>4.49</v>
      </c>
      <c r="M2231">
        <v>4.76</v>
      </c>
      <c r="N2231">
        <v>4.45</v>
      </c>
    </row>
    <row r="2232" spans="1:14" x14ac:dyDescent="0.5">
      <c r="A2232" t="str">
        <f>"600113"</f>
        <v>600113</v>
      </c>
      <c r="B2232" t="s">
        <v>4238</v>
      </c>
      <c r="C2232">
        <v>0</v>
      </c>
      <c r="D2232">
        <v>26.07</v>
      </c>
      <c r="E2232">
        <v>8.61</v>
      </c>
      <c r="F2232">
        <v>0</v>
      </c>
      <c r="G2232" t="s">
        <v>24</v>
      </c>
      <c r="H2232" t="s">
        <v>24</v>
      </c>
      <c r="I2232" t="s">
        <v>2251</v>
      </c>
      <c r="J2232">
        <v>0</v>
      </c>
      <c r="K2232">
        <v>0</v>
      </c>
      <c r="L2232" t="s">
        <v>24</v>
      </c>
      <c r="M2232" t="s">
        <v>24</v>
      </c>
      <c r="N2232" t="s">
        <v>24</v>
      </c>
    </row>
    <row r="2233" spans="1:14" x14ac:dyDescent="0.5">
      <c r="A2233" t="str">
        <f>"600114"</f>
        <v>600114</v>
      </c>
      <c r="B2233" t="s">
        <v>4239</v>
      </c>
      <c r="C2233">
        <v>2.96</v>
      </c>
      <c r="D2233">
        <v>13.95</v>
      </c>
      <c r="E2233">
        <v>7.65</v>
      </c>
      <c r="F2233">
        <v>0.22</v>
      </c>
      <c r="G2233">
        <v>7.64</v>
      </c>
      <c r="H2233">
        <v>7.65</v>
      </c>
      <c r="I2233" t="s">
        <v>4240</v>
      </c>
      <c r="J2233">
        <v>2.6</v>
      </c>
      <c r="K2233">
        <v>2.6</v>
      </c>
      <c r="L2233">
        <v>7.41</v>
      </c>
      <c r="M2233">
        <v>7.65</v>
      </c>
      <c r="N2233">
        <v>7.4</v>
      </c>
    </row>
    <row r="2234" spans="1:14" x14ac:dyDescent="0.5">
      <c r="A2234" t="str">
        <f>"600115"</f>
        <v>600115</v>
      </c>
      <c r="B2234" t="s">
        <v>4241</v>
      </c>
      <c r="C2234">
        <v>1.02</v>
      </c>
      <c r="D2234">
        <v>28.92</v>
      </c>
      <c r="E2234">
        <v>5.96</v>
      </c>
      <c r="F2234">
        <v>0.06</v>
      </c>
      <c r="G2234">
        <v>5.95</v>
      </c>
      <c r="H2234">
        <v>5.96</v>
      </c>
      <c r="I2234" t="s">
        <v>4242</v>
      </c>
      <c r="J2234">
        <v>0.49</v>
      </c>
      <c r="K2234">
        <v>0.49</v>
      </c>
      <c r="L2234">
        <v>5.89</v>
      </c>
      <c r="M2234">
        <v>5.97</v>
      </c>
      <c r="N2234">
        <v>5.82</v>
      </c>
    </row>
    <row r="2235" spans="1:14" x14ac:dyDescent="0.5">
      <c r="A2235" t="str">
        <f>"600116"</f>
        <v>600116</v>
      </c>
      <c r="B2235" t="s">
        <v>4243</v>
      </c>
      <c r="C2235">
        <v>6.48</v>
      </c>
      <c r="D2235">
        <v>28.67</v>
      </c>
      <c r="E2235">
        <v>10.19</v>
      </c>
      <c r="F2235">
        <v>0.62</v>
      </c>
      <c r="G2235">
        <v>10.19</v>
      </c>
      <c r="H2235">
        <v>10.199999999999999</v>
      </c>
      <c r="I2235" t="s">
        <v>4244</v>
      </c>
      <c r="J2235">
        <v>2.89</v>
      </c>
      <c r="K2235">
        <v>2.89</v>
      </c>
      <c r="L2235">
        <v>9.59</v>
      </c>
      <c r="M2235">
        <v>10.35</v>
      </c>
      <c r="N2235">
        <v>9.4700000000000006</v>
      </c>
    </row>
    <row r="2236" spans="1:14" x14ac:dyDescent="0.5">
      <c r="A2236" t="str">
        <f>"600117"</f>
        <v>600117</v>
      </c>
      <c r="B2236" t="s">
        <v>4245</v>
      </c>
      <c r="C2236">
        <v>0.5</v>
      </c>
      <c r="D2236" t="s">
        <v>24</v>
      </c>
      <c r="E2236">
        <v>4.04</v>
      </c>
      <c r="F2236">
        <v>0.02</v>
      </c>
      <c r="G2236">
        <v>4.03</v>
      </c>
      <c r="H2236">
        <v>4.04</v>
      </c>
      <c r="I2236" t="s">
        <v>195</v>
      </c>
      <c r="J2236">
        <v>3</v>
      </c>
      <c r="K2236">
        <v>3</v>
      </c>
      <c r="L2236">
        <v>3.97</v>
      </c>
      <c r="M2236">
        <v>4.0599999999999996</v>
      </c>
      <c r="N2236">
        <v>3.91</v>
      </c>
    </row>
    <row r="2237" spans="1:14" x14ac:dyDescent="0.5">
      <c r="A2237" t="str">
        <f>"600118"</f>
        <v>600118</v>
      </c>
      <c r="B2237" t="s">
        <v>4246</v>
      </c>
      <c r="C2237">
        <v>2.88</v>
      </c>
      <c r="D2237">
        <v>62.37</v>
      </c>
      <c r="E2237">
        <v>23.24</v>
      </c>
      <c r="F2237">
        <v>0.65</v>
      </c>
      <c r="G2237">
        <v>23.24</v>
      </c>
      <c r="H2237">
        <v>23.25</v>
      </c>
      <c r="I2237" t="s">
        <v>4247</v>
      </c>
      <c r="J2237">
        <v>1.97</v>
      </c>
      <c r="K2237">
        <v>1.97</v>
      </c>
      <c r="L2237">
        <v>22.4</v>
      </c>
      <c r="M2237">
        <v>23.35</v>
      </c>
      <c r="N2237">
        <v>22.2</v>
      </c>
    </row>
    <row r="2238" spans="1:14" x14ac:dyDescent="0.5">
      <c r="A2238" t="str">
        <f>"600119"</f>
        <v>600119</v>
      </c>
      <c r="B2238" t="s">
        <v>4248</v>
      </c>
      <c r="C2238">
        <v>1.18</v>
      </c>
      <c r="D2238" t="s">
        <v>24</v>
      </c>
      <c r="E2238">
        <v>7.69</v>
      </c>
      <c r="F2238">
        <v>0.09</v>
      </c>
      <c r="G2238">
        <v>7.68</v>
      </c>
      <c r="H2238">
        <v>7.69</v>
      </c>
      <c r="I2238" t="s">
        <v>4249</v>
      </c>
      <c r="J2238">
        <v>7.79</v>
      </c>
      <c r="K2238">
        <v>7.79</v>
      </c>
      <c r="L2238">
        <v>7.86</v>
      </c>
      <c r="M2238">
        <v>7.93</v>
      </c>
      <c r="N2238">
        <v>7.45</v>
      </c>
    </row>
    <row r="2239" spans="1:14" x14ac:dyDescent="0.5">
      <c r="A2239" t="str">
        <f>"600120"</f>
        <v>600120</v>
      </c>
      <c r="B2239" t="s">
        <v>4250</v>
      </c>
      <c r="C2239">
        <v>7.01</v>
      </c>
      <c r="D2239">
        <v>20.350000000000001</v>
      </c>
      <c r="E2239">
        <v>17.55</v>
      </c>
      <c r="F2239">
        <v>1.1499999999999999</v>
      </c>
      <c r="G2239">
        <v>17.55</v>
      </c>
      <c r="H2239">
        <v>17.559999999999999</v>
      </c>
      <c r="I2239" t="s">
        <v>4251</v>
      </c>
      <c r="J2239">
        <v>4.8</v>
      </c>
      <c r="K2239">
        <v>4.8</v>
      </c>
      <c r="L2239">
        <v>16.3</v>
      </c>
      <c r="M2239">
        <v>17.61</v>
      </c>
      <c r="N2239">
        <v>16.100000000000001</v>
      </c>
    </row>
    <row r="2240" spans="1:14" x14ac:dyDescent="0.5">
      <c r="A2240" t="str">
        <f>"600121"</f>
        <v>600121</v>
      </c>
      <c r="B2240" t="s">
        <v>4252</v>
      </c>
      <c r="C2240">
        <v>1.42</v>
      </c>
      <c r="D2240">
        <v>20.079999999999998</v>
      </c>
      <c r="E2240">
        <v>3.57</v>
      </c>
      <c r="F2240">
        <v>0.05</v>
      </c>
      <c r="G2240">
        <v>3.57</v>
      </c>
      <c r="H2240">
        <v>3.58</v>
      </c>
      <c r="I2240" t="s">
        <v>1439</v>
      </c>
      <c r="J2240">
        <v>1.62</v>
      </c>
      <c r="K2240">
        <v>1.62</v>
      </c>
      <c r="L2240">
        <v>3.49</v>
      </c>
      <c r="M2240">
        <v>3.58</v>
      </c>
      <c r="N2240">
        <v>3.45</v>
      </c>
    </row>
    <row r="2241" spans="1:14" x14ac:dyDescent="0.5">
      <c r="A2241" t="str">
        <f>"600122"</f>
        <v>600122</v>
      </c>
      <c r="B2241" t="s">
        <v>4253</v>
      </c>
      <c r="C2241">
        <v>5.16</v>
      </c>
      <c r="D2241" t="s">
        <v>24</v>
      </c>
      <c r="E2241">
        <v>4.4800000000000004</v>
      </c>
      <c r="F2241">
        <v>0.22</v>
      </c>
      <c r="G2241">
        <v>4.47</v>
      </c>
      <c r="H2241">
        <v>4.4800000000000004</v>
      </c>
      <c r="I2241" t="s">
        <v>4254</v>
      </c>
      <c r="J2241">
        <v>6.52</v>
      </c>
      <c r="K2241">
        <v>6.52</v>
      </c>
      <c r="L2241">
        <v>4.24</v>
      </c>
      <c r="M2241">
        <v>4.49</v>
      </c>
      <c r="N2241">
        <v>4.21</v>
      </c>
    </row>
    <row r="2242" spans="1:14" x14ac:dyDescent="0.5">
      <c r="A2242" t="str">
        <f>"600123"</f>
        <v>600123</v>
      </c>
      <c r="B2242" t="s">
        <v>4255</v>
      </c>
      <c r="C2242">
        <v>0.65</v>
      </c>
      <c r="D2242">
        <v>8.5299999999999994</v>
      </c>
      <c r="E2242">
        <v>7.75</v>
      </c>
      <c r="F2242">
        <v>0.05</v>
      </c>
      <c r="G2242">
        <v>7.74</v>
      </c>
      <c r="H2242">
        <v>7.75</v>
      </c>
      <c r="I2242" t="s">
        <v>4256</v>
      </c>
      <c r="J2242">
        <v>2.15</v>
      </c>
      <c r="K2242">
        <v>2.15</v>
      </c>
      <c r="L2242">
        <v>7.66</v>
      </c>
      <c r="M2242">
        <v>7.75</v>
      </c>
      <c r="N2242">
        <v>7.59</v>
      </c>
    </row>
    <row r="2243" spans="1:14" x14ac:dyDescent="0.5">
      <c r="A2243" t="str">
        <f>"600125"</f>
        <v>600125</v>
      </c>
      <c r="B2243" t="s">
        <v>4257</v>
      </c>
      <c r="C2243">
        <v>0.74</v>
      </c>
      <c r="D2243">
        <v>22.76</v>
      </c>
      <c r="E2243">
        <v>8.2200000000000006</v>
      </c>
      <c r="F2243">
        <v>0.06</v>
      </c>
      <c r="G2243">
        <v>8.2100000000000009</v>
      </c>
      <c r="H2243">
        <v>8.2200000000000006</v>
      </c>
      <c r="I2243" t="s">
        <v>4258</v>
      </c>
      <c r="J2243">
        <v>2.2400000000000002</v>
      </c>
      <c r="K2243">
        <v>2.2400000000000002</v>
      </c>
      <c r="L2243">
        <v>8.16</v>
      </c>
      <c r="M2243">
        <v>8.2200000000000006</v>
      </c>
      <c r="N2243">
        <v>8.08</v>
      </c>
    </row>
    <row r="2244" spans="1:14" x14ac:dyDescent="0.5">
      <c r="A2244" t="str">
        <f>"600126"</f>
        <v>600126</v>
      </c>
      <c r="B2244" t="s">
        <v>4259</v>
      </c>
      <c r="C2244">
        <v>0</v>
      </c>
      <c r="D2244">
        <v>7.71</v>
      </c>
      <c r="E2244">
        <v>5.09</v>
      </c>
      <c r="F2244">
        <v>0</v>
      </c>
      <c r="G2244">
        <v>5.08</v>
      </c>
      <c r="H2244">
        <v>5.09</v>
      </c>
      <c r="I2244" t="s">
        <v>4260</v>
      </c>
      <c r="J2244">
        <v>1.03</v>
      </c>
      <c r="K2244">
        <v>1.03</v>
      </c>
      <c r="L2244">
        <v>5.04</v>
      </c>
      <c r="M2244">
        <v>5.09</v>
      </c>
      <c r="N2244">
        <v>5.0199999999999996</v>
      </c>
    </row>
    <row r="2245" spans="1:14" x14ac:dyDescent="0.5">
      <c r="A2245" t="str">
        <f>"600127"</f>
        <v>600127</v>
      </c>
      <c r="B2245" t="s">
        <v>4261</v>
      </c>
      <c r="C2245">
        <v>2.38</v>
      </c>
      <c r="D2245" t="s">
        <v>24</v>
      </c>
      <c r="E2245">
        <v>3.44</v>
      </c>
      <c r="F2245">
        <v>0.08</v>
      </c>
      <c r="G2245">
        <v>3.44</v>
      </c>
      <c r="H2245">
        <v>3.45</v>
      </c>
      <c r="I2245" t="s">
        <v>4262</v>
      </c>
      <c r="J2245">
        <v>1.1299999999999999</v>
      </c>
      <c r="K2245">
        <v>1.1299999999999999</v>
      </c>
      <c r="L2245">
        <v>3.38</v>
      </c>
      <c r="M2245">
        <v>3.45</v>
      </c>
      <c r="N2245">
        <v>3.35</v>
      </c>
    </row>
    <row r="2246" spans="1:14" x14ac:dyDescent="0.5">
      <c r="A2246" t="str">
        <f>"600128"</f>
        <v>600128</v>
      </c>
      <c r="B2246" t="s">
        <v>4263</v>
      </c>
      <c r="C2246">
        <v>3.95</v>
      </c>
      <c r="D2246" t="s">
        <v>24</v>
      </c>
      <c r="E2246">
        <v>10.52</v>
      </c>
      <c r="F2246">
        <v>0.4</v>
      </c>
      <c r="G2246">
        <v>10.52</v>
      </c>
      <c r="H2246">
        <v>10.53</v>
      </c>
      <c r="I2246" t="s">
        <v>4264</v>
      </c>
      <c r="J2246">
        <v>22.08</v>
      </c>
      <c r="K2246">
        <v>22.08</v>
      </c>
      <c r="L2246">
        <v>9.9</v>
      </c>
      <c r="M2246">
        <v>10.78</v>
      </c>
      <c r="N2246">
        <v>9.7200000000000006</v>
      </c>
    </row>
    <row r="2247" spans="1:14" x14ac:dyDescent="0.5">
      <c r="A2247" t="str">
        <f>"600129"</f>
        <v>600129</v>
      </c>
      <c r="B2247" t="s">
        <v>4265</v>
      </c>
      <c r="C2247">
        <v>1.38</v>
      </c>
      <c r="D2247">
        <v>35.58</v>
      </c>
      <c r="E2247">
        <v>10.99</v>
      </c>
      <c r="F2247">
        <v>0.15</v>
      </c>
      <c r="G2247">
        <v>10.98</v>
      </c>
      <c r="H2247">
        <v>10.99</v>
      </c>
      <c r="I2247" t="s">
        <v>4266</v>
      </c>
      <c r="J2247">
        <v>0.85</v>
      </c>
      <c r="K2247">
        <v>0.85</v>
      </c>
      <c r="L2247">
        <v>10.88</v>
      </c>
      <c r="M2247">
        <v>11</v>
      </c>
      <c r="N2247">
        <v>10.83</v>
      </c>
    </row>
    <row r="2248" spans="1:14" x14ac:dyDescent="0.5">
      <c r="A2248" t="str">
        <f>"600130"</f>
        <v>600130</v>
      </c>
      <c r="B2248" t="s">
        <v>4267</v>
      </c>
      <c r="C2248">
        <v>5.2</v>
      </c>
      <c r="D2248" t="s">
        <v>24</v>
      </c>
      <c r="E2248">
        <v>4.45</v>
      </c>
      <c r="F2248">
        <v>0.22</v>
      </c>
      <c r="G2248">
        <v>4.45</v>
      </c>
      <c r="H2248">
        <v>4.46</v>
      </c>
      <c r="I2248" t="s">
        <v>4268</v>
      </c>
      <c r="J2248">
        <v>9.48</v>
      </c>
      <c r="K2248">
        <v>9.48</v>
      </c>
      <c r="L2248">
        <v>4.22</v>
      </c>
      <c r="M2248">
        <v>4.47</v>
      </c>
      <c r="N2248">
        <v>4.17</v>
      </c>
    </row>
    <row r="2249" spans="1:14" x14ac:dyDescent="0.5">
      <c r="A2249" t="str">
        <f>"600131"</f>
        <v>600131</v>
      </c>
      <c r="B2249" t="s">
        <v>4269</v>
      </c>
      <c r="C2249">
        <v>2.13</v>
      </c>
      <c r="D2249">
        <v>62.53</v>
      </c>
      <c r="E2249">
        <v>18.190000000000001</v>
      </c>
      <c r="F2249">
        <v>0.38</v>
      </c>
      <c r="G2249">
        <v>18.18</v>
      </c>
      <c r="H2249">
        <v>18.190000000000001</v>
      </c>
      <c r="I2249" t="s">
        <v>4270</v>
      </c>
      <c r="J2249">
        <v>17.73</v>
      </c>
      <c r="K2249">
        <v>17.73</v>
      </c>
      <c r="L2249">
        <v>19</v>
      </c>
      <c r="M2249">
        <v>19.59</v>
      </c>
      <c r="N2249">
        <v>17.16</v>
      </c>
    </row>
    <row r="2250" spans="1:14" x14ac:dyDescent="0.5">
      <c r="A2250" t="str">
        <f>"600132"</f>
        <v>600132</v>
      </c>
      <c r="B2250" t="s">
        <v>4271</v>
      </c>
      <c r="C2250">
        <v>-1.05</v>
      </c>
      <c r="D2250">
        <v>40.69</v>
      </c>
      <c r="E2250">
        <v>34.729999999999997</v>
      </c>
      <c r="F2250">
        <v>-0.37</v>
      </c>
      <c r="G2250">
        <v>34.729999999999997</v>
      </c>
      <c r="H2250">
        <v>34.75</v>
      </c>
      <c r="I2250" t="s">
        <v>4272</v>
      </c>
      <c r="J2250">
        <v>0.61</v>
      </c>
      <c r="K2250">
        <v>0.61</v>
      </c>
      <c r="L2250">
        <v>34.700000000000003</v>
      </c>
      <c r="M2250">
        <v>35.15</v>
      </c>
      <c r="N2250">
        <v>34.22</v>
      </c>
    </row>
    <row r="2251" spans="1:14" x14ac:dyDescent="0.5">
      <c r="A2251" t="str">
        <f>"600133"</f>
        <v>600133</v>
      </c>
      <c r="B2251" t="s">
        <v>4273</v>
      </c>
      <c r="C2251">
        <v>4.71</v>
      </c>
      <c r="D2251">
        <v>12.95</v>
      </c>
      <c r="E2251">
        <v>7.11</v>
      </c>
      <c r="F2251">
        <v>0.32</v>
      </c>
      <c r="G2251">
        <v>7.11</v>
      </c>
      <c r="H2251">
        <v>7.12</v>
      </c>
      <c r="I2251" t="s">
        <v>4274</v>
      </c>
      <c r="J2251">
        <v>6.82</v>
      </c>
      <c r="K2251">
        <v>6.82</v>
      </c>
      <c r="L2251">
        <v>6.75</v>
      </c>
      <c r="M2251">
        <v>7.17</v>
      </c>
      <c r="N2251">
        <v>6.66</v>
      </c>
    </row>
    <row r="2252" spans="1:14" x14ac:dyDescent="0.5">
      <c r="A2252" t="str">
        <f>"600135"</f>
        <v>600135</v>
      </c>
      <c r="B2252" t="s">
        <v>4275</v>
      </c>
      <c r="C2252">
        <v>4.05</v>
      </c>
      <c r="D2252">
        <v>195.91</v>
      </c>
      <c r="E2252">
        <v>8.73</v>
      </c>
      <c r="F2252">
        <v>0.34</v>
      </c>
      <c r="G2252">
        <v>8.73</v>
      </c>
      <c r="H2252">
        <v>8.74</v>
      </c>
      <c r="I2252" t="s">
        <v>4276</v>
      </c>
      <c r="J2252">
        <v>8.93</v>
      </c>
      <c r="K2252">
        <v>8.93</v>
      </c>
      <c r="L2252">
        <v>8.26</v>
      </c>
      <c r="M2252">
        <v>8.76</v>
      </c>
      <c r="N2252">
        <v>8.2100000000000009</v>
      </c>
    </row>
    <row r="2253" spans="1:14" x14ac:dyDescent="0.5">
      <c r="A2253" t="str">
        <f>"600136"</f>
        <v>600136</v>
      </c>
      <c r="B2253" t="s">
        <v>4277</v>
      </c>
      <c r="C2253">
        <v>1.83</v>
      </c>
      <c r="D2253">
        <v>21.17</v>
      </c>
      <c r="E2253">
        <v>9.4499999999999993</v>
      </c>
      <c r="F2253">
        <v>0.17</v>
      </c>
      <c r="G2253">
        <v>9.4499999999999993</v>
      </c>
      <c r="H2253">
        <v>9.4600000000000009</v>
      </c>
      <c r="I2253" t="s">
        <v>4278</v>
      </c>
      <c r="J2253">
        <v>1.8</v>
      </c>
      <c r="K2253">
        <v>1.8</v>
      </c>
      <c r="L2253">
        <v>9.1999999999999993</v>
      </c>
      <c r="M2253">
        <v>9.4600000000000009</v>
      </c>
      <c r="N2253">
        <v>9.1300000000000008</v>
      </c>
    </row>
    <row r="2254" spans="1:14" x14ac:dyDescent="0.5">
      <c r="A2254" t="str">
        <f>"600137"</f>
        <v>600137</v>
      </c>
      <c r="B2254" t="s">
        <v>4279</v>
      </c>
      <c r="C2254">
        <v>1.22</v>
      </c>
      <c r="D2254">
        <v>58.3</v>
      </c>
      <c r="E2254">
        <v>14.92</v>
      </c>
      <c r="F2254">
        <v>0.18</v>
      </c>
      <c r="G2254">
        <v>14.92</v>
      </c>
      <c r="H2254">
        <v>14.93</v>
      </c>
      <c r="I2254" t="s">
        <v>4280</v>
      </c>
      <c r="J2254">
        <v>2.3199999999999998</v>
      </c>
      <c r="K2254">
        <v>2.3199999999999998</v>
      </c>
      <c r="L2254">
        <v>14.75</v>
      </c>
      <c r="M2254">
        <v>14.98</v>
      </c>
      <c r="N2254">
        <v>14.56</v>
      </c>
    </row>
    <row r="2255" spans="1:14" x14ac:dyDescent="0.5">
      <c r="A2255" t="str">
        <f>"600138"</f>
        <v>600138</v>
      </c>
      <c r="B2255" t="s">
        <v>4281</v>
      </c>
      <c r="C2255">
        <v>1.6</v>
      </c>
      <c r="D2255">
        <v>17.829999999999998</v>
      </c>
      <c r="E2255">
        <v>15.91</v>
      </c>
      <c r="F2255">
        <v>0.25</v>
      </c>
      <c r="G2255">
        <v>15.9</v>
      </c>
      <c r="H2255">
        <v>15.91</v>
      </c>
      <c r="I2255" t="s">
        <v>4282</v>
      </c>
      <c r="J2255">
        <v>2.0699999999999998</v>
      </c>
      <c r="K2255">
        <v>2.0699999999999998</v>
      </c>
      <c r="L2255">
        <v>15.52</v>
      </c>
      <c r="M2255">
        <v>16</v>
      </c>
      <c r="N2255">
        <v>15.42</v>
      </c>
    </row>
    <row r="2256" spans="1:14" x14ac:dyDescent="0.5">
      <c r="A2256" t="str">
        <f>"600139"</f>
        <v>600139</v>
      </c>
      <c r="B2256" t="s">
        <v>4283</v>
      </c>
      <c r="C2256">
        <v>2.75</v>
      </c>
      <c r="D2256" t="s">
        <v>24</v>
      </c>
      <c r="E2256">
        <v>4.1100000000000003</v>
      </c>
      <c r="F2256">
        <v>0.11</v>
      </c>
      <c r="G2256">
        <v>4.0999999999999996</v>
      </c>
      <c r="H2256">
        <v>4.1100000000000003</v>
      </c>
      <c r="I2256" t="s">
        <v>4284</v>
      </c>
      <c r="J2256">
        <v>3.6</v>
      </c>
      <c r="K2256">
        <v>3.6</v>
      </c>
      <c r="L2256">
        <v>4.01</v>
      </c>
      <c r="M2256">
        <v>4.16</v>
      </c>
      <c r="N2256">
        <v>3.97</v>
      </c>
    </row>
    <row r="2257" spans="1:14" x14ac:dyDescent="0.5">
      <c r="A2257" t="str">
        <f>"600141"</f>
        <v>600141</v>
      </c>
      <c r="B2257" t="s">
        <v>4285</v>
      </c>
      <c r="C2257">
        <v>2.15</v>
      </c>
      <c r="D2257">
        <v>17.2</v>
      </c>
      <c r="E2257">
        <v>11.42</v>
      </c>
      <c r="F2257">
        <v>0.24</v>
      </c>
      <c r="G2257">
        <v>11.42</v>
      </c>
      <c r="H2257">
        <v>11.43</v>
      </c>
      <c r="I2257" t="s">
        <v>4286</v>
      </c>
      <c r="J2257">
        <v>3.03</v>
      </c>
      <c r="K2257">
        <v>3.03</v>
      </c>
      <c r="L2257">
        <v>11.08</v>
      </c>
      <c r="M2257">
        <v>11.44</v>
      </c>
      <c r="N2257">
        <v>11.03</v>
      </c>
    </row>
    <row r="2258" spans="1:14" x14ac:dyDescent="0.5">
      <c r="A2258" t="str">
        <f>"600143"</f>
        <v>600143</v>
      </c>
      <c r="B2258" t="s">
        <v>4287</v>
      </c>
      <c r="C2258">
        <v>2.61</v>
      </c>
      <c r="D2258">
        <v>19.27</v>
      </c>
      <c r="E2258">
        <v>5.5</v>
      </c>
      <c r="F2258">
        <v>0.14000000000000001</v>
      </c>
      <c r="G2258">
        <v>5.49</v>
      </c>
      <c r="H2258">
        <v>5.5</v>
      </c>
      <c r="I2258" t="s">
        <v>4288</v>
      </c>
      <c r="J2258">
        <v>1.1000000000000001</v>
      </c>
      <c r="K2258">
        <v>1.1000000000000001</v>
      </c>
      <c r="L2258">
        <v>5.37</v>
      </c>
      <c r="M2258">
        <v>5.51</v>
      </c>
      <c r="N2258">
        <v>5.37</v>
      </c>
    </row>
    <row r="2259" spans="1:14" x14ac:dyDescent="0.5">
      <c r="A2259" t="str">
        <f>"600145"</f>
        <v>600145</v>
      </c>
      <c r="B2259" t="s">
        <v>4289</v>
      </c>
      <c r="C2259">
        <v>0</v>
      </c>
      <c r="D2259">
        <v>57.69</v>
      </c>
      <c r="E2259">
        <v>1.87</v>
      </c>
      <c r="F2259">
        <v>0</v>
      </c>
      <c r="G2259" t="s">
        <v>24</v>
      </c>
      <c r="H2259" t="s">
        <v>24</v>
      </c>
      <c r="I2259" t="s">
        <v>4290</v>
      </c>
      <c r="J2259">
        <v>0</v>
      </c>
      <c r="K2259">
        <v>0</v>
      </c>
      <c r="L2259" t="s">
        <v>24</v>
      </c>
      <c r="M2259" t="s">
        <v>24</v>
      </c>
      <c r="N2259" t="s">
        <v>24</v>
      </c>
    </row>
    <row r="2260" spans="1:14" x14ac:dyDescent="0.5">
      <c r="A2260" t="str">
        <f>"600146"</f>
        <v>600146</v>
      </c>
      <c r="B2260" t="s">
        <v>4291</v>
      </c>
      <c r="C2260">
        <v>3.34</v>
      </c>
      <c r="D2260">
        <v>39.03</v>
      </c>
      <c r="E2260">
        <v>8.0500000000000007</v>
      </c>
      <c r="F2260">
        <v>0.26</v>
      </c>
      <c r="G2260">
        <v>8.0500000000000007</v>
      </c>
      <c r="H2260">
        <v>8.06</v>
      </c>
      <c r="I2260" t="s">
        <v>4292</v>
      </c>
      <c r="J2260">
        <v>14.19</v>
      </c>
      <c r="K2260">
        <v>14.19</v>
      </c>
      <c r="L2260">
        <v>7.65</v>
      </c>
      <c r="M2260">
        <v>8.1300000000000008</v>
      </c>
      <c r="N2260">
        <v>7.63</v>
      </c>
    </row>
    <row r="2261" spans="1:14" x14ac:dyDescent="0.5">
      <c r="A2261" t="str">
        <f>"600148"</f>
        <v>600148</v>
      </c>
      <c r="B2261" t="s">
        <v>4293</v>
      </c>
      <c r="C2261">
        <v>3.02</v>
      </c>
      <c r="D2261">
        <v>98.07</v>
      </c>
      <c r="E2261">
        <v>17.059999999999999</v>
      </c>
      <c r="F2261">
        <v>0.5</v>
      </c>
      <c r="G2261">
        <v>17.059999999999999</v>
      </c>
      <c r="H2261">
        <v>17.07</v>
      </c>
      <c r="I2261" t="s">
        <v>4237</v>
      </c>
      <c r="J2261">
        <v>3.15</v>
      </c>
      <c r="K2261">
        <v>3.15</v>
      </c>
      <c r="L2261">
        <v>16.559999999999999</v>
      </c>
      <c r="M2261">
        <v>17.059999999999999</v>
      </c>
      <c r="N2261">
        <v>16.440000000000001</v>
      </c>
    </row>
    <row r="2262" spans="1:14" x14ac:dyDescent="0.5">
      <c r="A2262" t="str">
        <f>"600149"</f>
        <v>600149</v>
      </c>
      <c r="B2262" t="s">
        <v>4294</v>
      </c>
      <c r="C2262">
        <v>0.82</v>
      </c>
      <c r="D2262">
        <v>159.56</v>
      </c>
      <c r="E2262">
        <v>6.14</v>
      </c>
      <c r="F2262">
        <v>0.05</v>
      </c>
      <c r="G2262">
        <v>6.14</v>
      </c>
      <c r="H2262">
        <v>6.15</v>
      </c>
      <c r="I2262" t="s">
        <v>4295</v>
      </c>
      <c r="J2262">
        <v>1.35</v>
      </c>
      <c r="K2262">
        <v>1.35</v>
      </c>
      <c r="L2262">
        <v>6.1</v>
      </c>
      <c r="M2262">
        <v>6.17</v>
      </c>
      <c r="N2262">
        <v>6.07</v>
      </c>
    </row>
    <row r="2263" spans="1:14" x14ac:dyDescent="0.5">
      <c r="A2263" t="str">
        <f>"600150"</f>
        <v>600150</v>
      </c>
      <c r="B2263" t="s">
        <v>4296</v>
      </c>
      <c r="C2263">
        <v>4.97</v>
      </c>
      <c r="D2263" t="s">
        <v>24</v>
      </c>
      <c r="E2263">
        <v>16.68</v>
      </c>
      <c r="F2263">
        <v>0.79</v>
      </c>
      <c r="G2263">
        <v>16.68</v>
      </c>
      <c r="H2263" t="s">
        <v>24</v>
      </c>
      <c r="I2263" t="s">
        <v>4297</v>
      </c>
      <c r="J2263">
        <v>1.64</v>
      </c>
      <c r="K2263">
        <v>1.64</v>
      </c>
      <c r="L2263">
        <v>15.82</v>
      </c>
      <c r="M2263">
        <v>16.68</v>
      </c>
      <c r="N2263">
        <v>15.71</v>
      </c>
    </row>
    <row r="2264" spans="1:14" x14ac:dyDescent="0.5">
      <c r="A2264" t="str">
        <f>"600151"</f>
        <v>600151</v>
      </c>
      <c r="B2264" t="s">
        <v>4298</v>
      </c>
      <c r="C2264">
        <v>3.5</v>
      </c>
      <c r="D2264" t="s">
        <v>24</v>
      </c>
      <c r="E2264">
        <v>5.62</v>
      </c>
      <c r="F2264">
        <v>0.19</v>
      </c>
      <c r="G2264">
        <v>5.62</v>
      </c>
      <c r="H2264">
        <v>5.63</v>
      </c>
      <c r="I2264" t="s">
        <v>4299</v>
      </c>
      <c r="J2264">
        <v>4.08</v>
      </c>
      <c r="K2264">
        <v>4.08</v>
      </c>
      <c r="L2264">
        <v>5.4</v>
      </c>
      <c r="M2264">
        <v>5.65</v>
      </c>
      <c r="N2264">
        <v>5.31</v>
      </c>
    </row>
    <row r="2265" spans="1:14" x14ac:dyDescent="0.5">
      <c r="A2265" t="str">
        <f>"600152"</f>
        <v>600152</v>
      </c>
      <c r="B2265" t="s">
        <v>4300</v>
      </c>
      <c r="C2265">
        <v>4.3499999999999996</v>
      </c>
      <c r="D2265">
        <v>40.67</v>
      </c>
      <c r="E2265">
        <v>7.2</v>
      </c>
      <c r="F2265">
        <v>0.3</v>
      </c>
      <c r="G2265">
        <v>7.2</v>
      </c>
      <c r="H2265">
        <v>7.21</v>
      </c>
      <c r="I2265" t="s">
        <v>2417</v>
      </c>
      <c r="J2265">
        <v>4.99</v>
      </c>
      <c r="K2265">
        <v>4.99</v>
      </c>
      <c r="L2265">
        <v>6.92</v>
      </c>
      <c r="M2265">
        <v>7.26</v>
      </c>
      <c r="N2265">
        <v>6.85</v>
      </c>
    </row>
    <row r="2266" spans="1:14" x14ac:dyDescent="0.5">
      <c r="A2266" t="str">
        <f>"600153"</f>
        <v>600153</v>
      </c>
      <c r="B2266" t="s">
        <v>4301</v>
      </c>
      <c r="C2266">
        <v>0.81</v>
      </c>
      <c r="D2266">
        <v>7.11</v>
      </c>
      <c r="E2266">
        <v>8.7200000000000006</v>
      </c>
      <c r="F2266">
        <v>7.0000000000000007E-2</v>
      </c>
      <c r="G2266">
        <v>8.7200000000000006</v>
      </c>
      <c r="H2266">
        <v>8.73</v>
      </c>
      <c r="I2266" t="s">
        <v>4302</v>
      </c>
      <c r="J2266">
        <v>0.56000000000000005</v>
      </c>
      <c r="K2266">
        <v>0.56000000000000005</v>
      </c>
      <c r="L2266">
        <v>8.66</v>
      </c>
      <c r="M2266">
        <v>8.77</v>
      </c>
      <c r="N2266">
        <v>8.61</v>
      </c>
    </row>
    <row r="2267" spans="1:14" x14ac:dyDescent="0.5">
      <c r="A2267" t="str">
        <f>"600155"</f>
        <v>600155</v>
      </c>
      <c r="B2267" t="s">
        <v>4303</v>
      </c>
      <c r="C2267">
        <v>-0.5</v>
      </c>
      <c r="D2267">
        <v>113.69</v>
      </c>
      <c r="E2267">
        <v>10.02</v>
      </c>
      <c r="F2267">
        <v>-0.05</v>
      </c>
      <c r="G2267">
        <v>10.02</v>
      </c>
      <c r="H2267">
        <v>10.029999999999999</v>
      </c>
      <c r="I2267" t="s">
        <v>4304</v>
      </c>
      <c r="J2267">
        <v>1.89</v>
      </c>
      <c r="K2267">
        <v>1.89</v>
      </c>
      <c r="L2267">
        <v>9.89</v>
      </c>
      <c r="M2267">
        <v>10.08</v>
      </c>
      <c r="N2267">
        <v>9.8000000000000007</v>
      </c>
    </row>
    <row r="2268" spans="1:14" x14ac:dyDescent="0.5">
      <c r="A2268" t="str">
        <f>"600156"</f>
        <v>600156</v>
      </c>
      <c r="B2268" t="s">
        <v>4305</v>
      </c>
      <c r="C2268">
        <v>0.56999999999999995</v>
      </c>
      <c r="D2268" t="s">
        <v>24</v>
      </c>
      <c r="E2268">
        <v>5.32</v>
      </c>
      <c r="F2268">
        <v>0.03</v>
      </c>
      <c r="G2268">
        <v>5.32</v>
      </c>
      <c r="H2268">
        <v>5.33</v>
      </c>
      <c r="I2268" t="s">
        <v>4306</v>
      </c>
      <c r="J2268">
        <v>2.76</v>
      </c>
      <c r="K2268">
        <v>2.76</v>
      </c>
      <c r="L2268">
        <v>5.22</v>
      </c>
      <c r="M2268">
        <v>5.34</v>
      </c>
      <c r="N2268">
        <v>5.21</v>
      </c>
    </row>
    <row r="2269" spans="1:14" x14ac:dyDescent="0.5">
      <c r="A2269" t="str">
        <f>"600157"</f>
        <v>600157</v>
      </c>
      <c r="B2269" t="s">
        <v>4307</v>
      </c>
      <c r="C2269">
        <v>0</v>
      </c>
      <c r="D2269">
        <v>121.55</v>
      </c>
      <c r="E2269">
        <v>2.15</v>
      </c>
      <c r="F2269">
        <v>0</v>
      </c>
      <c r="G2269">
        <v>2.14</v>
      </c>
      <c r="H2269">
        <v>2.15</v>
      </c>
      <c r="I2269" t="s">
        <v>4308</v>
      </c>
      <c r="J2269">
        <v>2.88</v>
      </c>
      <c r="K2269">
        <v>2.88</v>
      </c>
      <c r="L2269">
        <v>2.12</v>
      </c>
      <c r="M2269">
        <v>2.15</v>
      </c>
      <c r="N2269">
        <v>2.08</v>
      </c>
    </row>
    <row r="2270" spans="1:14" x14ac:dyDescent="0.5">
      <c r="A2270" t="str">
        <f>"600158"</f>
        <v>600158</v>
      </c>
      <c r="B2270" t="s">
        <v>4309</v>
      </c>
      <c r="C2270">
        <v>1.65</v>
      </c>
      <c r="D2270">
        <v>137.38999999999999</v>
      </c>
      <c r="E2270">
        <v>10.49</v>
      </c>
      <c r="F2270">
        <v>0.17</v>
      </c>
      <c r="G2270">
        <v>10.49</v>
      </c>
      <c r="H2270">
        <v>10.5</v>
      </c>
      <c r="I2270" t="s">
        <v>4310</v>
      </c>
      <c r="J2270">
        <v>3.67</v>
      </c>
      <c r="K2270">
        <v>3.67</v>
      </c>
      <c r="L2270">
        <v>10.3</v>
      </c>
      <c r="M2270">
        <v>10.53</v>
      </c>
      <c r="N2270">
        <v>10.220000000000001</v>
      </c>
    </row>
    <row r="2271" spans="1:14" x14ac:dyDescent="0.5">
      <c r="A2271" t="str">
        <f>"600159"</f>
        <v>600159</v>
      </c>
      <c r="B2271" t="s">
        <v>4311</v>
      </c>
      <c r="C2271">
        <v>1.67</v>
      </c>
      <c r="D2271">
        <v>87.77</v>
      </c>
      <c r="E2271">
        <v>3.04</v>
      </c>
      <c r="F2271">
        <v>0.05</v>
      </c>
      <c r="G2271">
        <v>3.03</v>
      </c>
      <c r="H2271">
        <v>3.04</v>
      </c>
      <c r="I2271" t="s">
        <v>3804</v>
      </c>
      <c r="J2271">
        <v>1.38</v>
      </c>
      <c r="K2271">
        <v>1.38</v>
      </c>
      <c r="L2271">
        <v>2.98</v>
      </c>
      <c r="M2271">
        <v>3.04</v>
      </c>
      <c r="N2271">
        <v>2.96</v>
      </c>
    </row>
    <row r="2272" spans="1:14" x14ac:dyDescent="0.5">
      <c r="A2272" t="str">
        <f>"600160"</f>
        <v>600160</v>
      </c>
      <c r="B2272" t="s">
        <v>4312</v>
      </c>
      <c r="C2272">
        <v>2.29</v>
      </c>
      <c r="D2272">
        <v>12.01</v>
      </c>
      <c r="E2272">
        <v>8.0299999999999994</v>
      </c>
      <c r="F2272">
        <v>0.18</v>
      </c>
      <c r="G2272">
        <v>8.0299999999999994</v>
      </c>
      <c r="H2272">
        <v>8.0399999999999991</v>
      </c>
      <c r="I2272" t="s">
        <v>4313</v>
      </c>
      <c r="J2272">
        <v>1.24</v>
      </c>
      <c r="K2272">
        <v>1.24</v>
      </c>
      <c r="L2272">
        <v>7.84</v>
      </c>
      <c r="M2272">
        <v>8.0500000000000007</v>
      </c>
      <c r="N2272">
        <v>7.8</v>
      </c>
    </row>
    <row r="2273" spans="1:14" x14ac:dyDescent="0.5">
      <c r="A2273" t="str">
        <f>"600161"</f>
        <v>600161</v>
      </c>
      <c r="B2273" t="s">
        <v>4314</v>
      </c>
      <c r="C2273">
        <v>-0.13</v>
      </c>
      <c r="D2273">
        <v>34.74</v>
      </c>
      <c r="E2273">
        <v>22.75</v>
      </c>
      <c r="F2273">
        <v>-0.03</v>
      </c>
      <c r="G2273">
        <v>22.74</v>
      </c>
      <c r="H2273">
        <v>22.75</v>
      </c>
      <c r="I2273" t="s">
        <v>4315</v>
      </c>
      <c r="J2273">
        <v>0.72</v>
      </c>
      <c r="K2273">
        <v>0.72</v>
      </c>
      <c r="L2273">
        <v>22.68</v>
      </c>
      <c r="M2273">
        <v>22.85</v>
      </c>
      <c r="N2273">
        <v>22.41</v>
      </c>
    </row>
    <row r="2274" spans="1:14" x14ac:dyDescent="0.5">
      <c r="A2274" t="str">
        <f>"600162"</f>
        <v>600162</v>
      </c>
      <c r="B2274" t="s">
        <v>4316</v>
      </c>
      <c r="C2274">
        <v>0</v>
      </c>
      <c r="D2274">
        <v>14.25</v>
      </c>
      <c r="E2274">
        <v>2.86</v>
      </c>
      <c r="F2274">
        <v>0</v>
      </c>
      <c r="G2274">
        <v>2.85</v>
      </c>
      <c r="H2274">
        <v>2.86</v>
      </c>
      <c r="I2274" t="s">
        <v>4317</v>
      </c>
      <c r="J2274">
        <v>1.85</v>
      </c>
      <c r="K2274">
        <v>1.85</v>
      </c>
      <c r="L2274">
        <v>2.82</v>
      </c>
      <c r="M2274">
        <v>2.86</v>
      </c>
      <c r="N2274">
        <v>2.79</v>
      </c>
    </row>
    <row r="2275" spans="1:14" x14ac:dyDescent="0.5">
      <c r="A2275" t="str">
        <f>"600163"</f>
        <v>600163</v>
      </c>
      <c r="B2275" t="s">
        <v>4318</v>
      </c>
      <c r="C2275">
        <v>1.3</v>
      </c>
      <c r="D2275">
        <v>23.14</v>
      </c>
      <c r="E2275">
        <v>3.89</v>
      </c>
      <c r="F2275">
        <v>0.05</v>
      </c>
      <c r="G2275">
        <v>3.88</v>
      </c>
      <c r="H2275">
        <v>3.89</v>
      </c>
      <c r="I2275" t="s">
        <v>4319</v>
      </c>
      <c r="J2275">
        <v>0.9</v>
      </c>
      <c r="K2275">
        <v>0.9</v>
      </c>
      <c r="L2275">
        <v>3.83</v>
      </c>
      <c r="M2275">
        <v>3.9</v>
      </c>
      <c r="N2275">
        <v>3.79</v>
      </c>
    </row>
    <row r="2276" spans="1:14" x14ac:dyDescent="0.5">
      <c r="A2276" t="str">
        <f>"600165"</f>
        <v>600165</v>
      </c>
      <c r="B2276" t="s">
        <v>4320</v>
      </c>
      <c r="C2276">
        <v>2.1</v>
      </c>
      <c r="D2276">
        <v>89.3</v>
      </c>
      <c r="E2276">
        <v>5.36</v>
      </c>
      <c r="F2276">
        <v>0.11</v>
      </c>
      <c r="G2276">
        <v>5.35</v>
      </c>
      <c r="H2276">
        <v>5.36</v>
      </c>
      <c r="I2276" t="s">
        <v>4321</v>
      </c>
      <c r="J2276">
        <v>6.96</v>
      </c>
      <c r="K2276">
        <v>6.96</v>
      </c>
      <c r="L2276">
        <v>5.19</v>
      </c>
      <c r="M2276">
        <v>5.42</v>
      </c>
      <c r="N2276">
        <v>5.16</v>
      </c>
    </row>
    <row r="2277" spans="1:14" x14ac:dyDescent="0.5">
      <c r="A2277" t="str">
        <f>"600166"</f>
        <v>600166</v>
      </c>
      <c r="B2277" t="s">
        <v>4322</v>
      </c>
      <c r="C2277">
        <v>0.95</v>
      </c>
      <c r="D2277" t="s">
        <v>24</v>
      </c>
      <c r="E2277">
        <v>2.13</v>
      </c>
      <c r="F2277">
        <v>0.02</v>
      </c>
      <c r="G2277">
        <v>2.13</v>
      </c>
      <c r="H2277">
        <v>2.14</v>
      </c>
      <c r="I2277" t="s">
        <v>4323</v>
      </c>
      <c r="J2277">
        <v>1.27</v>
      </c>
      <c r="K2277">
        <v>1.27</v>
      </c>
      <c r="L2277">
        <v>2.11</v>
      </c>
      <c r="M2277">
        <v>2.14</v>
      </c>
      <c r="N2277">
        <v>2.08</v>
      </c>
    </row>
    <row r="2278" spans="1:14" x14ac:dyDescent="0.5">
      <c r="A2278" t="str">
        <f>"600167"</f>
        <v>600167</v>
      </c>
      <c r="B2278" t="s">
        <v>4324</v>
      </c>
      <c r="C2278">
        <v>0.72</v>
      </c>
      <c r="D2278">
        <v>20.91</v>
      </c>
      <c r="E2278">
        <v>12.66</v>
      </c>
      <c r="F2278">
        <v>0.09</v>
      </c>
      <c r="G2278">
        <v>12.65</v>
      </c>
      <c r="H2278">
        <v>12.66</v>
      </c>
      <c r="I2278" t="s">
        <v>4325</v>
      </c>
      <c r="J2278">
        <v>0.62</v>
      </c>
      <c r="K2278">
        <v>0.62</v>
      </c>
      <c r="L2278">
        <v>12.7</v>
      </c>
      <c r="M2278">
        <v>12.96</v>
      </c>
      <c r="N2278">
        <v>12.53</v>
      </c>
    </row>
    <row r="2279" spans="1:14" x14ac:dyDescent="0.5">
      <c r="A2279" t="str">
        <f>"600168"</f>
        <v>600168</v>
      </c>
      <c r="B2279" t="s">
        <v>4326</v>
      </c>
      <c r="C2279">
        <v>1.2</v>
      </c>
      <c r="D2279">
        <v>15.83</v>
      </c>
      <c r="E2279">
        <v>6.72</v>
      </c>
      <c r="F2279">
        <v>0.08</v>
      </c>
      <c r="G2279">
        <v>6.72</v>
      </c>
      <c r="H2279">
        <v>6.73</v>
      </c>
      <c r="I2279" t="s">
        <v>4327</v>
      </c>
      <c r="J2279">
        <v>0.87</v>
      </c>
      <c r="K2279">
        <v>0.87</v>
      </c>
      <c r="L2279">
        <v>6.63</v>
      </c>
      <c r="M2279">
        <v>6.75</v>
      </c>
      <c r="N2279">
        <v>6.6</v>
      </c>
    </row>
    <row r="2280" spans="1:14" x14ac:dyDescent="0.5">
      <c r="A2280" t="str">
        <f>"600169"</f>
        <v>600169</v>
      </c>
      <c r="B2280" t="s">
        <v>4328</v>
      </c>
      <c r="C2280">
        <v>2.0099999999999998</v>
      </c>
      <c r="D2280">
        <v>181.48</v>
      </c>
      <c r="E2280">
        <v>3.05</v>
      </c>
      <c r="F2280">
        <v>0.06</v>
      </c>
      <c r="G2280">
        <v>3.04</v>
      </c>
      <c r="H2280">
        <v>3.05</v>
      </c>
      <c r="I2280" t="s">
        <v>4329</v>
      </c>
      <c r="J2280">
        <v>2.59</v>
      </c>
      <c r="K2280">
        <v>2.59</v>
      </c>
      <c r="L2280">
        <v>3.03</v>
      </c>
      <c r="M2280">
        <v>3.11</v>
      </c>
      <c r="N2280">
        <v>2.98</v>
      </c>
    </row>
    <row r="2281" spans="1:14" x14ac:dyDescent="0.5">
      <c r="A2281" t="str">
        <f>"600170"</f>
        <v>600170</v>
      </c>
      <c r="B2281" t="s">
        <v>4330</v>
      </c>
      <c r="C2281">
        <v>3.03</v>
      </c>
      <c r="D2281">
        <v>12.68</v>
      </c>
      <c r="E2281">
        <v>3.74</v>
      </c>
      <c r="F2281">
        <v>0.11</v>
      </c>
      <c r="G2281">
        <v>3.74</v>
      </c>
      <c r="H2281">
        <v>3.75</v>
      </c>
      <c r="I2281" t="s">
        <v>4331</v>
      </c>
      <c r="J2281">
        <v>0.89</v>
      </c>
      <c r="K2281">
        <v>0.89</v>
      </c>
      <c r="L2281">
        <v>3.61</v>
      </c>
      <c r="M2281">
        <v>3.75</v>
      </c>
      <c r="N2281">
        <v>3.59</v>
      </c>
    </row>
    <row r="2282" spans="1:14" x14ac:dyDescent="0.5">
      <c r="A2282" t="str">
        <f>"600171"</f>
        <v>600171</v>
      </c>
      <c r="B2282" t="s">
        <v>4332</v>
      </c>
      <c r="C2282">
        <v>9.9700000000000006</v>
      </c>
      <c r="D2282">
        <v>75.540000000000006</v>
      </c>
      <c r="E2282">
        <v>13.13</v>
      </c>
      <c r="F2282">
        <v>1.19</v>
      </c>
      <c r="G2282">
        <v>13.13</v>
      </c>
      <c r="H2282" t="s">
        <v>24</v>
      </c>
      <c r="I2282" t="s">
        <v>4333</v>
      </c>
      <c r="J2282">
        <v>8.98</v>
      </c>
      <c r="K2282">
        <v>8.98</v>
      </c>
      <c r="L2282">
        <v>11.81</v>
      </c>
      <c r="M2282">
        <v>13.13</v>
      </c>
      <c r="N2282">
        <v>11.74</v>
      </c>
    </row>
    <row r="2283" spans="1:14" x14ac:dyDescent="0.5">
      <c r="A2283" t="str">
        <f>"600172"</f>
        <v>600172</v>
      </c>
      <c r="B2283" t="s">
        <v>4334</v>
      </c>
      <c r="C2283">
        <v>5.87</v>
      </c>
      <c r="D2283">
        <v>17.600000000000001</v>
      </c>
      <c r="E2283">
        <v>4.51</v>
      </c>
      <c r="F2283">
        <v>0.25</v>
      </c>
      <c r="G2283">
        <v>4.51</v>
      </c>
      <c r="H2283">
        <v>4.5199999999999996</v>
      </c>
      <c r="I2283" t="s">
        <v>4335</v>
      </c>
      <c r="J2283">
        <v>10.9</v>
      </c>
      <c r="K2283">
        <v>10.9</v>
      </c>
      <c r="L2283">
        <v>4.47</v>
      </c>
      <c r="M2283">
        <v>4.6900000000000004</v>
      </c>
      <c r="N2283">
        <v>4.3600000000000003</v>
      </c>
    </row>
    <row r="2284" spans="1:14" x14ac:dyDescent="0.5">
      <c r="A2284" t="str">
        <f>"600173"</f>
        <v>600173</v>
      </c>
      <c r="B2284" t="s">
        <v>4336</v>
      </c>
      <c r="C2284">
        <v>0.63</v>
      </c>
      <c r="D2284">
        <v>8.0299999999999994</v>
      </c>
      <c r="E2284">
        <v>4.8099999999999996</v>
      </c>
      <c r="F2284">
        <v>0.03</v>
      </c>
      <c r="G2284">
        <v>4.8</v>
      </c>
      <c r="H2284">
        <v>4.8099999999999996</v>
      </c>
      <c r="I2284" t="s">
        <v>4337</v>
      </c>
      <c r="J2284">
        <v>0.99</v>
      </c>
      <c r="K2284">
        <v>0.99</v>
      </c>
      <c r="L2284">
        <v>4.76</v>
      </c>
      <c r="M2284">
        <v>4.83</v>
      </c>
      <c r="N2284">
        <v>4.7300000000000004</v>
      </c>
    </row>
    <row r="2285" spans="1:14" x14ac:dyDescent="0.5">
      <c r="A2285" t="str">
        <f>"600175"</f>
        <v>600175</v>
      </c>
      <c r="B2285" t="s">
        <v>4338</v>
      </c>
      <c r="C2285">
        <v>3.42</v>
      </c>
      <c r="D2285">
        <v>53.02</v>
      </c>
      <c r="E2285">
        <v>2.72</v>
      </c>
      <c r="F2285">
        <v>0.09</v>
      </c>
      <c r="G2285">
        <v>2.71</v>
      </c>
      <c r="H2285">
        <v>2.72</v>
      </c>
      <c r="I2285" t="s">
        <v>4339</v>
      </c>
      <c r="J2285">
        <v>6.88</v>
      </c>
      <c r="K2285">
        <v>6.88</v>
      </c>
      <c r="L2285">
        <v>2.6</v>
      </c>
      <c r="M2285">
        <v>2.72</v>
      </c>
      <c r="N2285">
        <v>2.59</v>
      </c>
    </row>
    <row r="2286" spans="1:14" x14ac:dyDescent="0.5">
      <c r="A2286" t="str">
        <f>"600176"</f>
        <v>600176</v>
      </c>
      <c r="B2286" t="s">
        <v>4340</v>
      </c>
      <c r="C2286">
        <v>-1.31</v>
      </c>
      <c r="D2286">
        <v>15.72</v>
      </c>
      <c r="E2286">
        <v>11.27</v>
      </c>
      <c r="F2286">
        <v>-0.15</v>
      </c>
      <c r="G2286">
        <v>11.27</v>
      </c>
      <c r="H2286">
        <v>11.28</v>
      </c>
      <c r="I2286" t="s">
        <v>4341</v>
      </c>
      <c r="J2286">
        <v>2.37</v>
      </c>
      <c r="K2286">
        <v>2.37</v>
      </c>
      <c r="L2286">
        <v>11.39</v>
      </c>
      <c r="M2286">
        <v>11.39</v>
      </c>
      <c r="N2286">
        <v>11.12</v>
      </c>
    </row>
    <row r="2287" spans="1:14" x14ac:dyDescent="0.5">
      <c r="A2287" t="str">
        <f>"600177"</f>
        <v>600177</v>
      </c>
      <c r="B2287" t="s">
        <v>4342</v>
      </c>
      <c r="C2287">
        <v>0.46</v>
      </c>
      <c r="D2287" t="s">
        <v>24</v>
      </c>
      <c r="E2287">
        <v>8.69</v>
      </c>
      <c r="F2287">
        <v>0.04</v>
      </c>
      <c r="G2287">
        <v>8.68</v>
      </c>
      <c r="H2287">
        <v>8.69</v>
      </c>
      <c r="I2287" t="s">
        <v>4343</v>
      </c>
      <c r="J2287">
        <v>0.48</v>
      </c>
      <c r="K2287">
        <v>0.48</v>
      </c>
      <c r="L2287">
        <v>8.6300000000000008</v>
      </c>
      <c r="M2287">
        <v>8.7200000000000006</v>
      </c>
      <c r="N2287">
        <v>8.58</v>
      </c>
    </row>
    <row r="2288" spans="1:14" x14ac:dyDescent="0.5">
      <c r="A2288" t="str">
        <f>"600178"</f>
        <v>600178</v>
      </c>
      <c r="B2288" t="s">
        <v>4344</v>
      </c>
      <c r="C2288">
        <v>3.74</v>
      </c>
      <c r="D2288">
        <v>38.82</v>
      </c>
      <c r="E2288">
        <v>5.55</v>
      </c>
      <c r="F2288">
        <v>0.2</v>
      </c>
      <c r="G2288">
        <v>5.55</v>
      </c>
      <c r="H2288">
        <v>5.56</v>
      </c>
      <c r="I2288" t="s">
        <v>1630</v>
      </c>
      <c r="J2288">
        <v>2.71</v>
      </c>
      <c r="K2288">
        <v>2.71</v>
      </c>
      <c r="L2288">
        <v>5.34</v>
      </c>
      <c r="M2288">
        <v>5.57</v>
      </c>
      <c r="N2288">
        <v>5.31</v>
      </c>
    </row>
    <row r="2289" spans="1:14" x14ac:dyDescent="0.5">
      <c r="A2289" t="str">
        <f>"600179"</f>
        <v>600179</v>
      </c>
      <c r="B2289" t="s">
        <v>4345</v>
      </c>
      <c r="C2289">
        <v>1.56</v>
      </c>
      <c r="D2289">
        <v>14.84</v>
      </c>
      <c r="E2289">
        <v>7.17</v>
      </c>
      <c r="F2289">
        <v>0.11</v>
      </c>
      <c r="G2289">
        <v>7.16</v>
      </c>
      <c r="H2289">
        <v>7.17</v>
      </c>
      <c r="I2289" t="s">
        <v>4346</v>
      </c>
      <c r="J2289">
        <v>2.95</v>
      </c>
      <c r="K2289">
        <v>2.95</v>
      </c>
      <c r="L2289">
        <v>7.04</v>
      </c>
      <c r="M2289">
        <v>7.27</v>
      </c>
      <c r="N2289">
        <v>6.97</v>
      </c>
    </row>
    <row r="2290" spans="1:14" x14ac:dyDescent="0.5">
      <c r="A2290" t="str">
        <f>"600180"</f>
        <v>600180</v>
      </c>
      <c r="B2290" t="s">
        <v>4347</v>
      </c>
      <c r="C2290">
        <v>2.59</v>
      </c>
      <c r="D2290">
        <v>11.85</v>
      </c>
      <c r="E2290">
        <v>9.11</v>
      </c>
      <c r="F2290">
        <v>0.23</v>
      </c>
      <c r="G2290">
        <v>9.1</v>
      </c>
      <c r="H2290">
        <v>9.11</v>
      </c>
      <c r="I2290" t="s">
        <v>4348</v>
      </c>
      <c r="J2290">
        <v>0.57999999999999996</v>
      </c>
      <c r="K2290">
        <v>0.57999999999999996</v>
      </c>
      <c r="L2290">
        <v>8.93</v>
      </c>
      <c r="M2290">
        <v>9.1300000000000008</v>
      </c>
      <c r="N2290">
        <v>8.7799999999999994</v>
      </c>
    </row>
    <row r="2291" spans="1:14" x14ac:dyDescent="0.5">
      <c r="A2291" t="str">
        <f>"600182"</f>
        <v>600182</v>
      </c>
      <c r="B2291" t="s">
        <v>4349</v>
      </c>
      <c r="C2291">
        <v>0.93</v>
      </c>
      <c r="D2291">
        <v>60.88</v>
      </c>
      <c r="E2291">
        <v>17.36</v>
      </c>
      <c r="F2291">
        <v>0.16</v>
      </c>
      <c r="G2291">
        <v>17.36</v>
      </c>
      <c r="H2291">
        <v>17.37</v>
      </c>
      <c r="I2291" t="s">
        <v>4350</v>
      </c>
      <c r="J2291">
        <v>1.61</v>
      </c>
      <c r="K2291">
        <v>1.61</v>
      </c>
      <c r="L2291">
        <v>17.149999999999999</v>
      </c>
      <c r="M2291">
        <v>17.43</v>
      </c>
      <c r="N2291">
        <v>17.12</v>
      </c>
    </row>
    <row r="2292" spans="1:14" x14ac:dyDescent="0.5">
      <c r="A2292" t="str">
        <f>"600183"</f>
        <v>600183</v>
      </c>
      <c r="B2292" t="s">
        <v>4351</v>
      </c>
      <c r="C2292">
        <v>2.09</v>
      </c>
      <c r="D2292">
        <v>23.21</v>
      </c>
      <c r="E2292">
        <v>12.24</v>
      </c>
      <c r="F2292">
        <v>0.25</v>
      </c>
      <c r="G2292">
        <v>12.24</v>
      </c>
      <c r="H2292">
        <v>12.25</v>
      </c>
      <c r="I2292" t="s">
        <v>4352</v>
      </c>
      <c r="J2292">
        <v>1.77</v>
      </c>
      <c r="K2292">
        <v>1.77</v>
      </c>
      <c r="L2292">
        <v>11.92</v>
      </c>
      <c r="M2292">
        <v>12.25</v>
      </c>
      <c r="N2292">
        <v>11.82</v>
      </c>
    </row>
    <row r="2293" spans="1:14" x14ac:dyDescent="0.5">
      <c r="A2293" t="str">
        <f>"600184"</f>
        <v>600184</v>
      </c>
      <c r="B2293" t="s">
        <v>4353</v>
      </c>
      <c r="C2293">
        <v>2.74</v>
      </c>
      <c r="D2293">
        <v>82.9</v>
      </c>
      <c r="E2293">
        <v>11.63</v>
      </c>
      <c r="F2293">
        <v>0.31</v>
      </c>
      <c r="G2293">
        <v>11.62</v>
      </c>
      <c r="H2293">
        <v>11.63</v>
      </c>
      <c r="I2293" t="s">
        <v>4354</v>
      </c>
      <c r="J2293">
        <v>1.43</v>
      </c>
      <c r="K2293">
        <v>1.43</v>
      </c>
      <c r="L2293">
        <v>11.32</v>
      </c>
      <c r="M2293">
        <v>11.65</v>
      </c>
      <c r="N2293">
        <v>11.22</v>
      </c>
    </row>
    <row r="2294" spans="1:14" x14ac:dyDescent="0.5">
      <c r="A2294" t="str">
        <f>"600185"</f>
        <v>600185</v>
      </c>
      <c r="B2294" t="s">
        <v>4355</v>
      </c>
      <c r="C2294">
        <v>1.21</v>
      </c>
      <c r="D2294">
        <v>16.260000000000002</v>
      </c>
      <c r="E2294">
        <v>5</v>
      </c>
      <c r="F2294">
        <v>0.06</v>
      </c>
      <c r="G2294">
        <v>5</v>
      </c>
      <c r="H2294">
        <v>5.01</v>
      </c>
      <c r="I2294" t="s">
        <v>4356</v>
      </c>
      <c r="J2294">
        <v>0.77</v>
      </c>
      <c r="K2294">
        <v>0.77</v>
      </c>
      <c r="L2294">
        <v>4.95</v>
      </c>
      <c r="M2294">
        <v>5.07</v>
      </c>
      <c r="N2294">
        <v>4.9000000000000004</v>
      </c>
    </row>
    <row r="2295" spans="1:14" x14ac:dyDescent="0.5">
      <c r="A2295" t="str">
        <f>"600186"</f>
        <v>600186</v>
      </c>
      <c r="B2295" t="s">
        <v>4357</v>
      </c>
      <c r="C2295">
        <v>2.35</v>
      </c>
      <c r="D2295" t="s">
        <v>24</v>
      </c>
      <c r="E2295">
        <v>2.1800000000000002</v>
      </c>
      <c r="F2295">
        <v>0.05</v>
      </c>
      <c r="G2295">
        <v>2.17</v>
      </c>
      <c r="H2295">
        <v>2.1800000000000002</v>
      </c>
      <c r="I2295" t="s">
        <v>4358</v>
      </c>
      <c r="J2295">
        <v>4.12</v>
      </c>
      <c r="K2295">
        <v>4.12</v>
      </c>
      <c r="L2295">
        <v>2.11</v>
      </c>
      <c r="M2295">
        <v>2.2000000000000002</v>
      </c>
      <c r="N2295">
        <v>2.09</v>
      </c>
    </row>
    <row r="2296" spans="1:14" x14ac:dyDescent="0.5">
      <c r="A2296" t="str">
        <f>"600187"</f>
        <v>600187</v>
      </c>
      <c r="B2296" t="s">
        <v>4359</v>
      </c>
      <c r="C2296">
        <v>4.8499999999999996</v>
      </c>
      <c r="D2296">
        <v>771.5</v>
      </c>
      <c r="E2296">
        <v>3.46</v>
      </c>
      <c r="F2296">
        <v>0.16</v>
      </c>
      <c r="G2296">
        <v>3.46</v>
      </c>
      <c r="H2296">
        <v>3.47</v>
      </c>
      <c r="I2296" t="s">
        <v>133</v>
      </c>
      <c r="J2296">
        <v>6.71</v>
      </c>
      <c r="K2296">
        <v>6.71</v>
      </c>
      <c r="L2296">
        <v>3.26</v>
      </c>
      <c r="M2296">
        <v>3.58</v>
      </c>
      <c r="N2296">
        <v>3.25</v>
      </c>
    </row>
    <row r="2297" spans="1:14" x14ac:dyDescent="0.5">
      <c r="A2297" t="str">
        <f>"600188"</f>
        <v>600188</v>
      </c>
      <c r="B2297" t="s">
        <v>4360</v>
      </c>
      <c r="C2297">
        <v>-0.18</v>
      </c>
      <c r="D2297">
        <v>7.17</v>
      </c>
      <c r="E2297">
        <v>10.82</v>
      </c>
      <c r="F2297">
        <v>-0.02</v>
      </c>
      <c r="G2297">
        <v>10.81</v>
      </c>
      <c r="H2297">
        <v>10.82</v>
      </c>
      <c r="I2297" t="s">
        <v>4361</v>
      </c>
      <c r="J2297">
        <v>1.38</v>
      </c>
      <c r="K2297">
        <v>1.38</v>
      </c>
      <c r="L2297">
        <v>10.8</v>
      </c>
      <c r="M2297">
        <v>10.88</v>
      </c>
      <c r="N2297">
        <v>10.64</v>
      </c>
    </row>
    <row r="2298" spans="1:14" x14ac:dyDescent="0.5">
      <c r="A2298" t="str">
        <f>"600189"</f>
        <v>600189</v>
      </c>
      <c r="B2298" t="s">
        <v>4362</v>
      </c>
      <c r="C2298">
        <v>3.06</v>
      </c>
      <c r="D2298">
        <v>31.21</v>
      </c>
      <c r="E2298">
        <v>4.71</v>
      </c>
      <c r="F2298">
        <v>0.14000000000000001</v>
      </c>
      <c r="G2298">
        <v>4.71</v>
      </c>
      <c r="H2298">
        <v>4.72</v>
      </c>
      <c r="I2298" t="s">
        <v>4363</v>
      </c>
      <c r="J2298">
        <v>2.2000000000000002</v>
      </c>
      <c r="K2298">
        <v>2.2000000000000002</v>
      </c>
      <c r="L2298">
        <v>4.5199999999999996</v>
      </c>
      <c r="M2298">
        <v>4.72</v>
      </c>
      <c r="N2298">
        <v>4.51</v>
      </c>
    </row>
    <row r="2299" spans="1:14" x14ac:dyDescent="0.5">
      <c r="A2299" t="str">
        <f>"600190"</f>
        <v>600190</v>
      </c>
      <c r="B2299" t="s">
        <v>4364</v>
      </c>
      <c r="C2299">
        <v>0.89</v>
      </c>
      <c r="D2299">
        <v>38.659999999999997</v>
      </c>
      <c r="E2299">
        <v>3.4</v>
      </c>
      <c r="F2299">
        <v>0.03</v>
      </c>
      <c r="G2299">
        <v>3.39</v>
      </c>
      <c r="H2299">
        <v>3.4</v>
      </c>
      <c r="I2299" t="s">
        <v>4365</v>
      </c>
      <c r="J2299">
        <v>0.73</v>
      </c>
      <c r="K2299">
        <v>0.73</v>
      </c>
      <c r="L2299">
        <v>3.35</v>
      </c>
      <c r="M2299">
        <v>3.4</v>
      </c>
      <c r="N2299">
        <v>3.32</v>
      </c>
    </row>
    <row r="2300" spans="1:14" x14ac:dyDescent="0.5">
      <c r="A2300" t="str">
        <f>"600191"</f>
        <v>600191</v>
      </c>
      <c r="B2300" t="s">
        <v>4366</v>
      </c>
      <c r="C2300">
        <v>0.37</v>
      </c>
      <c r="D2300" t="s">
        <v>24</v>
      </c>
      <c r="E2300">
        <v>5.46</v>
      </c>
      <c r="F2300">
        <v>0.02</v>
      </c>
      <c r="G2300">
        <v>5.46</v>
      </c>
      <c r="H2300">
        <v>5.47</v>
      </c>
      <c r="I2300" t="s">
        <v>1185</v>
      </c>
      <c r="J2300">
        <v>4.26</v>
      </c>
      <c r="K2300">
        <v>4.26</v>
      </c>
      <c r="L2300">
        <v>5.36</v>
      </c>
      <c r="M2300">
        <v>5.47</v>
      </c>
      <c r="N2300">
        <v>5.25</v>
      </c>
    </row>
    <row r="2301" spans="1:14" x14ac:dyDescent="0.5">
      <c r="A2301" t="str">
        <f>"600192"</f>
        <v>600192</v>
      </c>
      <c r="B2301" t="s">
        <v>4367</v>
      </c>
      <c r="C2301">
        <v>2.29</v>
      </c>
      <c r="D2301">
        <v>186.81</v>
      </c>
      <c r="E2301">
        <v>6.71</v>
      </c>
      <c r="F2301">
        <v>0.15</v>
      </c>
      <c r="G2301">
        <v>6.71</v>
      </c>
      <c r="H2301">
        <v>6.72</v>
      </c>
      <c r="I2301" t="s">
        <v>4368</v>
      </c>
      <c r="J2301">
        <v>5.73</v>
      </c>
      <c r="K2301">
        <v>5.73</v>
      </c>
      <c r="L2301">
        <v>6.54</v>
      </c>
      <c r="M2301">
        <v>6.79</v>
      </c>
      <c r="N2301">
        <v>6.47</v>
      </c>
    </row>
    <row r="2302" spans="1:14" x14ac:dyDescent="0.5">
      <c r="A2302" t="str">
        <f>"600193"</f>
        <v>600193</v>
      </c>
      <c r="B2302" t="s">
        <v>4369</v>
      </c>
      <c r="C2302">
        <v>0.77</v>
      </c>
      <c r="D2302">
        <v>27.51</v>
      </c>
      <c r="E2302">
        <v>3.92</v>
      </c>
      <c r="F2302">
        <v>0.03</v>
      </c>
      <c r="G2302">
        <v>3.92</v>
      </c>
      <c r="H2302">
        <v>3.93</v>
      </c>
      <c r="I2302" t="s">
        <v>4370</v>
      </c>
      <c r="J2302">
        <v>1.1100000000000001</v>
      </c>
      <c r="K2302">
        <v>1.1100000000000001</v>
      </c>
      <c r="L2302">
        <v>3.87</v>
      </c>
      <c r="M2302">
        <v>3.93</v>
      </c>
      <c r="N2302">
        <v>3.85</v>
      </c>
    </row>
    <row r="2303" spans="1:14" x14ac:dyDescent="0.5">
      <c r="A2303" t="str">
        <f>"600195"</f>
        <v>600195</v>
      </c>
      <c r="B2303" t="s">
        <v>4371</v>
      </c>
      <c r="C2303">
        <v>1.88</v>
      </c>
      <c r="D2303">
        <v>15.21</v>
      </c>
      <c r="E2303">
        <v>12.48</v>
      </c>
      <c r="F2303">
        <v>0.23</v>
      </c>
      <c r="G2303">
        <v>12.48</v>
      </c>
      <c r="H2303">
        <v>12.49</v>
      </c>
      <c r="I2303" t="s">
        <v>4372</v>
      </c>
      <c r="J2303">
        <v>2</v>
      </c>
      <c r="K2303">
        <v>2</v>
      </c>
      <c r="L2303">
        <v>12.23</v>
      </c>
      <c r="M2303">
        <v>12.48</v>
      </c>
      <c r="N2303">
        <v>12.12</v>
      </c>
    </row>
    <row r="2304" spans="1:14" x14ac:dyDescent="0.5">
      <c r="A2304" t="str">
        <f>"600196"</f>
        <v>600196</v>
      </c>
      <c r="B2304" t="s">
        <v>4373</v>
      </c>
      <c r="C2304">
        <v>0.17</v>
      </c>
      <c r="D2304">
        <v>26.29</v>
      </c>
      <c r="E2304">
        <v>29.62</v>
      </c>
      <c r="F2304">
        <v>0.05</v>
      </c>
      <c r="G2304">
        <v>29.62</v>
      </c>
      <c r="H2304">
        <v>29.63</v>
      </c>
      <c r="I2304" t="s">
        <v>4374</v>
      </c>
      <c r="J2304">
        <v>1.89</v>
      </c>
      <c r="K2304">
        <v>1.89</v>
      </c>
      <c r="L2304">
        <v>29.57</v>
      </c>
      <c r="M2304">
        <v>29.8</v>
      </c>
      <c r="N2304">
        <v>29</v>
      </c>
    </row>
    <row r="2305" spans="1:14" x14ac:dyDescent="0.5">
      <c r="A2305" t="str">
        <f>"600197"</f>
        <v>600197</v>
      </c>
      <c r="B2305" t="s">
        <v>4375</v>
      </c>
      <c r="C2305">
        <v>0.52</v>
      </c>
      <c r="D2305">
        <v>19.63</v>
      </c>
      <c r="E2305">
        <v>17.510000000000002</v>
      </c>
      <c r="F2305">
        <v>0.09</v>
      </c>
      <c r="G2305">
        <v>17.510000000000002</v>
      </c>
      <c r="H2305">
        <v>17.52</v>
      </c>
      <c r="I2305" t="s">
        <v>4376</v>
      </c>
      <c r="J2305">
        <v>2.36</v>
      </c>
      <c r="K2305">
        <v>2.36</v>
      </c>
      <c r="L2305">
        <v>17.399999999999999</v>
      </c>
      <c r="M2305">
        <v>17.68</v>
      </c>
      <c r="N2305">
        <v>17.18</v>
      </c>
    </row>
    <row r="2306" spans="1:14" x14ac:dyDescent="0.5">
      <c r="A2306" t="str">
        <f>"600198"</f>
        <v>600198</v>
      </c>
      <c r="B2306" t="s">
        <v>4377</v>
      </c>
      <c r="C2306">
        <v>5.05</v>
      </c>
      <c r="D2306" t="s">
        <v>24</v>
      </c>
      <c r="E2306">
        <v>9.15</v>
      </c>
      <c r="F2306">
        <v>0.44</v>
      </c>
      <c r="G2306">
        <v>9.15</v>
      </c>
      <c r="H2306" t="s">
        <v>24</v>
      </c>
      <c r="I2306" t="s">
        <v>4378</v>
      </c>
      <c r="J2306">
        <v>2.73</v>
      </c>
      <c r="K2306">
        <v>2.73</v>
      </c>
      <c r="L2306">
        <v>8.69</v>
      </c>
      <c r="M2306">
        <v>9.15</v>
      </c>
      <c r="N2306">
        <v>8.6199999999999992</v>
      </c>
    </row>
    <row r="2307" spans="1:14" x14ac:dyDescent="0.5">
      <c r="A2307" t="str">
        <f>"600199"</f>
        <v>600199</v>
      </c>
      <c r="B2307" t="s">
        <v>4379</v>
      </c>
      <c r="C2307">
        <v>0.35</v>
      </c>
      <c r="D2307">
        <v>648.46</v>
      </c>
      <c r="E2307">
        <v>5.71</v>
      </c>
      <c r="F2307">
        <v>0.02</v>
      </c>
      <c r="G2307">
        <v>5.7</v>
      </c>
      <c r="H2307">
        <v>5.71</v>
      </c>
      <c r="I2307" t="s">
        <v>4380</v>
      </c>
      <c r="J2307">
        <v>2.78</v>
      </c>
      <c r="K2307">
        <v>2.78</v>
      </c>
      <c r="L2307">
        <v>5.63</v>
      </c>
      <c r="M2307">
        <v>5.73</v>
      </c>
      <c r="N2307">
        <v>5.58</v>
      </c>
    </row>
    <row r="2308" spans="1:14" x14ac:dyDescent="0.5">
      <c r="A2308" t="str">
        <f>"600200"</f>
        <v>600200</v>
      </c>
      <c r="B2308" t="s">
        <v>4381</v>
      </c>
      <c r="C2308">
        <v>4.17</v>
      </c>
      <c r="D2308">
        <v>34.76</v>
      </c>
      <c r="E2308">
        <v>7.49</v>
      </c>
      <c r="F2308">
        <v>0.3</v>
      </c>
      <c r="G2308">
        <v>7.49</v>
      </c>
      <c r="H2308">
        <v>7.5</v>
      </c>
      <c r="I2308" t="s">
        <v>4382</v>
      </c>
      <c r="J2308">
        <v>2.38</v>
      </c>
      <c r="K2308">
        <v>2.38</v>
      </c>
      <c r="L2308">
        <v>7.19</v>
      </c>
      <c r="M2308">
        <v>7.56</v>
      </c>
      <c r="N2308">
        <v>7.17</v>
      </c>
    </row>
    <row r="2309" spans="1:14" x14ac:dyDescent="0.5">
      <c r="A2309" t="str">
        <f>"600201"</f>
        <v>600201</v>
      </c>
      <c r="B2309" t="s">
        <v>4383</v>
      </c>
      <c r="C2309">
        <v>3.03</v>
      </c>
      <c r="D2309">
        <v>20.98</v>
      </c>
      <c r="E2309">
        <v>16.649999999999999</v>
      </c>
      <c r="F2309">
        <v>0.49</v>
      </c>
      <c r="G2309">
        <v>16.64</v>
      </c>
      <c r="H2309">
        <v>16.649999999999999</v>
      </c>
      <c r="I2309" t="s">
        <v>4384</v>
      </c>
      <c r="J2309">
        <v>3.16</v>
      </c>
      <c r="K2309">
        <v>3.16</v>
      </c>
      <c r="L2309">
        <v>16.14</v>
      </c>
      <c r="M2309">
        <v>16.73</v>
      </c>
      <c r="N2309">
        <v>15.98</v>
      </c>
    </row>
    <row r="2310" spans="1:14" x14ac:dyDescent="0.5">
      <c r="A2310" t="str">
        <f>"600202"</f>
        <v>600202</v>
      </c>
      <c r="B2310" t="s">
        <v>4385</v>
      </c>
      <c r="C2310">
        <v>0.23</v>
      </c>
      <c r="D2310" t="s">
        <v>24</v>
      </c>
      <c r="E2310">
        <v>4.3499999999999996</v>
      </c>
      <c r="F2310">
        <v>0.01</v>
      </c>
      <c r="G2310">
        <v>4.3499999999999996</v>
      </c>
      <c r="H2310">
        <v>4.3600000000000003</v>
      </c>
      <c r="I2310" t="s">
        <v>4386</v>
      </c>
      <c r="J2310">
        <v>2.25</v>
      </c>
      <c r="K2310">
        <v>2.25</v>
      </c>
      <c r="L2310">
        <v>4.3899999999999997</v>
      </c>
      <c r="M2310">
        <v>4.45</v>
      </c>
      <c r="N2310">
        <v>4.28</v>
      </c>
    </row>
    <row r="2311" spans="1:14" x14ac:dyDescent="0.5">
      <c r="A2311" t="str">
        <f>"600203"</f>
        <v>600203</v>
      </c>
      <c r="B2311" t="s">
        <v>4387</v>
      </c>
      <c r="C2311">
        <v>10.07</v>
      </c>
      <c r="D2311" t="s">
        <v>24</v>
      </c>
      <c r="E2311">
        <v>6.12</v>
      </c>
      <c r="F2311">
        <v>0.56000000000000005</v>
      </c>
      <c r="G2311">
        <v>6.12</v>
      </c>
      <c r="H2311" t="s">
        <v>24</v>
      </c>
      <c r="I2311" t="s">
        <v>1040</v>
      </c>
      <c r="J2311">
        <v>8.7200000000000006</v>
      </c>
      <c r="K2311">
        <v>8.7200000000000006</v>
      </c>
      <c r="L2311">
        <v>5.5</v>
      </c>
      <c r="M2311">
        <v>6.12</v>
      </c>
      <c r="N2311">
        <v>5.48</v>
      </c>
    </row>
    <row r="2312" spans="1:14" x14ac:dyDescent="0.5">
      <c r="A2312" t="str">
        <f>"600206"</f>
        <v>600206</v>
      </c>
      <c r="B2312" t="s">
        <v>4388</v>
      </c>
      <c r="C2312">
        <v>4.21</v>
      </c>
      <c r="D2312">
        <v>110.12</v>
      </c>
      <c r="E2312">
        <v>8.67</v>
      </c>
      <c r="F2312">
        <v>0.35</v>
      </c>
      <c r="G2312">
        <v>8.66</v>
      </c>
      <c r="H2312">
        <v>8.67</v>
      </c>
      <c r="I2312" t="s">
        <v>4389</v>
      </c>
      <c r="J2312">
        <v>4.84</v>
      </c>
      <c r="K2312">
        <v>4.84</v>
      </c>
      <c r="L2312">
        <v>8.3000000000000007</v>
      </c>
      <c r="M2312">
        <v>8.68</v>
      </c>
      <c r="N2312">
        <v>8.2799999999999994</v>
      </c>
    </row>
    <row r="2313" spans="1:14" x14ac:dyDescent="0.5">
      <c r="A2313" t="str">
        <f>"600207"</f>
        <v>600207</v>
      </c>
      <c r="B2313" t="s">
        <v>4390</v>
      </c>
      <c r="C2313">
        <v>6.4</v>
      </c>
      <c r="D2313" t="s">
        <v>24</v>
      </c>
      <c r="E2313">
        <v>5.49</v>
      </c>
      <c r="F2313">
        <v>0.33</v>
      </c>
      <c r="G2313">
        <v>5.49</v>
      </c>
      <c r="H2313">
        <v>5.5</v>
      </c>
      <c r="I2313" t="s">
        <v>4391</v>
      </c>
      <c r="J2313">
        <v>3.79</v>
      </c>
      <c r="K2313">
        <v>3.79</v>
      </c>
      <c r="L2313">
        <v>5.16</v>
      </c>
      <c r="M2313">
        <v>5.5</v>
      </c>
      <c r="N2313">
        <v>5.1100000000000003</v>
      </c>
    </row>
    <row r="2314" spans="1:14" x14ac:dyDescent="0.5">
      <c r="A2314" t="str">
        <f>"600208"</f>
        <v>600208</v>
      </c>
      <c r="B2314" t="s">
        <v>4392</v>
      </c>
      <c r="C2314">
        <v>0.53</v>
      </c>
      <c r="D2314">
        <v>9.4600000000000009</v>
      </c>
      <c r="E2314">
        <v>3.78</v>
      </c>
      <c r="F2314">
        <v>0.02</v>
      </c>
      <c r="G2314">
        <v>3.78</v>
      </c>
      <c r="H2314">
        <v>3.79</v>
      </c>
      <c r="I2314" t="s">
        <v>4393</v>
      </c>
      <c r="J2314">
        <v>0.83</v>
      </c>
      <c r="K2314">
        <v>0.83</v>
      </c>
      <c r="L2314">
        <v>3.71</v>
      </c>
      <c r="M2314">
        <v>3.82</v>
      </c>
      <c r="N2314">
        <v>3.7</v>
      </c>
    </row>
    <row r="2315" spans="1:14" x14ac:dyDescent="0.5">
      <c r="A2315" t="str">
        <f>"600209"</f>
        <v>600209</v>
      </c>
      <c r="B2315" t="s">
        <v>4394</v>
      </c>
      <c r="C2315">
        <v>0.5</v>
      </c>
      <c r="D2315" t="s">
        <v>24</v>
      </c>
      <c r="E2315">
        <v>4.0599999999999996</v>
      </c>
      <c r="F2315">
        <v>0.02</v>
      </c>
      <c r="G2315">
        <v>4.0599999999999996</v>
      </c>
      <c r="H2315">
        <v>4.07</v>
      </c>
      <c r="I2315" t="s">
        <v>2992</v>
      </c>
      <c r="J2315">
        <v>1.64</v>
      </c>
      <c r="K2315">
        <v>1.64</v>
      </c>
      <c r="L2315">
        <v>4</v>
      </c>
      <c r="M2315">
        <v>4.07</v>
      </c>
      <c r="N2315">
        <v>3.99</v>
      </c>
    </row>
    <row r="2316" spans="1:14" x14ac:dyDescent="0.5">
      <c r="A2316" t="str">
        <f>"600210"</f>
        <v>600210</v>
      </c>
      <c r="B2316" t="s">
        <v>4395</v>
      </c>
      <c r="C2316">
        <v>9.52</v>
      </c>
      <c r="D2316">
        <v>22.48</v>
      </c>
      <c r="E2316">
        <v>4.5999999999999996</v>
      </c>
      <c r="F2316">
        <v>0.4</v>
      </c>
      <c r="G2316">
        <v>4.5999999999999996</v>
      </c>
      <c r="H2316">
        <v>4.6100000000000003</v>
      </c>
      <c r="I2316" t="s">
        <v>4396</v>
      </c>
      <c r="J2316">
        <v>7.91</v>
      </c>
      <c r="K2316">
        <v>7.91</v>
      </c>
      <c r="L2316">
        <v>4.18</v>
      </c>
      <c r="M2316">
        <v>4.62</v>
      </c>
      <c r="N2316">
        <v>4.13</v>
      </c>
    </row>
    <row r="2317" spans="1:14" x14ac:dyDescent="0.5">
      <c r="A2317" t="str">
        <f>"600211"</f>
        <v>600211</v>
      </c>
      <c r="B2317" t="s">
        <v>4397</v>
      </c>
      <c r="C2317">
        <v>0.61</v>
      </c>
      <c r="D2317">
        <v>17.73</v>
      </c>
      <c r="E2317">
        <v>32.9</v>
      </c>
      <c r="F2317">
        <v>0.2</v>
      </c>
      <c r="G2317">
        <v>32.89</v>
      </c>
      <c r="H2317">
        <v>32.9</v>
      </c>
      <c r="I2317" t="s">
        <v>4398</v>
      </c>
      <c r="J2317">
        <v>1.33</v>
      </c>
      <c r="K2317">
        <v>1.33</v>
      </c>
      <c r="L2317">
        <v>32.700000000000003</v>
      </c>
      <c r="M2317">
        <v>32.93</v>
      </c>
      <c r="N2317">
        <v>32.32</v>
      </c>
    </row>
    <row r="2318" spans="1:14" x14ac:dyDescent="0.5">
      <c r="A2318" t="str">
        <f>"600212"</f>
        <v>600212</v>
      </c>
      <c r="B2318" t="s">
        <v>4399</v>
      </c>
      <c r="C2318">
        <v>10</v>
      </c>
      <c r="D2318" t="s">
        <v>24</v>
      </c>
      <c r="E2318">
        <v>4.84</v>
      </c>
      <c r="F2318">
        <v>0.44</v>
      </c>
      <c r="G2318">
        <v>4.84</v>
      </c>
      <c r="H2318" t="s">
        <v>24</v>
      </c>
      <c r="I2318" t="s">
        <v>4400</v>
      </c>
      <c r="J2318">
        <v>9.23</v>
      </c>
      <c r="K2318">
        <v>9.23</v>
      </c>
      <c r="L2318">
        <v>4.49</v>
      </c>
      <c r="M2318">
        <v>4.84</v>
      </c>
      <c r="N2318">
        <v>4.41</v>
      </c>
    </row>
    <row r="2319" spans="1:14" x14ac:dyDescent="0.5">
      <c r="A2319" t="str">
        <f>"600213"</f>
        <v>600213</v>
      </c>
      <c r="B2319" t="s">
        <v>4401</v>
      </c>
      <c r="C2319">
        <v>-1.34</v>
      </c>
      <c r="D2319">
        <v>47.81</v>
      </c>
      <c r="E2319">
        <v>8.1</v>
      </c>
      <c r="F2319">
        <v>-0.11</v>
      </c>
      <c r="G2319">
        <v>8.09</v>
      </c>
      <c r="H2319">
        <v>8.1</v>
      </c>
      <c r="I2319" t="s">
        <v>2992</v>
      </c>
      <c r="J2319">
        <v>6.77</v>
      </c>
      <c r="K2319">
        <v>6.77</v>
      </c>
      <c r="L2319">
        <v>7.94</v>
      </c>
      <c r="M2319">
        <v>8.1</v>
      </c>
      <c r="N2319">
        <v>7.88</v>
      </c>
    </row>
    <row r="2320" spans="1:14" x14ac:dyDescent="0.5">
      <c r="A2320" t="str">
        <f>"600215"</f>
        <v>600215</v>
      </c>
      <c r="B2320" t="s">
        <v>4402</v>
      </c>
      <c r="C2320">
        <v>3.07</v>
      </c>
      <c r="D2320">
        <v>47.78</v>
      </c>
      <c r="E2320">
        <v>8.0500000000000007</v>
      </c>
      <c r="F2320">
        <v>0.24</v>
      </c>
      <c r="G2320">
        <v>8.0399999999999991</v>
      </c>
      <c r="H2320">
        <v>8.0500000000000007</v>
      </c>
      <c r="I2320" t="s">
        <v>1510</v>
      </c>
      <c r="J2320">
        <v>2.2999999999999998</v>
      </c>
      <c r="K2320">
        <v>2.2999999999999998</v>
      </c>
      <c r="L2320">
        <v>7.8</v>
      </c>
      <c r="M2320">
        <v>8.0500000000000007</v>
      </c>
      <c r="N2320">
        <v>7.75</v>
      </c>
    </row>
    <row r="2321" spans="1:14" x14ac:dyDescent="0.5">
      <c r="A2321" t="str">
        <f>"600216"</f>
        <v>600216</v>
      </c>
      <c r="B2321" t="s">
        <v>4403</v>
      </c>
      <c r="C2321">
        <v>2.46</v>
      </c>
      <c r="D2321">
        <v>15.25</v>
      </c>
      <c r="E2321">
        <v>10.4</v>
      </c>
      <c r="F2321">
        <v>0.25</v>
      </c>
      <c r="G2321">
        <v>10.39</v>
      </c>
      <c r="H2321">
        <v>10.4</v>
      </c>
      <c r="I2321" t="s">
        <v>4404</v>
      </c>
      <c r="J2321">
        <v>3.44</v>
      </c>
      <c r="K2321">
        <v>3.44</v>
      </c>
      <c r="L2321">
        <v>10.15</v>
      </c>
      <c r="M2321">
        <v>10.42</v>
      </c>
      <c r="N2321">
        <v>10.050000000000001</v>
      </c>
    </row>
    <row r="2322" spans="1:14" x14ac:dyDescent="0.5">
      <c r="A2322" t="str">
        <f>"600217"</f>
        <v>600217</v>
      </c>
      <c r="B2322" t="s">
        <v>4405</v>
      </c>
      <c r="C2322">
        <v>2</v>
      </c>
      <c r="D2322">
        <v>24.67</v>
      </c>
      <c r="E2322">
        <v>5.09</v>
      </c>
      <c r="F2322">
        <v>0.1</v>
      </c>
      <c r="G2322">
        <v>5.08</v>
      </c>
      <c r="H2322">
        <v>5.09</v>
      </c>
      <c r="I2322" t="s">
        <v>4406</v>
      </c>
      <c r="J2322">
        <v>0.71</v>
      </c>
      <c r="K2322">
        <v>0.71</v>
      </c>
      <c r="L2322">
        <v>4.9800000000000004</v>
      </c>
      <c r="M2322">
        <v>5.1100000000000003</v>
      </c>
      <c r="N2322">
        <v>4.9400000000000004</v>
      </c>
    </row>
    <row r="2323" spans="1:14" x14ac:dyDescent="0.5">
      <c r="A2323" t="str">
        <f>"600218"</f>
        <v>600218</v>
      </c>
      <c r="B2323" t="s">
        <v>4407</v>
      </c>
      <c r="C2323">
        <v>4.78</v>
      </c>
      <c r="D2323">
        <v>145.91999999999999</v>
      </c>
      <c r="E2323">
        <v>13.81</v>
      </c>
      <c r="F2323">
        <v>0.63</v>
      </c>
      <c r="G2323">
        <v>13.81</v>
      </c>
      <c r="H2323">
        <v>13.82</v>
      </c>
      <c r="I2323" t="s">
        <v>4408</v>
      </c>
      <c r="J2323">
        <v>20.95</v>
      </c>
      <c r="K2323">
        <v>20.95</v>
      </c>
      <c r="L2323">
        <v>12.82</v>
      </c>
      <c r="M2323">
        <v>14.17</v>
      </c>
      <c r="N2323">
        <v>12.77</v>
      </c>
    </row>
    <row r="2324" spans="1:14" x14ac:dyDescent="0.5">
      <c r="A2324" t="str">
        <f>"600219"</f>
        <v>600219</v>
      </c>
      <c r="B2324" t="s">
        <v>4409</v>
      </c>
      <c r="C2324">
        <v>1.53</v>
      </c>
      <c r="D2324">
        <v>18.14</v>
      </c>
      <c r="E2324">
        <v>2.65</v>
      </c>
      <c r="F2324">
        <v>0.04</v>
      </c>
      <c r="G2324">
        <v>2.65</v>
      </c>
      <c r="H2324">
        <v>2.66</v>
      </c>
      <c r="I2324" t="s">
        <v>4410</v>
      </c>
      <c r="J2324">
        <v>1.52</v>
      </c>
      <c r="K2324">
        <v>1.52</v>
      </c>
      <c r="L2324">
        <v>2.6</v>
      </c>
      <c r="M2324">
        <v>2.66</v>
      </c>
      <c r="N2324">
        <v>2.58</v>
      </c>
    </row>
    <row r="2325" spans="1:14" x14ac:dyDescent="0.5">
      <c r="A2325" t="str">
        <f>"600220"</f>
        <v>600220</v>
      </c>
      <c r="B2325" t="s">
        <v>4411</v>
      </c>
      <c r="C2325">
        <v>3.26</v>
      </c>
      <c r="D2325">
        <v>36.22</v>
      </c>
      <c r="E2325">
        <v>2.85</v>
      </c>
      <c r="F2325">
        <v>0.09</v>
      </c>
      <c r="G2325">
        <v>2.84</v>
      </c>
      <c r="H2325">
        <v>2.85</v>
      </c>
      <c r="I2325" t="s">
        <v>4412</v>
      </c>
      <c r="J2325">
        <v>2.4300000000000002</v>
      </c>
      <c r="K2325">
        <v>2.4300000000000002</v>
      </c>
      <c r="L2325">
        <v>2.78</v>
      </c>
      <c r="M2325">
        <v>2.85</v>
      </c>
      <c r="N2325">
        <v>2.75</v>
      </c>
    </row>
    <row r="2326" spans="1:14" x14ac:dyDescent="0.5">
      <c r="A2326" t="str">
        <f>"600221"</f>
        <v>600221</v>
      </c>
      <c r="B2326" t="s">
        <v>4413</v>
      </c>
      <c r="C2326">
        <v>1.82</v>
      </c>
      <c r="D2326">
        <v>28.05</v>
      </c>
      <c r="E2326">
        <v>2.2400000000000002</v>
      </c>
      <c r="F2326">
        <v>0.04</v>
      </c>
      <c r="G2326">
        <v>2.23</v>
      </c>
      <c r="H2326">
        <v>2.2400000000000002</v>
      </c>
      <c r="I2326" t="s">
        <v>4414</v>
      </c>
      <c r="J2326">
        <v>1.19</v>
      </c>
      <c r="K2326">
        <v>1.19</v>
      </c>
      <c r="L2326">
        <v>2.19</v>
      </c>
      <c r="M2326">
        <v>2.2599999999999998</v>
      </c>
      <c r="N2326">
        <v>2.1800000000000002</v>
      </c>
    </row>
    <row r="2327" spans="1:14" x14ac:dyDescent="0.5">
      <c r="A2327" t="str">
        <f>"600222"</f>
        <v>600222</v>
      </c>
      <c r="B2327" t="s">
        <v>4415</v>
      </c>
      <c r="C2327">
        <v>1.38</v>
      </c>
      <c r="D2327">
        <v>312.72000000000003</v>
      </c>
      <c r="E2327">
        <v>4.4000000000000004</v>
      </c>
      <c r="F2327">
        <v>0.06</v>
      </c>
      <c r="G2327">
        <v>4.3899999999999997</v>
      </c>
      <c r="H2327">
        <v>4.4000000000000004</v>
      </c>
      <c r="I2327" t="s">
        <v>4416</v>
      </c>
      <c r="J2327">
        <v>1.67</v>
      </c>
      <c r="K2327">
        <v>1.67</v>
      </c>
      <c r="L2327">
        <v>4.3499999999999996</v>
      </c>
      <c r="M2327">
        <v>4.4000000000000004</v>
      </c>
      <c r="N2327">
        <v>4.2699999999999996</v>
      </c>
    </row>
    <row r="2328" spans="1:14" x14ac:dyDescent="0.5">
      <c r="A2328" t="str">
        <f>"600223"</f>
        <v>600223</v>
      </c>
      <c r="B2328" t="s">
        <v>4417</v>
      </c>
      <c r="C2328">
        <v>1.69</v>
      </c>
      <c r="D2328">
        <v>30.47</v>
      </c>
      <c r="E2328">
        <v>3.61</v>
      </c>
      <c r="F2328">
        <v>0.06</v>
      </c>
      <c r="G2328">
        <v>3.6</v>
      </c>
      <c r="H2328">
        <v>3.61</v>
      </c>
      <c r="I2328" t="s">
        <v>4418</v>
      </c>
      <c r="J2328">
        <v>0.84</v>
      </c>
      <c r="K2328">
        <v>0.84</v>
      </c>
      <c r="L2328">
        <v>3.52</v>
      </c>
      <c r="M2328">
        <v>3.62</v>
      </c>
      <c r="N2328">
        <v>3.52</v>
      </c>
    </row>
    <row r="2329" spans="1:14" x14ac:dyDescent="0.5">
      <c r="A2329" t="str">
        <f>"600225"</f>
        <v>600225</v>
      </c>
      <c r="B2329" t="s">
        <v>4419</v>
      </c>
      <c r="C2329">
        <v>10.029999999999999</v>
      </c>
      <c r="D2329" t="s">
        <v>24</v>
      </c>
      <c r="E2329">
        <v>3.62</v>
      </c>
      <c r="F2329">
        <v>0.33</v>
      </c>
      <c r="G2329">
        <v>3.62</v>
      </c>
      <c r="H2329" t="s">
        <v>24</v>
      </c>
      <c r="I2329" t="s">
        <v>4420</v>
      </c>
      <c r="J2329">
        <v>4.47</v>
      </c>
      <c r="K2329">
        <v>4.47</v>
      </c>
      <c r="L2329">
        <v>3.31</v>
      </c>
      <c r="M2329">
        <v>3.62</v>
      </c>
      <c r="N2329">
        <v>3.25</v>
      </c>
    </row>
    <row r="2330" spans="1:14" x14ac:dyDescent="0.5">
      <c r="A2330" t="str">
        <f>"600226"</f>
        <v>600226</v>
      </c>
      <c r="B2330" t="s">
        <v>4421</v>
      </c>
      <c r="C2330">
        <v>1.87</v>
      </c>
      <c r="D2330">
        <v>44.01</v>
      </c>
      <c r="E2330">
        <v>3.82</v>
      </c>
      <c r="F2330">
        <v>7.0000000000000007E-2</v>
      </c>
      <c r="G2330">
        <v>3.81</v>
      </c>
      <c r="H2330">
        <v>3.82</v>
      </c>
      <c r="I2330" t="s">
        <v>4422</v>
      </c>
      <c r="J2330">
        <v>9.51</v>
      </c>
      <c r="K2330">
        <v>9.51</v>
      </c>
      <c r="L2330">
        <v>3.64</v>
      </c>
      <c r="M2330">
        <v>3.89</v>
      </c>
      <c r="N2330">
        <v>3.6</v>
      </c>
    </row>
    <row r="2331" spans="1:14" x14ac:dyDescent="0.5">
      <c r="A2331" t="str">
        <f>"600227"</f>
        <v>600227</v>
      </c>
      <c r="B2331" t="s">
        <v>4423</v>
      </c>
      <c r="C2331">
        <v>2.29</v>
      </c>
      <c r="D2331">
        <v>23.32</v>
      </c>
      <c r="E2331">
        <v>3.58</v>
      </c>
      <c r="F2331">
        <v>0.08</v>
      </c>
      <c r="G2331">
        <v>3.57</v>
      </c>
      <c r="H2331">
        <v>3.58</v>
      </c>
      <c r="I2331" t="s">
        <v>4424</v>
      </c>
      <c r="J2331">
        <v>3.53</v>
      </c>
      <c r="K2331">
        <v>3.53</v>
      </c>
      <c r="L2331">
        <v>3.48</v>
      </c>
      <c r="M2331">
        <v>3.58</v>
      </c>
      <c r="N2331">
        <v>3.47</v>
      </c>
    </row>
    <row r="2332" spans="1:14" x14ac:dyDescent="0.5">
      <c r="A2332" t="str">
        <f>"600228"</f>
        <v>600228</v>
      </c>
      <c r="B2332" t="s">
        <v>4425</v>
      </c>
      <c r="C2332">
        <v>-0.61</v>
      </c>
      <c r="D2332">
        <v>36.33</v>
      </c>
      <c r="E2332">
        <v>8.17</v>
      </c>
      <c r="F2332">
        <v>-0.05</v>
      </c>
      <c r="G2332">
        <v>8.16</v>
      </c>
      <c r="H2332">
        <v>8.17</v>
      </c>
      <c r="I2332" t="s">
        <v>4426</v>
      </c>
      <c r="J2332">
        <v>0.9</v>
      </c>
      <c r="K2332">
        <v>0.9</v>
      </c>
      <c r="L2332">
        <v>8.1999999999999993</v>
      </c>
      <c r="M2332">
        <v>8.25</v>
      </c>
      <c r="N2332">
        <v>8.1199999999999992</v>
      </c>
    </row>
    <row r="2333" spans="1:14" x14ac:dyDescent="0.5">
      <c r="A2333" t="str">
        <f>"600229"</f>
        <v>600229</v>
      </c>
      <c r="B2333" t="s">
        <v>4427</v>
      </c>
      <c r="C2333">
        <v>4.9400000000000004</v>
      </c>
      <c r="D2333">
        <v>16.09</v>
      </c>
      <c r="E2333">
        <v>8.2799999999999994</v>
      </c>
      <c r="F2333">
        <v>0.39</v>
      </c>
      <c r="G2333">
        <v>8.27</v>
      </c>
      <c r="H2333">
        <v>8.2799999999999994</v>
      </c>
      <c r="I2333" t="s">
        <v>4428</v>
      </c>
      <c r="J2333">
        <v>2.29</v>
      </c>
      <c r="K2333">
        <v>2.29</v>
      </c>
      <c r="L2333">
        <v>7.85</v>
      </c>
      <c r="M2333">
        <v>8.34</v>
      </c>
      <c r="N2333">
        <v>7.8</v>
      </c>
    </row>
    <row r="2334" spans="1:14" x14ac:dyDescent="0.5">
      <c r="A2334" t="str">
        <f>"600230"</f>
        <v>600230</v>
      </c>
      <c r="B2334" t="s">
        <v>4429</v>
      </c>
      <c r="C2334">
        <v>-0.05</v>
      </c>
      <c r="D2334">
        <v>6.22</v>
      </c>
      <c r="E2334">
        <v>20.22</v>
      </c>
      <c r="F2334">
        <v>-0.01</v>
      </c>
      <c r="G2334">
        <v>20.22</v>
      </c>
      <c r="H2334">
        <v>20.23</v>
      </c>
      <c r="I2334" t="s">
        <v>4430</v>
      </c>
      <c r="J2334">
        <v>3.56</v>
      </c>
      <c r="K2334">
        <v>3.56</v>
      </c>
      <c r="L2334">
        <v>20.11</v>
      </c>
      <c r="M2334">
        <v>20.23</v>
      </c>
      <c r="N2334">
        <v>19.809999999999999</v>
      </c>
    </row>
    <row r="2335" spans="1:14" x14ac:dyDescent="0.5">
      <c r="A2335" t="str">
        <f>"600231"</f>
        <v>600231</v>
      </c>
      <c r="B2335" t="s">
        <v>4431</v>
      </c>
      <c r="C2335">
        <v>-0.57999999999999996</v>
      </c>
      <c r="D2335">
        <v>6.43</v>
      </c>
      <c r="E2335">
        <v>3.41</v>
      </c>
      <c r="F2335">
        <v>-0.02</v>
      </c>
      <c r="G2335">
        <v>3.4</v>
      </c>
      <c r="H2335">
        <v>3.41</v>
      </c>
      <c r="I2335" t="s">
        <v>4432</v>
      </c>
      <c r="J2335">
        <v>1.8</v>
      </c>
      <c r="K2335">
        <v>1.8</v>
      </c>
      <c r="L2335">
        <v>3.36</v>
      </c>
      <c r="M2335">
        <v>3.41</v>
      </c>
      <c r="N2335">
        <v>3.29</v>
      </c>
    </row>
    <row r="2336" spans="1:14" x14ac:dyDescent="0.5">
      <c r="A2336" t="str">
        <f>"600232"</f>
        <v>600232</v>
      </c>
      <c r="B2336" t="s">
        <v>4433</v>
      </c>
      <c r="C2336">
        <v>1.57</v>
      </c>
      <c r="D2336">
        <v>66.209999999999994</v>
      </c>
      <c r="E2336">
        <v>5.81</v>
      </c>
      <c r="F2336">
        <v>0.09</v>
      </c>
      <c r="G2336">
        <v>5.8</v>
      </c>
      <c r="H2336">
        <v>5.81</v>
      </c>
      <c r="I2336" t="s">
        <v>4434</v>
      </c>
      <c r="J2336">
        <v>1.63</v>
      </c>
      <c r="K2336">
        <v>1.63</v>
      </c>
      <c r="L2336">
        <v>5.7</v>
      </c>
      <c r="M2336">
        <v>5.81</v>
      </c>
      <c r="N2336">
        <v>5.65</v>
      </c>
    </row>
    <row r="2337" spans="1:14" x14ac:dyDescent="0.5">
      <c r="A2337" t="str">
        <f>"600233"</f>
        <v>600233</v>
      </c>
      <c r="B2337" t="s">
        <v>4435</v>
      </c>
      <c r="C2337">
        <v>1.41</v>
      </c>
      <c r="D2337">
        <v>22.32</v>
      </c>
      <c r="E2337">
        <v>13.65</v>
      </c>
      <c r="F2337">
        <v>0.19</v>
      </c>
      <c r="G2337">
        <v>13.64</v>
      </c>
      <c r="H2337">
        <v>13.65</v>
      </c>
      <c r="I2337" t="s">
        <v>4436</v>
      </c>
      <c r="J2337">
        <v>1.03</v>
      </c>
      <c r="K2337">
        <v>1.03</v>
      </c>
      <c r="L2337">
        <v>13.31</v>
      </c>
      <c r="M2337">
        <v>13.85</v>
      </c>
      <c r="N2337">
        <v>13.2</v>
      </c>
    </row>
    <row r="2338" spans="1:14" x14ac:dyDescent="0.5">
      <c r="A2338" t="str">
        <f>"600234"</f>
        <v>600234</v>
      </c>
      <c r="B2338" t="s">
        <v>4437</v>
      </c>
      <c r="C2338">
        <v>0.14000000000000001</v>
      </c>
      <c r="D2338" t="s">
        <v>24</v>
      </c>
      <c r="E2338">
        <v>7.24</v>
      </c>
      <c r="F2338">
        <v>0.01</v>
      </c>
      <c r="G2338">
        <v>7.23</v>
      </c>
      <c r="H2338">
        <v>7.24</v>
      </c>
      <c r="I2338" t="s">
        <v>4438</v>
      </c>
      <c r="J2338">
        <v>0.39</v>
      </c>
      <c r="K2338">
        <v>0.39</v>
      </c>
      <c r="L2338">
        <v>7.17</v>
      </c>
      <c r="M2338">
        <v>7.24</v>
      </c>
      <c r="N2338">
        <v>7.16</v>
      </c>
    </row>
    <row r="2339" spans="1:14" x14ac:dyDescent="0.5">
      <c r="A2339" t="str">
        <f>"600235"</f>
        <v>600235</v>
      </c>
      <c r="B2339" t="s">
        <v>4439</v>
      </c>
      <c r="C2339">
        <v>5.78</v>
      </c>
      <c r="D2339">
        <v>119.65</v>
      </c>
      <c r="E2339">
        <v>8.23</v>
      </c>
      <c r="F2339">
        <v>0.45</v>
      </c>
      <c r="G2339">
        <v>8.2200000000000006</v>
      </c>
      <c r="H2339">
        <v>8.23</v>
      </c>
      <c r="I2339" t="s">
        <v>4440</v>
      </c>
      <c r="J2339">
        <v>21.23</v>
      </c>
      <c r="K2339">
        <v>21.23</v>
      </c>
      <c r="L2339">
        <v>7.53</v>
      </c>
      <c r="M2339">
        <v>8.3000000000000007</v>
      </c>
      <c r="N2339">
        <v>7.53</v>
      </c>
    </row>
    <row r="2340" spans="1:14" x14ac:dyDescent="0.5">
      <c r="A2340" t="str">
        <f>"600236"</f>
        <v>600236</v>
      </c>
      <c r="B2340" t="s">
        <v>4441</v>
      </c>
      <c r="C2340">
        <v>0.51</v>
      </c>
      <c r="D2340">
        <v>13.22</v>
      </c>
      <c r="E2340">
        <v>5.9</v>
      </c>
      <c r="F2340">
        <v>0.03</v>
      </c>
      <c r="G2340">
        <v>5.9</v>
      </c>
      <c r="H2340">
        <v>5.91</v>
      </c>
      <c r="I2340" t="s">
        <v>4442</v>
      </c>
      <c r="J2340">
        <v>0.16</v>
      </c>
      <c r="K2340">
        <v>0.16</v>
      </c>
      <c r="L2340">
        <v>5.87</v>
      </c>
      <c r="M2340">
        <v>5.91</v>
      </c>
      <c r="N2340">
        <v>5.84</v>
      </c>
    </row>
    <row r="2341" spans="1:14" x14ac:dyDescent="0.5">
      <c r="A2341" t="str">
        <f>"600237"</f>
        <v>600237</v>
      </c>
      <c r="B2341" t="s">
        <v>4443</v>
      </c>
      <c r="C2341">
        <v>4.8</v>
      </c>
      <c r="D2341">
        <v>241.92</v>
      </c>
      <c r="E2341">
        <v>4.37</v>
      </c>
      <c r="F2341">
        <v>0.2</v>
      </c>
      <c r="G2341">
        <v>4.3600000000000003</v>
      </c>
      <c r="H2341">
        <v>4.37</v>
      </c>
      <c r="I2341" t="s">
        <v>4444</v>
      </c>
      <c r="J2341">
        <v>4.42</v>
      </c>
      <c r="K2341">
        <v>4.42</v>
      </c>
      <c r="L2341">
        <v>4.17</v>
      </c>
      <c r="M2341">
        <v>4.38</v>
      </c>
      <c r="N2341">
        <v>4.12</v>
      </c>
    </row>
    <row r="2342" spans="1:14" x14ac:dyDescent="0.5">
      <c r="A2342" t="str">
        <f>"600238"</f>
        <v>600238</v>
      </c>
      <c r="B2342" t="s">
        <v>4445</v>
      </c>
      <c r="C2342">
        <v>5.03</v>
      </c>
      <c r="D2342" t="s">
        <v>24</v>
      </c>
      <c r="E2342">
        <v>8.98</v>
      </c>
      <c r="F2342">
        <v>0.43</v>
      </c>
      <c r="G2342">
        <v>8.98</v>
      </c>
      <c r="H2342" t="s">
        <v>24</v>
      </c>
      <c r="I2342" t="s">
        <v>4446</v>
      </c>
      <c r="J2342">
        <v>1</v>
      </c>
      <c r="K2342">
        <v>1</v>
      </c>
      <c r="L2342">
        <v>8.5500000000000007</v>
      </c>
      <c r="M2342">
        <v>8.98</v>
      </c>
      <c r="N2342">
        <v>8.5500000000000007</v>
      </c>
    </row>
    <row r="2343" spans="1:14" x14ac:dyDescent="0.5">
      <c r="A2343" t="str">
        <f>"600239"</f>
        <v>600239</v>
      </c>
      <c r="B2343" t="s">
        <v>4447</v>
      </c>
      <c r="C2343">
        <v>2.2200000000000002</v>
      </c>
      <c r="D2343">
        <v>6.65</v>
      </c>
      <c r="E2343">
        <v>3.69</v>
      </c>
      <c r="F2343">
        <v>0.08</v>
      </c>
      <c r="G2343">
        <v>3.68</v>
      </c>
      <c r="H2343">
        <v>3.69</v>
      </c>
      <c r="I2343" t="s">
        <v>4448</v>
      </c>
      <c r="J2343">
        <v>2</v>
      </c>
      <c r="K2343">
        <v>2</v>
      </c>
      <c r="L2343">
        <v>3.61</v>
      </c>
      <c r="M2343">
        <v>3.69</v>
      </c>
      <c r="N2343">
        <v>3.58</v>
      </c>
    </row>
    <row r="2344" spans="1:14" x14ac:dyDescent="0.5">
      <c r="A2344" t="str">
        <f>"600240"</f>
        <v>600240</v>
      </c>
      <c r="B2344" t="s">
        <v>4449</v>
      </c>
      <c r="C2344">
        <v>5.67</v>
      </c>
      <c r="D2344" t="s">
        <v>24</v>
      </c>
      <c r="E2344">
        <v>3.73</v>
      </c>
      <c r="F2344">
        <v>0.2</v>
      </c>
      <c r="G2344">
        <v>3.72</v>
      </c>
      <c r="H2344">
        <v>3.73</v>
      </c>
      <c r="I2344" t="s">
        <v>4450</v>
      </c>
      <c r="J2344">
        <v>16.149999999999999</v>
      </c>
      <c r="K2344">
        <v>16.149999999999999</v>
      </c>
      <c r="L2344">
        <v>3.39</v>
      </c>
      <c r="M2344">
        <v>3.86</v>
      </c>
      <c r="N2344">
        <v>3.29</v>
      </c>
    </row>
    <row r="2345" spans="1:14" x14ac:dyDescent="0.5">
      <c r="A2345" t="str">
        <f>"600241"</f>
        <v>600241</v>
      </c>
      <c r="B2345" t="s">
        <v>4451</v>
      </c>
      <c r="C2345">
        <v>1.34</v>
      </c>
      <c r="D2345" t="s">
        <v>24</v>
      </c>
      <c r="E2345">
        <v>6.8</v>
      </c>
      <c r="F2345">
        <v>0.09</v>
      </c>
      <c r="G2345">
        <v>6.79</v>
      </c>
      <c r="H2345">
        <v>6.8</v>
      </c>
      <c r="I2345" t="s">
        <v>4452</v>
      </c>
      <c r="J2345">
        <v>0.77</v>
      </c>
      <c r="K2345">
        <v>0.77</v>
      </c>
      <c r="L2345">
        <v>6.71</v>
      </c>
      <c r="M2345">
        <v>6.83</v>
      </c>
      <c r="N2345">
        <v>6.65</v>
      </c>
    </row>
    <row r="2346" spans="1:14" x14ac:dyDescent="0.5">
      <c r="A2346" t="str">
        <f>"600242"</f>
        <v>600242</v>
      </c>
      <c r="B2346" t="s">
        <v>4453</v>
      </c>
      <c r="C2346">
        <v>10.02</v>
      </c>
      <c r="D2346">
        <v>46.44</v>
      </c>
      <c r="E2346">
        <v>14.38</v>
      </c>
      <c r="F2346">
        <v>1.31</v>
      </c>
      <c r="G2346">
        <v>14.38</v>
      </c>
      <c r="H2346" t="s">
        <v>24</v>
      </c>
      <c r="I2346" t="s">
        <v>4454</v>
      </c>
      <c r="J2346">
        <v>13.16</v>
      </c>
      <c r="K2346">
        <v>13.16</v>
      </c>
      <c r="L2346">
        <v>12.99</v>
      </c>
      <c r="M2346">
        <v>14.38</v>
      </c>
      <c r="N2346">
        <v>12.81</v>
      </c>
    </row>
    <row r="2347" spans="1:14" x14ac:dyDescent="0.5">
      <c r="A2347" t="str">
        <f>"600243"</f>
        <v>600243</v>
      </c>
      <c r="B2347" t="s">
        <v>4455</v>
      </c>
      <c r="C2347">
        <v>2.5</v>
      </c>
      <c r="D2347" t="s">
        <v>24</v>
      </c>
      <c r="E2347">
        <v>4.92</v>
      </c>
      <c r="F2347">
        <v>0.12</v>
      </c>
      <c r="G2347">
        <v>4.92</v>
      </c>
      <c r="H2347">
        <v>4.93</v>
      </c>
      <c r="I2347" t="s">
        <v>4456</v>
      </c>
      <c r="J2347">
        <v>0.93</v>
      </c>
      <c r="K2347">
        <v>0.93</v>
      </c>
      <c r="L2347">
        <v>4.79</v>
      </c>
      <c r="M2347">
        <v>4.96</v>
      </c>
      <c r="N2347">
        <v>4.7699999999999996</v>
      </c>
    </row>
    <row r="2348" spans="1:14" x14ac:dyDescent="0.5">
      <c r="A2348" t="str">
        <f>"600246"</f>
        <v>600246</v>
      </c>
      <c r="B2348" t="s">
        <v>4457</v>
      </c>
      <c r="C2348">
        <v>1.49</v>
      </c>
      <c r="D2348">
        <v>14.25</v>
      </c>
      <c r="E2348">
        <v>4.0999999999999996</v>
      </c>
      <c r="F2348">
        <v>0.06</v>
      </c>
      <c r="G2348">
        <v>4.09</v>
      </c>
      <c r="H2348">
        <v>4.0999999999999996</v>
      </c>
      <c r="I2348" t="s">
        <v>2775</v>
      </c>
      <c r="J2348">
        <v>0.56999999999999995</v>
      </c>
      <c r="K2348">
        <v>0.56999999999999995</v>
      </c>
      <c r="L2348">
        <v>4.04</v>
      </c>
      <c r="M2348">
        <v>4.0999999999999996</v>
      </c>
      <c r="N2348">
        <v>4</v>
      </c>
    </row>
    <row r="2349" spans="1:14" x14ac:dyDescent="0.5">
      <c r="A2349" t="str">
        <f>"600247"</f>
        <v>600247</v>
      </c>
      <c r="B2349" t="s">
        <v>4458</v>
      </c>
      <c r="C2349">
        <v>0.33</v>
      </c>
      <c r="D2349">
        <v>6.37</v>
      </c>
      <c r="E2349">
        <v>6.13</v>
      </c>
      <c r="F2349">
        <v>0.02</v>
      </c>
      <c r="G2349">
        <v>6.12</v>
      </c>
      <c r="H2349">
        <v>6.13</v>
      </c>
      <c r="I2349" t="s">
        <v>4459</v>
      </c>
      <c r="J2349">
        <v>1.1100000000000001</v>
      </c>
      <c r="K2349">
        <v>1.1100000000000001</v>
      </c>
      <c r="L2349">
        <v>6</v>
      </c>
      <c r="M2349">
        <v>6.18</v>
      </c>
      <c r="N2349">
        <v>5.95</v>
      </c>
    </row>
    <row r="2350" spans="1:14" x14ac:dyDescent="0.5">
      <c r="A2350" t="str">
        <f>"600248"</f>
        <v>600248</v>
      </c>
      <c r="B2350" t="s">
        <v>4460</v>
      </c>
      <c r="C2350">
        <v>0.45</v>
      </c>
      <c r="D2350">
        <v>27.68</v>
      </c>
      <c r="E2350">
        <v>4.49</v>
      </c>
      <c r="F2350">
        <v>0.02</v>
      </c>
      <c r="G2350">
        <v>4.49</v>
      </c>
      <c r="H2350">
        <v>4.5</v>
      </c>
      <c r="I2350" t="s">
        <v>4461</v>
      </c>
      <c r="J2350">
        <v>1.18</v>
      </c>
      <c r="K2350">
        <v>1.18</v>
      </c>
      <c r="L2350">
        <v>4.4400000000000004</v>
      </c>
      <c r="M2350">
        <v>4.5</v>
      </c>
      <c r="N2350">
        <v>4.41</v>
      </c>
    </row>
    <row r="2351" spans="1:14" x14ac:dyDescent="0.5">
      <c r="A2351" t="str">
        <f>"600249"</f>
        <v>600249</v>
      </c>
      <c r="B2351" t="s">
        <v>4462</v>
      </c>
      <c r="C2351">
        <v>1.35</v>
      </c>
      <c r="D2351" t="s">
        <v>24</v>
      </c>
      <c r="E2351">
        <v>4.51</v>
      </c>
      <c r="F2351">
        <v>0.06</v>
      </c>
      <c r="G2351">
        <v>4.5</v>
      </c>
      <c r="H2351">
        <v>4.51</v>
      </c>
      <c r="I2351" t="s">
        <v>307</v>
      </c>
      <c r="J2351">
        <v>2.56</v>
      </c>
      <c r="K2351">
        <v>2.56</v>
      </c>
      <c r="L2351">
        <v>4.45</v>
      </c>
      <c r="M2351">
        <v>4.5199999999999996</v>
      </c>
      <c r="N2351">
        <v>4.37</v>
      </c>
    </row>
    <row r="2352" spans="1:14" x14ac:dyDescent="0.5">
      <c r="A2352" t="str">
        <f>"600250"</f>
        <v>600250</v>
      </c>
      <c r="B2352" t="s">
        <v>4463</v>
      </c>
      <c r="C2352">
        <v>1.9</v>
      </c>
      <c r="D2352">
        <v>11.42</v>
      </c>
      <c r="E2352">
        <v>8.56</v>
      </c>
      <c r="F2352">
        <v>0.16</v>
      </c>
      <c r="G2352">
        <v>8.56</v>
      </c>
      <c r="H2352">
        <v>8.57</v>
      </c>
      <c r="I2352" t="s">
        <v>2076</v>
      </c>
      <c r="J2352">
        <v>2.89</v>
      </c>
      <c r="K2352">
        <v>2.89</v>
      </c>
      <c r="L2352">
        <v>8.31</v>
      </c>
      <c r="M2352">
        <v>8.56</v>
      </c>
      <c r="N2352">
        <v>8.3000000000000007</v>
      </c>
    </row>
    <row r="2353" spans="1:14" x14ac:dyDescent="0.5">
      <c r="A2353" t="str">
        <f>"600251"</f>
        <v>600251</v>
      </c>
      <c r="B2353" t="s">
        <v>4464</v>
      </c>
      <c r="C2353">
        <v>2.11</v>
      </c>
      <c r="D2353">
        <v>36.11</v>
      </c>
      <c r="E2353">
        <v>5.8</v>
      </c>
      <c r="F2353">
        <v>0.12</v>
      </c>
      <c r="G2353">
        <v>5.79</v>
      </c>
      <c r="H2353">
        <v>5.8</v>
      </c>
      <c r="I2353" t="s">
        <v>4465</v>
      </c>
      <c r="J2353">
        <v>1.1000000000000001</v>
      </c>
      <c r="K2353">
        <v>1.1000000000000001</v>
      </c>
      <c r="L2353">
        <v>5.65</v>
      </c>
      <c r="M2353">
        <v>5.81</v>
      </c>
      <c r="N2353">
        <v>5.64</v>
      </c>
    </row>
    <row r="2354" spans="1:14" x14ac:dyDescent="0.5">
      <c r="A2354" t="str">
        <f>"600252"</f>
        <v>600252</v>
      </c>
      <c r="B2354" t="s">
        <v>4466</v>
      </c>
      <c r="C2354">
        <v>0.95</v>
      </c>
      <c r="D2354">
        <v>19.850000000000001</v>
      </c>
      <c r="E2354">
        <v>3.19</v>
      </c>
      <c r="F2354">
        <v>0.03</v>
      </c>
      <c r="G2354">
        <v>3.18</v>
      </c>
      <c r="H2354">
        <v>3.19</v>
      </c>
      <c r="I2354" t="s">
        <v>4467</v>
      </c>
      <c r="J2354">
        <v>0.88</v>
      </c>
      <c r="K2354">
        <v>0.88</v>
      </c>
      <c r="L2354">
        <v>3.16</v>
      </c>
      <c r="M2354">
        <v>3.19</v>
      </c>
      <c r="N2354">
        <v>3.14</v>
      </c>
    </row>
    <row r="2355" spans="1:14" x14ac:dyDescent="0.5">
      <c r="A2355" t="str">
        <f>"600255"</f>
        <v>600255</v>
      </c>
      <c r="B2355" t="s">
        <v>4468</v>
      </c>
      <c r="C2355">
        <v>10.130000000000001</v>
      </c>
      <c r="D2355">
        <v>27.02</v>
      </c>
      <c r="E2355">
        <v>2.61</v>
      </c>
      <c r="F2355">
        <v>0.24</v>
      </c>
      <c r="G2355">
        <v>2.61</v>
      </c>
      <c r="H2355" t="s">
        <v>24</v>
      </c>
      <c r="I2355" t="s">
        <v>4469</v>
      </c>
      <c r="J2355">
        <v>10.9</v>
      </c>
      <c r="K2355">
        <v>10.9</v>
      </c>
      <c r="L2355">
        <v>2.37</v>
      </c>
      <c r="M2355">
        <v>2.61</v>
      </c>
      <c r="N2355">
        <v>2.3199999999999998</v>
      </c>
    </row>
    <row r="2356" spans="1:14" x14ac:dyDescent="0.5">
      <c r="A2356" t="str">
        <f>"600256"</f>
        <v>600256</v>
      </c>
      <c r="B2356" t="s">
        <v>4470</v>
      </c>
      <c r="C2356">
        <v>0</v>
      </c>
      <c r="D2356">
        <v>16.510000000000002</v>
      </c>
      <c r="E2356">
        <v>4.32</v>
      </c>
      <c r="F2356">
        <v>0</v>
      </c>
      <c r="G2356">
        <v>4.3099999999999996</v>
      </c>
      <c r="H2356">
        <v>4.32</v>
      </c>
      <c r="I2356" t="s">
        <v>4471</v>
      </c>
      <c r="J2356">
        <v>1.28</v>
      </c>
      <c r="K2356">
        <v>1.28</v>
      </c>
      <c r="L2356">
        <v>4.3099999999999996</v>
      </c>
      <c r="M2356">
        <v>4.33</v>
      </c>
      <c r="N2356">
        <v>4.26</v>
      </c>
    </row>
    <row r="2357" spans="1:14" x14ac:dyDescent="0.5">
      <c r="A2357" t="str">
        <f>"600257"</f>
        <v>600257</v>
      </c>
      <c r="B2357" t="s">
        <v>4472</v>
      </c>
      <c r="C2357">
        <v>3.66</v>
      </c>
      <c r="D2357">
        <v>102.34</v>
      </c>
      <c r="E2357">
        <v>5.38</v>
      </c>
      <c r="F2357">
        <v>0.19</v>
      </c>
      <c r="G2357">
        <v>5.37</v>
      </c>
      <c r="H2357">
        <v>5.38</v>
      </c>
      <c r="I2357" t="s">
        <v>2319</v>
      </c>
      <c r="J2357">
        <v>4.28</v>
      </c>
      <c r="K2357">
        <v>4.28</v>
      </c>
      <c r="L2357">
        <v>5.2</v>
      </c>
      <c r="M2357">
        <v>5.43</v>
      </c>
      <c r="N2357">
        <v>5.17</v>
      </c>
    </row>
    <row r="2358" spans="1:14" x14ac:dyDescent="0.5">
      <c r="A2358" t="str">
        <f>"600258"</f>
        <v>600258</v>
      </c>
      <c r="B2358" t="s">
        <v>4473</v>
      </c>
      <c r="C2358">
        <v>-1.03</v>
      </c>
      <c r="D2358">
        <v>21.81</v>
      </c>
      <c r="E2358">
        <v>19.3</v>
      </c>
      <c r="F2358">
        <v>-0.2</v>
      </c>
      <c r="G2358">
        <v>19.29</v>
      </c>
      <c r="H2358">
        <v>19.3</v>
      </c>
      <c r="I2358" t="s">
        <v>4474</v>
      </c>
      <c r="J2358">
        <v>1.47</v>
      </c>
      <c r="K2358">
        <v>1.47</v>
      </c>
      <c r="L2358">
        <v>19.46</v>
      </c>
      <c r="M2358">
        <v>19.59</v>
      </c>
      <c r="N2358">
        <v>18.73</v>
      </c>
    </row>
    <row r="2359" spans="1:14" x14ac:dyDescent="0.5">
      <c r="A2359" t="str">
        <f>"600259"</f>
        <v>600259</v>
      </c>
      <c r="B2359" t="s">
        <v>4475</v>
      </c>
      <c r="C2359">
        <v>2.5299999999999998</v>
      </c>
      <c r="D2359" t="s">
        <v>24</v>
      </c>
      <c r="E2359">
        <v>26.75</v>
      </c>
      <c r="F2359">
        <v>0.66</v>
      </c>
      <c r="G2359">
        <v>26.74</v>
      </c>
      <c r="H2359">
        <v>26.75</v>
      </c>
      <c r="I2359" t="s">
        <v>4476</v>
      </c>
      <c r="J2359">
        <v>2.76</v>
      </c>
      <c r="K2359">
        <v>2.76</v>
      </c>
      <c r="L2359">
        <v>26.15</v>
      </c>
      <c r="M2359">
        <v>26.77</v>
      </c>
      <c r="N2359">
        <v>25.88</v>
      </c>
    </row>
    <row r="2360" spans="1:14" x14ac:dyDescent="0.5">
      <c r="A2360" t="str">
        <f>"600260"</f>
        <v>600260</v>
      </c>
      <c r="B2360" t="s">
        <v>4477</v>
      </c>
      <c r="C2360">
        <v>4.8600000000000003</v>
      </c>
      <c r="D2360">
        <v>14.24</v>
      </c>
      <c r="E2360">
        <v>22.21</v>
      </c>
      <c r="F2360">
        <v>1.03</v>
      </c>
      <c r="G2360">
        <v>22.21</v>
      </c>
      <c r="H2360">
        <v>22.22</v>
      </c>
      <c r="I2360" t="s">
        <v>4478</v>
      </c>
      <c r="J2360">
        <v>6.56</v>
      </c>
      <c r="K2360">
        <v>6.56</v>
      </c>
      <c r="L2360">
        <v>21</v>
      </c>
      <c r="M2360">
        <v>22.36</v>
      </c>
      <c r="N2360">
        <v>20.89</v>
      </c>
    </row>
    <row r="2361" spans="1:14" x14ac:dyDescent="0.5">
      <c r="A2361" t="str">
        <f>"600261"</f>
        <v>600261</v>
      </c>
      <c r="B2361" t="s">
        <v>4479</v>
      </c>
      <c r="C2361">
        <v>3.31</v>
      </c>
      <c r="D2361">
        <v>14.25</v>
      </c>
      <c r="E2361">
        <v>3.74</v>
      </c>
      <c r="F2361">
        <v>0.12</v>
      </c>
      <c r="G2361">
        <v>3.74</v>
      </c>
      <c r="H2361">
        <v>3.75</v>
      </c>
      <c r="I2361" t="s">
        <v>4480</v>
      </c>
      <c r="J2361">
        <v>1.98</v>
      </c>
      <c r="K2361">
        <v>1.98</v>
      </c>
      <c r="L2361">
        <v>3.62</v>
      </c>
      <c r="M2361">
        <v>3.75</v>
      </c>
      <c r="N2361">
        <v>3.58</v>
      </c>
    </row>
    <row r="2362" spans="1:14" x14ac:dyDescent="0.5">
      <c r="A2362" t="str">
        <f>"600262"</f>
        <v>600262</v>
      </c>
      <c r="B2362" t="s">
        <v>4481</v>
      </c>
      <c r="C2362">
        <v>1.1000000000000001</v>
      </c>
      <c r="D2362">
        <v>33.39</v>
      </c>
      <c r="E2362">
        <v>19.3</v>
      </c>
      <c r="F2362">
        <v>0.21</v>
      </c>
      <c r="G2362">
        <v>19.29</v>
      </c>
      <c r="H2362">
        <v>19.3</v>
      </c>
      <c r="I2362" t="s">
        <v>4482</v>
      </c>
      <c r="J2362">
        <v>1.32</v>
      </c>
      <c r="K2362">
        <v>1.32</v>
      </c>
      <c r="L2362">
        <v>19.09</v>
      </c>
      <c r="M2362">
        <v>19.5</v>
      </c>
      <c r="N2362">
        <v>18.88</v>
      </c>
    </row>
    <row r="2363" spans="1:14" x14ac:dyDescent="0.5">
      <c r="A2363" t="str">
        <f>"600265"</f>
        <v>600265</v>
      </c>
      <c r="B2363" t="s">
        <v>4483</v>
      </c>
      <c r="C2363">
        <v>2.29</v>
      </c>
      <c r="D2363" t="s">
        <v>24</v>
      </c>
      <c r="E2363">
        <v>26.8</v>
      </c>
      <c r="F2363">
        <v>0.6</v>
      </c>
      <c r="G2363">
        <v>26.78</v>
      </c>
      <c r="H2363">
        <v>26.8</v>
      </c>
      <c r="I2363" t="s">
        <v>4484</v>
      </c>
      <c r="J2363">
        <v>0.15</v>
      </c>
      <c r="K2363">
        <v>0.15</v>
      </c>
      <c r="L2363">
        <v>27.21</v>
      </c>
      <c r="M2363">
        <v>27.21</v>
      </c>
      <c r="N2363">
        <v>26.5</v>
      </c>
    </row>
    <row r="2364" spans="1:14" x14ac:dyDescent="0.5">
      <c r="A2364" t="str">
        <f>"600266"</f>
        <v>600266</v>
      </c>
      <c r="B2364" t="s">
        <v>4485</v>
      </c>
      <c r="C2364">
        <v>2.63</v>
      </c>
      <c r="D2364">
        <v>8.86</v>
      </c>
      <c r="E2364">
        <v>9.77</v>
      </c>
      <c r="F2364">
        <v>0.25</v>
      </c>
      <c r="G2364">
        <v>9.77</v>
      </c>
      <c r="H2364">
        <v>9.7799999999999994</v>
      </c>
      <c r="I2364" t="s">
        <v>4486</v>
      </c>
      <c r="J2364">
        <v>1.4</v>
      </c>
      <c r="K2364">
        <v>1.4</v>
      </c>
      <c r="L2364">
        <v>9.5299999999999994</v>
      </c>
      <c r="M2364">
        <v>9.83</v>
      </c>
      <c r="N2364">
        <v>9.48</v>
      </c>
    </row>
    <row r="2365" spans="1:14" x14ac:dyDescent="0.5">
      <c r="A2365" t="str">
        <f>"600267"</f>
        <v>600267</v>
      </c>
      <c r="B2365" t="s">
        <v>4487</v>
      </c>
      <c r="C2365">
        <v>-0.09</v>
      </c>
      <c r="D2365">
        <v>647.44000000000005</v>
      </c>
      <c r="E2365">
        <v>10.7</v>
      </c>
      <c r="F2365">
        <v>-0.01</v>
      </c>
      <c r="G2365">
        <v>10.69</v>
      </c>
      <c r="H2365">
        <v>10.7</v>
      </c>
      <c r="I2365" t="s">
        <v>4488</v>
      </c>
      <c r="J2365">
        <v>1.89</v>
      </c>
      <c r="K2365">
        <v>1.89</v>
      </c>
      <c r="L2365">
        <v>10.65</v>
      </c>
      <c r="M2365">
        <v>10.76</v>
      </c>
      <c r="N2365">
        <v>10.45</v>
      </c>
    </row>
    <row r="2366" spans="1:14" x14ac:dyDescent="0.5">
      <c r="A2366" t="str">
        <f>"600268"</f>
        <v>600268</v>
      </c>
      <c r="B2366" t="s">
        <v>4489</v>
      </c>
      <c r="C2366">
        <v>2.78</v>
      </c>
      <c r="D2366">
        <v>38.51</v>
      </c>
      <c r="E2366">
        <v>5.18</v>
      </c>
      <c r="F2366">
        <v>0.14000000000000001</v>
      </c>
      <c r="G2366">
        <v>5.17</v>
      </c>
      <c r="H2366">
        <v>5.18</v>
      </c>
      <c r="I2366" t="s">
        <v>4490</v>
      </c>
      <c r="J2366">
        <v>2.65</v>
      </c>
      <c r="K2366">
        <v>2.65</v>
      </c>
      <c r="L2366">
        <v>5.0599999999999996</v>
      </c>
      <c r="M2366">
        <v>5.18</v>
      </c>
      <c r="N2366">
        <v>5.0199999999999996</v>
      </c>
    </row>
    <row r="2367" spans="1:14" x14ac:dyDescent="0.5">
      <c r="A2367" t="str">
        <f>"600269"</f>
        <v>600269</v>
      </c>
      <c r="B2367" t="s">
        <v>4491</v>
      </c>
      <c r="C2367">
        <v>0.45</v>
      </c>
      <c r="D2367">
        <v>10.31</v>
      </c>
      <c r="E2367">
        <v>4.45</v>
      </c>
      <c r="F2367">
        <v>0.02</v>
      </c>
      <c r="G2367">
        <v>4.45</v>
      </c>
      <c r="H2367">
        <v>4.46</v>
      </c>
      <c r="I2367" t="s">
        <v>4492</v>
      </c>
      <c r="J2367">
        <v>0.82</v>
      </c>
      <c r="K2367">
        <v>0.82</v>
      </c>
      <c r="L2367">
        <v>4.41</v>
      </c>
      <c r="M2367">
        <v>4.45</v>
      </c>
      <c r="N2367">
        <v>4.3899999999999997</v>
      </c>
    </row>
    <row r="2368" spans="1:14" x14ac:dyDescent="0.5">
      <c r="A2368" t="str">
        <f>"600271"</f>
        <v>600271</v>
      </c>
      <c r="B2368" t="s">
        <v>4493</v>
      </c>
      <c r="C2368">
        <v>0</v>
      </c>
      <c r="D2368">
        <v>41.29</v>
      </c>
      <c r="E2368">
        <v>28.45</v>
      </c>
      <c r="F2368">
        <v>0</v>
      </c>
      <c r="G2368">
        <v>28.44</v>
      </c>
      <c r="H2368">
        <v>28.45</v>
      </c>
      <c r="I2368" t="s">
        <v>4494</v>
      </c>
      <c r="J2368">
        <v>3.8</v>
      </c>
      <c r="K2368">
        <v>3.8</v>
      </c>
      <c r="L2368">
        <v>28.34</v>
      </c>
      <c r="M2368">
        <v>28.49</v>
      </c>
      <c r="N2368">
        <v>27.15</v>
      </c>
    </row>
    <row r="2369" spans="1:14" x14ac:dyDescent="0.5">
      <c r="A2369" t="str">
        <f>"600272"</f>
        <v>600272</v>
      </c>
      <c r="B2369" t="s">
        <v>4495</v>
      </c>
      <c r="C2369">
        <v>10.01</v>
      </c>
      <c r="D2369">
        <v>44.44</v>
      </c>
      <c r="E2369">
        <v>9.23</v>
      </c>
      <c r="F2369">
        <v>0.84</v>
      </c>
      <c r="G2369">
        <v>9.23</v>
      </c>
      <c r="H2369" t="s">
        <v>24</v>
      </c>
      <c r="I2369" t="s">
        <v>3921</v>
      </c>
      <c r="J2369">
        <v>4.9400000000000004</v>
      </c>
      <c r="K2369">
        <v>4.9400000000000004</v>
      </c>
      <c r="L2369">
        <v>8.35</v>
      </c>
      <c r="M2369">
        <v>9.23</v>
      </c>
      <c r="N2369">
        <v>8.32</v>
      </c>
    </row>
    <row r="2370" spans="1:14" x14ac:dyDescent="0.5">
      <c r="A2370" t="str">
        <f>"600273"</f>
        <v>600273</v>
      </c>
      <c r="B2370" t="s">
        <v>4496</v>
      </c>
      <c r="C2370">
        <v>0.6</v>
      </c>
      <c r="D2370">
        <v>12.15</v>
      </c>
      <c r="E2370">
        <v>10.07</v>
      </c>
      <c r="F2370">
        <v>0.06</v>
      </c>
      <c r="G2370">
        <v>10.07</v>
      </c>
      <c r="H2370">
        <v>10.08</v>
      </c>
      <c r="I2370" t="s">
        <v>4497</v>
      </c>
      <c r="J2370">
        <v>2.29</v>
      </c>
      <c r="K2370">
        <v>2.29</v>
      </c>
      <c r="L2370">
        <v>10.01</v>
      </c>
      <c r="M2370">
        <v>10.210000000000001</v>
      </c>
      <c r="N2370">
        <v>9.94</v>
      </c>
    </row>
    <row r="2371" spans="1:14" x14ac:dyDescent="0.5">
      <c r="A2371" t="str">
        <f>"600275"</f>
        <v>600275</v>
      </c>
      <c r="B2371" t="s">
        <v>4498</v>
      </c>
      <c r="C2371">
        <v>0.67</v>
      </c>
      <c r="D2371">
        <v>60.02</v>
      </c>
      <c r="E2371">
        <v>3.01</v>
      </c>
      <c r="F2371">
        <v>0.02</v>
      </c>
      <c r="G2371">
        <v>3</v>
      </c>
      <c r="H2371">
        <v>3.01</v>
      </c>
      <c r="I2371" t="s">
        <v>4499</v>
      </c>
      <c r="J2371">
        <v>0.77</v>
      </c>
      <c r="K2371">
        <v>0.77</v>
      </c>
      <c r="L2371">
        <v>2.97</v>
      </c>
      <c r="M2371">
        <v>3.01</v>
      </c>
      <c r="N2371">
        <v>2.95</v>
      </c>
    </row>
    <row r="2372" spans="1:14" x14ac:dyDescent="0.5">
      <c r="A2372" t="str">
        <f>"600276"</f>
        <v>600276</v>
      </c>
      <c r="B2372" t="s">
        <v>4500</v>
      </c>
      <c r="C2372">
        <v>-0.21</v>
      </c>
      <c r="D2372">
        <v>65.27</v>
      </c>
      <c r="E2372">
        <v>72.12</v>
      </c>
      <c r="F2372">
        <v>-0.15</v>
      </c>
      <c r="G2372">
        <v>72.12</v>
      </c>
      <c r="H2372">
        <v>72.150000000000006</v>
      </c>
      <c r="I2372" t="s">
        <v>4501</v>
      </c>
      <c r="J2372">
        <v>0.44</v>
      </c>
      <c r="K2372">
        <v>0.44</v>
      </c>
      <c r="L2372">
        <v>72.12</v>
      </c>
      <c r="M2372">
        <v>72.88</v>
      </c>
      <c r="N2372">
        <v>71.599999999999994</v>
      </c>
    </row>
    <row r="2373" spans="1:14" x14ac:dyDescent="0.5">
      <c r="A2373" t="str">
        <f>"600277"</f>
        <v>600277</v>
      </c>
      <c r="B2373" t="s">
        <v>4502</v>
      </c>
      <c r="C2373">
        <v>0.15</v>
      </c>
      <c r="D2373">
        <v>25.16</v>
      </c>
      <c r="E2373">
        <v>6.49</v>
      </c>
      <c r="F2373">
        <v>0.01</v>
      </c>
      <c r="G2373">
        <v>6.49</v>
      </c>
      <c r="H2373">
        <v>6.5</v>
      </c>
      <c r="I2373" t="s">
        <v>4503</v>
      </c>
      <c r="J2373">
        <v>1.08</v>
      </c>
      <c r="K2373">
        <v>1.08</v>
      </c>
      <c r="L2373">
        <v>6.48</v>
      </c>
      <c r="M2373">
        <v>6.52</v>
      </c>
      <c r="N2373">
        <v>6.4</v>
      </c>
    </row>
    <row r="2374" spans="1:14" x14ac:dyDescent="0.5">
      <c r="A2374" t="str">
        <f>"600278"</f>
        <v>600278</v>
      </c>
      <c r="B2374" t="s">
        <v>4504</v>
      </c>
      <c r="C2374">
        <v>4.1500000000000004</v>
      </c>
      <c r="D2374">
        <v>28.93</v>
      </c>
      <c r="E2374">
        <v>10.050000000000001</v>
      </c>
      <c r="F2374">
        <v>0.4</v>
      </c>
      <c r="G2374">
        <v>10.039999999999999</v>
      </c>
      <c r="H2374">
        <v>10.050000000000001</v>
      </c>
      <c r="I2374" t="s">
        <v>4505</v>
      </c>
      <c r="J2374">
        <v>3.57</v>
      </c>
      <c r="K2374">
        <v>3.57</v>
      </c>
      <c r="L2374">
        <v>9.68</v>
      </c>
      <c r="M2374">
        <v>10.24</v>
      </c>
      <c r="N2374">
        <v>9.58</v>
      </c>
    </row>
    <row r="2375" spans="1:14" x14ac:dyDescent="0.5">
      <c r="A2375" t="str">
        <f>"600279"</f>
        <v>600279</v>
      </c>
      <c r="B2375" t="s">
        <v>4506</v>
      </c>
      <c r="C2375">
        <v>1.57</v>
      </c>
      <c r="D2375">
        <v>6.58</v>
      </c>
      <c r="E2375">
        <v>4.53</v>
      </c>
      <c r="F2375">
        <v>7.0000000000000007E-2</v>
      </c>
      <c r="G2375">
        <v>4.5199999999999996</v>
      </c>
      <c r="H2375">
        <v>4.53</v>
      </c>
      <c r="I2375" t="s">
        <v>4507</v>
      </c>
      <c r="J2375">
        <v>1.24</v>
      </c>
      <c r="K2375">
        <v>1.24</v>
      </c>
      <c r="L2375">
        <v>4.4800000000000004</v>
      </c>
      <c r="M2375">
        <v>4.54</v>
      </c>
      <c r="N2375">
        <v>4.4400000000000004</v>
      </c>
    </row>
    <row r="2376" spans="1:14" x14ac:dyDescent="0.5">
      <c r="A2376" t="str">
        <f>"600280"</f>
        <v>600280</v>
      </c>
      <c r="B2376" t="s">
        <v>4508</v>
      </c>
      <c r="C2376">
        <v>2.41</v>
      </c>
      <c r="D2376">
        <v>129.66999999999999</v>
      </c>
      <c r="E2376">
        <v>4.67</v>
      </c>
      <c r="F2376">
        <v>0.11</v>
      </c>
      <c r="G2376">
        <v>4.66</v>
      </c>
      <c r="H2376">
        <v>4.67</v>
      </c>
      <c r="I2376" t="s">
        <v>4509</v>
      </c>
      <c r="J2376">
        <v>2.77</v>
      </c>
      <c r="K2376">
        <v>2.77</v>
      </c>
      <c r="L2376">
        <v>4.55</v>
      </c>
      <c r="M2376">
        <v>4.68</v>
      </c>
      <c r="N2376">
        <v>4.51</v>
      </c>
    </row>
    <row r="2377" spans="1:14" x14ac:dyDescent="0.5">
      <c r="A2377" t="str">
        <f>"600281"</f>
        <v>600281</v>
      </c>
      <c r="B2377" t="s">
        <v>4510</v>
      </c>
      <c r="C2377">
        <v>2.2200000000000002</v>
      </c>
      <c r="D2377">
        <v>180.58</v>
      </c>
      <c r="E2377">
        <v>4.1500000000000004</v>
      </c>
      <c r="F2377">
        <v>0.09</v>
      </c>
      <c r="G2377">
        <v>4.1500000000000004</v>
      </c>
      <c r="H2377">
        <v>4.16</v>
      </c>
      <c r="I2377" t="s">
        <v>3844</v>
      </c>
      <c r="J2377">
        <v>1.1299999999999999</v>
      </c>
      <c r="K2377">
        <v>1.1299999999999999</v>
      </c>
      <c r="L2377">
        <v>4.05</v>
      </c>
      <c r="M2377">
        <v>4.16</v>
      </c>
      <c r="N2377">
        <v>4.04</v>
      </c>
    </row>
    <row r="2378" spans="1:14" x14ac:dyDescent="0.5">
      <c r="A2378" t="str">
        <f>"600282"</f>
        <v>600282</v>
      </c>
      <c r="B2378" t="s">
        <v>4511</v>
      </c>
      <c r="C2378">
        <v>-0.24</v>
      </c>
      <c r="D2378">
        <v>3.94</v>
      </c>
      <c r="E2378">
        <v>4.1500000000000004</v>
      </c>
      <c r="F2378">
        <v>-0.01</v>
      </c>
      <c r="G2378">
        <v>4.1500000000000004</v>
      </c>
      <c r="H2378">
        <v>4.16</v>
      </c>
      <c r="I2378" t="s">
        <v>4512</v>
      </c>
      <c r="J2378">
        <v>1.27</v>
      </c>
      <c r="K2378">
        <v>1.27</v>
      </c>
      <c r="L2378">
        <v>4.12</v>
      </c>
      <c r="M2378">
        <v>4.16</v>
      </c>
      <c r="N2378">
        <v>4.0999999999999996</v>
      </c>
    </row>
    <row r="2379" spans="1:14" x14ac:dyDescent="0.5">
      <c r="A2379" t="str">
        <f>"600283"</f>
        <v>600283</v>
      </c>
      <c r="B2379" t="s">
        <v>4513</v>
      </c>
      <c r="C2379">
        <v>6.99</v>
      </c>
      <c r="D2379">
        <v>43.68</v>
      </c>
      <c r="E2379">
        <v>13.62</v>
      </c>
      <c r="F2379">
        <v>0.89</v>
      </c>
      <c r="G2379">
        <v>13.61</v>
      </c>
      <c r="H2379">
        <v>13.62</v>
      </c>
      <c r="I2379" t="s">
        <v>4514</v>
      </c>
      <c r="J2379">
        <v>3.42</v>
      </c>
      <c r="K2379">
        <v>3.42</v>
      </c>
      <c r="L2379">
        <v>12.6</v>
      </c>
      <c r="M2379">
        <v>13.75</v>
      </c>
      <c r="N2379">
        <v>12.5</v>
      </c>
    </row>
    <row r="2380" spans="1:14" x14ac:dyDescent="0.5">
      <c r="A2380" t="str">
        <f>"600284"</f>
        <v>600284</v>
      </c>
      <c r="B2380" t="s">
        <v>4515</v>
      </c>
      <c r="C2380">
        <v>5.67</v>
      </c>
      <c r="D2380">
        <v>15.55</v>
      </c>
      <c r="E2380">
        <v>6.34</v>
      </c>
      <c r="F2380">
        <v>0.34</v>
      </c>
      <c r="G2380">
        <v>6.34</v>
      </c>
      <c r="H2380">
        <v>6.35</v>
      </c>
      <c r="I2380" t="s">
        <v>4516</v>
      </c>
      <c r="J2380">
        <v>4.29</v>
      </c>
      <c r="K2380">
        <v>4.29</v>
      </c>
      <c r="L2380">
        <v>6</v>
      </c>
      <c r="M2380">
        <v>6.46</v>
      </c>
      <c r="N2380">
        <v>5.92</v>
      </c>
    </row>
    <row r="2381" spans="1:14" x14ac:dyDescent="0.5">
      <c r="A2381" t="str">
        <f>"600285"</f>
        <v>600285</v>
      </c>
      <c r="B2381" t="s">
        <v>4517</v>
      </c>
      <c r="C2381">
        <v>0.6</v>
      </c>
      <c r="D2381">
        <v>20.079999999999998</v>
      </c>
      <c r="E2381">
        <v>8.35</v>
      </c>
      <c r="F2381">
        <v>0.05</v>
      </c>
      <c r="G2381">
        <v>8.34</v>
      </c>
      <c r="H2381">
        <v>8.35</v>
      </c>
      <c r="I2381" t="s">
        <v>4518</v>
      </c>
      <c r="J2381">
        <v>1.44</v>
      </c>
      <c r="K2381">
        <v>1.44</v>
      </c>
      <c r="L2381">
        <v>8.2799999999999994</v>
      </c>
      <c r="M2381">
        <v>8.36</v>
      </c>
      <c r="N2381">
        <v>8.2200000000000006</v>
      </c>
    </row>
    <row r="2382" spans="1:14" x14ac:dyDescent="0.5">
      <c r="A2382" t="str">
        <f>"600287"</f>
        <v>600287</v>
      </c>
      <c r="B2382" t="s">
        <v>4519</v>
      </c>
      <c r="C2382">
        <v>1.1599999999999999</v>
      </c>
      <c r="D2382">
        <v>30.33</v>
      </c>
      <c r="E2382">
        <v>6.09</v>
      </c>
      <c r="F2382">
        <v>7.0000000000000007E-2</v>
      </c>
      <c r="G2382">
        <v>6.09</v>
      </c>
      <c r="H2382">
        <v>6.1</v>
      </c>
      <c r="I2382" t="s">
        <v>4520</v>
      </c>
      <c r="J2382">
        <v>1.7</v>
      </c>
      <c r="K2382">
        <v>1.7</v>
      </c>
      <c r="L2382">
        <v>5.98</v>
      </c>
      <c r="M2382">
        <v>6.11</v>
      </c>
      <c r="N2382">
        <v>5.9</v>
      </c>
    </row>
    <row r="2383" spans="1:14" x14ac:dyDescent="0.5">
      <c r="A2383" t="str">
        <f>"600288"</f>
        <v>600288</v>
      </c>
      <c r="B2383" t="s">
        <v>4521</v>
      </c>
      <c r="C2383">
        <v>10.029999999999999</v>
      </c>
      <c r="D2383">
        <v>59.47</v>
      </c>
      <c r="E2383">
        <v>10.09</v>
      </c>
      <c r="F2383">
        <v>0.92</v>
      </c>
      <c r="G2383">
        <v>10.09</v>
      </c>
      <c r="H2383" t="s">
        <v>24</v>
      </c>
      <c r="I2383" t="s">
        <v>4522</v>
      </c>
      <c r="J2383">
        <v>0.97</v>
      </c>
      <c r="K2383">
        <v>0.97</v>
      </c>
      <c r="L2383">
        <v>10.09</v>
      </c>
      <c r="M2383">
        <v>10.09</v>
      </c>
      <c r="N2383">
        <v>10.09</v>
      </c>
    </row>
    <row r="2384" spans="1:14" x14ac:dyDescent="0.5">
      <c r="A2384" t="str">
        <f>"600289"</f>
        <v>600289</v>
      </c>
      <c r="B2384" t="s">
        <v>4523</v>
      </c>
      <c r="C2384">
        <v>0.36</v>
      </c>
      <c r="D2384" t="s">
        <v>24</v>
      </c>
      <c r="E2384">
        <v>2.76</v>
      </c>
      <c r="F2384">
        <v>0.01</v>
      </c>
      <c r="G2384">
        <v>2.75</v>
      </c>
      <c r="H2384">
        <v>2.76</v>
      </c>
      <c r="I2384" t="s">
        <v>4524</v>
      </c>
      <c r="J2384">
        <v>1.66</v>
      </c>
      <c r="K2384">
        <v>1.66</v>
      </c>
      <c r="L2384">
        <v>2.74</v>
      </c>
      <c r="M2384">
        <v>2.77</v>
      </c>
      <c r="N2384">
        <v>2.71</v>
      </c>
    </row>
    <row r="2385" spans="1:14" x14ac:dyDescent="0.5">
      <c r="A2385" t="str">
        <f>"600290"</f>
        <v>600290</v>
      </c>
      <c r="B2385" t="s">
        <v>4525</v>
      </c>
      <c r="C2385">
        <v>4</v>
      </c>
      <c r="D2385">
        <v>93.09</v>
      </c>
      <c r="E2385">
        <v>5.46</v>
      </c>
      <c r="F2385">
        <v>0.21</v>
      </c>
      <c r="G2385">
        <v>5.46</v>
      </c>
      <c r="H2385">
        <v>5.47</v>
      </c>
      <c r="I2385" t="s">
        <v>472</v>
      </c>
      <c r="J2385">
        <v>8.67</v>
      </c>
      <c r="K2385">
        <v>8.67</v>
      </c>
      <c r="L2385">
        <v>5.28</v>
      </c>
      <c r="M2385">
        <v>5.46</v>
      </c>
      <c r="N2385">
        <v>5.24</v>
      </c>
    </row>
    <row r="2386" spans="1:14" x14ac:dyDescent="0.5">
      <c r="A2386" t="str">
        <f>"600291"</f>
        <v>600291</v>
      </c>
      <c r="B2386" t="s">
        <v>4526</v>
      </c>
      <c r="C2386">
        <v>0.06</v>
      </c>
      <c r="D2386">
        <v>53.33</v>
      </c>
      <c r="E2386">
        <v>15.65</v>
      </c>
      <c r="F2386">
        <v>0.01</v>
      </c>
      <c r="G2386">
        <v>15.64</v>
      </c>
      <c r="H2386">
        <v>15.65</v>
      </c>
      <c r="I2386" t="s">
        <v>4527</v>
      </c>
      <c r="J2386">
        <v>3.53</v>
      </c>
      <c r="K2386">
        <v>3.53</v>
      </c>
      <c r="L2386">
        <v>15.3</v>
      </c>
      <c r="M2386">
        <v>15.96</v>
      </c>
      <c r="N2386">
        <v>15.12</v>
      </c>
    </row>
    <row r="2387" spans="1:14" x14ac:dyDescent="0.5">
      <c r="A2387" t="str">
        <f>"600292"</f>
        <v>600292</v>
      </c>
      <c r="B2387" t="s">
        <v>4528</v>
      </c>
      <c r="C2387">
        <v>0.48</v>
      </c>
      <c r="D2387">
        <v>37.92</v>
      </c>
      <c r="E2387">
        <v>6.31</v>
      </c>
      <c r="F2387">
        <v>0.03</v>
      </c>
      <c r="G2387">
        <v>6.3</v>
      </c>
      <c r="H2387">
        <v>6.31</v>
      </c>
      <c r="I2387" t="s">
        <v>3190</v>
      </c>
      <c r="J2387">
        <v>1.76</v>
      </c>
      <c r="K2387">
        <v>1.76</v>
      </c>
      <c r="L2387">
        <v>6.26</v>
      </c>
      <c r="M2387">
        <v>6.31</v>
      </c>
      <c r="N2387">
        <v>6.14</v>
      </c>
    </row>
    <row r="2388" spans="1:14" x14ac:dyDescent="0.5">
      <c r="A2388" t="str">
        <f>"600293"</f>
        <v>600293</v>
      </c>
      <c r="B2388" t="s">
        <v>4529</v>
      </c>
      <c r="C2388">
        <v>3.46</v>
      </c>
      <c r="D2388">
        <v>13.29</v>
      </c>
      <c r="E2388">
        <v>4.79</v>
      </c>
      <c r="F2388">
        <v>0.16</v>
      </c>
      <c r="G2388">
        <v>4.78</v>
      </c>
      <c r="H2388">
        <v>4.79</v>
      </c>
      <c r="I2388" t="s">
        <v>2990</v>
      </c>
      <c r="J2388">
        <v>4.6100000000000003</v>
      </c>
      <c r="K2388">
        <v>4.6100000000000003</v>
      </c>
      <c r="L2388">
        <v>4.58</v>
      </c>
      <c r="M2388">
        <v>4.8099999999999996</v>
      </c>
      <c r="N2388">
        <v>4.5599999999999996</v>
      </c>
    </row>
    <row r="2389" spans="1:14" x14ac:dyDescent="0.5">
      <c r="A2389" t="str">
        <f>"600295"</f>
        <v>600295</v>
      </c>
      <c r="B2389" t="s">
        <v>4530</v>
      </c>
      <c r="C2389">
        <v>1.67</v>
      </c>
      <c r="D2389">
        <v>14.03</v>
      </c>
      <c r="E2389">
        <v>9.1199999999999992</v>
      </c>
      <c r="F2389">
        <v>0.15</v>
      </c>
      <c r="G2389">
        <v>9.11</v>
      </c>
      <c r="H2389">
        <v>9.1199999999999992</v>
      </c>
      <c r="I2389" t="s">
        <v>4531</v>
      </c>
      <c r="J2389">
        <v>1.43</v>
      </c>
      <c r="K2389">
        <v>1.43</v>
      </c>
      <c r="L2389">
        <v>8.98</v>
      </c>
      <c r="M2389">
        <v>9.1199999999999992</v>
      </c>
      <c r="N2389">
        <v>8.89</v>
      </c>
    </row>
    <row r="2390" spans="1:14" x14ac:dyDescent="0.5">
      <c r="A2390" t="str">
        <f>"600297"</f>
        <v>600297</v>
      </c>
      <c r="B2390" t="s">
        <v>4532</v>
      </c>
      <c r="C2390">
        <v>0.8</v>
      </c>
      <c r="D2390">
        <v>9.82</v>
      </c>
      <c r="E2390">
        <v>5.07</v>
      </c>
      <c r="F2390">
        <v>0.04</v>
      </c>
      <c r="G2390">
        <v>5.0599999999999996</v>
      </c>
      <c r="H2390">
        <v>5.07</v>
      </c>
      <c r="I2390" t="s">
        <v>4533</v>
      </c>
      <c r="J2390">
        <v>0.44</v>
      </c>
      <c r="K2390">
        <v>0.44</v>
      </c>
      <c r="L2390">
        <v>5.0199999999999996</v>
      </c>
      <c r="M2390">
        <v>5.12</v>
      </c>
      <c r="N2390">
        <v>4.9800000000000004</v>
      </c>
    </row>
    <row r="2391" spans="1:14" x14ac:dyDescent="0.5">
      <c r="A2391" t="str">
        <f>"600298"</f>
        <v>600298</v>
      </c>
      <c r="B2391" t="s">
        <v>4534</v>
      </c>
      <c r="C2391">
        <v>-0.46</v>
      </c>
      <c r="D2391">
        <v>25.74</v>
      </c>
      <c r="E2391">
        <v>28.27</v>
      </c>
      <c r="F2391">
        <v>-0.13</v>
      </c>
      <c r="G2391">
        <v>28.27</v>
      </c>
      <c r="H2391">
        <v>28.28</v>
      </c>
      <c r="I2391" t="s">
        <v>4535</v>
      </c>
      <c r="J2391">
        <v>1.0900000000000001</v>
      </c>
      <c r="K2391">
        <v>1.0900000000000001</v>
      </c>
      <c r="L2391">
        <v>28.12</v>
      </c>
      <c r="M2391">
        <v>28.37</v>
      </c>
      <c r="N2391">
        <v>27.93</v>
      </c>
    </row>
    <row r="2392" spans="1:14" x14ac:dyDescent="0.5">
      <c r="A2392" t="str">
        <f>"600299"</f>
        <v>600299</v>
      </c>
      <c r="B2392" t="s">
        <v>4536</v>
      </c>
      <c r="C2392">
        <v>0.79</v>
      </c>
      <c r="D2392">
        <v>27.1</v>
      </c>
      <c r="E2392">
        <v>11.49</v>
      </c>
      <c r="F2392">
        <v>0.09</v>
      </c>
      <c r="G2392">
        <v>11.49</v>
      </c>
      <c r="H2392">
        <v>11.5</v>
      </c>
      <c r="I2392" t="s">
        <v>4537</v>
      </c>
      <c r="J2392">
        <v>0.49</v>
      </c>
      <c r="K2392">
        <v>0.49</v>
      </c>
      <c r="L2392">
        <v>11.37</v>
      </c>
      <c r="M2392">
        <v>11.5</v>
      </c>
      <c r="N2392">
        <v>11.3</v>
      </c>
    </row>
    <row r="2393" spans="1:14" x14ac:dyDescent="0.5">
      <c r="A2393" t="str">
        <f>"600300"</f>
        <v>600300</v>
      </c>
      <c r="B2393" t="s">
        <v>4538</v>
      </c>
      <c r="C2393">
        <v>2.4700000000000002</v>
      </c>
      <c r="D2393">
        <v>65.27</v>
      </c>
      <c r="E2393">
        <v>3.32</v>
      </c>
      <c r="F2393">
        <v>0.08</v>
      </c>
      <c r="G2393">
        <v>3.32</v>
      </c>
      <c r="H2393">
        <v>3.33</v>
      </c>
      <c r="I2393" t="s">
        <v>4539</v>
      </c>
      <c r="J2393">
        <v>2.59</v>
      </c>
      <c r="K2393">
        <v>2.59</v>
      </c>
      <c r="L2393">
        <v>3.23</v>
      </c>
      <c r="M2393">
        <v>3.33</v>
      </c>
      <c r="N2393">
        <v>3.2</v>
      </c>
    </row>
    <row r="2394" spans="1:14" x14ac:dyDescent="0.5">
      <c r="A2394" t="str">
        <f>"600301"</f>
        <v>600301</v>
      </c>
      <c r="B2394" t="s">
        <v>4540</v>
      </c>
      <c r="C2394">
        <v>-0.3</v>
      </c>
      <c r="D2394">
        <v>81.33</v>
      </c>
      <c r="E2394">
        <v>6.6</v>
      </c>
      <c r="F2394">
        <v>-0.02</v>
      </c>
      <c r="G2394">
        <v>6.59</v>
      </c>
      <c r="H2394">
        <v>6.6</v>
      </c>
      <c r="I2394" t="s">
        <v>4541</v>
      </c>
      <c r="J2394">
        <v>0.74</v>
      </c>
      <c r="K2394">
        <v>0.74</v>
      </c>
      <c r="L2394">
        <v>6.61</v>
      </c>
      <c r="M2394">
        <v>6.61</v>
      </c>
      <c r="N2394">
        <v>6.53</v>
      </c>
    </row>
    <row r="2395" spans="1:14" x14ac:dyDescent="0.5">
      <c r="A2395" t="str">
        <f>"600302"</f>
        <v>600302</v>
      </c>
      <c r="B2395" t="s">
        <v>4542</v>
      </c>
      <c r="C2395">
        <v>2.29</v>
      </c>
      <c r="D2395" t="s">
        <v>24</v>
      </c>
      <c r="E2395">
        <v>5.37</v>
      </c>
      <c r="F2395">
        <v>0.12</v>
      </c>
      <c r="G2395">
        <v>5.36</v>
      </c>
      <c r="H2395">
        <v>5.37</v>
      </c>
      <c r="I2395" t="s">
        <v>4543</v>
      </c>
      <c r="J2395">
        <v>1.1599999999999999</v>
      </c>
      <c r="K2395">
        <v>1.1599999999999999</v>
      </c>
      <c r="L2395">
        <v>5.25</v>
      </c>
      <c r="M2395">
        <v>5.37</v>
      </c>
      <c r="N2395">
        <v>5.2</v>
      </c>
    </row>
    <row r="2396" spans="1:14" x14ac:dyDescent="0.5">
      <c r="A2396" t="str">
        <f>"600303"</f>
        <v>600303</v>
      </c>
      <c r="B2396" t="s">
        <v>4544</v>
      </c>
      <c r="C2396">
        <v>1.55</v>
      </c>
      <c r="D2396" t="s">
        <v>24</v>
      </c>
      <c r="E2396">
        <v>4.59</v>
      </c>
      <c r="F2396">
        <v>7.0000000000000007E-2</v>
      </c>
      <c r="G2396">
        <v>4.58</v>
      </c>
      <c r="H2396">
        <v>4.59</v>
      </c>
      <c r="I2396" t="s">
        <v>2090</v>
      </c>
      <c r="J2396">
        <v>2.84</v>
      </c>
      <c r="K2396">
        <v>2.84</v>
      </c>
      <c r="L2396">
        <v>4.51</v>
      </c>
      <c r="M2396">
        <v>4.59</v>
      </c>
      <c r="N2396">
        <v>4.49</v>
      </c>
    </row>
    <row r="2397" spans="1:14" x14ac:dyDescent="0.5">
      <c r="A2397" t="str">
        <f>"600305"</f>
        <v>600305</v>
      </c>
      <c r="B2397" t="s">
        <v>4545</v>
      </c>
      <c r="C2397">
        <v>-0.74</v>
      </c>
      <c r="D2397">
        <v>27.22</v>
      </c>
      <c r="E2397">
        <v>12.06</v>
      </c>
      <c r="F2397">
        <v>-0.09</v>
      </c>
      <c r="G2397">
        <v>12.05</v>
      </c>
      <c r="H2397">
        <v>12.06</v>
      </c>
      <c r="I2397" t="s">
        <v>4546</v>
      </c>
      <c r="J2397">
        <v>2.33</v>
      </c>
      <c r="K2397">
        <v>2.33</v>
      </c>
      <c r="L2397">
        <v>12.03</v>
      </c>
      <c r="M2397">
        <v>12.15</v>
      </c>
      <c r="N2397">
        <v>11.9</v>
      </c>
    </row>
    <row r="2398" spans="1:14" x14ac:dyDescent="0.5">
      <c r="A2398" t="str">
        <f>"600306"</f>
        <v>600306</v>
      </c>
      <c r="B2398" t="s">
        <v>4547</v>
      </c>
      <c r="C2398">
        <v>1.1299999999999999</v>
      </c>
      <c r="D2398" t="s">
        <v>24</v>
      </c>
      <c r="E2398">
        <v>7.15</v>
      </c>
      <c r="F2398">
        <v>0.08</v>
      </c>
      <c r="G2398">
        <v>7.15</v>
      </c>
      <c r="H2398">
        <v>7.16</v>
      </c>
      <c r="I2398" t="s">
        <v>4548</v>
      </c>
      <c r="J2398">
        <v>1.29</v>
      </c>
      <c r="K2398">
        <v>1.29</v>
      </c>
      <c r="L2398">
        <v>7.1</v>
      </c>
      <c r="M2398">
        <v>7.18</v>
      </c>
      <c r="N2398">
        <v>7.02</v>
      </c>
    </row>
    <row r="2399" spans="1:14" x14ac:dyDescent="0.5">
      <c r="A2399" t="str">
        <f>"600307"</f>
        <v>600307</v>
      </c>
      <c r="B2399" t="s">
        <v>4549</v>
      </c>
      <c r="C2399">
        <v>0.42</v>
      </c>
      <c r="D2399">
        <v>17.809999999999999</v>
      </c>
      <c r="E2399">
        <v>2.39</v>
      </c>
      <c r="F2399">
        <v>0.01</v>
      </c>
      <c r="G2399">
        <v>2.38</v>
      </c>
      <c r="H2399">
        <v>2.39</v>
      </c>
      <c r="I2399" t="s">
        <v>4550</v>
      </c>
      <c r="J2399">
        <v>1.45</v>
      </c>
      <c r="K2399">
        <v>1.45</v>
      </c>
      <c r="L2399">
        <v>2.36</v>
      </c>
      <c r="M2399">
        <v>2.39</v>
      </c>
      <c r="N2399">
        <v>2.33</v>
      </c>
    </row>
    <row r="2400" spans="1:14" x14ac:dyDescent="0.5">
      <c r="A2400" t="str">
        <f>"600308"</f>
        <v>600308</v>
      </c>
      <c r="B2400" t="s">
        <v>4551</v>
      </c>
      <c r="C2400">
        <v>0.6</v>
      </c>
      <c r="D2400">
        <v>6.88</v>
      </c>
      <c r="E2400">
        <v>5.07</v>
      </c>
      <c r="F2400">
        <v>0.03</v>
      </c>
      <c r="G2400">
        <v>5.0599999999999996</v>
      </c>
      <c r="H2400">
        <v>5.07</v>
      </c>
      <c r="I2400" t="s">
        <v>4552</v>
      </c>
      <c r="J2400">
        <v>1.83</v>
      </c>
      <c r="K2400">
        <v>1.83</v>
      </c>
      <c r="L2400">
        <v>5.0199999999999996</v>
      </c>
      <c r="M2400">
        <v>5.07</v>
      </c>
      <c r="N2400">
        <v>4.99</v>
      </c>
    </row>
    <row r="2401" spans="1:14" x14ac:dyDescent="0.5">
      <c r="A2401" t="str">
        <f>"600309"</f>
        <v>600309</v>
      </c>
      <c r="B2401" t="s">
        <v>4553</v>
      </c>
      <c r="C2401">
        <v>-1.25</v>
      </c>
      <c r="D2401">
        <v>10.7</v>
      </c>
      <c r="E2401">
        <v>41.03</v>
      </c>
      <c r="F2401">
        <v>-0.52</v>
      </c>
      <c r="G2401">
        <v>41.03</v>
      </c>
      <c r="H2401">
        <v>41.04</v>
      </c>
      <c r="I2401" t="s">
        <v>4554</v>
      </c>
      <c r="J2401">
        <v>2.8</v>
      </c>
      <c r="K2401">
        <v>2.8</v>
      </c>
      <c r="L2401">
        <v>41.53</v>
      </c>
      <c r="M2401">
        <v>41.53</v>
      </c>
      <c r="N2401">
        <v>40.5</v>
      </c>
    </row>
    <row r="2402" spans="1:14" x14ac:dyDescent="0.5">
      <c r="A2402" t="str">
        <f>"600310"</f>
        <v>600310</v>
      </c>
      <c r="B2402" t="s">
        <v>4555</v>
      </c>
      <c r="C2402">
        <v>1.9</v>
      </c>
      <c r="D2402">
        <v>69.930000000000007</v>
      </c>
      <c r="E2402">
        <v>4.83</v>
      </c>
      <c r="F2402">
        <v>0.09</v>
      </c>
      <c r="G2402">
        <v>4.83</v>
      </c>
      <c r="H2402">
        <v>4.84</v>
      </c>
      <c r="I2402" t="s">
        <v>598</v>
      </c>
      <c r="J2402">
        <v>1.49</v>
      </c>
      <c r="K2402">
        <v>1.49</v>
      </c>
      <c r="L2402">
        <v>4.74</v>
      </c>
      <c r="M2402">
        <v>4.84</v>
      </c>
      <c r="N2402">
        <v>4.68</v>
      </c>
    </row>
    <row r="2403" spans="1:14" x14ac:dyDescent="0.5">
      <c r="A2403" t="str">
        <f>"600311"</f>
        <v>600311</v>
      </c>
      <c r="B2403" t="s">
        <v>4556</v>
      </c>
      <c r="C2403">
        <v>-1.02</v>
      </c>
      <c r="D2403" t="s">
        <v>24</v>
      </c>
      <c r="E2403">
        <v>3.88</v>
      </c>
      <c r="F2403">
        <v>-0.04</v>
      </c>
      <c r="G2403">
        <v>3.88</v>
      </c>
      <c r="H2403">
        <v>3.89</v>
      </c>
      <c r="I2403" t="s">
        <v>4557</v>
      </c>
      <c r="J2403">
        <v>7.37</v>
      </c>
      <c r="K2403">
        <v>7.37</v>
      </c>
      <c r="L2403">
        <v>3.82</v>
      </c>
      <c r="M2403">
        <v>3.95</v>
      </c>
      <c r="N2403">
        <v>3.78</v>
      </c>
    </row>
    <row r="2404" spans="1:14" x14ac:dyDescent="0.5">
      <c r="A2404" t="str">
        <f>"600312"</f>
        <v>600312</v>
      </c>
      <c r="B2404" t="s">
        <v>4558</v>
      </c>
      <c r="C2404">
        <v>1.55</v>
      </c>
      <c r="D2404">
        <v>72.72</v>
      </c>
      <c r="E2404">
        <v>9.18</v>
      </c>
      <c r="F2404">
        <v>0.14000000000000001</v>
      </c>
      <c r="G2404">
        <v>9.17</v>
      </c>
      <c r="H2404">
        <v>9.18</v>
      </c>
      <c r="I2404" t="s">
        <v>2084</v>
      </c>
      <c r="J2404">
        <v>2.1800000000000002</v>
      </c>
      <c r="K2404">
        <v>2.1800000000000002</v>
      </c>
      <c r="L2404">
        <v>8.9700000000000006</v>
      </c>
      <c r="M2404">
        <v>9.18</v>
      </c>
      <c r="N2404">
        <v>8.91</v>
      </c>
    </row>
    <row r="2405" spans="1:14" x14ac:dyDescent="0.5">
      <c r="A2405" t="str">
        <f>"600313"</f>
        <v>600313</v>
      </c>
      <c r="B2405" t="s">
        <v>4559</v>
      </c>
      <c r="C2405">
        <v>3.2</v>
      </c>
      <c r="D2405" t="s">
        <v>24</v>
      </c>
      <c r="E2405">
        <v>2.9</v>
      </c>
      <c r="F2405">
        <v>0.09</v>
      </c>
      <c r="G2405">
        <v>2.89</v>
      </c>
      <c r="H2405">
        <v>2.9</v>
      </c>
      <c r="I2405" t="s">
        <v>4560</v>
      </c>
      <c r="J2405">
        <v>3.74</v>
      </c>
      <c r="K2405">
        <v>3.74</v>
      </c>
      <c r="L2405">
        <v>2.81</v>
      </c>
      <c r="M2405">
        <v>2.94</v>
      </c>
      <c r="N2405">
        <v>2.77</v>
      </c>
    </row>
    <row r="2406" spans="1:14" x14ac:dyDescent="0.5">
      <c r="A2406" t="str">
        <f>"600315"</f>
        <v>600315</v>
      </c>
      <c r="B2406" t="s">
        <v>4561</v>
      </c>
      <c r="C2406">
        <v>1.67</v>
      </c>
      <c r="D2406">
        <v>40.92</v>
      </c>
      <c r="E2406">
        <v>31.57</v>
      </c>
      <c r="F2406">
        <v>0.52</v>
      </c>
      <c r="G2406">
        <v>31.57</v>
      </c>
      <c r="H2406">
        <v>31.58</v>
      </c>
      <c r="I2406" t="s">
        <v>4562</v>
      </c>
      <c r="J2406">
        <v>0.73</v>
      </c>
      <c r="K2406">
        <v>0.73</v>
      </c>
      <c r="L2406">
        <v>30.88</v>
      </c>
      <c r="M2406">
        <v>31.7</v>
      </c>
      <c r="N2406">
        <v>30.7</v>
      </c>
    </row>
    <row r="2407" spans="1:14" x14ac:dyDescent="0.5">
      <c r="A2407" t="str">
        <f>"600316"</f>
        <v>600316</v>
      </c>
      <c r="B2407" t="s">
        <v>4563</v>
      </c>
      <c r="C2407">
        <v>9.41</v>
      </c>
      <c r="D2407">
        <v>235.41</v>
      </c>
      <c r="E2407">
        <v>14.88</v>
      </c>
      <c r="F2407">
        <v>1.28</v>
      </c>
      <c r="G2407">
        <v>14.87</v>
      </c>
      <c r="H2407">
        <v>14.88</v>
      </c>
      <c r="I2407" t="s">
        <v>4564</v>
      </c>
      <c r="J2407">
        <v>5.64</v>
      </c>
      <c r="K2407">
        <v>5.64</v>
      </c>
      <c r="L2407">
        <v>13.42</v>
      </c>
      <c r="M2407">
        <v>14.96</v>
      </c>
      <c r="N2407">
        <v>13.42</v>
      </c>
    </row>
    <row r="2408" spans="1:14" x14ac:dyDescent="0.5">
      <c r="A2408" t="str">
        <f>"600317"</f>
        <v>600317</v>
      </c>
      <c r="B2408" t="s">
        <v>4565</v>
      </c>
      <c r="C2408">
        <v>0.74</v>
      </c>
      <c r="D2408">
        <v>24.82</v>
      </c>
      <c r="E2408">
        <v>2.73</v>
      </c>
      <c r="F2408">
        <v>0.02</v>
      </c>
      <c r="G2408">
        <v>2.72</v>
      </c>
      <c r="H2408">
        <v>2.73</v>
      </c>
      <c r="I2408" t="s">
        <v>4566</v>
      </c>
      <c r="J2408">
        <v>0.27</v>
      </c>
      <c r="K2408">
        <v>0.27</v>
      </c>
      <c r="L2408">
        <v>2.72</v>
      </c>
      <c r="M2408">
        <v>2.74</v>
      </c>
      <c r="N2408">
        <v>2.69</v>
      </c>
    </row>
    <row r="2409" spans="1:14" x14ac:dyDescent="0.5">
      <c r="A2409" t="str">
        <f>"600318"</f>
        <v>600318</v>
      </c>
      <c r="B2409" t="s">
        <v>4567</v>
      </c>
      <c r="C2409">
        <v>0.31</v>
      </c>
      <c r="D2409" t="s">
        <v>24</v>
      </c>
      <c r="E2409">
        <v>9.57</v>
      </c>
      <c r="F2409">
        <v>0.03</v>
      </c>
      <c r="G2409">
        <v>9.57</v>
      </c>
      <c r="H2409">
        <v>9.58</v>
      </c>
      <c r="I2409" t="s">
        <v>4568</v>
      </c>
      <c r="J2409">
        <v>5.01</v>
      </c>
      <c r="K2409">
        <v>5.01</v>
      </c>
      <c r="L2409">
        <v>9.32</v>
      </c>
      <c r="M2409">
        <v>9.65</v>
      </c>
      <c r="N2409">
        <v>9.2200000000000006</v>
      </c>
    </row>
    <row r="2410" spans="1:14" x14ac:dyDescent="0.5">
      <c r="A2410" t="str">
        <f>"600319"</f>
        <v>600319</v>
      </c>
      <c r="B2410" t="s">
        <v>4569</v>
      </c>
      <c r="C2410">
        <v>1.73</v>
      </c>
      <c r="D2410">
        <v>56.71</v>
      </c>
      <c r="E2410">
        <v>5.29</v>
      </c>
      <c r="F2410">
        <v>0.09</v>
      </c>
      <c r="G2410">
        <v>5.29</v>
      </c>
      <c r="H2410">
        <v>5.3</v>
      </c>
      <c r="I2410" t="s">
        <v>4570</v>
      </c>
      <c r="J2410">
        <v>2.4700000000000002</v>
      </c>
      <c r="K2410">
        <v>2.4700000000000002</v>
      </c>
      <c r="L2410">
        <v>5.21</v>
      </c>
      <c r="M2410">
        <v>5.32</v>
      </c>
      <c r="N2410">
        <v>5.19</v>
      </c>
    </row>
    <row r="2411" spans="1:14" x14ac:dyDescent="0.5">
      <c r="A2411" t="str">
        <f>"600320"</f>
        <v>600320</v>
      </c>
      <c r="B2411" t="s">
        <v>4571</v>
      </c>
      <c r="C2411">
        <v>-0.48</v>
      </c>
      <c r="D2411">
        <v>67.61</v>
      </c>
      <c r="E2411">
        <v>4.17</v>
      </c>
      <c r="F2411">
        <v>-0.02</v>
      </c>
      <c r="G2411">
        <v>4.17</v>
      </c>
      <c r="H2411">
        <v>4.18</v>
      </c>
      <c r="I2411" t="s">
        <v>4572</v>
      </c>
      <c r="J2411">
        <v>1.01</v>
      </c>
      <c r="K2411">
        <v>1.01</v>
      </c>
      <c r="L2411">
        <v>4.16</v>
      </c>
      <c r="M2411">
        <v>4.1900000000000004</v>
      </c>
      <c r="N2411">
        <v>4.07</v>
      </c>
    </row>
    <row r="2412" spans="1:14" x14ac:dyDescent="0.5">
      <c r="A2412" t="str">
        <f>"600321"</f>
        <v>600321</v>
      </c>
      <c r="B2412" t="s">
        <v>4573</v>
      </c>
      <c r="C2412">
        <v>0</v>
      </c>
      <c r="D2412">
        <v>172.57</v>
      </c>
      <c r="E2412">
        <v>2.29</v>
      </c>
      <c r="F2412">
        <v>0</v>
      </c>
      <c r="G2412">
        <v>2.2799999999999998</v>
      </c>
      <c r="H2412">
        <v>2.29</v>
      </c>
      <c r="I2412" t="s">
        <v>808</v>
      </c>
      <c r="J2412">
        <v>1.17</v>
      </c>
      <c r="K2412">
        <v>1.17</v>
      </c>
      <c r="L2412">
        <v>2.2799999999999998</v>
      </c>
      <c r="M2412">
        <v>2.3199999999999998</v>
      </c>
      <c r="N2412">
        <v>2.25</v>
      </c>
    </row>
    <row r="2413" spans="1:14" x14ac:dyDescent="0.5">
      <c r="A2413" t="str">
        <f>"600322"</f>
        <v>600322</v>
      </c>
      <c r="B2413" t="s">
        <v>4574</v>
      </c>
      <c r="C2413">
        <v>3.06</v>
      </c>
      <c r="D2413">
        <v>20.94</v>
      </c>
      <c r="E2413">
        <v>3.7</v>
      </c>
      <c r="F2413">
        <v>0.11</v>
      </c>
      <c r="G2413">
        <v>3.69</v>
      </c>
      <c r="H2413">
        <v>3.7</v>
      </c>
      <c r="I2413" t="s">
        <v>4575</v>
      </c>
      <c r="J2413">
        <v>1.72</v>
      </c>
      <c r="K2413">
        <v>1.72</v>
      </c>
      <c r="L2413">
        <v>3.6</v>
      </c>
      <c r="M2413">
        <v>3.75</v>
      </c>
      <c r="N2413">
        <v>3.55</v>
      </c>
    </row>
    <row r="2414" spans="1:14" x14ac:dyDescent="0.5">
      <c r="A2414" t="str">
        <f>"600323"</f>
        <v>600323</v>
      </c>
      <c r="B2414" t="s">
        <v>4576</v>
      </c>
      <c r="C2414">
        <v>1.8</v>
      </c>
      <c r="D2414">
        <v>14.22</v>
      </c>
      <c r="E2414">
        <v>16.36</v>
      </c>
      <c r="F2414">
        <v>0.28999999999999998</v>
      </c>
      <c r="G2414">
        <v>16.36</v>
      </c>
      <c r="H2414">
        <v>16.37</v>
      </c>
      <c r="I2414" t="s">
        <v>4577</v>
      </c>
      <c r="J2414">
        <v>1.1200000000000001</v>
      </c>
      <c r="K2414">
        <v>1.1200000000000001</v>
      </c>
      <c r="L2414">
        <v>16.09</v>
      </c>
      <c r="M2414">
        <v>16.46</v>
      </c>
      <c r="N2414">
        <v>16</v>
      </c>
    </row>
    <row r="2415" spans="1:14" x14ac:dyDescent="0.5">
      <c r="A2415" t="str">
        <f>"600325"</f>
        <v>600325</v>
      </c>
      <c r="B2415" t="s">
        <v>4578</v>
      </c>
      <c r="C2415">
        <v>3.68</v>
      </c>
      <c r="D2415">
        <v>6.6</v>
      </c>
      <c r="E2415">
        <v>7.88</v>
      </c>
      <c r="F2415">
        <v>0.28000000000000003</v>
      </c>
      <c r="G2415">
        <v>7.87</v>
      </c>
      <c r="H2415">
        <v>7.88</v>
      </c>
      <c r="I2415" t="s">
        <v>4579</v>
      </c>
      <c r="J2415">
        <v>2.56</v>
      </c>
      <c r="K2415">
        <v>2.56</v>
      </c>
      <c r="L2415">
        <v>7.64</v>
      </c>
      <c r="M2415">
        <v>7.95</v>
      </c>
      <c r="N2415">
        <v>7.59</v>
      </c>
    </row>
    <row r="2416" spans="1:14" x14ac:dyDescent="0.5">
      <c r="A2416" t="str">
        <f>"600326"</f>
        <v>600326</v>
      </c>
      <c r="B2416" t="s">
        <v>4580</v>
      </c>
      <c r="C2416">
        <v>0.98</v>
      </c>
      <c r="D2416">
        <v>18.13</v>
      </c>
      <c r="E2416">
        <v>8.25</v>
      </c>
      <c r="F2416">
        <v>0.08</v>
      </c>
      <c r="G2416">
        <v>8.25</v>
      </c>
      <c r="H2416">
        <v>8.26</v>
      </c>
      <c r="I2416" t="s">
        <v>1121</v>
      </c>
      <c r="J2416">
        <v>8.3800000000000008</v>
      </c>
      <c r="K2416">
        <v>8.3800000000000008</v>
      </c>
      <c r="L2416">
        <v>8.08</v>
      </c>
      <c r="M2416">
        <v>8.35</v>
      </c>
      <c r="N2416">
        <v>8.01</v>
      </c>
    </row>
    <row r="2417" spans="1:14" x14ac:dyDescent="0.5">
      <c r="A2417" t="str">
        <f>"600327"</f>
        <v>600327</v>
      </c>
      <c r="B2417" t="s">
        <v>4581</v>
      </c>
      <c r="C2417">
        <v>0.8</v>
      </c>
      <c r="D2417">
        <v>12.48</v>
      </c>
      <c r="E2417">
        <v>5.01</v>
      </c>
      <c r="F2417">
        <v>0.04</v>
      </c>
      <c r="G2417">
        <v>5.01</v>
      </c>
      <c r="H2417">
        <v>5.0199999999999996</v>
      </c>
      <c r="I2417" t="s">
        <v>4582</v>
      </c>
      <c r="J2417">
        <v>1.28</v>
      </c>
      <c r="K2417">
        <v>1.28</v>
      </c>
      <c r="L2417">
        <v>4.9400000000000004</v>
      </c>
      <c r="M2417">
        <v>5.0199999999999996</v>
      </c>
      <c r="N2417">
        <v>4.91</v>
      </c>
    </row>
    <row r="2418" spans="1:14" x14ac:dyDescent="0.5">
      <c r="A2418" t="str">
        <f>"600328"</f>
        <v>600328</v>
      </c>
      <c r="B2418" t="s">
        <v>4583</v>
      </c>
      <c r="C2418">
        <v>1.75</v>
      </c>
      <c r="D2418">
        <v>13.07</v>
      </c>
      <c r="E2418">
        <v>8.14</v>
      </c>
      <c r="F2418">
        <v>0.14000000000000001</v>
      </c>
      <c r="G2418">
        <v>8.14</v>
      </c>
      <c r="H2418">
        <v>8.15</v>
      </c>
      <c r="I2418" t="s">
        <v>3407</v>
      </c>
      <c r="J2418">
        <v>3.11</v>
      </c>
      <c r="K2418">
        <v>3.11</v>
      </c>
      <c r="L2418">
        <v>7.99</v>
      </c>
      <c r="M2418">
        <v>8.16</v>
      </c>
      <c r="N2418">
        <v>7.93</v>
      </c>
    </row>
    <row r="2419" spans="1:14" x14ac:dyDescent="0.5">
      <c r="A2419" t="str">
        <f>"600329"</f>
        <v>600329</v>
      </c>
      <c r="B2419" t="s">
        <v>4584</v>
      </c>
      <c r="C2419">
        <v>0.2</v>
      </c>
      <c r="D2419">
        <v>21.96</v>
      </c>
      <c r="E2419">
        <v>14.87</v>
      </c>
      <c r="F2419">
        <v>0.03</v>
      </c>
      <c r="G2419">
        <v>14.87</v>
      </c>
      <c r="H2419">
        <v>14.88</v>
      </c>
      <c r="I2419" t="s">
        <v>4585</v>
      </c>
      <c r="J2419">
        <v>1.28</v>
      </c>
      <c r="K2419">
        <v>1.28</v>
      </c>
      <c r="L2419">
        <v>14.74</v>
      </c>
      <c r="M2419">
        <v>14.88</v>
      </c>
      <c r="N2419">
        <v>14.61</v>
      </c>
    </row>
    <row r="2420" spans="1:14" x14ac:dyDescent="0.5">
      <c r="A2420" t="str">
        <f>"600330"</f>
        <v>600330</v>
      </c>
      <c r="B2420" t="s">
        <v>4586</v>
      </c>
      <c r="C2420">
        <v>3.68</v>
      </c>
      <c r="D2420">
        <v>32.46</v>
      </c>
      <c r="E2420">
        <v>8.16</v>
      </c>
      <c r="F2420">
        <v>0.28999999999999998</v>
      </c>
      <c r="G2420">
        <v>8.16</v>
      </c>
      <c r="H2420">
        <v>8.17</v>
      </c>
      <c r="I2420" t="s">
        <v>4587</v>
      </c>
      <c r="J2420">
        <v>3.84</v>
      </c>
      <c r="K2420">
        <v>3.84</v>
      </c>
      <c r="L2420">
        <v>7.8</v>
      </c>
      <c r="M2420">
        <v>8.18</v>
      </c>
      <c r="N2420">
        <v>7.77</v>
      </c>
    </row>
    <row r="2421" spans="1:14" x14ac:dyDescent="0.5">
      <c r="A2421" t="str">
        <f>"600331"</f>
        <v>600331</v>
      </c>
      <c r="B2421" t="s">
        <v>4588</v>
      </c>
      <c r="C2421">
        <v>10.029999999999999</v>
      </c>
      <c r="D2421">
        <v>944.86</v>
      </c>
      <c r="E2421">
        <v>3.95</v>
      </c>
      <c r="F2421">
        <v>0.36</v>
      </c>
      <c r="G2421">
        <v>3.95</v>
      </c>
      <c r="H2421" t="s">
        <v>24</v>
      </c>
      <c r="I2421" t="s">
        <v>4589</v>
      </c>
      <c r="J2421">
        <v>11.35</v>
      </c>
      <c r="K2421">
        <v>11.35</v>
      </c>
      <c r="L2421">
        <v>3.48</v>
      </c>
      <c r="M2421">
        <v>3.95</v>
      </c>
      <c r="N2421">
        <v>3.43</v>
      </c>
    </row>
    <row r="2422" spans="1:14" x14ac:dyDescent="0.5">
      <c r="A2422" t="str">
        <f>"600332"</f>
        <v>600332</v>
      </c>
      <c r="B2422" t="s">
        <v>4590</v>
      </c>
      <c r="C2422">
        <v>-0.4</v>
      </c>
      <c r="D2422">
        <v>15.24</v>
      </c>
      <c r="E2422">
        <v>37.53</v>
      </c>
      <c r="F2422">
        <v>-0.15</v>
      </c>
      <c r="G2422">
        <v>37.53</v>
      </c>
      <c r="H2422">
        <v>37.54</v>
      </c>
      <c r="I2422" t="s">
        <v>4591</v>
      </c>
      <c r="J2422">
        <v>1.45</v>
      </c>
      <c r="K2422">
        <v>1.45</v>
      </c>
      <c r="L2422">
        <v>37.5</v>
      </c>
      <c r="M2422">
        <v>37.78</v>
      </c>
      <c r="N2422">
        <v>37.090000000000003</v>
      </c>
    </row>
    <row r="2423" spans="1:14" x14ac:dyDescent="0.5">
      <c r="A2423" t="str">
        <f>"600333"</f>
        <v>600333</v>
      </c>
      <c r="B2423" t="s">
        <v>4592</v>
      </c>
      <c r="C2423">
        <v>-0.67</v>
      </c>
      <c r="D2423" t="s">
        <v>24</v>
      </c>
      <c r="E2423">
        <v>5.97</v>
      </c>
      <c r="F2423">
        <v>-0.04</v>
      </c>
      <c r="G2423">
        <v>5.96</v>
      </c>
      <c r="H2423">
        <v>5.97</v>
      </c>
      <c r="I2423" t="s">
        <v>4593</v>
      </c>
      <c r="J2423">
        <v>3.15</v>
      </c>
      <c r="K2423">
        <v>3.15</v>
      </c>
      <c r="L2423">
        <v>5.95</v>
      </c>
      <c r="M2423">
        <v>5.98</v>
      </c>
      <c r="N2423">
        <v>5.89</v>
      </c>
    </row>
    <row r="2424" spans="1:14" x14ac:dyDescent="0.5">
      <c r="A2424" t="str">
        <f>"600335"</f>
        <v>600335</v>
      </c>
      <c r="B2424" t="s">
        <v>4594</v>
      </c>
      <c r="C2424">
        <v>2.61</v>
      </c>
      <c r="D2424">
        <v>15.44</v>
      </c>
      <c r="E2424">
        <v>7.85</v>
      </c>
      <c r="F2424">
        <v>0.2</v>
      </c>
      <c r="G2424">
        <v>7.84</v>
      </c>
      <c r="H2424">
        <v>7.85</v>
      </c>
      <c r="I2424" t="s">
        <v>4595</v>
      </c>
      <c r="J2424">
        <v>2.4</v>
      </c>
      <c r="K2424">
        <v>2.4</v>
      </c>
      <c r="L2424">
        <v>7.65</v>
      </c>
      <c r="M2424">
        <v>7.88</v>
      </c>
      <c r="N2424">
        <v>7.59</v>
      </c>
    </row>
    <row r="2425" spans="1:14" x14ac:dyDescent="0.5">
      <c r="A2425" t="str">
        <f>"600336"</f>
        <v>600336</v>
      </c>
      <c r="B2425" t="s">
        <v>4596</v>
      </c>
      <c r="C2425">
        <v>1.39</v>
      </c>
      <c r="D2425">
        <v>75.510000000000005</v>
      </c>
      <c r="E2425">
        <v>4.37</v>
      </c>
      <c r="F2425">
        <v>0.06</v>
      </c>
      <c r="G2425">
        <v>4.37</v>
      </c>
      <c r="H2425">
        <v>4.38</v>
      </c>
      <c r="I2425" t="s">
        <v>4597</v>
      </c>
      <c r="J2425">
        <v>2.61</v>
      </c>
      <c r="K2425">
        <v>2.61</v>
      </c>
      <c r="L2425">
        <v>4.3</v>
      </c>
      <c r="M2425">
        <v>4.38</v>
      </c>
      <c r="N2425">
        <v>4.28</v>
      </c>
    </row>
    <row r="2426" spans="1:14" x14ac:dyDescent="0.5">
      <c r="A2426" t="str">
        <f>"600337"</f>
        <v>600337</v>
      </c>
      <c r="B2426" t="s">
        <v>4598</v>
      </c>
      <c r="C2426">
        <v>1.08</v>
      </c>
      <c r="D2426">
        <v>18.239999999999998</v>
      </c>
      <c r="E2426">
        <v>4.67</v>
      </c>
      <c r="F2426">
        <v>0.05</v>
      </c>
      <c r="G2426">
        <v>4.67</v>
      </c>
      <c r="H2426">
        <v>4.68</v>
      </c>
      <c r="I2426" t="s">
        <v>4599</v>
      </c>
      <c r="J2426">
        <v>1.54</v>
      </c>
      <c r="K2426">
        <v>1.54</v>
      </c>
      <c r="L2426">
        <v>4.5999999999999996</v>
      </c>
      <c r="M2426">
        <v>4.67</v>
      </c>
      <c r="N2426">
        <v>4.58</v>
      </c>
    </row>
    <row r="2427" spans="1:14" x14ac:dyDescent="0.5">
      <c r="A2427" t="str">
        <f>"600338"</f>
        <v>600338</v>
      </c>
      <c r="B2427" t="s">
        <v>4600</v>
      </c>
      <c r="C2427">
        <v>-0.2</v>
      </c>
      <c r="D2427">
        <v>15.14</v>
      </c>
      <c r="E2427">
        <v>25</v>
      </c>
      <c r="F2427">
        <v>-0.05</v>
      </c>
      <c r="G2427">
        <v>24.99</v>
      </c>
      <c r="H2427">
        <v>25</v>
      </c>
      <c r="I2427" t="s">
        <v>4601</v>
      </c>
      <c r="J2427">
        <v>0.78</v>
      </c>
      <c r="K2427">
        <v>0.78</v>
      </c>
      <c r="L2427">
        <v>24.85</v>
      </c>
      <c r="M2427">
        <v>25.07</v>
      </c>
      <c r="N2427">
        <v>24.66</v>
      </c>
    </row>
    <row r="2428" spans="1:14" x14ac:dyDescent="0.5">
      <c r="A2428" t="str">
        <f>"600339"</f>
        <v>600339</v>
      </c>
      <c r="B2428" t="s">
        <v>4602</v>
      </c>
      <c r="C2428">
        <v>2.06</v>
      </c>
      <c r="D2428">
        <v>36.130000000000003</v>
      </c>
      <c r="E2428">
        <v>4.46</v>
      </c>
      <c r="F2428">
        <v>0.09</v>
      </c>
      <c r="G2428">
        <v>4.45</v>
      </c>
      <c r="H2428">
        <v>4.46</v>
      </c>
      <c r="I2428" t="s">
        <v>4603</v>
      </c>
      <c r="J2428">
        <v>2.68</v>
      </c>
      <c r="K2428">
        <v>2.68</v>
      </c>
      <c r="L2428">
        <v>4.38</v>
      </c>
      <c r="M2428">
        <v>4.51</v>
      </c>
      <c r="N2428">
        <v>4.3099999999999996</v>
      </c>
    </row>
    <row r="2429" spans="1:14" x14ac:dyDescent="0.5">
      <c r="A2429" t="str">
        <f>"600340"</f>
        <v>600340</v>
      </c>
      <c r="B2429" t="s">
        <v>4604</v>
      </c>
      <c r="C2429">
        <v>3.63</v>
      </c>
      <c r="D2429">
        <v>8.94</v>
      </c>
      <c r="E2429">
        <v>32.799999999999997</v>
      </c>
      <c r="F2429">
        <v>1.1499999999999999</v>
      </c>
      <c r="G2429">
        <v>32.799999999999997</v>
      </c>
      <c r="H2429">
        <v>32.81</v>
      </c>
      <c r="I2429" t="s">
        <v>4605</v>
      </c>
      <c r="J2429">
        <v>0.88</v>
      </c>
      <c r="K2429">
        <v>0.88</v>
      </c>
      <c r="L2429">
        <v>31.95</v>
      </c>
      <c r="M2429">
        <v>33.06</v>
      </c>
      <c r="N2429">
        <v>31.77</v>
      </c>
    </row>
    <row r="2430" spans="1:14" x14ac:dyDescent="0.5">
      <c r="A2430" t="str">
        <f>"600343"</f>
        <v>600343</v>
      </c>
      <c r="B2430" t="s">
        <v>4606</v>
      </c>
      <c r="C2430">
        <v>3.9</v>
      </c>
      <c r="D2430">
        <v>416.7</v>
      </c>
      <c r="E2430">
        <v>10.38</v>
      </c>
      <c r="F2430">
        <v>0.39</v>
      </c>
      <c r="G2430">
        <v>10.38</v>
      </c>
      <c r="H2430">
        <v>10.39</v>
      </c>
      <c r="I2430" t="s">
        <v>4607</v>
      </c>
      <c r="J2430">
        <v>3.93</v>
      </c>
      <c r="K2430">
        <v>3.93</v>
      </c>
      <c r="L2430">
        <v>10.02</v>
      </c>
      <c r="M2430">
        <v>10.45</v>
      </c>
      <c r="N2430">
        <v>9.84</v>
      </c>
    </row>
    <row r="2431" spans="1:14" x14ac:dyDescent="0.5">
      <c r="A2431" t="str">
        <f>"600345"</f>
        <v>600345</v>
      </c>
      <c r="B2431" t="s">
        <v>4608</v>
      </c>
      <c r="C2431">
        <v>0</v>
      </c>
      <c r="D2431">
        <v>17.38</v>
      </c>
      <c r="E2431">
        <v>24.59</v>
      </c>
      <c r="F2431">
        <v>0</v>
      </c>
      <c r="G2431" t="s">
        <v>24</v>
      </c>
      <c r="H2431" t="s">
        <v>24</v>
      </c>
      <c r="I2431" t="s">
        <v>1968</v>
      </c>
      <c r="J2431">
        <v>0</v>
      </c>
      <c r="K2431">
        <v>0</v>
      </c>
      <c r="L2431" t="s">
        <v>24</v>
      </c>
      <c r="M2431" t="s">
        <v>24</v>
      </c>
      <c r="N2431" t="s">
        <v>24</v>
      </c>
    </row>
    <row r="2432" spans="1:14" x14ac:dyDescent="0.5">
      <c r="A2432" t="str">
        <f>"600346"</f>
        <v>600346</v>
      </c>
      <c r="B2432" t="s">
        <v>4609</v>
      </c>
      <c r="C2432">
        <v>2.14</v>
      </c>
      <c r="D2432">
        <v>21.31</v>
      </c>
      <c r="E2432">
        <v>15.24</v>
      </c>
      <c r="F2432">
        <v>0.32</v>
      </c>
      <c r="G2432">
        <v>15.23</v>
      </c>
      <c r="H2432">
        <v>15.24</v>
      </c>
      <c r="I2432" t="s">
        <v>4610</v>
      </c>
      <c r="J2432">
        <v>1.27</v>
      </c>
      <c r="K2432">
        <v>1.27</v>
      </c>
      <c r="L2432">
        <v>14.95</v>
      </c>
      <c r="M2432">
        <v>15.25</v>
      </c>
      <c r="N2432">
        <v>14.76</v>
      </c>
    </row>
    <row r="2433" spans="1:14" x14ac:dyDescent="0.5">
      <c r="A2433" t="str">
        <f>"600348"</f>
        <v>600348</v>
      </c>
      <c r="B2433" t="s">
        <v>4611</v>
      </c>
      <c r="C2433">
        <v>1.01</v>
      </c>
      <c r="D2433">
        <v>7.56</v>
      </c>
      <c r="E2433">
        <v>6.02</v>
      </c>
      <c r="F2433">
        <v>0.06</v>
      </c>
      <c r="G2433">
        <v>6.01</v>
      </c>
      <c r="H2433">
        <v>6.02</v>
      </c>
      <c r="I2433" t="s">
        <v>4612</v>
      </c>
      <c r="J2433">
        <v>1.4</v>
      </c>
      <c r="K2433">
        <v>1.4</v>
      </c>
      <c r="L2433">
        <v>5.96</v>
      </c>
      <c r="M2433">
        <v>6.02</v>
      </c>
      <c r="N2433">
        <v>5.93</v>
      </c>
    </row>
    <row r="2434" spans="1:14" x14ac:dyDescent="0.5">
      <c r="A2434" t="str">
        <f>"600350"</f>
        <v>600350</v>
      </c>
      <c r="B2434" t="s">
        <v>4613</v>
      </c>
      <c r="C2434">
        <v>0.62</v>
      </c>
      <c r="D2434">
        <v>8.61</v>
      </c>
      <c r="E2434">
        <v>4.87</v>
      </c>
      <c r="F2434">
        <v>0.03</v>
      </c>
      <c r="G2434">
        <v>4.8600000000000003</v>
      </c>
      <c r="H2434">
        <v>4.87</v>
      </c>
      <c r="I2434" t="s">
        <v>4614</v>
      </c>
      <c r="J2434">
        <v>0.48</v>
      </c>
      <c r="K2434">
        <v>0.48</v>
      </c>
      <c r="L2434">
        <v>4.8499999999999996</v>
      </c>
      <c r="M2434">
        <v>4.87</v>
      </c>
      <c r="N2434">
        <v>4.76</v>
      </c>
    </row>
    <row r="2435" spans="1:14" x14ac:dyDescent="0.5">
      <c r="A2435" t="str">
        <f>"600351"</f>
        <v>600351</v>
      </c>
      <c r="B2435" t="s">
        <v>4615</v>
      </c>
      <c r="C2435">
        <v>1.1000000000000001</v>
      </c>
      <c r="D2435">
        <v>18.420000000000002</v>
      </c>
      <c r="E2435">
        <v>6.43</v>
      </c>
      <c r="F2435">
        <v>7.0000000000000007E-2</v>
      </c>
      <c r="G2435">
        <v>6.42</v>
      </c>
      <c r="H2435">
        <v>6.43</v>
      </c>
      <c r="I2435" t="s">
        <v>4616</v>
      </c>
      <c r="J2435">
        <v>1.08</v>
      </c>
      <c r="K2435">
        <v>1.08</v>
      </c>
      <c r="L2435">
        <v>6.33</v>
      </c>
      <c r="M2435">
        <v>6.43</v>
      </c>
      <c r="N2435">
        <v>6.3</v>
      </c>
    </row>
    <row r="2436" spans="1:14" x14ac:dyDescent="0.5">
      <c r="A2436" t="str">
        <f>"600352"</f>
        <v>600352</v>
      </c>
      <c r="B2436" t="s">
        <v>4617</v>
      </c>
      <c r="C2436">
        <v>0.18</v>
      </c>
      <c r="D2436">
        <v>9.48</v>
      </c>
      <c r="E2436">
        <v>11.08</v>
      </c>
      <c r="F2436">
        <v>0.02</v>
      </c>
      <c r="G2436">
        <v>11.08</v>
      </c>
      <c r="H2436">
        <v>11.09</v>
      </c>
      <c r="I2436" t="s">
        <v>4618</v>
      </c>
      <c r="J2436">
        <v>1.26</v>
      </c>
      <c r="K2436">
        <v>1.26</v>
      </c>
      <c r="L2436">
        <v>11.04</v>
      </c>
      <c r="M2436">
        <v>11.09</v>
      </c>
      <c r="N2436">
        <v>10.94</v>
      </c>
    </row>
    <row r="2437" spans="1:14" x14ac:dyDescent="0.5">
      <c r="A2437" t="str">
        <f>"600353"</f>
        <v>600353</v>
      </c>
      <c r="B2437" t="s">
        <v>4619</v>
      </c>
      <c r="C2437">
        <v>4.55</v>
      </c>
      <c r="D2437">
        <v>56.97</v>
      </c>
      <c r="E2437">
        <v>5.51</v>
      </c>
      <c r="F2437">
        <v>0.24</v>
      </c>
      <c r="G2437">
        <v>5.5</v>
      </c>
      <c r="H2437">
        <v>5.51</v>
      </c>
      <c r="I2437" t="s">
        <v>4620</v>
      </c>
      <c r="J2437">
        <v>2.66</v>
      </c>
      <c r="K2437">
        <v>2.66</v>
      </c>
      <c r="L2437">
        <v>5.27</v>
      </c>
      <c r="M2437">
        <v>5.52</v>
      </c>
      <c r="N2437">
        <v>5.23</v>
      </c>
    </row>
    <row r="2438" spans="1:14" x14ac:dyDescent="0.5">
      <c r="A2438" t="str">
        <f>"600354"</f>
        <v>600354</v>
      </c>
      <c r="B2438" t="s">
        <v>4621</v>
      </c>
      <c r="C2438">
        <v>3.9</v>
      </c>
      <c r="D2438" t="s">
        <v>24</v>
      </c>
      <c r="E2438">
        <v>4.53</v>
      </c>
      <c r="F2438">
        <v>0.17</v>
      </c>
      <c r="G2438">
        <v>4.53</v>
      </c>
      <c r="H2438">
        <v>4.54</v>
      </c>
      <c r="I2438" t="s">
        <v>1958</v>
      </c>
      <c r="J2438">
        <v>4.57</v>
      </c>
      <c r="K2438">
        <v>4.57</v>
      </c>
      <c r="L2438">
        <v>4.34</v>
      </c>
      <c r="M2438">
        <v>4.58</v>
      </c>
      <c r="N2438">
        <v>4.3099999999999996</v>
      </c>
    </row>
    <row r="2439" spans="1:14" x14ac:dyDescent="0.5">
      <c r="A2439" t="str">
        <f>"600355"</f>
        <v>600355</v>
      </c>
      <c r="B2439" t="s">
        <v>4622</v>
      </c>
      <c r="C2439">
        <v>4.91</v>
      </c>
      <c r="D2439" t="s">
        <v>24</v>
      </c>
      <c r="E2439">
        <v>4.7</v>
      </c>
      <c r="F2439">
        <v>0.22</v>
      </c>
      <c r="G2439">
        <v>4.7</v>
      </c>
      <c r="H2439">
        <v>4.71</v>
      </c>
      <c r="I2439" t="s">
        <v>4623</v>
      </c>
      <c r="J2439">
        <v>12.72</v>
      </c>
      <c r="K2439">
        <v>12.72</v>
      </c>
      <c r="L2439">
        <v>4.45</v>
      </c>
      <c r="M2439">
        <v>4.71</v>
      </c>
      <c r="N2439">
        <v>4.41</v>
      </c>
    </row>
    <row r="2440" spans="1:14" x14ac:dyDescent="0.5">
      <c r="A2440" t="str">
        <f>"600356"</f>
        <v>600356</v>
      </c>
      <c r="B2440" t="s">
        <v>4624</v>
      </c>
      <c r="C2440">
        <v>2.64</v>
      </c>
      <c r="D2440">
        <v>27.54</v>
      </c>
      <c r="E2440">
        <v>7.39</v>
      </c>
      <c r="F2440">
        <v>0.19</v>
      </c>
      <c r="G2440">
        <v>7.38</v>
      </c>
      <c r="H2440">
        <v>7.39</v>
      </c>
      <c r="I2440" t="s">
        <v>4262</v>
      </c>
      <c r="J2440">
        <v>1.58</v>
      </c>
      <c r="K2440">
        <v>1.58</v>
      </c>
      <c r="L2440">
        <v>7.18</v>
      </c>
      <c r="M2440">
        <v>7.42</v>
      </c>
      <c r="N2440">
        <v>7.18</v>
      </c>
    </row>
    <row r="2441" spans="1:14" x14ac:dyDescent="0.5">
      <c r="A2441" t="str">
        <f>"600358"</f>
        <v>600358</v>
      </c>
      <c r="B2441" t="s">
        <v>4625</v>
      </c>
      <c r="C2441">
        <v>4.08</v>
      </c>
      <c r="D2441" t="s">
        <v>24</v>
      </c>
      <c r="E2441">
        <v>4.34</v>
      </c>
      <c r="F2441">
        <v>0.17</v>
      </c>
      <c r="G2441">
        <v>4.33</v>
      </c>
      <c r="H2441">
        <v>4.34</v>
      </c>
      <c r="I2441" t="s">
        <v>4626</v>
      </c>
      <c r="J2441">
        <v>2.11</v>
      </c>
      <c r="K2441">
        <v>2.11</v>
      </c>
      <c r="L2441">
        <v>4.1399999999999997</v>
      </c>
      <c r="M2441">
        <v>4.34</v>
      </c>
      <c r="N2441">
        <v>4.12</v>
      </c>
    </row>
    <row r="2442" spans="1:14" x14ac:dyDescent="0.5">
      <c r="A2442" t="str">
        <f>"600359"</f>
        <v>600359</v>
      </c>
      <c r="B2442" t="s">
        <v>4627</v>
      </c>
      <c r="C2442">
        <v>2.3199999999999998</v>
      </c>
      <c r="D2442" t="s">
        <v>24</v>
      </c>
      <c r="E2442">
        <v>4.8600000000000003</v>
      </c>
      <c r="F2442">
        <v>0.11</v>
      </c>
      <c r="G2442">
        <v>4.8600000000000003</v>
      </c>
      <c r="H2442">
        <v>4.87</v>
      </c>
      <c r="I2442" t="s">
        <v>4628</v>
      </c>
      <c r="J2442">
        <v>2.02</v>
      </c>
      <c r="K2442">
        <v>2.02</v>
      </c>
      <c r="L2442">
        <v>4.75</v>
      </c>
      <c r="M2442">
        <v>4.9000000000000004</v>
      </c>
      <c r="N2442">
        <v>4.74</v>
      </c>
    </row>
    <row r="2443" spans="1:14" x14ac:dyDescent="0.5">
      <c r="A2443" t="str">
        <f>"600360"</f>
        <v>600360</v>
      </c>
      <c r="B2443" t="s">
        <v>4629</v>
      </c>
      <c r="C2443">
        <v>6.89</v>
      </c>
      <c r="D2443">
        <v>39.49</v>
      </c>
      <c r="E2443">
        <v>6.67</v>
      </c>
      <c r="F2443">
        <v>0.43</v>
      </c>
      <c r="G2443">
        <v>6.66</v>
      </c>
      <c r="H2443">
        <v>6.67</v>
      </c>
      <c r="I2443" t="s">
        <v>4630</v>
      </c>
      <c r="J2443">
        <v>8.3699999999999992</v>
      </c>
      <c r="K2443">
        <v>8.3699999999999992</v>
      </c>
      <c r="L2443">
        <v>6.21</v>
      </c>
      <c r="M2443">
        <v>6.85</v>
      </c>
      <c r="N2443">
        <v>6.17</v>
      </c>
    </row>
    <row r="2444" spans="1:14" x14ac:dyDescent="0.5">
      <c r="A2444" t="str">
        <f>"600361"</f>
        <v>600361</v>
      </c>
      <c r="B2444" t="s">
        <v>4631</v>
      </c>
      <c r="C2444">
        <v>3.11</v>
      </c>
      <c r="D2444">
        <v>39.979999999999997</v>
      </c>
      <c r="E2444">
        <v>4.6399999999999997</v>
      </c>
      <c r="F2444">
        <v>0.14000000000000001</v>
      </c>
      <c r="G2444">
        <v>4.6399999999999997</v>
      </c>
      <c r="H2444">
        <v>4.6500000000000004</v>
      </c>
      <c r="I2444" t="s">
        <v>4632</v>
      </c>
      <c r="J2444">
        <v>3.55</v>
      </c>
      <c r="K2444">
        <v>3.55</v>
      </c>
      <c r="L2444">
        <v>4.5</v>
      </c>
      <c r="M2444">
        <v>4.8499999999999996</v>
      </c>
      <c r="N2444">
        <v>4.47</v>
      </c>
    </row>
    <row r="2445" spans="1:14" x14ac:dyDescent="0.5">
      <c r="A2445" t="str">
        <f>"600362"</f>
        <v>600362</v>
      </c>
      <c r="B2445" t="s">
        <v>4633</v>
      </c>
      <c r="C2445">
        <v>1.45</v>
      </c>
      <c r="D2445">
        <v>26.27</v>
      </c>
      <c r="E2445">
        <v>16.079999999999998</v>
      </c>
      <c r="F2445">
        <v>0.23</v>
      </c>
      <c r="G2445">
        <v>16.079999999999998</v>
      </c>
      <c r="H2445">
        <v>16.09</v>
      </c>
      <c r="I2445" t="s">
        <v>4634</v>
      </c>
      <c r="J2445">
        <v>2.0299999999999998</v>
      </c>
      <c r="K2445">
        <v>2.0299999999999998</v>
      </c>
      <c r="L2445">
        <v>16.079999999999998</v>
      </c>
      <c r="M2445">
        <v>16.2</v>
      </c>
      <c r="N2445">
        <v>15.83</v>
      </c>
    </row>
    <row r="2446" spans="1:14" x14ac:dyDescent="0.5">
      <c r="A2446" t="str">
        <f>"600363"</f>
        <v>600363</v>
      </c>
      <c r="B2446" t="s">
        <v>4635</v>
      </c>
      <c r="C2446">
        <v>4.1100000000000003</v>
      </c>
      <c r="D2446">
        <v>20.99</v>
      </c>
      <c r="E2446">
        <v>10.130000000000001</v>
      </c>
      <c r="F2446">
        <v>0.4</v>
      </c>
      <c r="G2446">
        <v>10.119999999999999</v>
      </c>
      <c r="H2446">
        <v>10.130000000000001</v>
      </c>
      <c r="I2446" t="s">
        <v>3589</v>
      </c>
      <c r="J2446">
        <v>5.07</v>
      </c>
      <c r="K2446">
        <v>5.07</v>
      </c>
      <c r="L2446">
        <v>9.64</v>
      </c>
      <c r="M2446">
        <v>10.17</v>
      </c>
      <c r="N2446">
        <v>9.58</v>
      </c>
    </row>
    <row r="2447" spans="1:14" x14ac:dyDescent="0.5">
      <c r="A2447" t="str">
        <f>"600365"</f>
        <v>600365</v>
      </c>
      <c r="B2447" t="s">
        <v>4636</v>
      </c>
      <c r="C2447">
        <v>2.95</v>
      </c>
      <c r="D2447">
        <v>326.89</v>
      </c>
      <c r="E2447">
        <v>4.53</v>
      </c>
      <c r="F2447">
        <v>0.13</v>
      </c>
      <c r="G2447">
        <v>4.5199999999999996</v>
      </c>
      <c r="H2447">
        <v>4.53</v>
      </c>
      <c r="I2447" t="s">
        <v>4637</v>
      </c>
      <c r="J2447">
        <v>4.4800000000000004</v>
      </c>
      <c r="K2447">
        <v>4.4800000000000004</v>
      </c>
      <c r="L2447">
        <v>4.38</v>
      </c>
      <c r="M2447">
        <v>4.53</v>
      </c>
      <c r="N2447">
        <v>4.34</v>
      </c>
    </row>
    <row r="2448" spans="1:14" x14ac:dyDescent="0.5">
      <c r="A2448" t="str">
        <f>"600366"</f>
        <v>600366</v>
      </c>
      <c r="B2448" t="s">
        <v>4638</v>
      </c>
      <c r="C2448">
        <v>6.06</v>
      </c>
      <c r="D2448">
        <v>33.659999999999997</v>
      </c>
      <c r="E2448">
        <v>6.48</v>
      </c>
      <c r="F2448">
        <v>0.37</v>
      </c>
      <c r="G2448">
        <v>6.47</v>
      </c>
      <c r="H2448">
        <v>6.48</v>
      </c>
      <c r="I2448" t="s">
        <v>4639</v>
      </c>
      <c r="J2448">
        <v>4.4000000000000004</v>
      </c>
      <c r="K2448">
        <v>4.4000000000000004</v>
      </c>
      <c r="L2448">
        <v>6.12</v>
      </c>
      <c r="M2448">
        <v>6.48</v>
      </c>
      <c r="N2448">
        <v>6.1</v>
      </c>
    </row>
    <row r="2449" spans="1:14" x14ac:dyDescent="0.5">
      <c r="A2449" t="str">
        <f>"600367"</f>
        <v>600367</v>
      </c>
      <c r="B2449" t="s">
        <v>4640</v>
      </c>
      <c r="C2449">
        <v>3.44</v>
      </c>
      <c r="D2449">
        <v>20.76</v>
      </c>
      <c r="E2449">
        <v>8.7200000000000006</v>
      </c>
      <c r="F2449">
        <v>0.28999999999999998</v>
      </c>
      <c r="G2449">
        <v>8.7200000000000006</v>
      </c>
      <c r="H2449">
        <v>8.73</v>
      </c>
      <c r="I2449" t="s">
        <v>4641</v>
      </c>
      <c r="J2449">
        <v>3.11</v>
      </c>
      <c r="K2449">
        <v>3.11</v>
      </c>
      <c r="L2449">
        <v>8.41</v>
      </c>
      <c r="M2449">
        <v>8.77</v>
      </c>
      <c r="N2449">
        <v>8.3800000000000008</v>
      </c>
    </row>
    <row r="2450" spans="1:14" x14ac:dyDescent="0.5">
      <c r="A2450" t="str">
        <f>"600368"</f>
        <v>600368</v>
      </c>
      <c r="B2450" t="s">
        <v>4642</v>
      </c>
      <c r="C2450">
        <v>0.86</v>
      </c>
      <c r="D2450">
        <v>10.64</v>
      </c>
      <c r="E2450">
        <v>3.53</v>
      </c>
      <c r="F2450">
        <v>0.03</v>
      </c>
      <c r="G2450">
        <v>3.53</v>
      </c>
      <c r="H2450">
        <v>3.54</v>
      </c>
      <c r="I2450" t="s">
        <v>4643</v>
      </c>
      <c r="J2450">
        <v>1.32</v>
      </c>
      <c r="K2450">
        <v>1.32</v>
      </c>
      <c r="L2450">
        <v>3.5</v>
      </c>
      <c r="M2450">
        <v>3.54</v>
      </c>
      <c r="N2450">
        <v>3.47</v>
      </c>
    </row>
    <row r="2451" spans="1:14" x14ac:dyDescent="0.5">
      <c r="A2451" t="str">
        <f>"600369"</f>
        <v>600369</v>
      </c>
      <c r="B2451" t="s">
        <v>4644</v>
      </c>
      <c r="C2451">
        <v>-0.36</v>
      </c>
      <c r="D2451">
        <v>81.08</v>
      </c>
      <c r="E2451">
        <v>5.53</v>
      </c>
      <c r="F2451">
        <v>-0.02</v>
      </c>
      <c r="G2451">
        <v>5.52</v>
      </c>
      <c r="H2451">
        <v>5.53</v>
      </c>
      <c r="I2451" t="s">
        <v>4645</v>
      </c>
      <c r="J2451">
        <v>1.82</v>
      </c>
      <c r="K2451">
        <v>1.82</v>
      </c>
      <c r="L2451">
        <v>5.4</v>
      </c>
      <c r="M2451">
        <v>5.58</v>
      </c>
      <c r="N2451">
        <v>5.36</v>
      </c>
    </row>
    <row r="2452" spans="1:14" x14ac:dyDescent="0.5">
      <c r="A2452" t="str">
        <f>"600370"</f>
        <v>600370</v>
      </c>
      <c r="B2452" t="s">
        <v>4646</v>
      </c>
      <c r="C2452">
        <v>1.2</v>
      </c>
      <c r="D2452">
        <v>49.44</v>
      </c>
      <c r="E2452">
        <v>3.36</v>
      </c>
      <c r="F2452">
        <v>0.04</v>
      </c>
      <c r="G2452">
        <v>3.36</v>
      </c>
      <c r="H2452">
        <v>3.37</v>
      </c>
      <c r="I2452" t="s">
        <v>4647</v>
      </c>
      <c r="J2452">
        <v>1.27</v>
      </c>
      <c r="K2452">
        <v>1.27</v>
      </c>
      <c r="L2452">
        <v>3.32</v>
      </c>
      <c r="M2452">
        <v>3.38</v>
      </c>
      <c r="N2452">
        <v>3.27</v>
      </c>
    </row>
    <row r="2453" spans="1:14" x14ac:dyDescent="0.5">
      <c r="A2453" t="str">
        <f>"600371"</f>
        <v>600371</v>
      </c>
      <c r="B2453" t="s">
        <v>4648</v>
      </c>
      <c r="C2453">
        <v>4.13</v>
      </c>
      <c r="D2453">
        <v>29.08</v>
      </c>
      <c r="E2453">
        <v>7.81</v>
      </c>
      <c r="F2453">
        <v>0.31</v>
      </c>
      <c r="G2453">
        <v>7.8</v>
      </c>
      <c r="H2453">
        <v>7.81</v>
      </c>
      <c r="I2453" t="s">
        <v>4649</v>
      </c>
      <c r="J2453">
        <v>3.93</v>
      </c>
      <c r="K2453">
        <v>3.93</v>
      </c>
      <c r="L2453">
        <v>7.46</v>
      </c>
      <c r="M2453">
        <v>7.81</v>
      </c>
      <c r="N2453">
        <v>7.43</v>
      </c>
    </row>
    <row r="2454" spans="1:14" x14ac:dyDescent="0.5">
      <c r="A2454" t="str">
        <f>"600372"</f>
        <v>600372</v>
      </c>
      <c r="B2454" t="s">
        <v>4650</v>
      </c>
      <c r="C2454">
        <v>1.37</v>
      </c>
      <c r="D2454">
        <v>51.15</v>
      </c>
      <c r="E2454">
        <v>16.989999999999998</v>
      </c>
      <c r="F2454">
        <v>0.23</v>
      </c>
      <c r="G2454">
        <v>16.989999999999998</v>
      </c>
      <c r="H2454">
        <v>17</v>
      </c>
      <c r="I2454" t="s">
        <v>4651</v>
      </c>
      <c r="J2454">
        <v>0.78</v>
      </c>
      <c r="K2454">
        <v>0.78</v>
      </c>
      <c r="L2454">
        <v>16.66</v>
      </c>
      <c r="M2454">
        <v>17</v>
      </c>
      <c r="N2454">
        <v>16.54</v>
      </c>
    </row>
    <row r="2455" spans="1:14" x14ac:dyDescent="0.5">
      <c r="A2455" t="str">
        <f>"600373"</f>
        <v>600373</v>
      </c>
      <c r="B2455" t="s">
        <v>4652</v>
      </c>
      <c r="C2455">
        <v>5.15</v>
      </c>
      <c r="D2455">
        <v>12.45</v>
      </c>
      <c r="E2455">
        <v>14.91</v>
      </c>
      <c r="F2455">
        <v>0.73</v>
      </c>
      <c r="G2455">
        <v>14.91</v>
      </c>
      <c r="H2455">
        <v>14.92</v>
      </c>
      <c r="I2455" t="s">
        <v>4653</v>
      </c>
      <c r="J2455">
        <v>1.25</v>
      </c>
      <c r="K2455">
        <v>1.25</v>
      </c>
      <c r="L2455">
        <v>14.16</v>
      </c>
      <c r="M2455">
        <v>14.91</v>
      </c>
      <c r="N2455">
        <v>14.08</v>
      </c>
    </row>
    <row r="2456" spans="1:14" x14ac:dyDescent="0.5">
      <c r="A2456" t="str">
        <f>"600375"</f>
        <v>600375</v>
      </c>
      <c r="B2456" t="s">
        <v>4654</v>
      </c>
      <c r="C2456">
        <v>9.9499999999999993</v>
      </c>
      <c r="D2456">
        <v>57.34</v>
      </c>
      <c r="E2456">
        <v>6.08</v>
      </c>
      <c r="F2456">
        <v>0.55000000000000004</v>
      </c>
      <c r="G2456">
        <v>6.08</v>
      </c>
      <c r="H2456" t="s">
        <v>24</v>
      </c>
      <c r="I2456" t="s">
        <v>4655</v>
      </c>
      <c r="J2456">
        <v>0.34</v>
      </c>
      <c r="K2456">
        <v>0.34</v>
      </c>
      <c r="L2456">
        <v>6.08</v>
      </c>
      <c r="M2456">
        <v>6.08</v>
      </c>
      <c r="N2456">
        <v>6.08</v>
      </c>
    </row>
    <row r="2457" spans="1:14" x14ac:dyDescent="0.5">
      <c r="A2457" t="str">
        <f>"600376"</f>
        <v>600376</v>
      </c>
      <c r="B2457" t="s">
        <v>4656</v>
      </c>
      <c r="C2457">
        <v>1.47</v>
      </c>
      <c r="D2457">
        <v>6.54</v>
      </c>
      <c r="E2457">
        <v>8.31</v>
      </c>
      <c r="F2457">
        <v>0.12</v>
      </c>
      <c r="G2457">
        <v>8.31</v>
      </c>
      <c r="H2457">
        <v>8.32</v>
      </c>
      <c r="I2457" t="s">
        <v>4657</v>
      </c>
      <c r="J2457">
        <v>0.47</v>
      </c>
      <c r="K2457">
        <v>0.47</v>
      </c>
      <c r="L2457">
        <v>8.14</v>
      </c>
      <c r="M2457">
        <v>8.39</v>
      </c>
      <c r="N2457">
        <v>8.14</v>
      </c>
    </row>
    <row r="2458" spans="1:14" x14ac:dyDescent="0.5">
      <c r="A2458" t="str">
        <f>"600377"</f>
        <v>600377</v>
      </c>
      <c r="B2458" t="s">
        <v>4658</v>
      </c>
      <c r="C2458">
        <v>-0.81</v>
      </c>
      <c r="D2458">
        <v>11.3</v>
      </c>
      <c r="E2458">
        <v>9.7799999999999994</v>
      </c>
      <c r="F2458">
        <v>-0.08</v>
      </c>
      <c r="G2458">
        <v>9.7799999999999994</v>
      </c>
      <c r="H2458">
        <v>9.7899999999999991</v>
      </c>
      <c r="I2458" t="s">
        <v>4659</v>
      </c>
      <c r="J2458">
        <v>0.21</v>
      </c>
      <c r="K2458">
        <v>0.21</v>
      </c>
      <c r="L2458">
        <v>9.83</v>
      </c>
      <c r="M2458">
        <v>9.86</v>
      </c>
      <c r="N2458">
        <v>9.7100000000000009</v>
      </c>
    </row>
    <row r="2459" spans="1:14" x14ac:dyDescent="0.5">
      <c r="A2459" t="str">
        <f>"600378"</f>
        <v>600378</v>
      </c>
      <c r="B2459" t="s">
        <v>4660</v>
      </c>
      <c r="C2459">
        <v>3.85</v>
      </c>
      <c r="D2459">
        <v>121.05</v>
      </c>
      <c r="E2459">
        <v>10.78</v>
      </c>
      <c r="F2459">
        <v>0.4</v>
      </c>
      <c r="G2459">
        <v>10.77</v>
      </c>
      <c r="H2459">
        <v>10.78</v>
      </c>
      <c r="I2459" t="s">
        <v>4661</v>
      </c>
      <c r="J2459">
        <v>1.0900000000000001</v>
      </c>
      <c r="K2459">
        <v>1.0900000000000001</v>
      </c>
      <c r="L2459">
        <v>10.49</v>
      </c>
      <c r="M2459">
        <v>10.94</v>
      </c>
      <c r="N2459">
        <v>10.28</v>
      </c>
    </row>
    <row r="2460" spans="1:14" x14ac:dyDescent="0.5">
      <c r="A2460" t="str">
        <f>"600379"</f>
        <v>600379</v>
      </c>
      <c r="B2460" t="s">
        <v>4662</v>
      </c>
      <c r="C2460">
        <v>2.35</v>
      </c>
      <c r="D2460">
        <v>50.39</v>
      </c>
      <c r="E2460">
        <v>7.84</v>
      </c>
      <c r="F2460">
        <v>0.18</v>
      </c>
      <c r="G2460">
        <v>7.83</v>
      </c>
      <c r="H2460">
        <v>7.84</v>
      </c>
      <c r="I2460" t="s">
        <v>4663</v>
      </c>
      <c r="J2460">
        <v>1.18</v>
      </c>
      <c r="K2460">
        <v>1.18</v>
      </c>
      <c r="L2460">
        <v>7.64</v>
      </c>
      <c r="M2460">
        <v>7.87</v>
      </c>
      <c r="N2460">
        <v>7.6</v>
      </c>
    </row>
    <row r="2461" spans="1:14" x14ac:dyDescent="0.5">
      <c r="A2461" t="str">
        <f>"600380"</f>
        <v>600380</v>
      </c>
      <c r="B2461" t="s">
        <v>4664</v>
      </c>
      <c r="C2461">
        <v>0.48</v>
      </c>
      <c r="D2461">
        <v>21.06</v>
      </c>
      <c r="E2461">
        <v>8.32</v>
      </c>
      <c r="F2461">
        <v>0.04</v>
      </c>
      <c r="G2461">
        <v>8.32</v>
      </c>
      <c r="H2461">
        <v>8.33</v>
      </c>
      <c r="I2461" t="s">
        <v>4055</v>
      </c>
      <c r="J2461">
        <v>1.66</v>
      </c>
      <c r="K2461">
        <v>1.66</v>
      </c>
      <c r="L2461">
        <v>8.2899999999999991</v>
      </c>
      <c r="M2461">
        <v>8.4700000000000006</v>
      </c>
      <c r="N2461">
        <v>8.14</v>
      </c>
    </row>
    <row r="2462" spans="1:14" x14ac:dyDescent="0.5">
      <c r="A2462" t="str">
        <f>"600381"</f>
        <v>600381</v>
      </c>
      <c r="B2462" t="s">
        <v>4665</v>
      </c>
      <c r="C2462">
        <v>2.25</v>
      </c>
      <c r="D2462">
        <v>20.85</v>
      </c>
      <c r="E2462">
        <v>6.83</v>
      </c>
      <c r="F2462">
        <v>0.15</v>
      </c>
      <c r="G2462">
        <v>6.82</v>
      </c>
      <c r="H2462">
        <v>6.83</v>
      </c>
      <c r="I2462" t="s">
        <v>1944</v>
      </c>
      <c r="J2462">
        <v>1.36</v>
      </c>
      <c r="K2462">
        <v>1.36</v>
      </c>
      <c r="L2462">
        <v>6.61</v>
      </c>
      <c r="M2462">
        <v>6.85</v>
      </c>
      <c r="N2462">
        <v>6.56</v>
      </c>
    </row>
    <row r="2463" spans="1:14" x14ac:dyDescent="0.5">
      <c r="A2463" t="str">
        <f>"600382"</f>
        <v>600382</v>
      </c>
      <c r="B2463" t="s">
        <v>4666</v>
      </c>
      <c r="C2463">
        <v>0.99</v>
      </c>
      <c r="D2463">
        <v>11.07</v>
      </c>
      <c r="E2463">
        <v>9.16</v>
      </c>
      <c r="F2463">
        <v>0.09</v>
      </c>
      <c r="G2463">
        <v>9.16</v>
      </c>
      <c r="H2463">
        <v>9.17</v>
      </c>
      <c r="I2463" t="s">
        <v>3326</v>
      </c>
      <c r="J2463">
        <v>1.59</v>
      </c>
      <c r="K2463">
        <v>1.59</v>
      </c>
      <c r="L2463">
        <v>9.06</v>
      </c>
      <c r="M2463">
        <v>9.17</v>
      </c>
      <c r="N2463">
        <v>9.01</v>
      </c>
    </row>
    <row r="2464" spans="1:14" x14ac:dyDescent="0.5">
      <c r="A2464" t="str">
        <f>"600383"</f>
        <v>600383</v>
      </c>
      <c r="B2464" t="s">
        <v>4667</v>
      </c>
      <c r="C2464">
        <v>2.2599999999999998</v>
      </c>
      <c r="D2464">
        <v>5.26</v>
      </c>
      <c r="E2464">
        <v>12.65</v>
      </c>
      <c r="F2464">
        <v>0.28000000000000003</v>
      </c>
      <c r="G2464">
        <v>12.64</v>
      </c>
      <c r="H2464">
        <v>12.65</v>
      </c>
      <c r="I2464" t="s">
        <v>4668</v>
      </c>
      <c r="J2464">
        <v>1.59</v>
      </c>
      <c r="K2464">
        <v>1.59</v>
      </c>
      <c r="L2464">
        <v>12.33</v>
      </c>
      <c r="M2464">
        <v>12.88</v>
      </c>
      <c r="N2464">
        <v>12.23</v>
      </c>
    </row>
    <row r="2465" spans="1:14" x14ac:dyDescent="0.5">
      <c r="A2465" t="str">
        <f>"600385"</f>
        <v>600385</v>
      </c>
      <c r="B2465" t="s">
        <v>4669</v>
      </c>
      <c r="C2465">
        <v>0.1</v>
      </c>
      <c r="D2465" t="s">
        <v>24</v>
      </c>
      <c r="E2465">
        <v>10.37</v>
      </c>
      <c r="F2465">
        <v>0.01</v>
      </c>
      <c r="G2465">
        <v>10.36</v>
      </c>
      <c r="H2465">
        <v>10.37</v>
      </c>
      <c r="I2465" t="s">
        <v>1992</v>
      </c>
      <c r="J2465">
        <v>1.32</v>
      </c>
      <c r="K2465">
        <v>1.32</v>
      </c>
      <c r="L2465">
        <v>10.42</v>
      </c>
      <c r="M2465">
        <v>10.42</v>
      </c>
      <c r="N2465">
        <v>10.199999999999999</v>
      </c>
    </row>
    <row r="2466" spans="1:14" x14ac:dyDescent="0.5">
      <c r="A2466" t="str">
        <f>"600386"</f>
        <v>600386</v>
      </c>
      <c r="B2466" t="s">
        <v>4670</v>
      </c>
      <c r="C2466">
        <v>10.039999999999999</v>
      </c>
      <c r="D2466">
        <v>41.64</v>
      </c>
      <c r="E2466">
        <v>5.04</v>
      </c>
      <c r="F2466">
        <v>0.46</v>
      </c>
      <c r="G2466">
        <v>5.04</v>
      </c>
      <c r="H2466" t="s">
        <v>24</v>
      </c>
      <c r="I2466" t="s">
        <v>2797</v>
      </c>
      <c r="J2466">
        <v>5.58</v>
      </c>
      <c r="K2466">
        <v>5.58</v>
      </c>
      <c r="L2466">
        <v>4.5599999999999996</v>
      </c>
      <c r="M2466">
        <v>5.04</v>
      </c>
      <c r="N2466">
        <v>4.5</v>
      </c>
    </row>
    <row r="2467" spans="1:14" x14ac:dyDescent="0.5">
      <c r="A2467" t="str">
        <f>"600387"</f>
        <v>600387</v>
      </c>
      <c r="B2467" t="s">
        <v>4671</v>
      </c>
      <c r="C2467">
        <v>2.5</v>
      </c>
      <c r="D2467">
        <v>9</v>
      </c>
      <c r="E2467">
        <v>9.02</v>
      </c>
      <c r="F2467">
        <v>0.22</v>
      </c>
      <c r="G2467">
        <v>9.02</v>
      </c>
      <c r="H2467">
        <v>9.0299999999999994</v>
      </c>
      <c r="I2467" t="s">
        <v>4484</v>
      </c>
      <c r="J2467">
        <v>3.91</v>
      </c>
      <c r="K2467">
        <v>3.91</v>
      </c>
      <c r="L2467">
        <v>8.86</v>
      </c>
      <c r="M2467">
        <v>9.07</v>
      </c>
      <c r="N2467">
        <v>8.81</v>
      </c>
    </row>
    <row r="2468" spans="1:14" x14ac:dyDescent="0.5">
      <c r="A2468" t="str">
        <f>"600388"</f>
        <v>600388</v>
      </c>
      <c r="B2468" t="s">
        <v>4672</v>
      </c>
      <c r="C2468">
        <v>-0.3</v>
      </c>
      <c r="D2468">
        <v>17.13</v>
      </c>
      <c r="E2468">
        <v>13.15</v>
      </c>
      <c r="F2468">
        <v>-0.04</v>
      </c>
      <c r="G2468">
        <v>13.15</v>
      </c>
      <c r="H2468">
        <v>13.16</v>
      </c>
      <c r="I2468" t="s">
        <v>4673</v>
      </c>
      <c r="J2468">
        <v>1.61</v>
      </c>
      <c r="K2468">
        <v>1.61</v>
      </c>
      <c r="L2468">
        <v>13.2</v>
      </c>
      <c r="M2468">
        <v>13.22</v>
      </c>
      <c r="N2468">
        <v>12.93</v>
      </c>
    </row>
    <row r="2469" spans="1:14" x14ac:dyDescent="0.5">
      <c r="A2469" t="str">
        <f>"600389"</f>
        <v>600389</v>
      </c>
      <c r="B2469" t="s">
        <v>4674</v>
      </c>
      <c r="C2469">
        <v>0.88</v>
      </c>
      <c r="D2469">
        <v>12.78</v>
      </c>
      <c r="E2469">
        <v>18.260000000000002</v>
      </c>
      <c r="F2469">
        <v>0.16</v>
      </c>
      <c r="G2469">
        <v>18.260000000000002</v>
      </c>
      <c r="H2469">
        <v>18.27</v>
      </c>
      <c r="I2469" t="s">
        <v>4675</v>
      </c>
      <c r="J2469">
        <v>1.06</v>
      </c>
      <c r="K2469">
        <v>1.06</v>
      </c>
      <c r="L2469">
        <v>18.079999999999998</v>
      </c>
      <c r="M2469">
        <v>18.29</v>
      </c>
      <c r="N2469">
        <v>17.96</v>
      </c>
    </row>
    <row r="2470" spans="1:14" x14ac:dyDescent="0.5">
      <c r="A2470" t="str">
        <f>"600390"</f>
        <v>600390</v>
      </c>
      <c r="B2470" t="s">
        <v>4676</v>
      </c>
      <c r="C2470">
        <v>0.19</v>
      </c>
      <c r="D2470">
        <v>18.8</v>
      </c>
      <c r="E2470">
        <v>10.35</v>
      </c>
      <c r="F2470">
        <v>0.02</v>
      </c>
      <c r="G2470">
        <v>10.34</v>
      </c>
      <c r="H2470">
        <v>10.35</v>
      </c>
      <c r="I2470" t="s">
        <v>4677</v>
      </c>
      <c r="J2470">
        <v>4.46</v>
      </c>
      <c r="K2470">
        <v>4.46</v>
      </c>
      <c r="L2470">
        <v>10.16</v>
      </c>
      <c r="M2470">
        <v>10.46</v>
      </c>
      <c r="N2470">
        <v>9.9499999999999993</v>
      </c>
    </row>
    <row r="2471" spans="1:14" x14ac:dyDescent="0.5">
      <c r="A2471" t="str">
        <f>"600391"</f>
        <v>600391</v>
      </c>
      <c r="B2471" t="s">
        <v>4678</v>
      </c>
      <c r="C2471">
        <v>2.95</v>
      </c>
      <c r="D2471" t="s">
        <v>24</v>
      </c>
      <c r="E2471">
        <v>15.03</v>
      </c>
      <c r="F2471">
        <v>0.43</v>
      </c>
      <c r="G2471">
        <v>15.03</v>
      </c>
      <c r="H2471">
        <v>15.04</v>
      </c>
      <c r="I2471" t="s">
        <v>4679</v>
      </c>
      <c r="J2471">
        <v>4.2300000000000004</v>
      </c>
      <c r="K2471">
        <v>4.2300000000000004</v>
      </c>
      <c r="L2471">
        <v>14.52</v>
      </c>
      <c r="M2471">
        <v>15.13</v>
      </c>
      <c r="N2471">
        <v>14.42</v>
      </c>
    </row>
    <row r="2472" spans="1:14" x14ac:dyDescent="0.5">
      <c r="A2472" t="str">
        <f>"600392"</f>
        <v>600392</v>
      </c>
      <c r="B2472" t="s">
        <v>4680</v>
      </c>
      <c r="C2472">
        <v>4.34</v>
      </c>
      <c r="D2472">
        <v>64.959999999999994</v>
      </c>
      <c r="E2472">
        <v>10.83</v>
      </c>
      <c r="F2472">
        <v>0.45</v>
      </c>
      <c r="G2472">
        <v>10.83</v>
      </c>
      <c r="H2472">
        <v>10.84</v>
      </c>
      <c r="I2472" t="s">
        <v>4681</v>
      </c>
      <c r="J2472">
        <v>5.04</v>
      </c>
      <c r="K2472">
        <v>5.04</v>
      </c>
      <c r="L2472">
        <v>10.31</v>
      </c>
      <c r="M2472">
        <v>10.83</v>
      </c>
      <c r="N2472">
        <v>10.210000000000001</v>
      </c>
    </row>
    <row r="2473" spans="1:14" x14ac:dyDescent="0.5">
      <c r="A2473" t="str">
        <f>"600393"</f>
        <v>600393</v>
      </c>
      <c r="B2473" t="s">
        <v>4682</v>
      </c>
      <c r="C2473">
        <v>1.34</v>
      </c>
      <c r="D2473">
        <v>12.25</v>
      </c>
      <c r="E2473">
        <v>3.03</v>
      </c>
      <c r="F2473">
        <v>0.04</v>
      </c>
      <c r="G2473">
        <v>3.02</v>
      </c>
      <c r="H2473">
        <v>3.03</v>
      </c>
      <c r="I2473" t="s">
        <v>1861</v>
      </c>
      <c r="J2473">
        <v>7.48</v>
      </c>
      <c r="K2473">
        <v>7.48</v>
      </c>
      <c r="L2473">
        <v>2.94</v>
      </c>
      <c r="M2473">
        <v>3.03</v>
      </c>
      <c r="N2473">
        <v>2.91</v>
      </c>
    </row>
    <row r="2474" spans="1:14" x14ac:dyDescent="0.5">
      <c r="A2474" t="str">
        <f>"600395"</f>
        <v>600395</v>
      </c>
      <c r="B2474" t="s">
        <v>4683</v>
      </c>
      <c r="C2474">
        <v>0.54</v>
      </c>
      <c r="D2474">
        <v>9.5399999999999991</v>
      </c>
      <c r="E2474">
        <v>5.62</v>
      </c>
      <c r="F2474">
        <v>0.03</v>
      </c>
      <c r="G2474">
        <v>5.61</v>
      </c>
      <c r="H2474">
        <v>5.62</v>
      </c>
      <c r="I2474" t="s">
        <v>4684</v>
      </c>
      <c r="J2474">
        <v>0.78</v>
      </c>
      <c r="K2474">
        <v>0.78</v>
      </c>
      <c r="L2474">
        <v>5.59</v>
      </c>
      <c r="M2474">
        <v>5.62</v>
      </c>
      <c r="N2474">
        <v>5.51</v>
      </c>
    </row>
    <row r="2475" spans="1:14" x14ac:dyDescent="0.5">
      <c r="A2475" t="str">
        <f>"600396"</f>
        <v>600396</v>
      </c>
      <c r="B2475" t="s">
        <v>4685</v>
      </c>
      <c r="C2475">
        <v>2.21</v>
      </c>
      <c r="D2475" t="s">
        <v>24</v>
      </c>
      <c r="E2475">
        <v>2.31</v>
      </c>
      <c r="F2475">
        <v>0.05</v>
      </c>
      <c r="G2475">
        <v>2.2999999999999998</v>
      </c>
      <c r="H2475">
        <v>2.31</v>
      </c>
      <c r="I2475" t="s">
        <v>4686</v>
      </c>
      <c r="J2475">
        <v>1.85</v>
      </c>
      <c r="K2475">
        <v>1.85</v>
      </c>
      <c r="L2475">
        <v>2.2599999999999998</v>
      </c>
      <c r="M2475">
        <v>2.31</v>
      </c>
      <c r="N2475">
        <v>2.23</v>
      </c>
    </row>
    <row r="2476" spans="1:14" x14ac:dyDescent="0.5">
      <c r="A2476" t="str">
        <f>"600397"</f>
        <v>600397</v>
      </c>
      <c r="B2476" t="s">
        <v>4687</v>
      </c>
      <c r="C2476">
        <v>2.71</v>
      </c>
      <c r="D2476" t="s">
        <v>24</v>
      </c>
      <c r="E2476">
        <v>2.65</v>
      </c>
      <c r="F2476">
        <v>7.0000000000000007E-2</v>
      </c>
      <c r="G2476">
        <v>2.64</v>
      </c>
      <c r="H2476">
        <v>2.65</v>
      </c>
      <c r="I2476" t="s">
        <v>1064</v>
      </c>
      <c r="J2476">
        <v>1</v>
      </c>
      <c r="K2476">
        <v>1</v>
      </c>
      <c r="L2476">
        <v>2.58</v>
      </c>
      <c r="M2476">
        <v>2.68</v>
      </c>
      <c r="N2476">
        <v>2.56</v>
      </c>
    </row>
    <row r="2477" spans="1:14" x14ac:dyDescent="0.5">
      <c r="A2477" t="str">
        <f>"600398"</f>
        <v>600398</v>
      </c>
      <c r="B2477" t="s">
        <v>4688</v>
      </c>
      <c r="C2477">
        <v>3.09</v>
      </c>
      <c r="D2477">
        <v>12.93</v>
      </c>
      <c r="E2477">
        <v>10.33</v>
      </c>
      <c r="F2477">
        <v>0.31</v>
      </c>
      <c r="G2477">
        <v>10.33</v>
      </c>
      <c r="H2477">
        <v>10.34</v>
      </c>
      <c r="I2477" t="s">
        <v>4689</v>
      </c>
      <c r="J2477">
        <v>0.32</v>
      </c>
      <c r="K2477">
        <v>0.32</v>
      </c>
      <c r="L2477">
        <v>10.1</v>
      </c>
      <c r="M2477">
        <v>10.35</v>
      </c>
      <c r="N2477">
        <v>10.01</v>
      </c>
    </row>
    <row r="2478" spans="1:14" x14ac:dyDescent="0.5">
      <c r="A2478" t="str">
        <f>"600399"</f>
        <v>600399</v>
      </c>
      <c r="B2478" t="s">
        <v>4690</v>
      </c>
      <c r="C2478">
        <v>0.78</v>
      </c>
      <c r="D2478" t="s">
        <v>24</v>
      </c>
      <c r="E2478">
        <v>3.87</v>
      </c>
      <c r="F2478">
        <v>0.03</v>
      </c>
      <c r="G2478">
        <v>3.87</v>
      </c>
      <c r="H2478">
        <v>3.88</v>
      </c>
      <c r="I2478" t="s">
        <v>4691</v>
      </c>
      <c r="J2478">
        <v>0.87</v>
      </c>
      <c r="K2478">
        <v>0.87</v>
      </c>
      <c r="L2478">
        <v>3.77</v>
      </c>
      <c r="M2478">
        <v>3.88</v>
      </c>
      <c r="N2478">
        <v>3.72</v>
      </c>
    </row>
    <row r="2479" spans="1:14" x14ac:dyDescent="0.5">
      <c r="A2479" t="str">
        <f>"600400"</f>
        <v>600400</v>
      </c>
      <c r="B2479" t="s">
        <v>4692</v>
      </c>
      <c r="C2479">
        <v>4.93</v>
      </c>
      <c r="D2479">
        <v>47.73</v>
      </c>
      <c r="E2479">
        <v>4.26</v>
      </c>
      <c r="F2479">
        <v>0.2</v>
      </c>
      <c r="G2479">
        <v>4.25</v>
      </c>
      <c r="H2479">
        <v>4.26</v>
      </c>
      <c r="I2479" t="s">
        <v>4693</v>
      </c>
      <c r="J2479">
        <v>0.98</v>
      </c>
      <c r="K2479">
        <v>0.98</v>
      </c>
      <c r="L2479">
        <v>4.05</v>
      </c>
      <c r="M2479">
        <v>4.2699999999999996</v>
      </c>
      <c r="N2479">
        <v>4.0199999999999996</v>
      </c>
    </row>
    <row r="2480" spans="1:14" x14ac:dyDescent="0.5">
      <c r="A2480" t="str">
        <f>"600403"</f>
        <v>600403</v>
      </c>
      <c r="B2480" t="s">
        <v>4694</v>
      </c>
      <c r="C2480">
        <v>0.93</v>
      </c>
      <c r="D2480">
        <v>13.77</v>
      </c>
      <c r="E2480">
        <v>4.33</v>
      </c>
      <c r="F2480">
        <v>0.04</v>
      </c>
      <c r="G2480">
        <v>4.32</v>
      </c>
      <c r="H2480">
        <v>4.33</v>
      </c>
      <c r="I2480" t="s">
        <v>4695</v>
      </c>
      <c r="J2480">
        <v>0.24</v>
      </c>
      <c r="K2480">
        <v>0.24</v>
      </c>
      <c r="L2480">
        <v>4.29</v>
      </c>
      <c r="M2480">
        <v>4.33</v>
      </c>
      <c r="N2480">
        <v>4.24</v>
      </c>
    </row>
    <row r="2481" spans="1:14" x14ac:dyDescent="0.5">
      <c r="A2481" t="str">
        <f>"600405"</f>
        <v>600405</v>
      </c>
      <c r="B2481" t="s">
        <v>4696</v>
      </c>
      <c r="C2481">
        <v>0.93</v>
      </c>
      <c r="D2481">
        <v>1422.34</v>
      </c>
      <c r="E2481">
        <v>5.44</v>
      </c>
      <c r="F2481">
        <v>0.05</v>
      </c>
      <c r="G2481">
        <v>5.43</v>
      </c>
      <c r="H2481">
        <v>5.44</v>
      </c>
      <c r="I2481" t="s">
        <v>4697</v>
      </c>
      <c r="J2481">
        <v>3</v>
      </c>
      <c r="K2481">
        <v>3</v>
      </c>
      <c r="L2481">
        <v>5.31</v>
      </c>
      <c r="M2481">
        <v>5.45</v>
      </c>
      <c r="N2481">
        <v>5.3</v>
      </c>
    </row>
    <row r="2482" spans="1:14" x14ac:dyDescent="0.5">
      <c r="A2482" t="str">
        <f>"600406"</f>
        <v>600406</v>
      </c>
      <c r="B2482" t="s">
        <v>4698</v>
      </c>
      <c r="C2482">
        <v>-0.26</v>
      </c>
      <c r="D2482">
        <v>22.1</v>
      </c>
      <c r="E2482">
        <v>19.12</v>
      </c>
      <c r="F2482">
        <v>-0.05</v>
      </c>
      <c r="G2482">
        <v>19.12</v>
      </c>
      <c r="H2482">
        <v>19.13</v>
      </c>
      <c r="I2482" t="s">
        <v>4699</v>
      </c>
      <c r="J2482">
        <v>1.1200000000000001</v>
      </c>
      <c r="K2482">
        <v>1.1200000000000001</v>
      </c>
      <c r="L2482">
        <v>19.2</v>
      </c>
      <c r="M2482">
        <v>19.309999999999999</v>
      </c>
      <c r="N2482">
        <v>18.89</v>
      </c>
    </row>
    <row r="2483" spans="1:14" x14ac:dyDescent="0.5">
      <c r="A2483" t="str">
        <f>"600408"</f>
        <v>600408</v>
      </c>
      <c r="B2483" t="s">
        <v>4700</v>
      </c>
      <c r="C2483">
        <v>5.1100000000000003</v>
      </c>
      <c r="D2483">
        <v>12.82</v>
      </c>
      <c r="E2483">
        <v>3.91</v>
      </c>
      <c r="F2483">
        <v>0.19</v>
      </c>
      <c r="G2483">
        <v>3.91</v>
      </c>
      <c r="H2483" t="s">
        <v>24</v>
      </c>
      <c r="I2483" t="s">
        <v>3409</v>
      </c>
      <c r="J2483">
        <v>0.81</v>
      </c>
      <c r="K2483">
        <v>0.81</v>
      </c>
      <c r="L2483">
        <v>3.91</v>
      </c>
      <c r="M2483">
        <v>3.91</v>
      </c>
      <c r="N2483">
        <v>3.82</v>
      </c>
    </row>
    <row r="2484" spans="1:14" x14ac:dyDescent="0.5">
      <c r="A2484" t="str">
        <f>"600409"</f>
        <v>600409</v>
      </c>
      <c r="B2484" t="s">
        <v>4701</v>
      </c>
      <c r="C2484">
        <v>2.06</v>
      </c>
      <c r="D2484">
        <v>7.06</v>
      </c>
      <c r="E2484">
        <v>6.93</v>
      </c>
      <c r="F2484">
        <v>0.14000000000000001</v>
      </c>
      <c r="G2484">
        <v>6.92</v>
      </c>
      <c r="H2484">
        <v>6.93</v>
      </c>
      <c r="I2484" t="s">
        <v>4702</v>
      </c>
      <c r="J2484">
        <v>2.04</v>
      </c>
      <c r="K2484">
        <v>2.04</v>
      </c>
      <c r="L2484">
        <v>6.78</v>
      </c>
      <c r="M2484">
        <v>6.94</v>
      </c>
      <c r="N2484">
        <v>6.75</v>
      </c>
    </row>
    <row r="2485" spans="1:14" x14ac:dyDescent="0.5">
      <c r="A2485" t="str">
        <f>"600410"</f>
        <v>600410</v>
      </c>
      <c r="B2485" t="s">
        <v>4703</v>
      </c>
      <c r="C2485">
        <v>8.5500000000000007</v>
      </c>
      <c r="D2485">
        <v>85.54</v>
      </c>
      <c r="E2485">
        <v>7.87</v>
      </c>
      <c r="F2485">
        <v>0.62</v>
      </c>
      <c r="G2485">
        <v>7.87</v>
      </c>
      <c r="H2485">
        <v>7.88</v>
      </c>
      <c r="I2485" t="s">
        <v>4704</v>
      </c>
      <c r="J2485">
        <v>6.47</v>
      </c>
      <c r="K2485">
        <v>6.47</v>
      </c>
      <c r="L2485">
        <v>7.16</v>
      </c>
      <c r="M2485">
        <v>7.87</v>
      </c>
      <c r="N2485">
        <v>7.14</v>
      </c>
    </row>
    <row r="2486" spans="1:14" x14ac:dyDescent="0.5">
      <c r="A2486" t="str">
        <f>"600415"</f>
        <v>600415</v>
      </c>
      <c r="B2486" t="s">
        <v>4705</v>
      </c>
      <c r="C2486">
        <v>1.44</v>
      </c>
      <c r="D2486">
        <v>15.9</v>
      </c>
      <c r="E2486">
        <v>4.93</v>
      </c>
      <c r="F2486">
        <v>7.0000000000000007E-2</v>
      </c>
      <c r="G2486">
        <v>4.93</v>
      </c>
      <c r="H2486">
        <v>4.9400000000000004</v>
      </c>
      <c r="I2486" t="s">
        <v>4706</v>
      </c>
      <c r="J2486">
        <v>0.94</v>
      </c>
      <c r="K2486">
        <v>0.94</v>
      </c>
      <c r="L2486">
        <v>4.8099999999999996</v>
      </c>
      <c r="M2486">
        <v>4.97</v>
      </c>
      <c r="N2486">
        <v>4.71</v>
      </c>
    </row>
    <row r="2487" spans="1:14" x14ac:dyDescent="0.5">
      <c r="A2487" t="str">
        <f>"600416"</f>
        <v>600416</v>
      </c>
      <c r="B2487" t="s">
        <v>4707</v>
      </c>
      <c r="C2487">
        <v>0.7</v>
      </c>
      <c r="D2487" t="s">
        <v>24</v>
      </c>
      <c r="E2487">
        <v>7.16</v>
      </c>
      <c r="F2487">
        <v>0.05</v>
      </c>
      <c r="G2487">
        <v>7.16</v>
      </c>
      <c r="H2487">
        <v>7.17</v>
      </c>
      <c r="I2487" t="s">
        <v>4708</v>
      </c>
      <c r="J2487">
        <v>1.83</v>
      </c>
      <c r="K2487">
        <v>1.83</v>
      </c>
      <c r="L2487">
        <v>7.08</v>
      </c>
      <c r="M2487">
        <v>7.22</v>
      </c>
      <c r="N2487">
        <v>6.99</v>
      </c>
    </row>
    <row r="2488" spans="1:14" x14ac:dyDescent="0.5">
      <c r="A2488" t="str">
        <f>"600418"</f>
        <v>600418</v>
      </c>
      <c r="B2488" t="s">
        <v>4709</v>
      </c>
      <c r="C2488">
        <v>1.87</v>
      </c>
      <c r="D2488">
        <v>38.450000000000003</v>
      </c>
      <c r="E2488">
        <v>5.44</v>
      </c>
      <c r="F2488">
        <v>0.1</v>
      </c>
      <c r="G2488">
        <v>5.43</v>
      </c>
      <c r="H2488">
        <v>5.44</v>
      </c>
      <c r="I2488" t="s">
        <v>4710</v>
      </c>
      <c r="J2488">
        <v>1.3</v>
      </c>
      <c r="K2488">
        <v>1.3</v>
      </c>
      <c r="L2488">
        <v>5.35</v>
      </c>
      <c r="M2488">
        <v>5.45</v>
      </c>
      <c r="N2488">
        <v>5.32</v>
      </c>
    </row>
    <row r="2489" spans="1:14" x14ac:dyDescent="0.5">
      <c r="A2489" t="str">
        <f>"600419"</f>
        <v>600419</v>
      </c>
      <c r="B2489" t="s">
        <v>4711</v>
      </c>
      <c r="C2489">
        <v>1.1299999999999999</v>
      </c>
      <c r="D2489">
        <v>27.98</v>
      </c>
      <c r="E2489">
        <v>16.09</v>
      </c>
      <c r="F2489">
        <v>0.18</v>
      </c>
      <c r="G2489">
        <v>16.09</v>
      </c>
      <c r="H2489">
        <v>16.100000000000001</v>
      </c>
      <c r="I2489" t="s">
        <v>369</v>
      </c>
      <c r="J2489">
        <v>2.57</v>
      </c>
      <c r="K2489">
        <v>2.57</v>
      </c>
      <c r="L2489">
        <v>15.91</v>
      </c>
      <c r="M2489">
        <v>16.149999999999999</v>
      </c>
      <c r="N2489">
        <v>15.75</v>
      </c>
    </row>
    <row r="2490" spans="1:14" x14ac:dyDescent="0.5">
      <c r="A2490" t="str">
        <f>"600420"</f>
        <v>600420</v>
      </c>
      <c r="B2490" t="s">
        <v>4712</v>
      </c>
      <c r="C2490">
        <v>1.92</v>
      </c>
      <c r="D2490">
        <v>15.97</v>
      </c>
      <c r="E2490">
        <v>10.1</v>
      </c>
      <c r="F2490">
        <v>0.19</v>
      </c>
      <c r="G2490">
        <v>10.1</v>
      </c>
      <c r="H2490">
        <v>10.11</v>
      </c>
      <c r="I2490" t="s">
        <v>4713</v>
      </c>
      <c r="J2490">
        <v>1.39</v>
      </c>
      <c r="K2490">
        <v>1.39</v>
      </c>
      <c r="L2490">
        <v>9.9</v>
      </c>
      <c r="M2490">
        <v>10.11</v>
      </c>
      <c r="N2490">
        <v>9.85</v>
      </c>
    </row>
    <row r="2491" spans="1:14" x14ac:dyDescent="0.5">
      <c r="A2491" t="str">
        <f>"600421"</f>
        <v>600421</v>
      </c>
      <c r="B2491" t="s">
        <v>4714</v>
      </c>
      <c r="C2491">
        <v>2.36</v>
      </c>
      <c r="D2491" t="s">
        <v>24</v>
      </c>
      <c r="E2491">
        <v>9.1</v>
      </c>
      <c r="F2491">
        <v>0.21</v>
      </c>
      <c r="G2491">
        <v>9.1</v>
      </c>
      <c r="H2491">
        <v>9.14</v>
      </c>
      <c r="I2491" t="s">
        <v>4203</v>
      </c>
      <c r="J2491">
        <v>0.39</v>
      </c>
      <c r="K2491">
        <v>0.39</v>
      </c>
      <c r="L2491">
        <v>8.86</v>
      </c>
      <c r="M2491">
        <v>9.1999999999999993</v>
      </c>
      <c r="N2491">
        <v>8.76</v>
      </c>
    </row>
    <row r="2492" spans="1:14" x14ac:dyDescent="0.5">
      <c r="A2492" t="str">
        <f>"600422"</f>
        <v>600422</v>
      </c>
      <c r="B2492" t="s">
        <v>4715</v>
      </c>
      <c r="C2492">
        <v>9.9499999999999993</v>
      </c>
      <c r="D2492">
        <v>17.579999999999998</v>
      </c>
      <c r="E2492">
        <v>8.18</v>
      </c>
      <c r="F2492">
        <v>0.74</v>
      </c>
      <c r="G2492">
        <v>8.18</v>
      </c>
      <c r="H2492" t="s">
        <v>24</v>
      </c>
      <c r="I2492" t="s">
        <v>4716</v>
      </c>
      <c r="J2492">
        <v>3.58</v>
      </c>
      <c r="K2492">
        <v>3.58</v>
      </c>
      <c r="L2492">
        <v>7.38</v>
      </c>
      <c r="M2492">
        <v>8.18</v>
      </c>
      <c r="N2492">
        <v>7.38</v>
      </c>
    </row>
    <row r="2493" spans="1:14" x14ac:dyDescent="0.5">
      <c r="A2493" t="str">
        <f>"600423"</f>
        <v>600423</v>
      </c>
      <c r="B2493" t="s">
        <v>4717</v>
      </c>
      <c r="C2493">
        <v>0.26</v>
      </c>
      <c r="D2493">
        <v>19.61</v>
      </c>
      <c r="E2493">
        <v>3.82</v>
      </c>
      <c r="F2493">
        <v>0.01</v>
      </c>
      <c r="G2493">
        <v>3.82</v>
      </c>
      <c r="H2493">
        <v>3.83</v>
      </c>
      <c r="I2493" t="s">
        <v>4718</v>
      </c>
      <c r="J2493">
        <v>1.05</v>
      </c>
      <c r="K2493">
        <v>1.05</v>
      </c>
      <c r="L2493">
        <v>3.8</v>
      </c>
      <c r="M2493">
        <v>3.82</v>
      </c>
      <c r="N2493">
        <v>3.74</v>
      </c>
    </row>
    <row r="2494" spans="1:14" x14ac:dyDescent="0.5">
      <c r="A2494" t="str">
        <f>"600425"</f>
        <v>600425</v>
      </c>
      <c r="B2494" t="s">
        <v>4719</v>
      </c>
      <c r="C2494">
        <v>10.07</v>
      </c>
      <c r="D2494">
        <v>11.19</v>
      </c>
      <c r="E2494">
        <v>4.92</v>
      </c>
      <c r="F2494">
        <v>0.45</v>
      </c>
      <c r="G2494">
        <v>4.91</v>
      </c>
      <c r="H2494">
        <v>4.92</v>
      </c>
      <c r="I2494" t="s">
        <v>3788</v>
      </c>
      <c r="J2494">
        <v>19.71</v>
      </c>
      <c r="K2494">
        <v>19.71</v>
      </c>
      <c r="L2494">
        <v>4.55</v>
      </c>
      <c r="M2494">
        <v>4.92</v>
      </c>
      <c r="N2494">
        <v>4.5</v>
      </c>
    </row>
    <row r="2495" spans="1:14" x14ac:dyDescent="0.5">
      <c r="A2495" t="str">
        <f>"600426"</f>
        <v>600426</v>
      </c>
      <c r="B2495" t="s">
        <v>4720</v>
      </c>
      <c r="C2495">
        <v>-0.69</v>
      </c>
      <c r="D2495">
        <v>8.0500000000000007</v>
      </c>
      <c r="E2495">
        <v>14.29</v>
      </c>
      <c r="F2495">
        <v>-0.1</v>
      </c>
      <c r="G2495">
        <v>14.29</v>
      </c>
      <c r="H2495">
        <v>14.3</v>
      </c>
      <c r="I2495" t="s">
        <v>4721</v>
      </c>
      <c r="J2495">
        <v>1.98</v>
      </c>
      <c r="K2495">
        <v>1.98</v>
      </c>
      <c r="L2495">
        <v>14.41</v>
      </c>
      <c r="M2495">
        <v>14.41</v>
      </c>
      <c r="N2495">
        <v>14.03</v>
      </c>
    </row>
    <row r="2496" spans="1:14" x14ac:dyDescent="0.5">
      <c r="A2496" t="str">
        <f>"600428"</f>
        <v>600428</v>
      </c>
      <c r="B2496" t="s">
        <v>4722</v>
      </c>
      <c r="C2496">
        <v>0.51</v>
      </c>
      <c r="D2496">
        <v>41.37</v>
      </c>
      <c r="E2496">
        <v>3.97</v>
      </c>
      <c r="F2496">
        <v>0.02</v>
      </c>
      <c r="G2496">
        <v>3.96</v>
      </c>
      <c r="H2496">
        <v>3.97</v>
      </c>
      <c r="I2496" t="s">
        <v>4723</v>
      </c>
      <c r="J2496">
        <v>0.88</v>
      </c>
      <c r="K2496">
        <v>0.88</v>
      </c>
      <c r="L2496">
        <v>3.9</v>
      </c>
      <c r="M2496">
        <v>3.98</v>
      </c>
      <c r="N2496">
        <v>3.89</v>
      </c>
    </row>
    <row r="2497" spans="1:14" x14ac:dyDescent="0.5">
      <c r="A2497" t="str">
        <f>"600429"</f>
        <v>600429</v>
      </c>
      <c r="B2497" t="s">
        <v>4724</v>
      </c>
      <c r="C2497">
        <v>0.52</v>
      </c>
      <c r="D2497">
        <v>92.88</v>
      </c>
      <c r="E2497">
        <v>5.75</v>
      </c>
      <c r="F2497">
        <v>0.03</v>
      </c>
      <c r="G2497">
        <v>5.74</v>
      </c>
      <c r="H2497">
        <v>5.75</v>
      </c>
      <c r="I2497" t="s">
        <v>4725</v>
      </c>
      <c r="J2497">
        <v>0.42</v>
      </c>
      <c r="K2497">
        <v>0.42</v>
      </c>
      <c r="L2497">
        <v>5.74</v>
      </c>
      <c r="M2497">
        <v>5.76</v>
      </c>
      <c r="N2497">
        <v>5.68</v>
      </c>
    </row>
    <row r="2498" spans="1:14" x14ac:dyDescent="0.5">
      <c r="A2498" t="str">
        <f>"600433"</f>
        <v>600433</v>
      </c>
      <c r="B2498" t="s">
        <v>4726</v>
      </c>
      <c r="C2498">
        <v>2.58</v>
      </c>
      <c r="D2498">
        <v>53.32</v>
      </c>
      <c r="E2498">
        <v>4.37</v>
      </c>
      <c r="F2498">
        <v>0.11</v>
      </c>
      <c r="G2498">
        <v>4.37</v>
      </c>
      <c r="H2498">
        <v>4.38</v>
      </c>
      <c r="I2498" t="s">
        <v>4727</v>
      </c>
      <c r="J2498">
        <v>2.62</v>
      </c>
      <c r="K2498">
        <v>2.62</v>
      </c>
      <c r="L2498">
        <v>4.2300000000000004</v>
      </c>
      <c r="M2498">
        <v>4.49</v>
      </c>
      <c r="N2498">
        <v>4.2</v>
      </c>
    </row>
    <row r="2499" spans="1:14" x14ac:dyDescent="0.5">
      <c r="A2499" t="str">
        <f>"600435"</f>
        <v>600435</v>
      </c>
      <c r="B2499" t="s">
        <v>4728</v>
      </c>
      <c r="C2499">
        <v>3.07</v>
      </c>
      <c r="D2499">
        <v>292.91000000000003</v>
      </c>
      <c r="E2499">
        <v>9.75</v>
      </c>
      <c r="F2499">
        <v>0.28999999999999998</v>
      </c>
      <c r="G2499">
        <v>9.74</v>
      </c>
      <c r="H2499">
        <v>9.75</v>
      </c>
      <c r="I2499" t="s">
        <v>4729</v>
      </c>
      <c r="J2499">
        <v>3.87</v>
      </c>
      <c r="K2499">
        <v>3.87</v>
      </c>
      <c r="L2499">
        <v>9.4</v>
      </c>
      <c r="M2499">
        <v>9.84</v>
      </c>
      <c r="N2499">
        <v>9.3000000000000007</v>
      </c>
    </row>
    <row r="2500" spans="1:14" x14ac:dyDescent="0.5">
      <c r="A2500" t="str">
        <f>"600436"</f>
        <v>600436</v>
      </c>
      <c r="B2500" t="s">
        <v>4730</v>
      </c>
      <c r="C2500">
        <v>-0.03</v>
      </c>
      <c r="D2500">
        <v>61.55</v>
      </c>
      <c r="E2500">
        <v>106.96</v>
      </c>
      <c r="F2500">
        <v>-0.03</v>
      </c>
      <c r="G2500">
        <v>106.96</v>
      </c>
      <c r="H2500">
        <v>106.97</v>
      </c>
      <c r="I2500" t="s">
        <v>4731</v>
      </c>
      <c r="J2500">
        <v>0.92</v>
      </c>
      <c r="K2500">
        <v>0.92</v>
      </c>
      <c r="L2500">
        <v>106</v>
      </c>
      <c r="M2500">
        <v>107.5</v>
      </c>
      <c r="N2500">
        <v>105.19</v>
      </c>
    </row>
    <row r="2501" spans="1:14" x14ac:dyDescent="0.5">
      <c r="A2501" t="str">
        <f>"600438"</f>
        <v>600438</v>
      </c>
      <c r="B2501" t="s">
        <v>4732</v>
      </c>
      <c r="C2501">
        <v>0.5</v>
      </c>
      <c r="D2501">
        <v>21.74</v>
      </c>
      <c r="E2501">
        <v>11.99</v>
      </c>
      <c r="F2501">
        <v>0.06</v>
      </c>
      <c r="G2501">
        <v>11.98</v>
      </c>
      <c r="H2501">
        <v>11.99</v>
      </c>
      <c r="I2501" t="s">
        <v>4733</v>
      </c>
      <c r="J2501">
        <v>2.0699999999999998</v>
      </c>
      <c r="K2501">
        <v>2.0699999999999998</v>
      </c>
      <c r="L2501">
        <v>11.9</v>
      </c>
      <c r="M2501">
        <v>12.08</v>
      </c>
      <c r="N2501">
        <v>11.68</v>
      </c>
    </row>
    <row r="2502" spans="1:14" x14ac:dyDescent="0.5">
      <c r="A2502" t="str">
        <f>"600439"</f>
        <v>600439</v>
      </c>
      <c r="B2502" t="s">
        <v>4734</v>
      </c>
      <c r="C2502">
        <v>9.91</v>
      </c>
      <c r="D2502">
        <v>15.9</v>
      </c>
      <c r="E2502">
        <v>3.77</v>
      </c>
      <c r="F2502">
        <v>0.34</v>
      </c>
      <c r="G2502">
        <v>3.77</v>
      </c>
      <c r="H2502" t="s">
        <v>24</v>
      </c>
      <c r="I2502" t="s">
        <v>1831</v>
      </c>
      <c r="J2502">
        <v>4.45</v>
      </c>
      <c r="K2502">
        <v>4.45</v>
      </c>
      <c r="L2502">
        <v>3.43</v>
      </c>
      <c r="M2502">
        <v>3.77</v>
      </c>
      <c r="N2502">
        <v>3.41</v>
      </c>
    </row>
    <row r="2503" spans="1:14" x14ac:dyDescent="0.5">
      <c r="A2503" t="str">
        <f>"600444"</f>
        <v>600444</v>
      </c>
      <c r="B2503" t="s">
        <v>4735</v>
      </c>
      <c r="C2503">
        <v>2.37</v>
      </c>
      <c r="D2503">
        <v>9.1</v>
      </c>
      <c r="E2503">
        <v>11.25</v>
      </c>
      <c r="F2503">
        <v>0.26</v>
      </c>
      <c r="G2503">
        <v>11.24</v>
      </c>
      <c r="H2503">
        <v>11.25</v>
      </c>
      <c r="I2503" t="s">
        <v>4736</v>
      </c>
      <c r="J2503">
        <v>2.75</v>
      </c>
      <c r="K2503">
        <v>2.75</v>
      </c>
      <c r="L2503">
        <v>11.06</v>
      </c>
      <c r="M2503">
        <v>11.28</v>
      </c>
      <c r="N2503">
        <v>10.9</v>
      </c>
    </row>
    <row r="2504" spans="1:14" x14ac:dyDescent="0.5">
      <c r="A2504" t="str">
        <f>"600446"</f>
        <v>600446</v>
      </c>
      <c r="B2504" t="s">
        <v>4737</v>
      </c>
      <c r="C2504">
        <v>1.48</v>
      </c>
      <c r="D2504">
        <v>88.67</v>
      </c>
      <c r="E2504">
        <v>21.89</v>
      </c>
      <c r="F2504">
        <v>0.32</v>
      </c>
      <c r="G2504">
        <v>21.89</v>
      </c>
      <c r="H2504">
        <v>21.9</v>
      </c>
      <c r="I2504" t="s">
        <v>4738</v>
      </c>
      <c r="J2504">
        <v>10.14</v>
      </c>
      <c r="K2504">
        <v>10.14</v>
      </c>
      <c r="L2504">
        <v>20.9</v>
      </c>
      <c r="M2504">
        <v>22.45</v>
      </c>
      <c r="N2504">
        <v>20.62</v>
      </c>
    </row>
    <row r="2505" spans="1:14" x14ac:dyDescent="0.5">
      <c r="A2505" t="str">
        <f>"600448"</f>
        <v>600448</v>
      </c>
      <c r="B2505" t="s">
        <v>4739</v>
      </c>
      <c r="C2505">
        <v>9.17</v>
      </c>
      <c r="D2505">
        <v>148.52000000000001</v>
      </c>
      <c r="E2505">
        <v>6.67</v>
      </c>
      <c r="F2505">
        <v>0.56000000000000005</v>
      </c>
      <c r="G2505">
        <v>6.66</v>
      </c>
      <c r="H2505">
        <v>6.67</v>
      </c>
      <c r="I2505" t="s">
        <v>4740</v>
      </c>
      <c r="J2505">
        <v>4</v>
      </c>
      <c r="K2505">
        <v>4</v>
      </c>
      <c r="L2505">
        <v>6.11</v>
      </c>
      <c r="M2505">
        <v>6.72</v>
      </c>
      <c r="N2505">
        <v>6.08</v>
      </c>
    </row>
    <row r="2506" spans="1:14" x14ac:dyDescent="0.5">
      <c r="A2506" t="str">
        <f>"600449"</f>
        <v>600449</v>
      </c>
      <c r="B2506" t="s">
        <v>4741</v>
      </c>
      <c r="C2506">
        <v>0.78</v>
      </c>
      <c r="D2506">
        <v>10.73</v>
      </c>
      <c r="E2506">
        <v>9.09</v>
      </c>
      <c r="F2506">
        <v>7.0000000000000007E-2</v>
      </c>
      <c r="G2506">
        <v>9.08</v>
      </c>
      <c r="H2506">
        <v>9.09</v>
      </c>
      <c r="I2506" t="s">
        <v>4742</v>
      </c>
      <c r="J2506">
        <v>2.96</v>
      </c>
      <c r="K2506">
        <v>2.96</v>
      </c>
      <c r="L2506">
        <v>8.91</v>
      </c>
      <c r="M2506">
        <v>9.1</v>
      </c>
      <c r="N2506">
        <v>8.8699999999999992</v>
      </c>
    </row>
    <row r="2507" spans="1:14" x14ac:dyDescent="0.5">
      <c r="A2507" t="str">
        <f>"600452"</f>
        <v>600452</v>
      </c>
      <c r="B2507" t="s">
        <v>4743</v>
      </c>
      <c r="C2507">
        <v>1.04</v>
      </c>
      <c r="D2507">
        <v>18.21</v>
      </c>
      <c r="E2507">
        <v>22.26</v>
      </c>
      <c r="F2507">
        <v>0.23</v>
      </c>
      <c r="G2507">
        <v>22.26</v>
      </c>
      <c r="H2507">
        <v>22.27</v>
      </c>
      <c r="I2507" t="s">
        <v>4744</v>
      </c>
      <c r="J2507">
        <v>1.62</v>
      </c>
      <c r="K2507">
        <v>1.62</v>
      </c>
      <c r="L2507">
        <v>22.18</v>
      </c>
      <c r="M2507">
        <v>22.35</v>
      </c>
      <c r="N2507">
        <v>21.72</v>
      </c>
    </row>
    <row r="2508" spans="1:14" x14ac:dyDescent="0.5">
      <c r="A2508" t="str">
        <f>"600455"</f>
        <v>600455</v>
      </c>
      <c r="B2508" t="s">
        <v>4745</v>
      </c>
      <c r="C2508">
        <v>2.74</v>
      </c>
      <c r="D2508">
        <v>1178.5</v>
      </c>
      <c r="E2508">
        <v>25.14</v>
      </c>
      <c r="F2508">
        <v>0.67</v>
      </c>
      <c r="G2508">
        <v>25.13</v>
      </c>
      <c r="H2508">
        <v>25.14</v>
      </c>
      <c r="I2508" t="s">
        <v>4746</v>
      </c>
      <c r="J2508">
        <v>0.97</v>
      </c>
      <c r="K2508">
        <v>0.97</v>
      </c>
      <c r="L2508">
        <v>24.49</v>
      </c>
      <c r="M2508">
        <v>25.29</v>
      </c>
      <c r="N2508">
        <v>24.22</v>
      </c>
    </row>
    <row r="2509" spans="1:14" x14ac:dyDescent="0.5">
      <c r="A2509" t="str">
        <f>"600456"</f>
        <v>600456</v>
      </c>
      <c r="B2509" t="s">
        <v>4747</v>
      </c>
      <c r="C2509">
        <v>0.65</v>
      </c>
      <c r="D2509">
        <v>62.69</v>
      </c>
      <c r="E2509">
        <v>21.54</v>
      </c>
      <c r="F2509">
        <v>0.14000000000000001</v>
      </c>
      <c r="G2509">
        <v>21.54</v>
      </c>
      <c r="H2509">
        <v>21.55</v>
      </c>
      <c r="I2509" t="s">
        <v>4748</v>
      </c>
      <c r="J2509">
        <v>2.3199999999999998</v>
      </c>
      <c r="K2509">
        <v>2.3199999999999998</v>
      </c>
      <c r="L2509">
        <v>21.06</v>
      </c>
      <c r="M2509">
        <v>21.69</v>
      </c>
      <c r="N2509">
        <v>20.85</v>
      </c>
    </row>
    <row r="2510" spans="1:14" x14ac:dyDescent="0.5">
      <c r="A2510" t="str">
        <f>"600458"</f>
        <v>600458</v>
      </c>
      <c r="B2510" t="s">
        <v>4749</v>
      </c>
      <c r="C2510">
        <v>3.51</v>
      </c>
      <c r="D2510">
        <v>67.95</v>
      </c>
      <c r="E2510">
        <v>9.1300000000000008</v>
      </c>
      <c r="F2510">
        <v>0.31</v>
      </c>
      <c r="G2510">
        <v>9.1300000000000008</v>
      </c>
      <c r="H2510">
        <v>9.14</v>
      </c>
      <c r="I2510" t="s">
        <v>4750</v>
      </c>
      <c r="J2510">
        <v>1.45</v>
      </c>
      <c r="K2510">
        <v>1.45</v>
      </c>
      <c r="L2510">
        <v>8.8000000000000007</v>
      </c>
      <c r="M2510">
        <v>9.18</v>
      </c>
      <c r="N2510">
        <v>8.65</v>
      </c>
    </row>
    <row r="2511" spans="1:14" x14ac:dyDescent="0.5">
      <c r="A2511" t="str">
        <f>"600459"</f>
        <v>600459</v>
      </c>
      <c r="B2511" t="s">
        <v>4751</v>
      </c>
      <c r="C2511">
        <v>0.32</v>
      </c>
      <c r="D2511">
        <v>43.21</v>
      </c>
      <c r="E2511">
        <v>15.68</v>
      </c>
      <c r="F2511">
        <v>0.05</v>
      </c>
      <c r="G2511">
        <v>15.68</v>
      </c>
      <c r="H2511">
        <v>15.69</v>
      </c>
      <c r="I2511" t="s">
        <v>4752</v>
      </c>
      <c r="J2511">
        <v>7.11</v>
      </c>
      <c r="K2511">
        <v>7.11</v>
      </c>
      <c r="L2511">
        <v>15.31</v>
      </c>
      <c r="M2511">
        <v>15.69</v>
      </c>
      <c r="N2511">
        <v>15.12</v>
      </c>
    </row>
    <row r="2512" spans="1:14" x14ac:dyDescent="0.5">
      <c r="A2512" t="str">
        <f>"600460"</f>
        <v>600460</v>
      </c>
      <c r="B2512" t="s">
        <v>4753</v>
      </c>
      <c r="C2512">
        <v>10.029999999999999</v>
      </c>
      <c r="D2512">
        <v>79.08</v>
      </c>
      <c r="E2512">
        <v>12.62</v>
      </c>
      <c r="F2512">
        <v>1.1499999999999999</v>
      </c>
      <c r="G2512">
        <v>12.62</v>
      </c>
      <c r="H2512" t="s">
        <v>24</v>
      </c>
      <c r="I2512" t="s">
        <v>4754</v>
      </c>
      <c r="J2512">
        <v>7.93</v>
      </c>
      <c r="K2512">
        <v>7.93</v>
      </c>
      <c r="L2512">
        <v>11.39</v>
      </c>
      <c r="M2512">
        <v>12.62</v>
      </c>
      <c r="N2512">
        <v>11.25</v>
      </c>
    </row>
    <row r="2513" spans="1:14" x14ac:dyDescent="0.5">
      <c r="A2513" t="str">
        <f>"600461"</f>
        <v>600461</v>
      </c>
      <c r="B2513" t="s">
        <v>4755</v>
      </c>
      <c r="C2513">
        <v>1.01</v>
      </c>
      <c r="D2513">
        <v>15.29</v>
      </c>
      <c r="E2513">
        <v>5.98</v>
      </c>
      <c r="F2513">
        <v>0.06</v>
      </c>
      <c r="G2513">
        <v>5.97</v>
      </c>
      <c r="H2513">
        <v>5.98</v>
      </c>
      <c r="I2513" t="s">
        <v>4756</v>
      </c>
      <c r="J2513">
        <v>1.93</v>
      </c>
      <c r="K2513">
        <v>1.93</v>
      </c>
      <c r="L2513">
        <v>5.91</v>
      </c>
      <c r="M2513">
        <v>5.98</v>
      </c>
      <c r="N2513">
        <v>5.85</v>
      </c>
    </row>
    <row r="2514" spans="1:14" x14ac:dyDescent="0.5">
      <c r="A2514" t="str">
        <f>"600462"</f>
        <v>600462</v>
      </c>
      <c r="B2514" t="s">
        <v>4757</v>
      </c>
      <c r="C2514">
        <v>0.43</v>
      </c>
      <c r="D2514" t="s">
        <v>24</v>
      </c>
      <c r="E2514">
        <v>2.34</v>
      </c>
      <c r="F2514">
        <v>0.01</v>
      </c>
      <c r="G2514">
        <v>2.34</v>
      </c>
      <c r="H2514">
        <v>2.35</v>
      </c>
      <c r="I2514" t="s">
        <v>4758</v>
      </c>
      <c r="J2514">
        <v>4.3</v>
      </c>
      <c r="K2514">
        <v>4.3</v>
      </c>
      <c r="L2514">
        <v>2.3199999999999998</v>
      </c>
      <c r="M2514">
        <v>2.35</v>
      </c>
      <c r="N2514">
        <v>2.29</v>
      </c>
    </row>
    <row r="2515" spans="1:14" x14ac:dyDescent="0.5">
      <c r="A2515" t="str">
        <f>"600463"</f>
        <v>600463</v>
      </c>
      <c r="B2515" t="s">
        <v>4759</v>
      </c>
      <c r="C2515">
        <v>2.38</v>
      </c>
      <c r="D2515" t="s">
        <v>24</v>
      </c>
      <c r="E2515">
        <v>8.17</v>
      </c>
      <c r="F2515">
        <v>0.19</v>
      </c>
      <c r="G2515">
        <v>8.16</v>
      </c>
      <c r="H2515">
        <v>8.17</v>
      </c>
      <c r="I2515" t="s">
        <v>4760</v>
      </c>
      <c r="J2515">
        <v>1.94</v>
      </c>
      <c r="K2515">
        <v>1.94</v>
      </c>
      <c r="L2515">
        <v>7.97</v>
      </c>
      <c r="M2515">
        <v>8.18</v>
      </c>
      <c r="N2515">
        <v>7.91</v>
      </c>
    </row>
    <row r="2516" spans="1:14" x14ac:dyDescent="0.5">
      <c r="A2516" t="str">
        <f>"600466"</f>
        <v>600466</v>
      </c>
      <c r="B2516" t="s">
        <v>4761</v>
      </c>
      <c r="C2516">
        <v>6.93</v>
      </c>
      <c r="D2516">
        <v>9.17</v>
      </c>
      <c r="E2516">
        <v>6.79</v>
      </c>
      <c r="F2516">
        <v>0.44</v>
      </c>
      <c r="G2516">
        <v>6.79</v>
      </c>
      <c r="H2516">
        <v>6.8</v>
      </c>
      <c r="I2516" t="s">
        <v>4762</v>
      </c>
      <c r="J2516">
        <v>2.0699999999999998</v>
      </c>
      <c r="K2516">
        <v>2.0699999999999998</v>
      </c>
      <c r="L2516">
        <v>6.55</v>
      </c>
      <c r="M2516">
        <v>6.87</v>
      </c>
      <c r="N2516">
        <v>6.5</v>
      </c>
    </row>
    <row r="2517" spans="1:14" x14ac:dyDescent="0.5">
      <c r="A2517" t="str">
        <f>"600467"</f>
        <v>600467</v>
      </c>
      <c r="B2517" t="s">
        <v>4763</v>
      </c>
      <c r="C2517">
        <v>1.36</v>
      </c>
      <c r="D2517">
        <v>69.83</v>
      </c>
      <c r="E2517">
        <v>2.99</v>
      </c>
      <c r="F2517">
        <v>0.04</v>
      </c>
      <c r="G2517">
        <v>2.98</v>
      </c>
      <c r="H2517">
        <v>2.99</v>
      </c>
      <c r="I2517" t="s">
        <v>4454</v>
      </c>
      <c r="J2517">
        <v>1.98</v>
      </c>
      <c r="K2517">
        <v>1.98</v>
      </c>
      <c r="L2517">
        <v>2.97</v>
      </c>
      <c r="M2517">
        <v>3</v>
      </c>
      <c r="N2517">
        <v>2.92</v>
      </c>
    </row>
    <row r="2518" spans="1:14" x14ac:dyDescent="0.5">
      <c r="A2518" t="str">
        <f>"600468"</f>
        <v>600468</v>
      </c>
      <c r="B2518" t="s">
        <v>4764</v>
      </c>
      <c r="C2518">
        <v>3.34</v>
      </c>
      <c r="D2518">
        <v>71.94</v>
      </c>
      <c r="E2518">
        <v>6.19</v>
      </c>
      <c r="F2518">
        <v>0.2</v>
      </c>
      <c r="G2518">
        <v>6.19</v>
      </c>
      <c r="H2518">
        <v>6.2</v>
      </c>
      <c r="I2518" t="s">
        <v>4765</v>
      </c>
      <c r="J2518">
        <v>1.36</v>
      </c>
      <c r="K2518">
        <v>1.36</v>
      </c>
      <c r="L2518">
        <v>5.98</v>
      </c>
      <c r="M2518">
        <v>6.24</v>
      </c>
      <c r="N2518">
        <v>5.89</v>
      </c>
    </row>
    <row r="2519" spans="1:14" x14ac:dyDescent="0.5">
      <c r="A2519" t="str">
        <f>"600469"</f>
        <v>600469</v>
      </c>
      <c r="B2519" t="s">
        <v>4766</v>
      </c>
      <c r="C2519">
        <v>9.98</v>
      </c>
      <c r="D2519" t="s">
        <v>24</v>
      </c>
      <c r="E2519">
        <v>4.96</v>
      </c>
      <c r="F2519">
        <v>0.45</v>
      </c>
      <c r="G2519">
        <v>4.96</v>
      </c>
      <c r="H2519" t="s">
        <v>24</v>
      </c>
      <c r="I2519" t="s">
        <v>3303</v>
      </c>
      <c r="J2519">
        <v>1.31</v>
      </c>
      <c r="K2519">
        <v>1.31</v>
      </c>
      <c r="L2519">
        <v>4.46</v>
      </c>
      <c r="M2519">
        <v>4.96</v>
      </c>
      <c r="N2519">
        <v>4.45</v>
      </c>
    </row>
    <row r="2520" spans="1:14" x14ac:dyDescent="0.5">
      <c r="A2520" t="str">
        <f>"600470"</f>
        <v>600470</v>
      </c>
      <c r="B2520" t="s">
        <v>4767</v>
      </c>
      <c r="C2520">
        <v>3.07</v>
      </c>
      <c r="D2520">
        <v>22.6</v>
      </c>
      <c r="E2520">
        <v>4.37</v>
      </c>
      <c r="F2520">
        <v>0.13</v>
      </c>
      <c r="G2520">
        <v>4.3600000000000003</v>
      </c>
      <c r="H2520">
        <v>4.37</v>
      </c>
      <c r="I2520" t="s">
        <v>4768</v>
      </c>
      <c r="J2520">
        <v>4.51</v>
      </c>
      <c r="K2520">
        <v>4.51</v>
      </c>
      <c r="L2520">
        <v>4.24</v>
      </c>
      <c r="M2520">
        <v>4.37</v>
      </c>
      <c r="N2520">
        <v>4.18</v>
      </c>
    </row>
    <row r="2521" spans="1:14" x14ac:dyDescent="0.5">
      <c r="A2521" t="str">
        <f>"600475"</f>
        <v>600475</v>
      </c>
      <c r="B2521" t="s">
        <v>4769</v>
      </c>
      <c r="C2521">
        <v>2.41</v>
      </c>
      <c r="D2521">
        <v>13.38</v>
      </c>
      <c r="E2521">
        <v>10.199999999999999</v>
      </c>
      <c r="F2521">
        <v>0.24</v>
      </c>
      <c r="G2521">
        <v>10.199999999999999</v>
      </c>
      <c r="H2521">
        <v>10.210000000000001</v>
      </c>
      <c r="I2521" t="s">
        <v>4770</v>
      </c>
      <c r="J2521">
        <v>3.95</v>
      </c>
      <c r="K2521">
        <v>3.95</v>
      </c>
      <c r="L2521">
        <v>9.9</v>
      </c>
      <c r="M2521">
        <v>10.3</v>
      </c>
      <c r="N2521">
        <v>9.81</v>
      </c>
    </row>
    <row r="2522" spans="1:14" x14ac:dyDescent="0.5">
      <c r="A2522" t="str">
        <f>"600476"</f>
        <v>600476</v>
      </c>
      <c r="B2522" t="s">
        <v>4771</v>
      </c>
      <c r="C2522">
        <v>2.68</v>
      </c>
      <c r="D2522" t="s">
        <v>24</v>
      </c>
      <c r="E2522">
        <v>15.3</v>
      </c>
      <c r="F2522">
        <v>0.4</v>
      </c>
      <c r="G2522">
        <v>15.29</v>
      </c>
      <c r="H2522">
        <v>15.3</v>
      </c>
      <c r="I2522" t="s">
        <v>4772</v>
      </c>
      <c r="J2522">
        <v>5.21</v>
      </c>
      <c r="K2522">
        <v>5.21</v>
      </c>
      <c r="L2522">
        <v>14.88</v>
      </c>
      <c r="M2522">
        <v>15.31</v>
      </c>
      <c r="N2522">
        <v>14.71</v>
      </c>
    </row>
    <row r="2523" spans="1:14" x14ac:dyDescent="0.5">
      <c r="A2523" t="str">
        <f>"600477"</f>
        <v>600477</v>
      </c>
      <c r="B2523" t="s">
        <v>4773</v>
      </c>
      <c r="C2523">
        <v>1.1599999999999999</v>
      </c>
      <c r="D2523">
        <v>11.61</v>
      </c>
      <c r="E2523">
        <v>4.37</v>
      </c>
      <c r="F2523">
        <v>0.05</v>
      </c>
      <c r="G2523">
        <v>4.37</v>
      </c>
      <c r="H2523">
        <v>4.38</v>
      </c>
      <c r="I2523" t="s">
        <v>4774</v>
      </c>
      <c r="J2523">
        <v>1.37</v>
      </c>
      <c r="K2523">
        <v>1.37</v>
      </c>
      <c r="L2523">
        <v>4.3</v>
      </c>
      <c r="M2523">
        <v>4.3899999999999997</v>
      </c>
      <c r="N2523">
        <v>4.2699999999999996</v>
      </c>
    </row>
    <row r="2524" spans="1:14" x14ac:dyDescent="0.5">
      <c r="A2524" t="str">
        <f>"600478"</f>
        <v>600478</v>
      </c>
      <c r="B2524" t="s">
        <v>4775</v>
      </c>
      <c r="C2524">
        <v>1.17</v>
      </c>
      <c r="D2524">
        <v>76.59</v>
      </c>
      <c r="E2524">
        <v>5.18</v>
      </c>
      <c r="F2524">
        <v>0.06</v>
      </c>
      <c r="G2524">
        <v>5.17</v>
      </c>
      <c r="H2524">
        <v>5.18</v>
      </c>
      <c r="I2524" t="s">
        <v>4422</v>
      </c>
      <c r="J2524">
        <v>1.54</v>
      </c>
      <c r="K2524">
        <v>1.54</v>
      </c>
      <c r="L2524">
        <v>5.0999999999999996</v>
      </c>
      <c r="M2524">
        <v>5.18</v>
      </c>
      <c r="N2524">
        <v>5.08</v>
      </c>
    </row>
    <row r="2525" spans="1:14" x14ac:dyDescent="0.5">
      <c r="A2525" t="str">
        <f>"600479"</f>
        <v>600479</v>
      </c>
      <c r="B2525" t="s">
        <v>4776</v>
      </c>
      <c r="C2525">
        <v>1.41</v>
      </c>
      <c r="D2525">
        <v>15.4</v>
      </c>
      <c r="E2525">
        <v>9.32</v>
      </c>
      <c r="F2525">
        <v>0.13</v>
      </c>
      <c r="G2525">
        <v>9.32</v>
      </c>
      <c r="H2525">
        <v>9.33</v>
      </c>
      <c r="I2525" t="s">
        <v>4777</v>
      </c>
      <c r="J2525">
        <v>1.35</v>
      </c>
      <c r="K2525">
        <v>1.35</v>
      </c>
      <c r="L2525">
        <v>9.17</v>
      </c>
      <c r="M2525">
        <v>9.35</v>
      </c>
      <c r="N2525">
        <v>9.1300000000000008</v>
      </c>
    </row>
    <row r="2526" spans="1:14" x14ac:dyDescent="0.5">
      <c r="A2526" t="str">
        <f>"600480"</f>
        <v>600480</v>
      </c>
      <c r="B2526" t="s">
        <v>4778</v>
      </c>
      <c r="C2526">
        <v>4.72</v>
      </c>
      <c r="D2526">
        <v>16.13</v>
      </c>
      <c r="E2526">
        <v>9.76</v>
      </c>
      <c r="F2526">
        <v>0.44</v>
      </c>
      <c r="G2526">
        <v>9.75</v>
      </c>
      <c r="H2526">
        <v>9.76</v>
      </c>
      <c r="I2526" t="s">
        <v>4779</v>
      </c>
      <c r="J2526">
        <v>2.72</v>
      </c>
      <c r="K2526">
        <v>2.72</v>
      </c>
      <c r="L2526">
        <v>9.32</v>
      </c>
      <c r="M2526">
        <v>9.76</v>
      </c>
      <c r="N2526">
        <v>9.26</v>
      </c>
    </row>
    <row r="2527" spans="1:14" x14ac:dyDescent="0.5">
      <c r="A2527" t="str">
        <f>"600481"</f>
        <v>600481</v>
      </c>
      <c r="B2527" t="s">
        <v>4780</v>
      </c>
      <c r="C2527">
        <v>0.47</v>
      </c>
      <c r="D2527">
        <v>29.56</v>
      </c>
      <c r="E2527">
        <v>4.24</v>
      </c>
      <c r="F2527">
        <v>0.02</v>
      </c>
      <c r="G2527">
        <v>4.24</v>
      </c>
      <c r="H2527">
        <v>4.25</v>
      </c>
      <c r="I2527" t="s">
        <v>4781</v>
      </c>
      <c r="J2527">
        <v>0.94</v>
      </c>
      <c r="K2527">
        <v>0.94</v>
      </c>
      <c r="L2527">
        <v>4.22</v>
      </c>
      <c r="M2527">
        <v>4.25</v>
      </c>
      <c r="N2527">
        <v>4.16</v>
      </c>
    </row>
    <row r="2528" spans="1:14" x14ac:dyDescent="0.5">
      <c r="A2528" t="str">
        <f>"600482"</f>
        <v>600482</v>
      </c>
      <c r="B2528" t="s">
        <v>4782</v>
      </c>
      <c r="C2528">
        <v>0.2</v>
      </c>
      <c r="D2528">
        <v>31.75</v>
      </c>
      <c r="E2528">
        <v>25.6</v>
      </c>
      <c r="F2528">
        <v>0.05</v>
      </c>
      <c r="G2528">
        <v>25.6</v>
      </c>
      <c r="H2528">
        <v>25.61</v>
      </c>
      <c r="I2528" t="s">
        <v>4783</v>
      </c>
      <c r="J2528">
        <v>0.52</v>
      </c>
      <c r="K2528">
        <v>0.52</v>
      </c>
      <c r="L2528">
        <v>25.57</v>
      </c>
      <c r="M2528">
        <v>25.69</v>
      </c>
      <c r="N2528">
        <v>25.32</v>
      </c>
    </row>
    <row r="2529" spans="1:14" x14ac:dyDescent="0.5">
      <c r="A2529" t="str">
        <f>"600483"</f>
        <v>600483</v>
      </c>
      <c r="B2529" t="s">
        <v>4784</v>
      </c>
      <c r="C2529">
        <v>2.46</v>
      </c>
      <c r="D2529">
        <v>13.37</v>
      </c>
      <c r="E2529">
        <v>9.57</v>
      </c>
      <c r="F2529">
        <v>0.23</v>
      </c>
      <c r="G2529">
        <v>9.57</v>
      </c>
      <c r="H2529">
        <v>9.58</v>
      </c>
      <c r="I2529" t="s">
        <v>4785</v>
      </c>
      <c r="J2529">
        <v>0.57999999999999996</v>
      </c>
      <c r="K2529">
        <v>0.57999999999999996</v>
      </c>
      <c r="L2529">
        <v>9.2899999999999991</v>
      </c>
      <c r="M2529">
        <v>9.64</v>
      </c>
      <c r="N2529">
        <v>9.2899999999999991</v>
      </c>
    </row>
    <row r="2530" spans="1:14" x14ac:dyDescent="0.5">
      <c r="A2530" t="str">
        <f>"600485"</f>
        <v>600485</v>
      </c>
      <c r="B2530" t="s">
        <v>4786</v>
      </c>
      <c r="C2530">
        <v>0</v>
      </c>
      <c r="D2530" t="s">
        <v>24</v>
      </c>
      <c r="E2530">
        <v>14.59</v>
      </c>
      <c r="F2530">
        <v>0</v>
      </c>
      <c r="G2530" t="s">
        <v>24</v>
      </c>
      <c r="H2530" t="s">
        <v>24</v>
      </c>
      <c r="I2530" t="s">
        <v>4787</v>
      </c>
      <c r="J2530">
        <v>0</v>
      </c>
      <c r="K2530">
        <v>0</v>
      </c>
      <c r="L2530" t="s">
        <v>24</v>
      </c>
      <c r="M2530" t="s">
        <v>24</v>
      </c>
      <c r="N2530" t="s">
        <v>24</v>
      </c>
    </row>
    <row r="2531" spans="1:14" x14ac:dyDescent="0.5">
      <c r="A2531" t="str">
        <f>"600486"</f>
        <v>600486</v>
      </c>
      <c r="B2531" t="s">
        <v>4788</v>
      </c>
      <c r="C2531">
        <v>-0.25</v>
      </c>
      <c r="D2531">
        <v>15.61</v>
      </c>
      <c r="E2531">
        <v>47.4</v>
      </c>
      <c r="F2531">
        <v>-0.12</v>
      </c>
      <c r="G2531">
        <v>47.4</v>
      </c>
      <c r="H2531">
        <v>47.41</v>
      </c>
      <c r="I2531" t="s">
        <v>4789</v>
      </c>
      <c r="J2531">
        <v>1.35</v>
      </c>
      <c r="K2531">
        <v>1.35</v>
      </c>
      <c r="L2531">
        <v>47.53</v>
      </c>
      <c r="M2531">
        <v>47.77</v>
      </c>
      <c r="N2531">
        <v>46.16</v>
      </c>
    </row>
    <row r="2532" spans="1:14" x14ac:dyDescent="0.5">
      <c r="A2532" t="str">
        <f>"600487"</f>
        <v>600487</v>
      </c>
      <c r="B2532" t="s">
        <v>4790</v>
      </c>
      <c r="C2532">
        <v>2.64</v>
      </c>
      <c r="D2532">
        <v>16.309999999999999</v>
      </c>
      <c r="E2532">
        <v>22.56</v>
      </c>
      <c r="F2532">
        <v>0.57999999999999996</v>
      </c>
      <c r="G2532">
        <v>22.55</v>
      </c>
      <c r="H2532">
        <v>22.56</v>
      </c>
      <c r="I2532" t="s">
        <v>4791</v>
      </c>
      <c r="J2532">
        <v>3.61</v>
      </c>
      <c r="K2532">
        <v>3.61</v>
      </c>
      <c r="L2532">
        <v>22.06</v>
      </c>
      <c r="M2532">
        <v>22.56</v>
      </c>
      <c r="N2532">
        <v>21.81</v>
      </c>
    </row>
    <row r="2533" spans="1:14" x14ac:dyDescent="0.5">
      <c r="A2533" t="str">
        <f>"600488"</f>
        <v>600488</v>
      </c>
      <c r="B2533" t="s">
        <v>4792</v>
      </c>
      <c r="C2533">
        <v>1.1200000000000001</v>
      </c>
      <c r="D2533">
        <v>32.270000000000003</v>
      </c>
      <c r="E2533">
        <v>4.5</v>
      </c>
      <c r="F2533">
        <v>0.05</v>
      </c>
      <c r="G2533">
        <v>4.5</v>
      </c>
      <c r="H2533">
        <v>4.51</v>
      </c>
      <c r="I2533" t="s">
        <v>4793</v>
      </c>
      <c r="J2533">
        <v>1.1200000000000001</v>
      </c>
      <c r="K2533">
        <v>1.1200000000000001</v>
      </c>
      <c r="L2533">
        <v>4.42</v>
      </c>
      <c r="M2533">
        <v>4.5</v>
      </c>
      <c r="N2533">
        <v>4.4000000000000004</v>
      </c>
    </row>
    <row r="2534" spans="1:14" x14ac:dyDescent="0.5">
      <c r="A2534" t="str">
        <f>"600489"</f>
        <v>600489</v>
      </c>
      <c r="B2534" t="s">
        <v>4794</v>
      </c>
      <c r="C2534">
        <v>-0.79</v>
      </c>
      <c r="D2534">
        <v>167.04</v>
      </c>
      <c r="E2534">
        <v>8.8000000000000007</v>
      </c>
      <c r="F2534">
        <v>-7.0000000000000007E-2</v>
      </c>
      <c r="G2534">
        <v>8.7899999999999991</v>
      </c>
      <c r="H2534">
        <v>8.8000000000000007</v>
      </c>
      <c r="I2534" t="s">
        <v>4795</v>
      </c>
      <c r="J2534">
        <v>1.46</v>
      </c>
      <c r="K2534">
        <v>1.46</v>
      </c>
      <c r="L2534">
        <v>8.7799999999999994</v>
      </c>
      <c r="M2534">
        <v>8.81</v>
      </c>
      <c r="N2534">
        <v>8.68</v>
      </c>
    </row>
    <row r="2535" spans="1:14" x14ac:dyDescent="0.5">
      <c r="A2535" t="str">
        <f>"600490"</f>
        <v>600490</v>
      </c>
      <c r="B2535" t="s">
        <v>4796</v>
      </c>
      <c r="C2535">
        <v>3.29</v>
      </c>
      <c r="D2535">
        <v>31.57</v>
      </c>
      <c r="E2535">
        <v>5.97</v>
      </c>
      <c r="F2535">
        <v>0.19</v>
      </c>
      <c r="G2535">
        <v>5.97</v>
      </c>
      <c r="H2535">
        <v>5.98</v>
      </c>
      <c r="I2535" t="s">
        <v>4797</v>
      </c>
      <c r="J2535">
        <v>5.45</v>
      </c>
      <c r="K2535">
        <v>5.45</v>
      </c>
      <c r="L2535">
        <v>5.76</v>
      </c>
      <c r="M2535">
        <v>5.99</v>
      </c>
      <c r="N2535">
        <v>5.69</v>
      </c>
    </row>
    <row r="2536" spans="1:14" x14ac:dyDescent="0.5">
      <c r="A2536" t="str">
        <f>"600491"</f>
        <v>600491</v>
      </c>
      <c r="B2536" t="s">
        <v>4798</v>
      </c>
      <c r="C2536">
        <v>4.2699999999999996</v>
      </c>
      <c r="D2536">
        <v>13.95</v>
      </c>
      <c r="E2536">
        <v>7.81</v>
      </c>
      <c r="F2536">
        <v>0.32</v>
      </c>
      <c r="G2536">
        <v>7.81</v>
      </c>
      <c r="H2536">
        <v>7.82</v>
      </c>
      <c r="I2536" t="s">
        <v>4799</v>
      </c>
      <c r="J2536">
        <v>2.98</v>
      </c>
      <c r="K2536">
        <v>2.98</v>
      </c>
      <c r="L2536">
        <v>7.48</v>
      </c>
      <c r="M2536">
        <v>7.96</v>
      </c>
      <c r="N2536">
        <v>7.38</v>
      </c>
    </row>
    <row r="2537" spans="1:14" x14ac:dyDescent="0.5">
      <c r="A2537" t="str">
        <f>"600493"</f>
        <v>600493</v>
      </c>
      <c r="B2537" t="s">
        <v>4800</v>
      </c>
      <c r="C2537">
        <v>1.71</v>
      </c>
      <c r="D2537">
        <v>31.5</v>
      </c>
      <c r="E2537">
        <v>6.55</v>
      </c>
      <c r="F2537">
        <v>0.11</v>
      </c>
      <c r="G2537">
        <v>6.54</v>
      </c>
      <c r="H2537">
        <v>6.55</v>
      </c>
      <c r="I2537" t="s">
        <v>2992</v>
      </c>
      <c r="J2537">
        <v>2.71</v>
      </c>
      <c r="K2537">
        <v>2.71</v>
      </c>
      <c r="L2537">
        <v>6.39</v>
      </c>
      <c r="M2537">
        <v>6.56</v>
      </c>
      <c r="N2537">
        <v>6.38</v>
      </c>
    </row>
    <row r="2538" spans="1:14" x14ac:dyDescent="0.5">
      <c r="A2538" t="str">
        <f>"600495"</f>
        <v>600495</v>
      </c>
      <c r="B2538" t="s">
        <v>4801</v>
      </c>
      <c r="C2538">
        <v>1.66</v>
      </c>
      <c r="D2538">
        <v>171.75</v>
      </c>
      <c r="E2538">
        <v>5.51</v>
      </c>
      <c r="F2538">
        <v>0.09</v>
      </c>
      <c r="G2538">
        <v>5.5</v>
      </c>
      <c r="H2538">
        <v>5.51</v>
      </c>
      <c r="I2538" t="s">
        <v>4802</v>
      </c>
      <c r="J2538">
        <v>4.71</v>
      </c>
      <c r="K2538">
        <v>4.71</v>
      </c>
      <c r="L2538">
        <v>5.35</v>
      </c>
      <c r="M2538">
        <v>5.51</v>
      </c>
      <c r="N2538">
        <v>5.35</v>
      </c>
    </row>
    <row r="2539" spans="1:14" x14ac:dyDescent="0.5">
      <c r="A2539" t="str">
        <f>"600496"</f>
        <v>600496</v>
      </c>
      <c r="B2539" t="s">
        <v>4803</v>
      </c>
      <c r="C2539">
        <v>0.94</v>
      </c>
      <c r="D2539">
        <v>39.270000000000003</v>
      </c>
      <c r="E2539">
        <v>3.22</v>
      </c>
      <c r="F2539">
        <v>0.03</v>
      </c>
      <c r="G2539">
        <v>3.21</v>
      </c>
      <c r="H2539">
        <v>3.22</v>
      </c>
      <c r="I2539" t="s">
        <v>4804</v>
      </c>
      <c r="J2539">
        <v>1.79</v>
      </c>
      <c r="K2539">
        <v>1.79</v>
      </c>
      <c r="L2539">
        <v>3.19</v>
      </c>
      <c r="M2539">
        <v>3.22</v>
      </c>
      <c r="N2539">
        <v>3.16</v>
      </c>
    </row>
    <row r="2540" spans="1:14" x14ac:dyDescent="0.5">
      <c r="A2540" t="str">
        <f>"600497"</f>
        <v>600497</v>
      </c>
      <c r="B2540" t="s">
        <v>4805</v>
      </c>
      <c r="C2540">
        <v>0.18</v>
      </c>
      <c r="D2540">
        <v>24.09</v>
      </c>
      <c r="E2540">
        <v>5.46</v>
      </c>
      <c r="F2540">
        <v>0.01</v>
      </c>
      <c r="G2540">
        <v>5.46</v>
      </c>
      <c r="H2540">
        <v>5.47</v>
      </c>
      <c r="I2540" t="s">
        <v>4806</v>
      </c>
      <c r="J2540">
        <v>1.87</v>
      </c>
      <c r="K2540">
        <v>1.87</v>
      </c>
      <c r="L2540">
        <v>5.36</v>
      </c>
      <c r="M2540">
        <v>5.47</v>
      </c>
      <c r="N2540">
        <v>5.25</v>
      </c>
    </row>
    <row r="2541" spans="1:14" x14ac:dyDescent="0.5">
      <c r="A2541" t="str">
        <f>"600498"</f>
        <v>600498</v>
      </c>
      <c r="B2541" t="s">
        <v>4807</v>
      </c>
      <c r="C2541">
        <v>2.87</v>
      </c>
      <c r="D2541">
        <v>44.35</v>
      </c>
      <c r="E2541">
        <v>33.64</v>
      </c>
      <c r="F2541">
        <v>0.94</v>
      </c>
      <c r="G2541">
        <v>33.64</v>
      </c>
      <c r="H2541">
        <v>33.65</v>
      </c>
      <c r="I2541" t="s">
        <v>4808</v>
      </c>
      <c r="J2541">
        <v>3.93</v>
      </c>
      <c r="K2541">
        <v>3.93</v>
      </c>
      <c r="L2541">
        <v>32.700000000000003</v>
      </c>
      <c r="M2541">
        <v>33.659999999999997</v>
      </c>
      <c r="N2541">
        <v>32.33</v>
      </c>
    </row>
    <row r="2542" spans="1:14" x14ac:dyDescent="0.5">
      <c r="A2542" t="str">
        <f>"600499"</f>
        <v>600499</v>
      </c>
      <c r="B2542" t="s">
        <v>4809</v>
      </c>
      <c r="C2542">
        <v>5.45</v>
      </c>
      <c r="D2542">
        <v>21.82</v>
      </c>
      <c r="E2542">
        <v>5.8</v>
      </c>
      <c r="F2542">
        <v>0.3</v>
      </c>
      <c r="G2542">
        <v>5.79</v>
      </c>
      <c r="H2542">
        <v>5.8</v>
      </c>
      <c r="I2542" t="s">
        <v>4810</v>
      </c>
      <c r="J2542">
        <v>2.0299999999999998</v>
      </c>
      <c r="K2542">
        <v>2.0299999999999998</v>
      </c>
      <c r="L2542">
        <v>5.55</v>
      </c>
      <c r="M2542">
        <v>5.8</v>
      </c>
      <c r="N2542">
        <v>5.43</v>
      </c>
    </row>
    <row r="2543" spans="1:14" x14ac:dyDescent="0.5">
      <c r="A2543" t="str">
        <f>"600500"</f>
        <v>600500</v>
      </c>
      <c r="B2543" t="s">
        <v>4811</v>
      </c>
      <c r="C2543">
        <v>2.96</v>
      </c>
      <c r="D2543">
        <v>20.22</v>
      </c>
      <c r="E2543">
        <v>8</v>
      </c>
      <c r="F2543">
        <v>0.23</v>
      </c>
      <c r="G2543">
        <v>7.99</v>
      </c>
      <c r="H2543">
        <v>8</v>
      </c>
      <c r="I2543" t="s">
        <v>4812</v>
      </c>
      <c r="J2543">
        <v>1.54</v>
      </c>
      <c r="K2543">
        <v>1.54</v>
      </c>
      <c r="L2543">
        <v>7.81</v>
      </c>
      <c r="M2543">
        <v>8.0500000000000007</v>
      </c>
      <c r="N2543">
        <v>7.78</v>
      </c>
    </row>
    <row r="2544" spans="1:14" x14ac:dyDescent="0.5">
      <c r="A2544" t="str">
        <f>"600501"</f>
        <v>600501</v>
      </c>
      <c r="B2544" t="s">
        <v>4813</v>
      </c>
      <c r="C2544">
        <v>5.72</v>
      </c>
      <c r="D2544" t="s">
        <v>24</v>
      </c>
      <c r="E2544">
        <v>8.1300000000000008</v>
      </c>
      <c r="F2544">
        <v>0.44</v>
      </c>
      <c r="G2544">
        <v>8.1199999999999992</v>
      </c>
      <c r="H2544">
        <v>8.1300000000000008</v>
      </c>
      <c r="I2544" t="s">
        <v>4814</v>
      </c>
      <c r="J2544">
        <v>3.46</v>
      </c>
      <c r="K2544">
        <v>3.46</v>
      </c>
      <c r="L2544">
        <v>7.69</v>
      </c>
      <c r="M2544">
        <v>8.18</v>
      </c>
      <c r="N2544">
        <v>7.67</v>
      </c>
    </row>
    <row r="2545" spans="1:14" x14ac:dyDescent="0.5">
      <c r="A2545" t="str">
        <f>"600502"</f>
        <v>600502</v>
      </c>
      <c r="B2545" t="s">
        <v>4815</v>
      </c>
      <c r="C2545">
        <v>2.1</v>
      </c>
      <c r="D2545">
        <v>9.26</v>
      </c>
      <c r="E2545">
        <v>4.38</v>
      </c>
      <c r="F2545">
        <v>0.09</v>
      </c>
      <c r="G2545">
        <v>4.38</v>
      </c>
      <c r="H2545">
        <v>4.3899999999999997</v>
      </c>
      <c r="I2545" t="s">
        <v>4816</v>
      </c>
      <c r="J2545">
        <v>3.54</v>
      </c>
      <c r="K2545">
        <v>3.54</v>
      </c>
      <c r="L2545">
        <v>4.2699999999999996</v>
      </c>
      <c r="M2545">
        <v>4.3899999999999997</v>
      </c>
      <c r="N2545">
        <v>4.25</v>
      </c>
    </row>
    <row r="2546" spans="1:14" x14ac:dyDescent="0.5">
      <c r="A2546" t="str">
        <f>"600503"</f>
        <v>600503</v>
      </c>
      <c r="B2546" t="s">
        <v>4817</v>
      </c>
      <c r="C2546">
        <v>10.119999999999999</v>
      </c>
      <c r="D2546">
        <v>42.6</v>
      </c>
      <c r="E2546">
        <v>4.46</v>
      </c>
      <c r="F2546">
        <v>0.41</v>
      </c>
      <c r="G2546">
        <v>4.46</v>
      </c>
      <c r="H2546" t="s">
        <v>24</v>
      </c>
      <c r="I2546" t="s">
        <v>4818</v>
      </c>
      <c r="J2546">
        <v>5.91</v>
      </c>
      <c r="K2546">
        <v>5.91</v>
      </c>
      <c r="L2546">
        <v>4.0199999999999996</v>
      </c>
      <c r="M2546">
        <v>4.46</v>
      </c>
      <c r="N2546">
        <v>4</v>
      </c>
    </row>
    <row r="2547" spans="1:14" x14ac:dyDescent="0.5">
      <c r="A2547" t="str">
        <f>"600505"</f>
        <v>600505</v>
      </c>
      <c r="B2547" t="s">
        <v>4819</v>
      </c>
      <c r="C2547">
        <v>-1.4</v>
      </c>
      <c r="D2547">
        <v>68.88</v>
      </c>
      <c r="E2547">
        <v>7.05</v>
      </c>
      <c r="F2547">
        <v>-0.1</v>
      </c>
      <c r="G2547">
        <v>7.04</v>
      </c>
      <c r="H2547">
        <v>7.05</v>
      </c>
      <c r="I2547" t="s">
        <v>77</v>
      </c>
      <c r="J2547">
        <v>3.17</v>
      </c>
      <c r="K2547">
        <v>3.17</v>
      </c>
      <c r="L2547">
        <v>7.28</v>
      </c>
      <c r="M2547">
        <v>7.29</v>
      </c>
      <c r="N2547">
        <v>6.9</v>
      </c>
    </row>
    <row r="2548" spans="1:14" x14ac:dyDescent="0.5">
      <c r="A2548" t="str">
        <f>"600506"</f>
        <v>600506</v>
      </c>
      <c r="B2548" t="s">
        <v>4820</v>
      </c>
      <c r="C2548">
        <v>2.67</v>
      </c>
      <c r="D2548">
        <v>1753.68</v>
      </c>
      <c r="E2548">
        <v>11.93</v>
      </c>
      <c r="F2548">
        <v>0.31</v>
      </c>
      <c r="G2548">
        <v>11.93</v>
      </c>
      <c r="H2548">
        <v>11.94</v>
      </c>
      <c r="I2548" t="s">
        <v>3812</v>
      </c>
      <c r="J2548">
        <v>2.57</v>
      </c>
      <c r="K2548">
        <v>2.57</v>
      </c>
      <c r="L2548">
        <v>11.45</v>
      </c>
      <c r="M2548">
        <v>12</v>
      </c>
      <c r="N2548">
        <v>11.45</v>
      </c>
    </row>
    <row r="2549" spans="1:14" x14ac:dyDescent="0.5">
      <c r="A2549" t="str">
        <f>"600507"</f>
        <v>600507</v>
      </c>
      <c r="B2549" t="s">
        <v>4821</v>
      </c>
      <c r="C2549">
        <v>-0.21</v>
      </c>
      <c r="D2549">
        <v>7.1</v>
      </c>
      <c r="E2549">
        <v>14.31</v>
      </c>
      <c r="F2549">
        <v>-0.03</v>
      </c>
      <c r="G2549">
        <v>14.3</v>
      </c>
      <c r="H2549">
        <v>14.31</v>
      </c>
      <c r="I2549" t="s">
        <v>4822</v>
      </c>
      <c r="J2549">
        <v>2.41</v>
      </c>
      <c r="K2549">
        <v>2.41</v>
      </c>
      <c r="L2549">
        <v>14.33</v>
      </c>
      <c r="M2549">
        <v>14.33</v>
      </c>
      <c r="N2549">
        <v>14.13</v>
      </c>
    </row>
    <row r="2550" spans="1:14" x14ac:dyDescent="0.5">
      <c r="A2550" t="str">
        <f>"600508"</f>
        <v>600508</v>
      </c>
      <c r="B2550" t="s">
        <v>4823</v>
      </c>
      <c r="C2550">
        <v>0.55000000000000004</v>
      </c>
      <c r="D2550">
        <v>11.97</v>
      </c>
      <c r="E2550">
        <v>10.91</v>
      </c>
      <c r="F2550">
        <v>0.06</v>
      </c>
      <c r="G2550">
        <v>10.9</v>
      </c>
      <c r="H2550">
        <v>10.91</v>
      </c>
      <c r="I2550" t="s">
        <v>4824</v>
      </c>
      <c r="J2550">
        <v>0.83</v>
      </c>
      <c r="K2550">
        <v>0.83</v>
      </c>
      <c r="L2550">
        <v>10.81</v>
      </c>
      <c r="M2550">
        <v>10.92</v>
      </c>
      <c r="N2550">
        <v>10.79</v>
      </c>
    </row>
    <row r="2551" spans="1:14" x14ac:dyDescent="0.5">
      <c r="A2551" t="str">
        <f>"600509"</f>
        <v>600509</v>
      </c>
      <c r="B2551" t="s">
        <v>4825</v>
      </c>
      <c r="C2551">
        <v>5.67</v>
      </c>
      <c r="D2551" t="s">
        <v>24</v>
      </c>
      <c r="E2551">
        <v>5.03</v>
      </c>
      <c r="F2551">
        <v>0.27</v>
      </c>
      <c r="G2551">
        <v>5.0199999999999996</v>
      </c>
      <c r="H2551">
        <v>5.03</v>
      </c>
      <c r="I2551" t="s">
        <v>4826</v>
      </c>
      <c r="J2551">
        <v>5.22</v>
      </c>
      <c r="K2551">
        <v>5.22</v>
      </c>
      <c r="L2551">
        <v>4.6900000000000004</v>
      </c>
      <c r="M2551">
        <v>5.13</v>
      </c>
      <c r="N2551">
        <v>4.6399999999999997</v>
      </c>
    </row>
    <row r="2552" spans="1:14" x14ac:dyDescent="0.5">
      <c r="A2552" t="str">
        <f>"600510"</f>
        <v>600510</v>
      </c>
      <c r="B2552" t="s">
        <v>4827</v>
      </c>
      <c r="C2552">
        <v>1.7</v>
      </c>
      <c r="D2552">
        <v>17.34</v>
      </c>
      <c r="E2552">
        <v>6.57</v>
      </c>
      <c r="F2552">
        <v>0.11</v>
      </c>
      <c r="G2552">
        <v>6.56</v>
      </c>
      <c r="H2552">
        <v>6.57</v>
      </c>
      <c r="I2552" t="s">
        <v>4828</v>
      </c>
      <c r="J2552">
        <v>0.31</v>
      </c>
      <c r="K2552">
        <v>0.31</v>
      </c>
      <c r="L2552">
        <v>6.46</v>
      </c>
      <c r="M2552">
        <v>6.57</v>
      </c>
      <c r="N2552">
        <v>6.43</v>
      </c>
    </row>
    <row r="2553" spans="1:14" x14ac:dyDescent="0.5">
      <c r="A2553" t="str">
        <f>"600511"</f>
        <v>600511</v>
      </c>
      <c r="B2553" t="s">
        <v>4829</v>
      </c>
      <c r="C2553">
        <v>-0.44</v>
      </c>
      <c r="D2553">
        <v>15.11</v>
      </c>
      <c r="E2553">
        <v>25.01</v>
      </c>
      <c r="F2553">
        <v>-0.11</v>
      </c>
      <c r="G2553">
        <v>25.01</v>
      </c>
      <c r="H2553">
        <v>25.02</v>
      </c>
      <c r="I2553" t="s">
        <v>4830</v>
      </c>
      <c r="J2553">
        <v>1.83</v>
      </c>
      <c r="K2553">
        <v>1.83</v>
      </c>
      <c r="L2553">
        <v>25.13</v>
      </c>
      <c r="M2553">
        <v>25.15</v>
      </c>
      <c r="N2553">
        <v>24.69</v>
      </c>
    </row>
    <row r="2554" spans="1:14" x14ac:dyDescent="0.5">
      <c r="A2554" t="str">
        <f>"600512"</f>
        <v>600512</v>
      </c>
      <c r="B2554" t="s">
        <v>4831</v>
      </c>
      <c r="C2554">
        <v>2.5499999999999998</v>
      </c>
      <c r="D2554" t="s">
        <v>24</v>
      </c>
      <c r="E2554">
        <v>2.81</v>
      </c>
      <c r="F2554">
        <v>7.0000000000000007E-2</v>
      </c>
      <c r="G2554">
        <v>2.81</v>
      </c>
      <c r="H2554">
        <v>2.82</v>
      </c>
      <c r="I2554" t="s">
        <v>3318</v>
      </c>
      <c r="J2554">
        <v>5.84</v>
      </c>
      <c r="K2554">
        <v>5.84</v>
      </c>
      <c r="L2554">
        <v>2.72</v>
      </c>
      <c r="M2554">
        <v>2.87</v>
      </c>
      <c r="N2554">
        <v>2.7</v>
      </c>
    </row>
    <row r="2555" spans="1:14" x14ac:dyDescent="0.5">
      <c r="A2555" t="str">
        <f>"600513"</f>
        <v>600513</v>
      </c>
      <c r="B2555" t="s">
        <v>4832</v>
      </c>
      <c r="C2555">
        <v>0.84</v>
      </c>
      <c r="D2555">
        <v>26.15</v>
      </c>
      <c r="E2555">
        <v>7.22</v>
      </c>
      <c r="F2555">
        <v>0.06</v>
      </c>
      <c r="G2555">
        <v>7.22</v>
      </c>
      <c r="H2555">
        <v>7.23</v>
      </c>
      <c r="I2555" t="s">
        <v>4833</v>
      </c>
      <c r="J2555">
        <v>1.08</v>
      </c>
      <c r="K2555">
        <v>1.08</v>
      </c>
      <c r="L2555">
        <v>7.16</v>
      </c>
      <c r="M2555">
        <v>7.24</v>
      </c>
      <c r="N2555">
        <v>7.1</v>
      </c>
    </row>
    <row r="2556" spans="1:14" x14ac:dyDescent="0.5">
      <c r="A2556" t="str">
        <f>"600515"</f>
        <v>600515</v>
      </c>
      <c r="B2556" t="s">
        <v>4834</v>
      </c>
      <c r="C2556">
        <v>1.75</v>
      </c>
      <c r="D2556">
        <v>12.82</v>
      </c>
      <c r="E2556">
        <v>5.83</v>
      </c>
      <c r="F2556">
        <v>0.1</v>
      </c>
      <c r="G2556">
        <v>5.83</v>
      </c>
      <c r="H2556">
        <v>5.84</v>
      </c>
      <c r="I2556" t="s">
        <v>4835</v>
      </c>
      <c r="J2556">
        <v>2.0699999999999998</v>
      </c>
      <c r="K2556">
        <v>2.0699999999999998</v>
      </c>
      <c r="L2556">
        <v>5.71</v>
      </c>
      <c r="M2556">
        <v>5.92</v>
      </c>
      <c r="N2556">
        <v>5.68</v>
      </c>
    </row>
    <row r="2557" spans="1:14" x14ac:dyDescent="0.5">
      <c r="A2557" t="str">
        <f>"600516"</f>
        <v>600516</v>
      </c>
      <c r="B2557" t="s">
        <v>4836</v>
      </c>
      <c r="C2557">
        <v>1.28</v>
      </c>
      <c r="D2557">
        <v>6.62</v>
      </c>
      <c r="E2557">
        <v>23</v>
      </c>
      <c r="F2557">
        <v>0.28999999999999998</v>
      </c>
      <c r="G2557">
        <v>23</v>
      </c>
      <c r="H2557">
        <v>23.01</v>
      </c>
      <c r="I2557" t="s">
        <v>4837</v>
      </c>
      <c r="J2557">
        <v>3.49</v>
      </c>
      <c r="K2557">
        <v>3.49</v>
      </c>
      <c r="L2557">
        <v>22.62</v>
      </c>
      <c r="M2557">
        <v>23.13</v>
      </c>
      <c r="N2557">
        <v>22.38</v>
      </c>
    </row>
    <row r="2558" spans="1:14" x14ac:dyDescent="0.5">
      <c r="A2558" t="str">
        <f>"600517"</f>
        <v>600517</v>
      </c>
      <c r="B2558" t="s">
        <v>4838</v>
      </c>
      <c r="C2558">
        <v>2.57</v>
      </c>
      <c r="D2558">
        <v>702.63</v>
      </c>
      <c r="E2558">
        <v>4.3899999999999997</v>
      </c>
      <c r="F2558">
        <v>0.11</v>
      </c>
      <c r="G2558">
        <v>4.3899999999999997</v>
      </c>
      <c r="H2558">
        <v>4.4000000000000004</v>
      </c>
      <c r="I2558" t="s">
        <v>4839</v>
      </c>
      <c r="J2558">
        <v>1.43</v>
      </c>
      <c r="K2558">
        <v>1.43</v>
      </c>
      <c r="L2558">
        <v>4.24</v>
      </c>
      <c r="M2558">
        <v>4.3899999999999997</v>
      </c>
      <c r="N2558">
        <v>4.2300000000000004</v>
      </c>
    </row>
    <row r="2559" spans="1:14" x14ac:dyDescent="0.5">
      <c r="A2559" t="str">
        <f>"600518"</f>
        <v>600518</v>
      </c>
      <c r="B2559" t="s">
        <v>4840</v>
      </c>
      <c r="C2559">
        <v>-0.62</v>
      </c>
      <c r="D2559">
        <v>11.51</v>
      </c>
      <c r="E2559">
        <v>11.15</v>
      </c>
      <c r="F2559">
        <v>-7.0000000000000007E-2</v>
      </c>
      <c r="G2559">
        <v>11.14</v>
      </c>
      <c r="H2559">
        <v>11.15</v>
      </c>
      <c r="I2559" t="s">
        <v>4841</v>
      </c>
      <c r="J2559">
        <v>4.62</v>
      </c>
      <c r="K2559">
        <v>4.62</v>
      </c>
      <c r="L2559">
        <v>11.03</v>
      </c>
      <c r="M2559">
        <v>11.22</v>
      </c>
      <c r="N2559">
        <v>10.9</v>
      </c>
    </row>
    <row r="2560" spans="1:14" x14ac:dyDescent="0.5">
      <c r="A2560" t="str">
        <f>"600519"</f>
        <v>600519</v>
      </c>
      <c r="B2560" t="s">
        <v>4842</v>
      </c>
      <c r="C2560">
        <v>-0.27</v>
      </c>
      <c r="D2560">
        <v>31.15</v>
      </c>
      <c r="E2560">
        <v>779.78</v>
      </c>
      <c r="F2560">
        <v>-2.08</v>
      </c>
      <c r="G2560">
        <v>779.78</v>
      </c>
      <c r="H2560">
        <v>779.91</v>
      </c>
      <c r="I2560" t="s">
        <v>4843</v>
      </c>
      <c r="J2560">
        <v>0.36</v>
      </c>
      <c r="K2560">
        <v>0.36</v>
      </c>
      <c r="L2560">
        <v>785</v>
      </c>
      <c r="M2560">
        <v>789.55</v>
      </c>
      <c r="N2560">
        <v>775.88</v>
      </c>
    </row>
    <row r="2561" spans="1:14" x14ac:dyDescent="0.5">
      <c r="A2561" t="str">
        <f>"600520"</f>
        <v>600520</v>
      </c>
      <c r="B2561" t="s">
        <v>4844</v>
      </c>
      <c r="C2561">
        <v>3.05</v>
      </c>
      <c r="D2561">
        <v>2164.81</v>
      </c>
      <c r="E2561">
        <v>14.53</v>
      </c>
      <c r="F2561">
        <v>0.43</v>
      </c>
      <c r="G2561">
        <v>14.53</v>
      </c>
      <c r="H2561">
        <v>14.54</v>
      </c>
      <c r="I2561" t="s">
        <v>4845</v>
      </c>
      <c r="J2561">
        <v>2.86</v>
      </c>
      <c r="K2561">
        <v>2.86</v>
      </c>
      <c r="L2561">
        <v>13.98</v>
      </c>
      <c r="M2561">
        <v>14.95</v>
      </c>
      <c r="N2561">
        <v>13.9</v>
      </c>
    </row>
    <row r="2562" spans="1:14" x14ac:dyDescent="0.5">
      <c r="A2562" t="str">
        <f>"600521"</f>
        <v>600521</v>
      </c>
      <c r="B2562" t="s">
        <v>4846</v>
      </c>
      <c r="C2562">
        <v>1.75</v>
      </c>
      <c r="D2562">
        <v>40.89</v>
      </c>
      <c r="E2562">
        <v>13.99</v>
      </c>
      <c r="F2562">
        <v>0.24</v>
      </c>
      <c r="G2562">
        <v>13.99</v>
      </c>
      <c r="H2562">
        <v>14</v>
      </c>
      <c r="I2562" t="s">
        <v>4847</v>
      </c>
      <c r="J2562">
        <v>1.59</v>
      </c>
      <c r="K2562">
        <v>1.59</v>
      </c>
      <c r="L2562">
        <v>13.75</v>
      </c>
      <c r="M2562">
        <v>14.03</v>
      </c>
      <c r="N2562">
        <v>13.57</v>
      </c>
    </row>
    <row r="2563" spans="1:14" x14ac:dyDescent="0.5">
      <c r="A2563" t="str">
        <f>"600522"</f>
        <v>600522</v>
      </c>
      <c r="B2563" t="s">
        <v>4848</v>
      </c>
      <c r="C2563">
        <v>2.78</v>
      </c>
      <c r="D2563">
        <v>15.4</v>
      </c>
      <c r="E2563">
        <v>10.36</v>
      </c>
      <c r="F2563">
        <v>0.28000000000000003</v>
      </c>
      <c r="G2563">
        <v>10.36</v>
      </c>
      <c r="H2563">
        <v>10.37</v>
      </c>
      <c r="I2563" t="s">
        <v>4849</v>
      </c>
      <c r="J2563">
        <v>3.2</v>
      </c>
      <c r="K2563">
        <v>3.2</v>
      </c>
      <c r="L2563">
        <v>10.02</v>
      </c>
      <c r="M2563">
        <v>10.38</v>
      </c>
      <c r="N2563">
        <v>9.98</v>
      </c>
    </row>
    <row r="2564" spans="1:14" x14ac:dyDescent="0.5">
      <c r="A2564" t="str">
        <f>"600523"</f>
        <v>600523</v>
      </c>
      <c r="B2564" t="s">
        <v>4850</v>
      </c>
      <c r="C2564">
        <v>2.5299999999999998</v>
      </c>
      <c r="D2564">
        <v>24.23</v>
      </c>
      <c r="E2564">
        <v>10.93</v>
      </c>
      <c r="F2564">
        <v>0.27</v>
      </c>
      <c r="G2564">
        <v>10.93</v>
      </c>
      <c r="H2564">
        <v>10.94</v>
      </c>
      <c r="I2564" t="s">
        <v>4851</v>
      </c>
      <c r="J2564">
        <v>3.24</v>
      </c>
      <c r="K2564">
        <v>3.24</v>
      </c>
      <c r="L2564">
        <v>10.59</v>
      </c>
      <c r="M2564">
        <v>11.01</v>
      </c>
      <c r="N2564">
        <v>10.52</v>
      </c>
    </row>
    <row r="2565" spans="1:14" x14ac:dyDescent="0.5">
      <c r="A2565" t="str">
        <f>"600525"</f>
        <v>600525</v>
      </c>
      <c r="B2565" t="s">
        <v>4852</v>
      </c>
      <c r="C2565">
        <v>0.28000000000000003</v>
      </c>
      <c r="D2565">
        <v>5.0999999999999996</v>
      </c>
      <c r="E2565">
        <v>7.08</v>
      </c>
      <c r="F2565">
        <v>0.02</v>
      </c>
      <c r="G2565">
        <v>7.08</v>
      </c>
      <c r="H2565">
        <v>7.09</v>
      </c>
      <c r="I2565" t="s">
        <v>4853</v>
      </c>
      <c r="J2565">
        <v>7.05</v>
      </c>
      <c r="K2565">
        <v>7.05</v>
      </c>
      <c r="L2565">
        <v>6.97</v>
      </c>
      <c r="M2565">
        <v>7.09</v>
      </c>
      <c r="N2565">
        <v>6.91</v>
      </c>
    </row>
    <row r="2566" spans="1:14" x14ac:dyDescent="0.5">
      <c r="A2566" t="str">
        <f>"600526"</f>
        <v>600526</v>
      </c>
      <c r="B2566" t="s">
        <v>4854</v>
      </c>
      <c r="C2566">
        <v>2.87</v>
      </c>
      <c r="D2566" t="s">
        <v>24</v>
      </c>
      <c r="E2566">
        <v>5.74</v>
      </c>
      <c r="F2566">
        <v>0.16</v>
      </c>
      <c r="G2566">
        <v>5.73</v>
      </c>
      <c r="H2566">
        <v>5.74</v>
      </c>
      <c r="I2566" t="s">
        <v>4855</v>
      </c>
      <c r="J2566">
        <v>3.2</v>
      </c>
      <c r="K2566">
        <v>3.2</v>
      </c>
      <c r="L2566">
        <v>5.48</v>
      </c>
      <c r="M2566">
        <v>5.81</v>
      </c>
      <c r="N2566">
        <v>5.43</v>
      </c>
    </row>
    <row r="2567" spans="1:14" x14ac:dyDescent="0.5">
      <c r="A2567" t="str">
        <f>"600527"</f>
        <v>600527</v>
      </c>
      <c r="B2567" t="s">
        <v>4856</v>
      </c>
      <c r="C2567">
        <v>2.29</v>
      </c>
      <c r="D2567">
        <v>42.88</v>
      </c>
      <c r="E2567">
        <v>2.68</v>
      </c>
      <c r="F2567">
        <v>0.06</v>
      </c>
      <c r="G2567">
        <v>2.67</v>
      </c>
      <c r="H2567">
        <v>2.68</v>
      </c>
      <c r="I2567" t="s">
        <v>1925</v>
      </c>
      <c r="J2567">
        <v>5.33</v>
      </c>
      <c r="K2567">
        <v>5.33</v>
      </c>
      <c r="L2567">
        <v>2.6</v>
      </c>
      <c r="M2567">
        <v>2.72</v>
      </c>
      <c r="N2567">
        <v>2.58</v>
      </c>
    </row>
    <row r="2568" spans="1:14" x14ac:dyDescent="0.5">
      <c r="A2568" t="str">
        <f>"600528"</f>
        <v>600528</v>
      </c>
      <c r="B2568" t="s">
        <v>4857</v>
      </c>
      <c r="C2568">
        <v>1.1399999999999999</v>
      </c>
      <c r="D2568">
        <v>17.96</v>
      </c>
      <c r="E2568">
        <v>12.45</v>
      </c>
      <c r="F2568">
        <v>0.14000000000000001</v>
      </c>
      <c r="G2568">
        <v>12.45</v>
      </c>
      <c r="H2568">
        <v>12.46</v>
      </c>
      <c r="I2568" t="s">
        <v>4858</v>
      </c>
      <c r="J2568">
        <v>1.78</v>
      </c>
      <c r="K2568">
        <v>1.78</v>
      </c>
      <c r="L2568">
        <v>12.2</v>
      </c>
      <c r="M2568">
        <v>12.8</v>
      </c>
      <c r="N2568">
        <v>12.16</v>
      </c>
    </row>
    <row r="2569" spans="1:14" x14ac:dyDescent="0.5">
      <c r="A2569" t="str">
        <f>"600529"</f>
        <v>600529</v>
      </c>
      <c r="B2569" t="s">
        <v>4859</v>
      </c>
      <c r="C2569">
        <v>1.55</v>
      </c>
      <c r="D2569">
        <v>27.62</v>
      </c>
      <c r="E2569">
        <v>21.68</v>
      </c>
      <c r="F2569">
        <v>0.33</v>
      </c>
      <c r="G2569">
        <v>21.66</v>
      </c>
      <c r="H2569">
        <v>21.68</v>
      </c>
      <c r="I2569" t="s">
        <v>4860</v>
      </c>
      <c r="J2569">
        <v>1.87</v>
      </c>
      <c r="K2569">
        <v>1.87</v>
      </c>
      <c r="L2569">
        <v>21.27</v>
      </c>
      <c r="M2569">
        <v>21.93</v>
      </c>
      <c r="N2569">
        <v>20.75</v>
      </c>
    </row>
    <row r="2570" spans="1:14" x14ac:dyDescent="0.5">
      <c r="A2570" t="str">
        <f>"600530"</f>
        <v>600530</v>
      </c>
      <c r="B2570" t="s">
        <v>4861</v>
      </c>
      <c r="C2570">
        <v>4.01</v>
      </c>
      <c r="D2570">
        <v>25.84</v>
      </c>
      <c r="E2570">
        <v>5.19</v>
      </c>
      <c r="F2570">
        <v>0.2</v>
      </c>
      <c r="G2570">
        <v>5.18</v>
      </c>
      <c r="H2570">
        <v>5.19</v>
      </c>
      <c r="I2570" t="s">
        <v>4862</v>
      </c>
      <c r="J2570">
        <v>1.73</v>
      </c>
      <c r="K2570">
        <v>1.73</v>
      </c>
      <c r="L2570">
        <v>4.97</v>
      </c>
      <c r="M2570">
        <v>5.25</v>
      </c>
      <c r="N2570">
        <v>4.9400000000000004</v>
      </c>
    </row>
    <row r="2571" spans="1:14" x14ac:dyDescent="0.5">
      <c r="A2571" t="str">
        <f>"600531"</f>
        <v>600531</v>
      </c>
      <c r="B2571" t="s">
        <v>4863</v>
      </c>
      <c r="C2571">
        <v>1.43</v>
      </c>
      <c r="D2571">
        <v>35.56</v>
      </c>
      <c r="E2571">
        <v>5.67</v>
      </c>
      <c r="F2571">
        <v>0.08</v>
      </c>
      <c r="G2571">
        <v>5.67</v>
      </c>
      <c r="H2571">
        <v>5.68</v>
      </c>
      <c r="I2571" t="s">
        <v>4155</v>
      </c>
      <c r="J2571">
        <v>3.32</v>
      </c>
      <c r="K2571">
        <v>3.32</v>
      </c>
      <c r="L2571">
        <v>5.43</v>
      </c>
      <c r="M2571">
        <v>5.7</v>
      </c>
      <c r="N2571">
        <v>5.43</v>
      </c>
    </row>
    <row r="2572" spans="1:14" x14ac:dyDescent="0.5">
      <c r="A2572" t="str">
        <f>"600532"</f>
        <v>600532</v>
      </c>
      <c r="B2572" t="s">
        <v>4864</v>
      </c>
      <c r="C2572">
        <v>0.52</v>
      </c>
      <c r="D2572" t="s">
        <v>24</v>
      </c>
      <c r="E2572">
        <v>5.81</v>
      </c>
      <c r="F2572">
        <v>0.03</v>
      </c>
      <c r="G2572">
        <v>5.81</v>
      </c>
      <c r="H2572">
        <v>5.82</v>
      </c>
      <c r="I2572" t="s">
        <v>4865</v>
      </c>
      <c r="J2572">
        <v>7.08</v>
      </c>
      <c r="K2572">
        <v>7.08</v>
      </c>
      <c r="L2572">
        <v>5.69</v>
      </c>
      <c r="M2572">
        <v>5.83</v>
      </c>
      <c r="N2572">
        <v>5.58</v>
      </c>
    </row>
    <row r="2573" spans="1:14" x14ac:dyDescent="0.5">
      <c r="A2573" t="str">
        <f>"600533"</f>
        <v>600533</v>
      </c>
      <c r="B2573" t="s">
        <v>4866</v>
      </c>
      <c r="C2573">
        <v>1.39</v>
      </c>
      <c r="D2573">
        <v>41.27</v>
      </c>
      <c r="E2573">
        <v>3.66</v>
      </c>
      <c r="F2573">
        <v>0.05</v>
      </c>
      <c r="G2573">
        <v>3.66</v>
      </c>
      <c r="H2573">
        <v>3.67</v>
      </c>
      <c r="I2573" t="s">
        <v>395</v>
      </c>
      <c r="J2573">
        <v>2.69</v>
      </c>
      <c r="K2573">
        <v>2.69</v>
      </c>
      <c r="L2573">
        <v>3.59</v>
      </c>
      <c r="M2573">
        <v>3.67</v>
      </c>
      <c r="N2573">
        <v>3.56</v>
      </c>
    </row>
    <row r="2574" spans="1:14" x14ac:dyDescent="0.5">
      <c r="A2574" t="str">
        <f>"600535"</f>
        <v>600535</v>
      </c>
      <c r="B2574" t="s">
        <v>4867</v>
      </c>
      <c r="C2574">
        <v>7.89</v>
      </c>
      <c r="D2574">
        <v>19.489999999999998</v>
      </c>
      <c r="E2574">
        <v>22.98</v>
      </c>
      <c r="F2574">
        <v>1.68</v>
      </c>
      <c r="G2574">
        <v>22.98</v>
      </c>
      <c r="H2574">
        <v>22.99</v>
      </c>
      <c r="I2574" t="s">
        <v>4868</v>
      </c>
      <c r="J2574">
        <v>1.89</v>
      </c>
      <c r="K2574">
        <v>1.89</v>
      </c>
      <c r="L2574">
        <v>21.25</v>
      </c>
      <c r="M2574">
        <v>23.18</v>
      </c>
      <c r="N2574">
        <v>21.1</v>
      </c>
    </row>
    <row r="2575" spans="1:14" x14ac:dyDescent="0.5">
      <c r="A2575" t="str">
        <f>"600536"</f>
        <v>600536</v>
      </c>
      <c r="B2575" t="s">
        <v>4869</v>
      </c>
      <c r="C2575">
        <v>7.63</v>
      </c>
      <c r="D2575">
        <v>337.37</v>
      </c>
      <c r="E2575">
        <v>33.99</v>
      </c>
      <c r="F2575">
        <v>2.41</v>
      </c>
      <c r="G2575">
        <v>33.979999999999997</v>
      </c>
      <c r="H2575">
        <v>33.99</v>
      </c>
      <c r="I2575" t="s">
        <v>4870</v>
      </c>
      <c r="J2575">
        <v>12.03</v>
      </c>
      <c r="K2575">
        <v>12.03</v>
      </c>
      <c r="L2575">
        <v>32.15</v>
      </c>
      <c r="M2575">
        <v>34.74</v>
      </c>
      <c r="N2575">
        <v>31.9</v>
      </c>
    </row>
    <row r="2576" spans="1:14" x14ac:dyDescent="0.5">
      <c r="A2576" t="str">
        <f>"600537"</f>
        <v>600537</v>
      </c>
      <c r="B2576" t="s">
        <v>4871</v>
      </c>
      <c r="C2576">
        <v>7.85</v>
      </c>
      <c r="D2576">
        <v>85.14</v>
      </c>
      <c r="E2576">
        <v>4.26</v>
      </c>
      <c r="F2576">
        <v>0.31</v>
      </c>
      <c r="G2576">
        <v>4.26</v>
      </c>
      <c r="H2576">
        <v>4.2699999999999996</v>
      </c>
      <c r="I2576" t="s">
        <v>4872</v>
      </c>
      <c r="J2576">
        <v>5.33</v>
      </c>
      <c r="K2576">
        <v>5.33</v>
      </c>
      <c r="L2576">
        <v>3.9</v>
      </c>
      <c r="M2576">
        <v>4.3499999999999996</v>
      </c>
      <c r="N2576">
        <v>3.86</v>
      </c>
    </row>
    <row r="2577" spans="1:14" x14ac:dyDescent="0.5">
      <c r="A2577" t="str">
        <f>"600538"</f>
        <v>600538</v>
      </c>
      <c r="B2577" t="s">
        <v>4873</v>
      </c>
      <c r="C2577">
        <v>4.09</v>
      </c>
      <c r="D2577">
        <v>182.68</v>
      </c>
      <c r="E2577">
        <v>5.35</v>
      </c>
      <c r="F2577">
        <v>0.21</v>
      </c>
      <c r="G2577">
        <v>5.35</v>
      </c>
      <c r="H2577">
        <v>5.36</v>
      </c>
      <c r="I2577" t="s">
        <v>4874</v>
      </c>
      <c r="J2577">
        <v>2.31</v>
      </c>
      <c r="K2577">
        <v>2.31</v>
      </c>
      <c r="L2577">
        <v>5.13</v>
      </c>
      <c r="M2577">
        <v>5.35</v>
      </c>
      <c r="N2577">
        <v>5.07</v>
      </c>
    </row>
    <row r="2578" spans="1:14" x14ac:dyDescent="0.5">
      <c r="A2578" t="str">
        <f>"600539"</f>
        <v>600539</v>
      </c>
      <c r="B2578" t="s">
        <v>4875</v>
      </c>
      <c r="C2578">
        <v>0.72</v>
      </c>
      <c r="D2578" t="s">
        <v>24</v>
      </c>
      <c r="E2578">
        <v>6.95</v>
      </c>
      <c r="F2578">
        <v>0.05</v>
      </c>
      <c r="G2578">
        <v>6.94</v>
      </c>
      <c r="H2578">
        <v>6.95</v>
      </c>
      <c r="I2578" t="s">
        <v>4876</v>
      </c>
      <c r="J2578">
        <v>0.31</v>
      </c>
      <c r="K2578">
        <v>0.31</v>
      </c>
      <c r="L2578">
        <v>6.9</v>
      </c>
      <c r="M2578">
        <v>6.95</v>
      </c>
      <c r="N2578">
        <v>6.87</v>
      </c>
    </row>
    <row r="2579" spans="1:14" x14ac:dyDescent="0.5">
      <c r="A2579" t="str">
        <f>"600540"</f>
        <v>600540</v>
      </c>
      <c r="B2579" t="s">
        <v>4877</v>
      </c>
      <c r="C2579">
        <v>0.66</v>
      </c>
      <c r="D2579">
        <v>406.61</v>
      </c>
      <c r="E2579">
        <v>4.5999999999999996</v>
      </c>
      <c r="F2579">
        <v>0.03</v>
      </c>
      <c r="G2579">
        <v>4.5999999999999996</v>
      </c>
      <c r="H2579">
        <v>4.6100000000000003</v>
      </c>
      <c r="I2579" t="s">
        <v>4878</v>
      </c>
      <c r="J2579">
        <v>2.06</v>
      </c>
      <c r="K2579">
        <v>2.06</v>
      </c>
      <c r="L2579">
        <v>4.55</v>
      </c>
      <c r="M2579">
        <v>4.62</v>
      </c>
      <c r="N2579">
        <v>4.5199999999999996</v>
      </c>
    </row>
    <row r="2580" spans="1:14" x14ac:dyDescent="0.5">
      <c r="A2580" t="str">
        <f>"600543"</f>
        <v>600543</v>
      </c>
      <c r="B2580" t="s">
        <v>4879</v>
      </c>
      <c r="C2580">
        <v>0</v>
      </c>
      <c r="D2580">
        <v>107.84</v>
      </c>
      <c r="E2580">
        <v>6.88</v>
      </c>
      <c r="F2580">
        <v>0</v>
      </c>
      <c r="G2580">
        <v>6.88</v>
      </c>
      <c r="H2580">
        <v>6.89</v>
      </c>
      <c r="I2580" t="s">
        <v>4880</v>
      </c>
      <c r="J2580">
        <v>5.48</v>
      </c>
      <c r="K2580">
        <v>5.48</v>
      </c>
      <c r="L2580">
        <v>6.79</v>
      </c>
      <c r="M2580">
        <v>6.89</v>
      </c>
      <c r="N2580">
        <v>6.74</v>
      </c>
    </row>
    <row r="2581" spans="1:14" x14ac:dyDescent="0.5">
      <c r="A2581" t="str">
        <f>"600545"</f>
        <v>600545</v>
      </c>
      <c r="B2581" t="s">
        <v>4881</v>
      </c>
      <c r="C2581">
        <v>2.04</v>
      </c>
      <c r="D2581">
        <v>19.829999999999998</v>
      </c>
      <c r="E2581">
        <v>7.99</v>
      </c>
      <c r="F2581">
        <v>0.16</v>
      </c>
      <c r="G2581">
        <v>7.98</v>
      </c>
      <c r="H2581">
        <v>7.99</v>
      </c>
      <c r="I2581" t="s">
        <v>4882</v>
      </c>
      <c r="J2581">
        <v>2.8</v>
      </c>
      <c r="K2581">
        <v>2.8</v>
      </c>
      <c r="L2581">
        <v>7.85</v>
      </c>
      <c r="M2581">
        <v>8.0299999999999994</v>
      </c>
      <c r="N2581">
        <v>7.8</v>
      </c>
    </row>
    <row r="2582" spans="1:14" x14ac:dyDescent="0.5">
      <c r="A2582" t="str">
        <f>"600546"</f>
        <v>600546</v>
      </c>
      <c r="B2582" t="s">
        <v>4883</v>
      </c>
      <c r="C2582">
        <v>1.06</v>
      </c>
      <c r="D2582">
        <v>11.21</v>
      </c>
      <c r="E2582">
        <v>3.82</v>
      </c>
      <c r="F2582">
        <v>0.04</v>
      </c>
      <c r="G2582">
        <v>3.81</v>
      </c>
      <c r="H2582">
        <v>3.82</v>
      </c>
      <c r="I2582" t="s">
        <v>1297</v>
      </c>
      <c r="J2582">
        <v>1.1599999999999999</v>
      </c>
      <c r="K2582">
        <v>1.1599999999999999</v>
      </c>
      <c r="L2582">
        <v>3.77</v>
      </c>
      <c r="M2582">
        <v>3.82</v>
      </c>
      <c r="N2582">
        <v>3.74</v>
      </c>
    </row>
    <row r="2583" spans="1:14" x14ac:dyDescent="0.5">
      <c r="A2583" t="str">
        <f>"600547"</f>
        <v>600547</v>
      </c>
      <c r="B2583" t="s">
        <v>4884</v>
      </c>
      <c r="C2583">
        <v>-1.58</v>
      </c>
      <c r="D2583">
        <v>70.89</v>
      </c>
      <c r="E2583">
        <v>32.43</v>
      </c>
      <c r="F2583">
        <v>-0.52</v>
      </c>
      <c r="G2583">
        <v>32.43</v>
      </c>
      <c r="H2583">
        <v>32.44</v>
      </c>
      <c r="I2583" t="s">
        <v>4885</v>
      </c>
      <c r="J2583">
        <v>2.21</v>
      </c>
      <c r="K2583">
        <v>2.21</v>
      </c>
      <c r="L2583">
        <v>32.43</v>
      </c>
      <c r="M2583">
        <v>32.6</v>
      </c>
      <c r="N2583">
        <v>32.15</v>
      </c>
    </row>
    <row r="2584" spans="1:14" x14ac:dyDescent="0.5">
      <c r="A2584" t="str">
        <f>"600548"</f>
        <v>600548</v>
      </c>
      <c r="B2584" t="s">
        <v>4886</v>
      </c>
      <c r="C2584">
        <v>-0.21</v>
      </c>
      <c r="D2584">
        <v>11.53</v>
      </c>
      <c r="E2584">
        <v>9.4499999999999993</v>
      </c>
      <c r="F2584">
        <v>-0.02</v>
      </c>
      <c r="G2584">
        <v>9.44</v>
      </c>
      <c r="H2584">
        <v>9.4499999999999993</v>
      </c>
      <c r="I2584" t="s">
        <v>4887</v>
      </c>
      <c r="J2584">
        <v>0.42</v>
      </c>
      <c r="K2584">
        <v>0.42</v>
      </c>
      <c r="L2584">
        <v>9.4600000000000009</v>
      </c>
      <c r="M2584">
        <v>9.48</v>
      </c>
      <c r="N2584">
        <v>9.3699999999999992</v>
      </c>
    </row>
    <row r="2585" spans="1:14" x14ac:dyDescent="0.5">
      <c r="A2585" t="str">
        <f>"600549"</f>
        <v>600549</v>
      </c>
      <c r="B2585" t="s">
        <v>4888</v>
      </c>
      <c r="C2585">
        <v>1.87</v>
      </c>
      <c r="D2585">
        <v>42.01</v>
      </c>
      <c r="E2585">
        <v>14.71</v>
      </c>
      <c r="F2585">
        <v>0.27</v>
      </c>
      <c r="G2585">
        <v>14.71</v>
      </c>
      <c r="H2585">
        <v>14.72</v>
      </c>
      <c r="I2585" t="s">
        <v>4889</v>
      </c>
      <c r="J2585">
        <v>1.66</v>
      </c>
      <c r="K2585">
        <v>1.66</v>
      </c>
      <c r="L2585">
        <v>14.42</v>
      </c>
      <c r="M2585">
        <v>14.79</v>
      </c>
      <c r="N2585">
        <v>14.31</v>
      </c>
    </row>
    <row r="2586" spans="1:14" x14ac:dyDescent="0.5">
      <c r="A2586" t="str">
        <f>"600550"</f>
        <v>600550</v>
      </c>
      <c r="B2586" t="s">
        <v>4890</v>
      </c>
      <c r="C2586">
        <v>4.08</v>
      </c>
      <c r="D2586" t="s">
        <v>24</v>
      </c>
      <c r="E2586">
        <v>4.59</v>
      </c>
      <c r="F2586">
        <v>0.18</v>
      </c>
      <c r="G2586">
        <v>4.59</v>
      </c>
      <c r="H2586">
        <v>4.5999999999999996</v>
      </c>
      <c r="I2586" t="s">
        <v>4891</v>
      </c>
      <c r="J2586">
        <v>1.65</v>
      </c>
      <c r="K2586">
        <v>1.65</v>
      </c>
      <c r="L2586">
        <v>4.41</v>
      </c>
      <c r="M2586">
        <v>4.63</v>
      </c>
      <c r="N2586">
        <v>4.4000000000000004</v>
      </c>
    </row>
    <row r="2587" spans="1:14" x14ac:dyDescent="0.5">
      <c r="A2587" t="str">
        <f>"600551"</f>
        <v>600551</v>
      </c>
      <c r="B2587" t="s">
        <v>4892</v>
      </c>
      <c r="C2587">
        <v>1.54</v>
      </c>
      <c r="D2587">
        <v>15.7</v>
      </c>
      <c r="E2587">
        <v>9.89</v>
      </c>
      <c r="F2587">
        <v>0.15</v>
      </c>
      <c r="G2587">
        <v>9.8800000000000008</v>
      </c>
      <c r="H2587">
        <v>9.89</v>
      </c>
      <c r="I2587" t="s">
        <v>4893</v>
      </c>
      <c r="J2587">
        <v>0.75</v>
      </c>
      <c r="K2587">
        <v>0.75</v>
      </c>
      <c r="L2587">
        <v>9.74</v>
      </c>
      <c r="M2587">
        <v>9.89</v>
      </c>
      <c r="N2587">
        <v>9.7200000000000006</v>
      </c>
    </row>
    <row r="2588" spans="1:14" x14ac:dyDescent="0.5">
      <c r="A2588" t="str">
        <f>"600552"</f>
        <v>600552</v>
      </c>
      <c r="B2588" t="s">
        <v>4894</v>
      </c>
      <c r="C2588">
        <v>4.1500000000000004</v>
      </c>
      <c r="D2588">
        <v>78.37</v>
      </c>
      <c r="E2588">
        <v>6.52</v>
      </c>
      <c r="F2588">
        <v>0.26</v>
      </c>
      <c r="G2588">
        <v>6.51</v>
      </c>
      <c r="H2588">
        <v>6.52</v>
      </c>
      <c r="I2588" t="s">
        <v>4895</v>
      </c>
      <c r="J2588">
        <v>13.21</v>
      </c>
      <c r="K2588">
        <v>13.21</v>
      </c>
      <c r="L2588">
        <v>6.1</v>
      </c>
      <c r="M2588">
        <v>6.64</v>
      </c>
      <c r="N2588">
        <v>6.03</v>
      </c>
    </row>
    <row r="2589" spans="1:14" x14ac:dyDescent="0.5">
      <c r="A2589" t="str">
        <f>"600555"</f>
        <v>600555</v>
      </c>
      <c r="B2589" t="s">
        <v>4896</v>
      </c>
      <c r="C2589">
        <v>2.52</v>
      </c>
      <c r="D2589">
        <v>17.64</v>
      </c>
      <c r="E2589">
        <v>3.26</v>
      </c>
      <c r="F2589">
        <v>0.08</v>
      </c>
      <c r="G2589">
        <v>3.25</v>
      </c>
      <c r="H2589">
        <v>3.26</v>
      </c>
      <c r="I2589" t="s">
        <v>4897</v>
      </c>
      <c r="J2589">
        <v>4.41</v>
      </c>
      <c r="K2589">
        <v>4.41</v>
      </c>
      <c r="L2589">
        <v>3.18</v>
      </c>
      <c r="M2589">
        <v>3.31</v>
      </c>
      <c r="N2589">
        <v>3.12</v>
      </c>
    </row>
    <row r="2590" spans="1:14" x14ac:dyDescent="0.5">
      <c r="A2590" t="str">
        <f>"600556"</f>
        <v>600556</v>
      </c>
      <c r="B2590" t="s">
        <v>4898</v>
      </c>
      <c r="C2590">
        <v>1.66</v>
      </c>
      <c r="D2590" t="s">
        <v>24</v>
      </c>
      <c r="E2590">
        <v>7.37</v>
      </c>
      <c r="F2590">
        <v>0.12</v>
      </c>
      <c r="G2590">
        <v>7.36</v>
      </c>
      <c r="H2590">
        <v>7.37</v>
      </c>
      <c r="I2590" t="s">
        <v>4899</v>
      </c>
      <c r="J2590">
        <v>1.51</v>
      </c>
      <c r="K2590">
        <v>1.51</v>
      </c>
      <c r="L2590">
        <v>7.28</v>
      </c>
      <c r="M2590">
        <v>7.5</v>
      </c>
      <c r="N2590">
        <v>7.25</v>
      </c>
    </row>
    <row r="2591" spans="1:14" x14ac:dyDescent="0.5">
      <c r="A2591" t="str">
        <f>"600557"</f>
        <v>600557</v>
      </c>
      <c r="B2591" t="s">
        <v>4900</v>
      </c>
      <c r="C2591">
        <v>1.61</v>
      </c>
      <c r="D2591">
        <v>19.489999999999998</v>
      </c>
      <c r="E2591">
        <v>12.65</v>
      </c>
      <c r="F2591">
        <v>0.2</v>
      </c>
      <c r="G2591">
        <v>12.64</v>
      </c>
      <c r="H2591">
        <v>12.65</v>
      </c>
      <c r="I2591" t="s">
        <v>4901</v>
      </c>
      <c r="J2591">
        <v>1.17</v>
      </c>
      <c r="K2591">
        <v>1.17</v>
      </c>
      <c r="L2591">
        <v>12.39</v>
      </c>
      <c r="M2591">
        <v>12.72</v>
      </c>
      <c r="N2591">
        <v>12.18</v>
      </c>
    </row>
    <row r="2592" spans="1:14" x14ac:dyDescent="0.5">
      <c r="A2592" t="str">
        <f>"600558"</f>
        <v>600558</v>
      </c>
      <c r="B2592" t="s">
        <v>4902</v>
      </c>
      <c r="C2592">
        <v>1</v>
      </c>
      <c r="D2592">
        <v>46.01</v>
      </c>
      <c r="E2592">
        <v>4.0599999999999996</v>
      </c>
      <c r="F2592">
        <v>0.04</v>
      </c>
      <c r="G2592">
        <v>4.0599999999999996</v>
      </c>
      <c r="H2592">
        <v>4.07</v>
      </c>
      <c r="I2592" t="s">
        <v>4903</v>
      </c>
      <c r="J2592">
        <v>1.46</v>
      </c>
      <c r="K2592">
        <v>1.46</v>
      </c>
      <c r="L2592">
        <v>4.01</v>
      </c>
      <c r="M2592">
        <v>4.0599999999999996</v>
      </c>
      <c r="N2592">
        <v>3.96</v>
      </c>
    </row>
    <row r="2593" spans="1:14" x14ac:dyDescent="0.5">
      <c r="A2593" t="str">
        <f>"600559"</f>
        <v>600559</v>
      </c>
      <c r="B2593" t="s">
        <v>4904</v>
      </c>
      <c r="C2593">
        <v>0.06</v>
      </c>
      <c r="D2593">
        <v>37.65</v>
      </c>
      <c r="E2593">
        <v>15.85</v>
      </c>
      <c r="F2593">
        <v>0.01</v>
      </c>
      <c r="G2593">
        <v>15.85</v>
      </c>
      <c r="H2593">
        <v>15.86</v>
      </c>
      <c r="I2593" t="s">
        <v>4905</v>
      </c>
      <c r="J2593">
        <v>1.87</v>
      </c>
      <c r="K2593">
        <v>1.87</v>
      </c>
      <c r="L2593">
        <v>15.82</v>
      </c>
      <c r="M2593">
        <v>15.91</v>
      </c>
      <c r="N2593">
        <v>15.58</v>
      </c>
    </row>
    <row r="2594" spans="1:14" x14ac:dyDescent="0.5">
      <c r="A2594" t="str">
        <f>"600560"</f>
        <v>600560</v>
      </c>
      <c r="B2594" t="s">
        <v>4906</v>
      </c>
      <c r="C2594">
        <v>3.72</v>
      </c>
      <c r="D2594">
        <v>103.45</v>
      </c>
      <c r="E2594">
        <v>10.039999999999999</v>
      </c>
      <c r="F2594">
        <v>0.36</v>
      </c>
      <c r="G2594">
        <v>10.029999999999999</v>
      </c>
      <c r="H2594">
        <v>10.039999999999999</v>
      </c>
      <c r="I2594" t="s">
        <v>4907</v>
      </c>
      <c r="J2594">
        <v>5.53</v>
      </c>
      <c r="K2594">
        <v>5.53</v>
      </c>
      <c r="L2594">
        <v>9.65</v>
      </c>
      <c r="M2594">
        <v>10.1</v>
      </c>
      <c r="N2594">
        <v>9.65</v>
      </c>
    </row>
    <row r="2595" spans="1:14" x14ac:dyDescent="0.5">
      <c r="A2595" t="str">
        <f>"600561"</f>
        <v>600561</v>
      </c>
      <c r="B2595" t="s">
        <v>4908</v>
      </c>
      <c r="C2595">
        <v>2.08</v>
      </c>
      <c r="D2595">
        <v>54.48</v>
      </c>
      <c r="E2595">
        <v>6.39</v>
      </c>
      <c r="F2595">
        <v>0.13</v>
      </c>
      <c r="G2595">
        <v>6.39</v>
      </c>
      <c r="H2595">
        <v>6.4</v>
      </c>
      <c r="I2595" t="s">
        <v>4909</v>
      </c>
      <c r="J2595">
        <v>1.53</v>
      </c>
      <c r="K2595">
        <v>1.53</v>
      </c>
      <c r="L2595">
        <v>6.25</v>
      </c>
      <c r="M2595">
        <v>6.43</v>
      </c>
      <c r="N2595">
        <v>6.23</v>
      </c>
    </row>
    <row r="2596" spans="1:14" x14ac:dyDescent="0.5">
      <c r="A2596" t="str">
        <f>"600562"</f>
        <v>600562</v>
      </c>
      <c r="B2596" t="s">
        <v>4910</v>
      </c>
      <c r="C2596">
        <v>3.9</v>
      </c>
      <c r="D2596">
        <v>137.21</v>
      </c>
      <c r="E2596">
        <v>16.25</v>
      </c>
      <c r="F2596">
        <v>0.61</v>
      </c>
      <c r="G2596">
        <v>16.25</v>
      </c>
      <c r="H2596">
        <v>16.260000000000002</v>
      </c>
      <c r="I2596" t="s">
        <v>4911</v>
      </c>
      <c r="J2596">
        <v>1.6</v>
      </c>
      <c r="K2596">
        <v>1.6</v>
      </c>
      <c r="L2596">
        <v>15.63</v>
      </c>
      <c r="M2596">
        <v>16.260000000000002</v>
      </c>
      <c r="N2596">
        <v>15.43</v>
      </c>
    </row>
    <row r="2597" spans="1:14" x14ac:dyDescent="0.5">
      <c r="A2597" t="str">
        <f>"600563"</f>
        <v>600563</v>
      </c>
      <c r="B2597" t="s">
        <v>4912</v>
      </c>
      <c r="C2597">
        <v>1.31</v>
      </c>
      <c r="D2597">
        <v>24.1</v>
      </c>
      <c r="E2597">
        <v>48.57</v>
      </c>
      <c r="F2597">
        <v>0.63</v>
      </c>
      <c r="G2597">
        <v>48.56</v>
      </c>
      <c r="H2597">
        <v>48.57</v>
      </c>
      <c r="I2597" t="s">
        <v>4913</v>
      </c>
      <c r="J2597">
        <v>1.1399999999999999</v>
      </c>
      <c r="K2597">
        <v>1.1399999999999999</v>
      </c>
      <c r="L2597">
        <v>47.89</v>
      </c>
      <c r="M2597">
        <v>48.92</v>
      </c>
      <c r="N2597">
        <v>47.58</v>
      </c>
    </row>
    <row r="2598" spans="1:14" x14ac:dyDescent="0.5">
      <c r="A2598" t="str">
        <f>"600565"</f>
        <v>600565</v>
      </c>
      <c r="B2598" t="s">
        <v>4914</v>
      </c>
      <c r="C2598">
        <v>2.33</v>
      </c>
      <c r="D2598">
        <v>15.47</v>
      </c>
      <c r="E2598">
        <v>3.51</v>
      </c>
      <c r="F2598">
        <v>0.08</v>
      </c>
      <c r="G2598">
        <v>3.5</v>
      </c>
      <c r="H2598">
        <v>3.51</v>
      </c>
      <c r="I2598" t="s">
        <v>4915</v>
      </c>
      <c r="J2598">
        <v>1.74</v>
      </c>
      <c r="K2598">
        <v>1.74</v>
      </c>
      <c r="L2598">
        <v>3.44</v>
      </c>
      <c r="M2598">
        <v>3.51</v>
      </c>
      <c r="N2598">
        <v>3.43</v>
      </c>
    </row>
    <row r="2599" spans="1:14" x14ac:dyDescent="0.5">
      <c r="A2599" t="str">
        <f>"600566"</f>
        <v>600566</v>
      </c>
      <c r="B2599" t="s">
        <v>4916</v>
      </c>
      <c r="C2599">
        <v>-0.06</v>
      </c>
      <c r="D2599">
        <v>17.41</v>
      </c>
      <c r="E2599">
        <v>35.36</v>
      </c>
      <c r="F2599">
        <v>-0.02</v>
      </c>
      <c r="G2599">
        <v>35.36</v>
      </c>
      <c r="H2599">
        <v>35.369999999999997</v>
      </c>
      <c r="I2599" t="s">
        <v>4917</v>
      </c>
      <c r="J2599">
        <v>1.1499999999999999</v>
      </c>
      <c r="K2599">
        <v>1.1499999999999999</v>
      </c>
      <c r="L2599">
        <v>35.479999999999997</v>
      </c>
      <c r="M2599">
        <v>35.82</v>
      </c>
      <c r="N2599">
        <v>34.89</v>
      </c>
    </row>
    <row r="2600" spans="1:14" x14ac:dyDescent="0.5">
      <c r="A2600" t="str">
        <f>"600567"</f>
        <v>600567</v>
      </c>
      <c r="B2600" t="s">
        <v>4918</v>
      </c>
      <c r="C2600">
        <v>2.78</v>
      </c>
      <c r="D2600">
        <v>5.85</v>
      </c>
      <c r="E2600">
        <v>4.07</v>
      </c>
      <c r="F2600">
        <v>0.11</v>
      </c>
      <c r="G2600">
        <v>4.07</v>
      </c>
      <c r="H2600">
        <v>4.08</v>
      </c>
      <c r="I2600" t="s">
        <v>4919</v>
      </c>
      <c r="J2600">
        <v>3.33</v>
      </c>
      <c r="K2600">
        <v>3.33</v>
      </c>
      <c r="L2600">
        <v>3.95</v>
      </c>
      <c r="M2600">
        <v>4.1500000000000004</v>
      </c>
      <c r="N2600">
        <v>3.88</v>
      </c>
    </row>
    <row r="2601" spans="1:14" x14ac:dyDescent="0.5">
      <c r="A2601" t="str">
        <f>"600568"</f>
        <v>600568</v>
      </c>
      <c r="B2601" t="s">
        <v>4920</v>
      </c>
      <c r="C2601">
        <v>3.28</v>
      </c>
      <c r="D2601" t="s">
        <v>24</v>
      </c>
      <c r="E2601">
        <v>2.83</v>
      </c>
      <c r="F2601">
        <v>0.09</v>
      </c>
      <c r="G2601">
        <v>2.82</v>
      </c>
      <c r="H2601">
        <v>2.83</v>
      </c>
      <c r="I2601" t="s">
        <v>4921</v>
      </c>
      <c r="J2601">
        <v>7.18</v>
      </c>
      <c r="K2601">
        <v>7.18</v>
      </c>
      <c r="L2601">
        <v>2.75</v>
      </c>
      <c r="M2601">
        <v>2.83</v>
      </c>
      <c r="N2601">
        <v>2.72</v>
      </c>
    </row>
    <row r="2602" spans="1:14" x14ac:dyDescent="0.5">
      <c r="A2602" t="str">
        <f>"600569"</f>
        <v>600569</v>
      </c>
      <c r="B2602" t="s">
        <v>4922</v>
      </c>
      <c r="C2602">
        <v>0.27</v>
      </c>
      <c r="D2602">
        <v>4</v>
      </c>
      <c r="E2602">
        <v>3.71</v>
      </c>
      <c r="F2602">
        <v>0.01</v>
      </c>
      <c r="G2602">
        <v>3.7</v>
      </c>
      <c r="H2602">
        <v>3.71</v>
      </c>
      <c r="I2602" t="s">
        <v>3390</v>
      </c>
      <c r="J2602">
        <v>2.2400000000000002</v>
      </c>
      <c r="K2602">
        <v>2.2400000000000002</v>
      </c>
      <c r="L2602">
        <v>3.66</v>
      </c>
      <c r="M2602">
        <v>3.71</v>
      </c>
      <c r="N2602">
        <v>3.64</v>
      </c>
    </row>
    <row r="2603" spans="1:14" x14ac:dyDescent="0.5">
      <c r="A2603" t="str">
        <f>"600570"</f>
        <v>600570</v>
      </c>
      <c r="B2603" t="s">
        <v>4923</v>
      </c>
      <c r="C2603">
        <v>-0.78</v>
      </c>
      <c r="D2603">
        <v>100.62</v>
      </c>
      <c r="E2603">
        <v>87.62</v>
      </c>
      <c r="F2603">
        <v>-0.69</v>
      </c>
      <c r="G2603">
        <v>87.62</v>
      </c>
      <c r="H2603">
        <v>87.63</v>
      </c>
      <c r="I2603" t="s">
        <v>4924</v>
      </c>
      <c r="J2603">
        <v>3.89</v>
      </c>
      <c r="K2603">
        <v>3.89</v>
      </c>
      <c r="L2603">
        <v>86.15</v>
      </c>
      <c r="M2603">
        <v>87.97</v>
      </c>
      <c r="N2603">
        <v>85.5</v>
      </c>
    </row>
    <row r="2604" spans="1:14" x14ac:dyDescent="0.5">
      <c r="A2604" t="str">
        <f>"600571"</f>
        <v>600571</v>
      </c>
      <c r="B2604" t="s">
        <v>4925</v>
      </c>
      <c r="C2604">
        <v>1.27</v>
      </c>
      <c r="D2604" t="s">
        <v>24</v>
      </c>
      <c r="E2604">
        <v>11.13</v>
      </c>
      <c r="F2604">
        <v>0.14000000000000001</v>
      </c>
      <c r="G2604">
        <v>11.13</v>
      </c>
      <c r="H2604">
        <v>11.14</v>
      </c>
      <c r="I2604" t="s">
        <v>4926</v>
      </c>
      <c r="J2604">
        <v>11.22</v>
      </c>
      <c r="K2604">
        <v>11.22</v>
      </c>
      <c r="L2604">
        <v>10.6</v>
      </c>
      <c r="M2604">
        <v>11.18</v>
      </c>
      <c r="N2604">
        <v>10.4</v>
      </c>
    </row>
    <row r="2605" spans="1:14" x14ac:dyDescent="0.5">
      <c r="A2605" t="str">
        <f>"600572"</f>
        <v>600572</v>
      </c>
      <c r="B2605" t="s">
        <v>4927</v>
      </c>
      <c r="C2605">
        <v>-0.6</v>
      </c>
      <c r="D2605">
        <v>24.6</v>
      </c>
      <c r="E2605">
        <v>8.23</v>
      </c>
      <c r="F2605">
        <v>-0.05</v>
      </c>
      <c r="G2605">
        <v>8.23</v>
      </c>
      <c r="H2605">
        <v>8.24</v>
      </c>
      <c r="I2605" t="s">
        <v>4928</v>
      </c>
      <c r="J2605">
        <v>6.09</v>
      </c>
      <c r="K2605">
        <v>6.09</v>
      </c>
      <c r="L2605">
        <v>8.1199999999999992</v>
      </c>
      <c r="M2605">
        <v>8.43</v>
      </c>
      <c r="N2605">
        <v>8.0500000000000007</v>
      </c>
    </row>
    <row r="2606" spans="1:14" x14ac:dyDescent="0.5">
      <c r="A2606" t="str">
        <f>"600573"</f>
        <v>600573</v>
      </c>
      <c r="B2606" t="s">
        <v>4929</v>
      </c>
      <c r="C2606">
        <v>0.37</v>
      </c>
      <c r="D2606">
        <v>48.46</v>
      </c>
      <c r="E2606">
        <v>8.0399999999999991</v>
      </c>
      <c r="F2606">
        <v>0.03</v>
      </c>
      <c r="G2606">
        <v>8.0399999999999991</v>
      </c>
      <c r="H2606">
        <v>8.0500000000000007</v>
      </c>
      <c r="I2606" t="s">
        <v>2746</v>
      </c>
      <c r="J2606">
        <v>0.9</v>
      </c>
      <c r="K2606">
        <v>0.9</v>
      </c>
      <c r="L2606">
        <v>8.02</v>
      </c>
      <c r="M2606">
        <v>8.06</v>
      </c>
      <c r="N2606">
        <v>7.88</v>
      </c>
    </row>
    <row r="2607" spans="1:14" x14ac:dyDescent="0.5">
      <c r="A2607" t="str">
        <f>"600575"</f>
        <v>600575</v>
      </c>
      <c r="B2607" t="s">
        <v>4930</v>
      </c>
      <c r="C2607">
        <v>1.51</v>
      </c>
      <c r="D2607">
        <v>28.95</v>
      </c>
      <c r="E2607">
        <v>2.69</v>
      </c>
      <c r="F2607">
        <v>0.04</v>
      </c>
      <c r="G2607">
        <v>2.68</v>
      </c>
      <c r="H2607">
        <v>2.69</v>
      </c>
      <c r="I2607" t="s">
        <v>4931</v>
      </c>
      <c r="J2607">
        <v>1.48</v>
      </c>
      <c r="K2607">
        <v>1.48</v>
      </c>
      <c r="L2607">
        <v>2.63</v>
      </c>
      <c r="M2607">
        <v>2.69</v>
      </c>
      <c r="N2607">
        <v>2.61</v>
      </c>
    </row>
    <row r="2608" spans="1:14" x14ac:dyDescent="0.5">
      <c r="A2608" t="str">
        <f>"600576"</f>
        <v>600576</v>
      </c>
      <c r="B2608" t="s">
        <v>4932</v>
      </c>
      <c r="C2608">
        <v>3.63</v>
      </c>
      <c r="D2608">
        <v>33.6</v>
      </c>
      <c r="E2608">
        <v>4.8499999999999996</v>
      </c>
      <c r="F2608">
        <v>0.17</v>
      </c>
      <c r="G2608">
        <v>4.84</v>
      </c>
      <c r="H2608">
        <v>4.8499999999999996</v>
      </c>
      <c r="I2608" t="s">
        <v>4933</v>
      </c>
      <c r="J2608">
        <v>1.94</v>
      </c>
      <c r="K2608">
        <v>1.94</v>
      </c>
      <c r="L2608">
        <v>4.68</v>
      </c>
      <c r="M2608">
        <v>4.8499999999999996</v>
      </c>
      <c r="N2608">
        <v>4.6399999999999997</v>
      </c>
    </row>
    <row r="2609" spans="1:14" x14ac:dyDescent="0.5">
      <c r="A2609" t="str">
        <f>"600577"</f>
        <v>600577</v>
      </c>
      <c r="B2609" t="s">
        <v>4934</v>
      </c>
      <c r="C2609">
        <v>2.33</v>
      </c>
      <c r="D2609">
        <v>13.96</v>
      </c>
      <c r="E2609">
        <v>3.51</v>
      </c>
      <c r="F2609">
        <v>0.08</v>
      </c>
      <c r="G2609">
        <v>3.51</v>
      </c>
      <c r="H2609">
        <v>3.52</v>
      </c>
      <c r="I2609" t="s">
        <v>1171</v>
      </c>
      <c r="J2609">
        <v>2.62</v>
      </c>
      <c r="K2609">
        <v>2.62</v>
      </c>
      <c r="L2609">
        <v>3.41</v>
      </c>
      <c r="M2609">
        <v>3.53</v>
      </c>
      <c r="N2609">
        <v>3.39</v>
      </c>
    </row>
    <row r="2610" spans="1:14" x14ac:dyDescent="0.5">
      <c r="A2610" t="str">
        <f>"600578"</f>
        <v>600578</v>
      </c>
      <c r="B2610" t="s">
        <v>4935</v>
      </c>
      <c r="C2610">
        <v>1.53</v>
      </c>
      <c r="D2610">
        <v>23.94</v>
      </c>
      <c r="E2610">
        <v>3.31</v>
      </c>
      <c r="F2610">
        <v>0.05</v>
      </c>
      <c r="G2610">
        <v>3.31</v>
      </c>
      <c r="H2610">
        <v>3.32</v>
      </c>
      <c r="I2610" t="s">
        <v>4936</v>
      </c>
      <c r="J2610">
        <v>0.23</v>
      </c>
      <c r="K2610">
        <v>0.23</v>
      </c>
      <c r="L2610">
        <v>3.26</v>
      </c>
      <c r="M2610">
        <v>3.32</v>
      </c>
      <c r="N2610">
        <v>3.24</v>
      </c>
    </row>
    <row r="2611" spans="1:14" x14ac:dyDescent="0.5">
      <c r="A2611" t="str">
        <f>"600579"</f>
        <v>600579</v>
      </c>
      <c r="B2611" t="s">
        <v>4937</v>
      </c>
      <c r="C2611">
        <v>0.21</v>
      </c>
      <c r="D2611" t="s">
        <v>24</v>
      </c>
      <c r="E2611">
        <v>9.4499999999999993</v>
      </c>
      <c r="F2611">
        <v>0.02</v>
      </c>
      <c r="G2611">
        <v>9.44</v>
      </c>
      <c r="H2611">
        <v>9.4499999999999993</v>
      </c>
      <c r="I2611" t="s">
        <v>4938</v>
      </c>
      <c r="J2611">
        <v>1.25</v>
      </c>
      <c r="K2611">
        <v>1.25</v>
      </c>
      <c r="L2611">
        <v>9.35</v>
      </c>
      <c r="M2611">
        <v>9.4600000000000009</v>
      </c>
      <c r="N2611">
        <v>9.23</v>
      </c>
    </row>
    <row r="2612" spans="1:14" x14ac:dyDescent="0.5">
      <c r="A2612" t="str">
        <f>"600580"</f>
        <v>600580</v>
      </c>
      <c r="B2612" t="s">
        <v>4939</v>
      </c>
      <c r="C2612">
        <v>3.34</v>
      </c>
      <c r="D2612">
        <v>22.8</v>
      </c>
      <c r="E2612">
        <v>7.73</v>
      </c>
      <c r="F2612">
        <v>0.25</v>
      </c>
      <c r="G2612">
        <v>7.73</v>
      </c>
      <c r="H2612">
        <v>7.74</v>
      </c>
      <c r="I2612" t="s">
        <v>4940</v>
      </c>
      <c r="J2612">
        <v>1.08</v>
      </c>
      <c r="K2612">
        <v>1.08</v>
      </c>
      <c r="L2612">
        <v>7.49</v>
      </c>
      <c r="M2612">
        <v>7.74</v>
      </c>
      <c r="N2612">
        <v>7.49</v>
      </c>
    </row>
    <row r="2613" spans="1:14" x14ac:dyDescent="0.5">
      <c r="A2613" t="str">
        <f>"600581"</f>
        <v>600581</v>
      </c>
      <c r="B2613" t="s">
        <v>4941</v>
      </c>
      <c r="C2613">
        <v>-0.42</v>
      </c>
      <c r="D2613">
        <v>8.0500000000000007</v>
      </c>
      <c r="E2613">
        <v>4.75</v>
      </c>
      <c r="F2613">
        <v>-0.02</v>
      </c>
      <c r="G2613">
        <v>4.75</v>
      </c>
      <c r="H2613">
        <v>4.76</v>
      </c>
      <c r="I2613" t="s">
        <v>1871</v>
      </c>
      <c r="J2613">
        <v>4.71</v>
      </c>
      <c r="K2613">
        <v>4.71</v>
      </c>
      <c r="L2613">
        <v>4.71</v>
      </c>
      <c r="M2613">
        <v>4.76</v>
      </c>
      <c r="N2613">
        <v>4.6500000000000004</v>
      </c>
    </row>
    <row r="2614" spans="1:14" x14ac:dyDescent="0.5">
      <c r="A2614" t="str">
        <f>"600582"</f>
        <v>600582</v>
      </c>
      <c r="B2614" t="s">
        <v>4942</v>
      </c>
      <c r="C2614">
        <v>1.78</v>
      </c>
      <c r="D2614">
        <v>13.79</v>
      </c>
      <c r="E2614">
        <v>4</v>
      </c>
      <c r="F2614">
        <v>7.0000000000000007E-2</v>
      </c>
      <c r="G2614">
        <v>4</v>
      </c>
      <c r="H2614">
        <v>4.01</v>
      </c>
      <c r="I2614" t="s">
        <v>4943</v>
      </c>
      <c r="J2614">
        <v>0.76</v>
      </c>
      <c r="K2614">
        <v>0.76</v>
      </c>
      <c r="L2614">
        <v>3.94</v>
      </c>
      <c r="M2614">
        <v>4.01</v>
      </c>
      <c r="N2614">
        <v>3.92</v>
      </c>
    </row>
    <row r="2615" spans="1:14" x14ac:dyDescent="0.5">
      <c r="A2615" t="str">
        <f>"600583"</f>
        <v>600583</v>
      </c>
      <c r="B2615" t="s">
        <v>4944</v>
      </c>
      <c r="C2615">
        <v>-1.64</v>
      </c>
      <c r="D2615">
        <v>547.13</v>
      </c>
      <c r="E2615">
        <v>5.99</v>
      </c>
      <c r="F2615">
        <v>-0.1</v>
      </c>
      <c r="G2615">
        <v>5.99</v>
      </c>
      <c r="H2615">
        <v>6</v>
      </c>
      <c r="I2615" t="s">
        <v>4945</v>
      </c>
      <c r="J2615">
        <v>0.66</v>
      </c>
      <c r="K2615">
        <v>0.66</v>
      </c>
      <c r="L2615">
        <v>6.07</v>
      </c>
      <c r="M2615">
        <v>6.07</v>
      </c>
      <c r="N2615">
        <v>5.91</v>
      </c>
    </row>
    <row r="2616" spans="1:14" x14ac:dyDescent="0.5">
      <c r="A2616" t="str">
        <f>"600584"</f>
        <v>600584</v>
      </c>
      <c r="B2616" t="s">
        <v>4946</v>
      </c>
      <c r="C2616">
        <v>10.039999999999999</v>
      </c>
      <c r="D2616">
        <v>109.95</v>
      </c>
      <c r="E2616">
        <v>15.13</v>
      </c>
      <c r="F2616">
        <v>1.38</v>
      </c>
      <c r="G2616">
        <v>15.13</v>
      </c>
      <c r="H2616" t="s">
        <v>24</v>
      </c>
      <c r="I2616" t="s">
        <v>4947</v>
      </c>
      <c r="J2616">
        <v>8.02</v>
      </c>
      <c r="K2616">
        <v>8.02</v>
      </c>
      <c r="L2616">
        <v>13.45</v>
      </c>
      <c r="M2616">
        <v>15.13</v>
      </c>
      <c r="N2616">
        <v>13.35</v>
      </c>
    </row>
    <row r="2617" spans="1:14" x14ac:dyDescent="0.5">
      <c r="A2617" t="str">
        <f>"600585"</f>
        <v>600585</v>
      </c>
      <c r="B2617" t="s">
        <v>4948</v>
      </c>
      <c r="C2617">
        <v>-0.46</v>
      </c>
      <c r="D2617">
        <v>7.26</v>
      </c>
      <c r="E2617">
        <v>37.01</v>
      </c>
      <c r="F2617">
        <v>-0.17</v>
      </c>
      <c r="G2617">
        <v>37.01</v>
      </c>
      <c r="H2617">
        <v>37.020000000000003</v>
      </c>
      <c r="I2617" t="s">
        <v>4949</v>
      </c>
      <c r="J2617">
        <v>0.56999999999999995</v>
      </c>
      <c r="K2617">
        <v>0.56999999999999995</v>
      </c>
      <c r="L2617">
        <v>37.35</v>
      </c>
      <c r="M2617">
        <v>37.35</v>
      </c>
      <c r="N2617">
        <v>36.68</v>
      </c>
    </row>
    <row r="2618" spans="1:14" x14ac:dyDescent="0.5">
      <c r="A2618" t="str">
        <f>"600586"</f>
        <v>600586</v>
      </c>
      <c r="B2618" t="s">
        <v>4950</v>
      </c>
      <c r="C2618">
        <v>3.23</v>
      </c>
      <c r="D2618">
        <v>22.19</v>
      </c>
      <c r="E2618">
        <v>3.52</v>
      </c>
      <c r="F2618">
        <v>0.11</v>
      </c>
      <c r="G2618">
        <v>3.51</v>
      </c>
      <c r="H2618">
        <v>3.52</v>
      </c>
      <c r="I2618" t="s">
        <v>4412</v>
      </c>
      <c r="J2618">
        <v>2.0099999999999998</v>
      </c>
      <c r="K2618">
        <v>2.0099999999999998</v>
      </c>
      <c r="L2618">
        <v>3.39</v>
      </c>
      <c r="M2618">
        <v>3.53</v>
      </c>
      <c r="N2618">
        <v>3.37</v>
      </c>
    </row>
    <row r="2619" spans="1:14" x14ac:dyDescent="0.5">
      <c r="A2619" t="str">
        <f>"600587"</f>
        <v>600587</v>
      </c>
      <c r="B2619" t="s">
        <v>4951</v>
      </c>
      <c r="C2619">
        <v>1.05</v>
      </c>
      <c r="D2619">
        <v>27.83</v>
      </c>
      <c r="E2619">
        <v>14.45</v>
      </c>
      <c r="F2619">
        <v>0.15</v>
      </c>
      <c r="G2619">
        <v>14.43</v>
      </c>
      <c r="H2619">
        <v>14.45</v>
      </c>
      <c r="I2619" t="s">
        <v>4952</v>
      </c>
      <c r="J2619">
        <v>1.07</v>
      </c>
      <c r="K2619">
        <v>1.07</v>
      </c>
      <c r="L2619">
        <v>14.28</v>
      </c>
      <c r="M2619">
        <v>14.56</v>
      </c>
      <c r="N2619">
        <v>14.26</v>
      </c>
    </row>
    <row r="2620" spans="1:14" x14ac:dyDescent="0.5">
      <c r="A2620" t="str">
        <f>"600588"</f>
        <v>600588</v>
      </c>
      <c r="B2620" t="s">
        <v>4953</v>
      </c>
      <c r="C2620">
        <v>6.13</v>
      </c>
      <c r="D2620">
        <v>74.459999999999994</v>
      </c>
      <c r="E2620">
        <v>33.22</v>
      </c>
      <c r="F2620">
        <v>1.92</v>
      </c>
      <c r="G2620">
        <v>33.22</v>
      </c>
      <c r="H2620">
        <v>33.229999999999997</v>
      </c>
      <c r="I2620" t="s">
        <v>4954</v>
      </c>
      <c r="J2620">
        <v>2.33</v>
      </c>
      <c r="K2620">
        <v>2.33</v>
      </c>
      <c r="L2620">
        <v>31</v>
      </c>
      <c r="M2620">
        <v>33.4</v>
      </c>
      <c r="N2620">
        <v>30.49</v>
      </c>
    </row>
    <row r="2621" spans="1:14" x14ac:dyDescent="0.5">
      <c r="A2621" t="str">
        <f>"600589"</f>
        <v>600589</v>
      </c>
      <c r="B2621" t="s">
        <v>4955</v>
      </c>
      <c r="C2621">
        <v>10.08</v>
      </c>
      <c r="D2621">
        <v>20.71</v>
      </c>
      <c r="E2621">
        <v>5.24</v>
      </c>
      <c r="F2621">
        <v>0.48</v>
      </c>
      <c r="G2621">
        <v>5.24</v>
      </c>
      <c r="H2621" t="s">
        <v>24</v>
      </c>
      <c r="I2621" t="s">
        <v>664</v>
      </c>
      <c r="J2621">
        <v>5.21</v>
      </c>
      <c r="K2621">
        <v>5.21</v>
      </c>
      <c r="L2621">
        <v>4.75</v>
      </c>
      <c r="M2621">
        <v>5.24</v>
      </c>
      <c r="N2621">
        <v>4.7300000000000004</v>
      </c>
    </row>
    <row r="2622" spans="1:14" x14ac:dyDescent="0.5">
      <c r="A2622" t="str">
        <f>"600590"</f>
        <v>600590</v>
      </c>
      <c r="B2622" t="s">
        <v>4956</v>
      </c>
      <c r="C2622">
        <v>4.29</v>
      </c>
      <c r="D2622">
        <v>19.05</v>
      </c>
      <c r="E2622">
        <v>6.8</v>
      </c>
      <c r="F2622">
        <v>0.28000000000000003</v>
      </c>
      <c r="G2622">
        <v>6.79</v>
      </c>
      <c r="H2622">
        <v>6.8</v>
      </c>
      <c r="I2622" t="s">
        <v>4957</v>
      </c>
      <c r="J2622">
        <v>2.35</v>
      </c>
      <c r="K2622">
        <v>2.35</v>
      </c>
      <c r="L2622">
        <v>6.5</v>
      </c>
      <c r="M2622">
        <v>6.81</v>
      </c>
      <c r="N2622">
        <v>6.46</v>
      </c>
    </row>
    <row r="2623" spans="1:14" x14ac:dyDescent="0.5">
      <c r="A2623" t="str">
        <f>"600592"</f>
        <v>600592</v>
      </c>
      <c r="B2623" t="s">
        <v>4958</v>
      </c>
      <c r="C2623">
        <v>2.58</v>
      </c>
      <c r="D2623">
        <v>28.16</v>
      </c>
      <c r="E2623">
        <v>7.17</v>
      </c>
      <c r="F2623">
        <v>0.18</v>
      </c>
      <c r="G2623">
        <v>7.16</v>
      </c>
      <c r="H2623">
        <v>7.17</v>
      </c>
      <c r="I2623" t="s">
        <v>4959</v>
      </c>
      <c r="J2623">
        <v>3.25</v>
      </c>
      <c r="K2623">
        <v>3.25</v>
      </c>
      <c r="L2623">
        <v>6.95</v>
      </c>
      <c r="M2623">
        <v>7.2</v>
      </c>
      <c r="N2623">
        <v>6.93</v>
      </c>
    </row>
    <row r="2624" spans="1:14" x14ac:dyDescent="0.5">
      <c r="A2624" t="str">
        <f>"600593"</f>
        <v>600593</v>
      </c>
      <c r="B2624" t="s">
        <v>4960</v>
      </c>
      <c r="C2624">
        <v>0.23</v>
      </c>
      <c r="D2624">
        <v>67.05</v>
      </c>
      <c r="E2624">
        <v>30.87</v>
      </c>
      <c r="F2624">
        <v>7.0000000000000007E-2</v>
      </c>
      <c r="G2624">
        <v>30.84</v>
      </c>
      <c r="H2624">
        <v>30.87</v>
      </c>
      <c r="I2624" t="s">
        <v>1290</v>
      </c>
      <c r="J2624">
        <v>0.75</v>
      </c>
      <c r="K2624">
        <v>0.75</v>
      </c>
      <c r="L2624">
        <v>30.82</v>
      </c>
      <c r="M2624">
        <v>30.88</v>
      </c>
      <c r="N2624">
        <v>30.45</v>
      </c>
    </row>
    <row r="2625" spans="1:14" x14ac:dyDescent="0.5">
      <c r="A2625" t="str">
        <f>"600594"</f>
        <v>600594</v>
      </c>
      <c r="B2625" t="s">
        <v>4961</v>
      </c>
      <c r="C2625">
        <v>5.97</v>
      </c>
      <c r="D2625">
        <v>18.079999999999998</v>
      </c>
      <c r="E2625">
        <v>6.57</v>
      </c>
      <c r="F2625">
        <v>0.37</v>
      </c>
      <c r="G2625">
        <v>6.56</v>
      </c>
      <c r="H2625">
        <v>6.57</v>
      </c>
      <c r="I2625" t="s">
        <v>4962</v>
      </c>
      <c r="J2625">
        <v>7.68</v>
      </c>
      <c r="K2625">
        <v>7.68</v>
      </c>
      <c r="L2625">
        <v>6.18</v>
      </c>
      <c r="M2625">
        <v>6.82</v>
      </c>
      <c r="N2625">
        <v>6.06</v>
      </c>
    </row>
    <row r="2626" spans="1:14" x14ac:dyDescent="0.5">
      <c r="A2626" t="str">
        <f>"600595"</f>
        <v>600595</v>
      </c>
      <c r="B2626" t="s">
        <v>4963</v>
      </c>
      <c r="C2626">
        <v>7.52</v>
      </c>
      <c r="D2626" t="s">
        <v>24</v>
      </c>
      <c r="E2626">
        <v>2.86</v>
      </c>
      <c r="F2626">
        <v>0.2</v>
      </c>
      <c r="G2626">
        <v>2.86</v>
      </c>
      <c r="H2626">
        <v>2.87</v>
      </c>
      <c r="I2626" t="s">
        <v>4895</v>
      </c>
      <c r="J2626">
        <v>4.1500000000000004</v>
      </c>
      <c r="K2626">
        <v>4.1500000000000004</v>
      </c>
      <c r="L2626">
        <v>2.69</v>
      </c>
      <c r="M2626">
        <v>2.86</v>
      </c>
      <c r="N2626">
        <v>2.66</v>
      </c>
    </row>
    <row r="2627" spans="1:14" x14ac:dyDescent="0.5">
      <c r="A2627" t="str">
        <f>"600596"</f>
        <v>600596</v>
      </c>
      <c r="B2627" t="s">
        <v>4964</v>
      </c>
      <c r="C2627">
        <v>0.55000000000000004</v>
      </c>
      <c r="D2627">
        <v>6.08</v>
      </c>
      <c r="E2627">
        <v>12.76</v>
      </c>
      <c r="F2627">
        <v>7.0000000000000007E-2</v>
      </c>
      <c r="G2627">
        <v>12.75</v>
      </c>
      <c r="H2627">
        <v>12.76</v>
      </c>
      <c r="I2627" t="s">
        <v>4965</v>
      </c>
      <c r="J2627">
        <v>5.63</v>
      </c>
      <c r="K2627">
        <v>5.63</v>
      </c>
      <c r="L2627">
        <v>12.6</v>
      </c>
      <c r="M2627">
        <v>12.78</v>
      </c>
      <c r="N2627">
        <v>12.44</v>
      </c>
    </row>
    <row r="2628" spans="1:14" x14ac:dyDescent="0.5">
      <c r="A2628" t="str">
        <f>"600597"</f>
        <v>600597</v>
      </c>
      <c r="B2628" t="s">
        <v>4966</v>
      </c>
      <c r="C2628">
        <v>0.41</v>
      </c>
      <c r="D2628">
        <v>24.63</v>
      </c>
      <c r="E2628">
        <v>9.76</v>
      </c>
      <c r="F2628">
        <v>0.04</v>
      </c>
      <c r="G2628">
        <v>9.75</v>
      </c>
      <c r="H2628">
        <v>9.76</v>
      </c>
      <c r="I2628" t="s">
        <v>4967</v>
      </c>
      <c r="J2628">
        <v>0.84</v>
      </c>
      <c r="K2628">
        <v>0.84</v>
      </c>
      <c r="L2628">
        <v>9.65</v>
      </c>
      <c r="M2628">
        <v>9.77</v>
      </c>
      <c r="N2628">
        <v>9.61</v>
      </c>
    </row>
    <row r="2629" spans="1:14" x14ac:dyDescent="0.5">
      <c r="A2629" t="str">
        <f>"600598"</f>
        <v>600598</v>
      </c>
      <c r="B2629" t="s">
        <v>4968</v>
      </c>
      <c r="C2629">
        <v>1.06</v>
      </c>
      <c r="D2629">
        <v>16.62</v>
      </c>
      <c r="E2629">
        <v>9.49</v>
      </c>
      <c r="F2629">
        <v>0.1</v>
      </c>
      <c r="G2629">
        <v>9.49</v>
      </c>
      <c r="H2629">
        <v>9.5</v>
      </c>
      <c r="I2629" t="s">
        <v>4969</v>
      </c>
      <c r="J2629">
        <v>1.97</v>
      </c>
      <c r="K2629">
        <v>1.97</v>
      </c>
      <c r="L2629">
        <v>9.36</v>
      </c>
      <c r="M2629">
        <v>9.5399999999999991</v>
      </c>
      <c r="N2629">
        <v>9.31</v>
      </c>
    </row>
    <row r="2630" spans="1:14" x14ac:dyDescent="0.5">
      <c r="A2630" t="str">
        <f>"600599"</f>
        <v>600599</v>
      </c>
      <c r="B2630" t="s">
        <v>4970</v>
      </c>
      <c r="C2630">
        <v>-0.35</v>
      </c>
      <c r="D2630" t="s">
        <v>24</v>
      </c>
      <c r="E2630">
        <v>14.44</v>
      </c>
      <c r="F2630">
        <v>-0.05</v>
      </c>
      <c r="G2630">
        <v>14.44</v>
      </c>
      <c r="H2630">
        <v>14.45</v>
      </c>
      <c r="I2630" t="s">
        <v>1315</v>
      </c>
      <c r="J2630">
        <v>4.55</v>
      </c>
      <c r="K2630">
        <v>4.55</v>
      </c>
      <c r="L2630">
        <v>14.04</v>
      </c>
      <c r="M2630">
        <v>14.68</v>
      </c>
      <c r="N2630">
        <v>13.76</v>
      </c>
    </row>
    <row r="2631" spans="1:14" x14ac:dyDescent="0.5">
      <c r="A2631" t="str">
        <f>"600600"</f>
        <v>600600</v>
      </c>
      <c r="B2631" t="s">
        <v>4971</v>
      </c>
      <c r="C2631">
        <v>-0.84</v>
      </c>
      <c r="D2631">
        <v>35.49</v>
      </c>
      <c r="E2631">
        <v>39.950000000000003</v>
      </c>
      <c r="F2631">
        <v>-0.34</v>
      </c>
      <c r="G2631">
        <v>39.950000000000003</v>
      </c>
      <c r="H2631">
        <v>39.96</v>
      </c>
      <c r="I2631" t="s">
        <v>4972</v>
      </c>
      <c r="J2631">
        <v>1.1100000000000001</v>
      </c>
      <c r="K2631">
        <v>1.1100000000000001</v>
      </c>
      <c r="L2631">
        <v>40.5</v>
      </c>
      <c r="M2631">
        <v>40.799999999999997</v>
      </c>
      <c r="N2631">
        <v>39.549999999999997</v>
      </c>
    </row>
    <row r="2632" spans="1:14" x14ac:dyDescent="0.5">
      <c r="A2632" t="str">
        <f>"600601"</f>
        <v>600601</v>
      </c>
      <c r="B2632" t="s">
        <v>4973</v>
      </c>
      <c r="C2632">
        <v>6.5</v>
      </c>
      <c r="D2632" t="s">
        <v>24</v>
      </c>
      <c r="E2632">
        <v>3.44</v>
      </c>
      <c r="F2632">
        <v>0.21</v>
      </c>
      <c r="G2632">
        <v>3.43</v>
      </c>
      <c r="H2632">
        <v>3.44</v>
      </c>
      <c r="I2632" t="s">
        <v>4974</v>
      </c>
      <c r="J2632">
        <v>3.31</v>
      </c>
      <c r="K2632">
        <v>3.31</v>
      </c>
      <c r="L2632">
        <v>3.22</v>
      </c>
      <c r="M2632">
        <v>3.51</v>
      </c>
      <c r="N2632">
        <v>3.19</v>
      </c>
    </row>
    <row r="2633" spans="1:14" x14ac:dyDescent="0.5">
      <c r="A2633" t="str">
        <f>"600602"</f>
        <v>600602</v>
      </c>
      <c r="B2633" t="s">
        <v>4975</v>
      </c>
      <c r="C2633">
        <v>6.01</v>
      </c>
      <c r="D2633">
        <v>28.99</v>
      </c>
      <c r="E2633">
        <v>6.88</v>
      </c>
      <c r="F2633">
        <v>0.39</v>
      </c>
      <c r="G2633">
        <v>6.87</v>
      </c>
      <c r="H2633">
        <v>6.88</v>
      </c>
      <c r="I2633" t="s">
        <v>4976</v>
      </c>
      <c r="J2633">
        <v>1.85</v>
      </c>
      <c r="K2633">
        <v>1.85</v>
      </c>
      <c r="L2633">
        <v>6.49</v>
      </c>
      <c r="M2633">
        <v>6.88</v>
      </c>
      <c r="N2633">
        <v>6.39</v>
      </c>
    </row>
    <row r="2634" spans="1:14" x14ac:dyDescent="0.5">
      <c r="A2634" t="str">
        <f>"600603"</f>
        <v>600603</v>
      </c>
      <c r="B2634" t="s">
        <v>4977</v>
      </c>
      <c r="C2634">
        <v>1.47</v>
      </c>
      <c r="D2634">
        <v>12.67</v>
      </c>
      <c r="E2634">
        <v>4.84</v>
      </c>
      <c r="F2634">
        <v>7.0000000000000007E-2</v>
      </c>
      <c r="G2634">
        <v>4.84</v>
      </c>
      <c r="H2634">
        <v>4.8499999999999996</v>
      </c>
      <c r="I2634" t="s">
        <v>4978</v>
      </c>
      <c r="J2634">
        <v>2.5499999999999998</v>
      </c>
      <c r="K2634">
        <v>2.5499999999999998</v>
      </c>
      <c r="L2634">
        <v>4.78</v>
      </c>
      <c r="M2634">
        <v>4.8600000000000003</v>
      </c>
      <c r="N2634">
        <v>4.7300000000000004</v>
      </c>
    </row>
    <row r="2635" spans="1:14" x14ac:dyDescent="0.5">
      <c r="A2635" t="str">
        <f>"600604"</f>
        <v>600604</v>
      </c>
      <c r="B2635" t="s">
        <v>4979</v>
      </c>
      <c r="C2635">
        <v>10</v>
      </c>
      <c r="D2635">
        <v>106.97</v>
      </c>
      <c r="E2635">
        <v>14.3</v>
      </c>
      <c r="F2635">
        <v>1.3</v>
      </c>
      <c r="G2635">
        <v>14.3</v>
      </c>
      <c r="H2635" t="s">
        <v>24</v>
      </c>
      <c r="I2635" t="s">
        <v>4980</v>
      </c>
      <c r="J2635">
        <v>8.6999999999999993</v>
      </c>
      <c r="K2635">
        <v>8.6999999999999993</v>
      </c>
      <c r="L2635">
        <v>13.2</v>
      </c>
      <c r="M2635">
        <v>14.3</v>
      </c>
      <c r="N2635">
        <v>13.01</v>
      </c>
    </row>
    <row r="2636" spans="1:14" x14ac:dyDescent="0.5">
      <c r="A2636" t="str">
        <f>"600605"</f>
        <v>600605</v>
      </c>
      <c r="B2636" t="s">
        <v>4981</v>
      </c>
      <c r="C2636">
        <v>1.73</v>
      </c>
      <c r="D2636">
        <v>89.47</v>
      </c>
      <c r="E2636">
        <v>11.2</v>
      </c>
      <c r="F2636">
        <v>0.19</v>
      </c>
      <c r="G2636">
        <v>11.19</v>
      </c>
      <c r="H2636">
        <v>11.2</v>
      </c>
      <c r="I2636" t="s">
        <v>2379</v>
      </c>
      <c r="J2636">
        <v>1.46</v>
      </c>
      <c r="K2636">
        <v>1.46</v>
      </c>
      <c r="L2636">
        <v>11.01</v>
      </c>
      <c r="M2636">
        <v>11.21</v>
      </c>
      <c r="N2636">
        <v>10.9</v>
      </c>
    </row>
    <row r="2637" spans="1:14" x14ac:dyDescent="0.5">
      <c r="A2637" t="str">
        <f>"600606"</f>
        <v>600606</v>
      </c>
      <c r="B2637" t="s">
        <v>4982</v>
      </c>
      <c r="C2637">
        <v>4.5599999999999996</v>
      </c>
      <c r="D2637">
        <v>7.48</v>
      </c>
      <c r="E2637">
        <v>7.57</v>
      </c>
      <c r="F2637">
        <v>0.33</v>
      </c>
      <c r="G2637">
        <v>7.56</v>
      </c>
      <c r="H2637">
        <v>7.57</v>
      </c>
      <c r="I2637" t="s">
        <v>4983</v>
      </c>
      <c r="J2637">
        <v>1.0900000000000001</v>
      </c>
      <c r="K2637">
        <v>1.0900000000000001</v>
      </c>
      <c r="L2637">
        <v>7.23</v>
      </c>
      <c r="M2637">
        <v>7.62</v>
      </c>
      <c r="N2637">
        <v>7.17</v>
      </c>
    </row>
    <row r="2638" spans="1:14" x14ac:dyDescent="0.5">
      <c r="A2638" t="str">
        <f>"600608"</f>
        <v>600608</v>
      </c>
      <c r="B2638" t="s">
        <v>4984</v>
      </c>
      <c r="C2638">
        <v>0.43</v>
      </c>
      <c r="D2638">
        <v>18.37</v>
      </c>
      <c r="E2638">
        <v>4.7</v>
      </c>
      <c r="F2638">
        <v>0.02</v>
      </c>
      <c r="G2638">
        <v>4.7</v>
      </c>
      <c r="H2638">
        <v>4.71</v>
      </c>
      <c r="I2638" t="s">
        <v>4985</v>
      </c>
      <c r="J2638">
        <v>1.1100000000000001</v>
      </c>
      <c r="K2638">
        <v>1.1100000000000001</v>
      </c>
      <c r="L2638">
        <v>4.68</v>
      </c>
      <c r="M2638">
        <v>4.72</v>
      </c>
      <c r="N2638">
        <v>4.5999999999999996</v>
      </c>
    </row>
    <row r="2639" spans="1:14" x14ac:dyDescent="0.5">
      <c r="A2639" t="str">
        <f>"600609"</f>
        <v>600609</v>
      </c>
      <c r="B2639" t="s">
        <v>4986</v>
      </c>
      <c r="C2639">
        <v>1.63</v>
      </c>
      <c r="D2639">
        <v>5.86</v>
      </c>
      <c r="E2639">
        <v>3.74</v>
      </c>
      <c r="F2639">
        <v>0.06</v>
      </c>
      <c r="G2639">
        <v>3.73</v>
      </c>
      <c r="H2639">
        <v>3.74</v>
      </c>
      <c r="I2639" t="s">
        <v>4987</v>
      </c>
      <c r="J2639">
        <v>1.06</v>
      </c>
      <c r="K2639">
        <v>1.06</v>
      </c>
      <c r="L2639">
        <v>3.67</v>
      </c>
      <c r="M2639">
        <v>3.74</v>
      </c>
      <c r="N2639">
        <v>3.65</v>
      </c>
    </row>
    <row r="2640" spans="1:14" x14ac:dyDescent="0.5">
      <c r="A2640" t="str">
        <f>"600610"</f>
        <v>600610</v>
      </c>
      <c r="B2640" t="s">
        <v>4988</v>
      </c>
      <c r="C2640">
        <v>4.97</v>
      </c>
      <c r="D2640" t="s">
        <v>24</v>
      </c>
      <c r="E2640">
        <v>3.8</v>
      </c>
      <c r="F2640">
        <v>0.18</v>
      </c>
      <c r="G2640">
        <v>3.8</v>
      </c>
      <c r="H2640" t="s">
        <v>24</v>
      </c>
      <c r="I2640" t="s">
        <v>1842</v>
      </c>
      <c r="J2640">
        <v>7.0000000000000007E-2</v>
      </c>
      <c r="K2640">
        <v>7.0000000000000007E-2</v>
      </c>
      <c r="L2640">
        <v>3.8</v>
      </c>
      <c r="M2640">
        <v>3.8</v>
      </c>
      <c r="N2640">
        <v>3.8</v>
      </c>
    </row>
    <row r="2641" spans="1:14" x14ac:dyDescent="0.5">
      <c r="A2641" t="str">
        <f>"600611"</f>
        <v>600611</v>
      </c>
      <c r="B2641" t="s">
        <v>4989</v>
      </c>
      <c r="C2641">
        <v>3.71</v>
      </c>
      <c r="D2641">
        <v>12.2</v>
      </c>
      <c r="E2641">
        <v>4.75</v>
      </c>
      <c r="F2641">
        <v>0.17</v>
      </c>
      <c r="G2641">
        <v>4.74</v>
      </c>
      <c r="H2641">
        <v>4.75</v>
      </c>
      <c r="I2641" t="s">
        <v>2988</v>
      </c>
      <c r="J2641">
        <v>2.17</v>
      </c>
      <c r="K2641">
        <v>2.17</v>
      </c>
      <c r="L2641">
        <v>4.58</v>
      </c>
      <c r="M2641">
        <v>4.78</v>
      </c>
      <c r="N2641">
        <v>4.5599999999999996</v>
      </c>
    </row>
    <row r="2642" spans="1:14" x14ac:dyDescent="0.5">
      <c r="A2642" t="str">
        <f>"600612"</f>
        <v>600612</v>
      </c>
      <c r="B2642" t="s">
        <v>4990</v>
      </c>
      <c r="C2642">
        <v>-1.67</v>
      </c>
      <c r="D2642">
        <v>17.510000000000002</v>
      </c>
      <c r="E2642">
        <v>41.3</v>
      </c>
      <c r="F2642">
        <v>-0.7</v>
      </c>
      <c r="G2642">
        <v>41.3</v>
      </c>
      <c r="H2642">
        <v>41.31</v>
      </c>
      <c r="I2642" t="s">
        <v>4991</v>
      </c>
      <c r="J2642">
        <v>1.05</v>
      </c>
      <c r="K2642">
        <v>1.05</v>
      </c>
      <c r="L2642">
        <v>41.95</v>
      </c>
      <c r="M2642">
        <v>41.95</v>
      </c>
      <c r="N2642">
        <v>40.86</v>
      </c>
    </row>
    <row r="2643" spans="1:14" x14ac:dyDescent="0.5">
      <c r="A2643" t="str">
        <f>"600613"</f>
        <v>600613</v>
      </c>
      <c r="B2643" t="s">
        <v>4992</v>
      </c>
      <c r="C2643">
        <v>9.9700000000000006</v>
      </c>
      <c r="D2643">
        <v>32.11</v>
      </c>
      <c r="E2643">
        <v>8.27</v>
      </c>
      <c r="F2643">
        <v>0.75</v>
      </c>
      <c r="G2643">
        <v>8.27</v>
      </c>
      <c r="H2643" t="s">
        <v>24</v>
      </c>
      <c r="I2643" t="s">
        <v>4993</v>
      </c>
      <c r="J2643">
        <v>9.9700000000000006</v>
      </c>
      <c r="K2643">
        <v>9.9700000000000006</v>
      </c>
      <c r="L2643">
        <v>8.0500000000000007</v>
      </c>
      <c r="M2643">
        <v>8.27</v>
      </c>
      <c r="N2643">
        <v>7.77</v>
      </c>
    </row>
    <row r="2644" spans="1:14" x14ac:dyDescent="0.5">
      <c r="A2644" t="str">
        <f>"600614"</f>
        <v>600614</v>
      </c>
      <c r="B2644" t="s">
        <v>4994</v>
      </c>
      <c r="C2644">
        <v>6.87</v>
      </c>
      <c r="D2644">
        <v>35.32</v>
      </c>
      <c r="E2644">
        <v>6.53</v>
      </c>
      <c r="F2644">
        <v>0.42</v>
      </c>
      <c r="G2644">
        <v>6.53</v>
      </c>
      <c r="H2644">
        <v>6.54</v>
      </c>
      <c r="I2644" t="s">
        <v>4995</v>
      </c>
      <c r="J2644">
        <v>9.27</v>
      </c>
      <c r="K2644">
        <v>9.27</v>
      </c>
      <c r="L2644">
        <v>6.08</v>
      </c>
      <c r="M2644">
        <v>6.6</v>
      </c>
      <c r="N2644">
        <v>5.97</v>
      </c>
    </row>
    <row r="2645" spans="1:14" x14ac:dyDescent="0.5">
      <c r="A2645" t="str">
        <f>"600615"</f>
        <v>600615</v>
      </c>
      <c r="B2645" t="s">
        <v>4996</v>
      </c>
      <c r="C2645">
        <v>3.52</v>
      </c>
      <c r="D2645">
        <v>122.4</v>
      </c>
      <c r="E2645">
        <v>11.77</v>
      </c>
      <c r="F2645">
        <v>0.4</v>
      </c>
      <c r="G2645">
        <v>11.77</v>
      </c>
      <c r="H2645">
        <v>11.78</v>
      </c>
      <c r="I2645" t="s">
        <v>4262</v>
      </c>
      <c r="J2645">
        <v>2.27</v>
      </c>
      <c r="K2645">
        <v>2.27</v>
      </c>
      <c r="L2645">
        <v>11.38</v>
      </c>
      <c r="M2645">
        <v>11.82</v>
      </c>
      <c r="N2645">
        <v>11.21</v>
      </c>
    </row>
    <row r="2646" spans="1:14" x14ac:dyDescent="0.5">
      <c r="A2646" t="str">
        <f>"600616"</f>
        <v>600616</v>
      </c>
      <c r="B2646" t="s">
        <v>4997</v>
      </c>
      <c r="C2646">
        <v>1.98</v>
      </c>
      <c r="D2646">
        <v>84.88</v>
      </c>
      <c r="E2646">
        <v>5.66</v>
      </c>
      <c r="F2646">
        <v>0.11</v>
      </c>
      <c r="G2646">
        <v>5.65</v>
      </c>
      <c r="H2646">
        <v>5.66</v>
      </c>
      <c r="I2646" t="s">
        <v>4998</v>
      </c>
      <c r="J2646">
        <v>1.1200000000000001</v>
      </c>
      <c r="K2646">
        <v>1.1200000000000001</v>
      </c>
      <c r="L2646">
        <v>5.52</v>
      </c>
      <c r="M2646">
        <v>5.67</v>
      </c>
      <c r="N2646">
        <v>5.49</v>
      </c>
    </row>
    <row r="2647" spans="1:14" x14ac:dyDescent="0.5">
      <c r="A2647" t="str">
        <f>"600617"</f>
        <v>600617</v>
      </c>
      <c r="B2647" t="s">
        <v>4999</v>
      </c>
      <c r="C2647">
        <v>1.49</v>
      </c>
      <c r="D2647">
        <v>253.9</v>
      </c>
      <c r="E2647">
        <v>5.45</v>
      </c>
      <c r="F2647">
        <v>0.08</v>
      </c>
      <c r="G2647">
        <v>5.44</v>
      </c>
      <c r="H2647">
        <v>5.45</v>
      </c>
      <c r="I2647" t="s">
        <v>5000</v>
      </c>
      <c r="J2647">
        <v>0.69</v>
      </c>
      <c r="K2647">
        <v>0.69</v>
      </c>
      <c r="L2647">
        <v>5.38</v>
      </c>
      <c r="M2647">
        <v>5.47</v>
      </c>
      <c r="N2647">
        <v>5.36</v>
      </c>
    </row>
    <row r="2648" spans="1:14" x14ac:dyDescent="0.5">
      <c r="A2648" t="str">
        <f>"600618"</f>
        <v>600618</v>
      </c>
      <c r="B2648" t="s">
        <v>5001</v>
      </c>
      <c r="C2648">
        <v>1.02</v>
      </c>
      <c r="D2648">
        <v>8.43</v>
      </c>
      <c r="E2648">
        <v>7.94</v>
      </c>
      <c r="F2648">
        <v>0.08</v>
      </c>
      <c r="G2648">
        <v>7.94</v>
      </c>
      <c r="H2648">
        <v>7.95</v>
      </c>
      <c r="I2648" t="s">
        <v>5002</v>
      </c>
      <c r="J2648">
        <v>0.83</v>
      </c>
      <c r="K2648">
        <v>0.83</v>
      </c>
      <c r="L2648">
        <v>7.86</v>
      </c>
      <c r="M2648">
        <v>7.96</v>
      </c>
      <c r="N2648">
        <v>7.77</v>
      </c>
    </row>
    <row r="2649" spans="1:14" x14ac:dyDescent="0.5">
      <c r="A2649" t="str">
        <f>"600619"</f>
        <v>600619</v>
      </c>
      <c r="B2649" t="s">
        <v>5003</v>
      </c>
      <c r="C2649">
        <v>2.14</v>
      </c>
      <c r="D2649">
        <v>28.05</v>
      </c>
      <c r="E2649">
        <v>9.5500000000000007</v>
      </c>
      <c r="F2649">
        <v>0.2</v>
      </c>
      <c r="G2649">
        <v>9.5399999999999991</v>
      </c>
      <c r="H2649">
        <v>9.5500000000000007</v>
      </c>
      <c r="I2649" t="s">
        <v>5004</v>
      </c>
      <c r="J2649">
        <v>1.17</v>
      </c>
      <c r="K2649">
        <v>1.17</v>
      </c>
      <c r="L2649">
        <v>9.35</v>
      </c>
      <c r="M2649">
        <v>9.56</v>
      </c>
      <c r="N2649">
        <v>9.26</v>
      </c>
    </row>
    <row r="2650" spans="1:14" x14ac:dyDescent="0.5">
      <c r="A2650" t="str">
        <f>"600620"</f>
        <v>600620</v>
      </c>
      <c r="B2650" t="s">
        <v>5005</v>
      </c>
      <c r="C2650">
        <v>3.48</v>
      </c>
      <c r="D2650">
        <v>75.73</v>
      </c>
      <c r="E2650">
        <v>6.83</v>
      </c>
      <c r="F2650">
        <v>0.23</v>
      </c>
      <c r="G2650">
        <v>6.82</v>
      </c>
      <c r="H2650">
        <v>6.83</v>
      </c>
      <c r="I2650" t="s">
        <v>5006</v>
      </c>
      <c r="J2650">
        <v>2.35</v>
      </c>
      <c r="K2650">
        <v>2.35</v>
      </c>
      <c r="L2650">
        <v>6.68</v>
      </c>
      <c r="M2650">
        <v>6.9</v>
      </c>
      <c r="N2650">
        <v>6.54</v>
      </c>
    </row>
    <row r="2651" spans="1:14" x14ac:dyDescent="0.5">
      <c r="A2651" t="str">
        <f>"600621"</f>
        <v>600621</v>
      </c>
      <c r="B2651" t="s">
        <v>5007</v>
      </c>
      <c r="C2651">
        <v>-0.47</v>
      </c>
      <c r="D2651">
        <v>19.14</v>
      </c>
      <c r="E2651">
        <v>12.79</v>
      </c>
      <c r="F2651">
        <v>-0.06</v>
      </c>
      <c r="G2651">
        <v>12.79</v>
      </c>
      <c r="H2651">
        <v>12.8</v>
      </c>
      <c r="I2651" t="s">
        <v>5008</v>
      </c>
      <c r="J2651">
        <v>7.58</v>
      </c>
      <c r="K2651">
        <v>7.58</v>
      </c>
      <c r="L2651">
        <v>12.47</v>
      </c>
      <c r="M2651">
        <v>12.85</v>
      </c>
      <c r="N2651">
        <v>12.35</v>
      </c>
    </row>
    <row r="2652" spans="1:14" x14ac:dyDescent="0.5">
      <c r="A2652" t="str">
        <f>"600622"</f>
        <v>600622</v>
      </c>
      <c r="B2652" t="s">
        <v>5009</v>
      </c>
      <c r="C2652">
        <v>3.12</v>
      </c>
      <c r="D2652">
        <v>15.86</v>
      </c>
      <c r="E2652">
        <v>8.93</v>
      </c>
      <c r="F2652">
        <v>0.27</v>
      </c>
      <c r="G2652">
        <v>8.93</v>
      </c>
      <c r="H2652">
        <v>8.94</v>
      </c>
      <c r="I2652" t="s">
        <v>5010</v>
      </c>
      <c r="J2652">
        <v>1.33</v>
      </c>
      <c r="K2652">
        <v>1.33</v>
      </c>
      <c r="L2652">
        <v>8.66</v>
      </c>
      <c r="M2652">
        <v>9.02</v>
      </c>
      <c r="N2652">
        <v>8.64</v>
      </c>
    </row>
    <row r="2653" spans="1:14" x14ac:dyDescent="0.5">
      <c r="A2653" t="str">
        <f>"600623"</f>
        <v>600623</v>
      </c>
      <c r="B2653" t="s">
        <v>5011</v>
      </c>
      <c r="C2653">
        <v>2.12</v>
      </c>
      <c r="D2653">
        <v>10.4</v>
      </c>
      <c r="E2653">
        <v>9.16</v>
      </c>
      <c r="F2653">
        <v>0.19</v>
      </c>
      <c r="G2653">
        <v>9.16</v>
      </c>
      <c r="H2653">
        <v>9.17</v>
      </c>
      <c r="I2653" t="s">
        <v>5012</v>
      </c>
      <c r="J2653">
        <v>0.92</v>
      </c>
      <c r="K2653">
        <v>0.92</v>
      </c>
      <c r="L2653">
        <v>8.92</v>
      </c>
      <c r="M2653">
        <v>9.16</v>
      </c>
      <c r="N2653">
        <v>8.8699999999999992</v>
      </c>
    </row>
    <row r="2654" spans="1:14" x14ac:dyDescent="0.5">
      <c r="A2654" t="str">
        <f>"600624"</f>
        <v>600624</v>
      </c>
      <c r="B2654" t="s">
        <v>5013</v>
      </c>
      <c r="C2654">
        <v>7.34</v>
      </c>
      <c r="D2654">
        <v>97.27</v>
      </c>
      <c r="E2654">
        <v>7.46</v>
      </c>
      <c r="F2654">
        <v>0.51</v>
      </c>
      <c r="G2654">
        <v>7.45</v>
      </c>
      <c r="H2654">
        <v>7.46</v>
      </c>
      <c r="I2654" t="s">
        <v>5014</v>
      </c>
      <c r="J2654">
        <v>9.0299999999999994</v>
      </c>
      <c r="K2654">
        <v>9.0299999999999994</v>
      </c>
      <c r="L2654">
        <v>6.94</v>
      </c>
      <c r="M2654">
        <v>7.6</v>
      </c>
      <c r="N2654">
        <v>6.8</v>
      </c>
    </row>
    <row r="2655" spans="1:14" x14ac:dyDescent="0.5">
      <c r="A2655" t="str">
        <f>"600626"</f>
        <v>600626</v>
      </c>
      <c r="B2655" t="s">
        <v>5015</v>
      </c>
      <c r="C2655">
        <v>3.51</v>
      </c>
      <c r="D2655">
        <v>28.62</v>
      </c>
      <c r="E2655">
        <v>5.89</v>
      </c>
      <c r="F2655">
        <v>0.2</v>
      </c>
      <c r="G2655">
        <v>5.87</v>
      </c>
      <c r="H2655">
        <v>5.89</v>
      </c>
      <c r="I2655" t="s">
        <v>5016</v>
      </c>
      <c r="J2655">
        <v>2.39</v>
      </c>
      <c r="K2655">
        <v>2.39</v>
      </c>
      <c r="L2655">
        <v>5.67</v>
      </c>
      <c r="M2655">
        <v>5.89</v>
      </c>
      <c r="N2655">
        <v>5.65</v>
      </c>
    </row>
    <row r="2656" spans="1:14" x14ac:dyDescent="0.5">
      <c r="A2656" t="str">
        <f>"600628"</f>
        <v>600628</v>
      </c>
      <c r="B2656" t="s">
        <v>5017</v>
      </c>
      <c r="C2656">
        <v>2.23</v>
      </c>
      <c r="D2656">
        <v>17.059999999999999</v>
      </c>
      <c r="E2656">
        <v>7.32</v>
      </c>
      <c r="F2656">
        <v>0.16</v>
      </c>
      <c r="G2656">
        <v>7.31</v>
      </c>
      <c r="H2656">
        <v>7.32</v>
      </c>
      <c r="I2656" t="s">
        <v>5018</v>
      </c>
      <c r="J2656">
        <v>1.39</v>
      </c>
      <c r="K2656">
        <v>1.39</v>
      </c>
      <c r="L2656">
        <v>7.16</v>
      </c>
      <c r="M2656">
        <v>7.32</v>
      </c>
      <c r="N2656">
        <v>7.12</v>
      </c>
    </row>
    <row r="2657" spans="1:14" x14ac:dyDescent="0.5">
      <c r="A2657" t="str">
        <f>"600629"</f>
        <v>600629</v>
      </c>
      <c r="B2657" t="s">
        <v>5019</v>
      </c>
      <c r="C2657">
        <v>-2</v>
      </c>
      <c r="D2657">
        <v>18.23</v>
      </c>
      <c r="E2657">
        <v>14.19</v>
      </c>
      <c r="F2657">
        <v>-0.28999999999999998</v>
      </c>
      <c r="G2657">
        <v>14.15</v>
      </c>
      <c r="H2657">
        <v>14.19</v>
      </c>
      <c r="I2657" t="s">
        <v>5020</v>
      </c>
      <c r="J2657">
        <v>1.61</v>
      </c>
      <c r="K2657">
        <v>1.61</v>
      </c>
      <c r="L2657">
        <v>14.44</v>
      </c>
      <c r="M2657">
        <v>14.45</v>
      </c>
      <c r="N2657">
        <v>14.02</v>
      </c>
    </row>
    <row r="2658" spans="1:14" x14ac:dyDescent="0.5">
      <c r="A2658" t="str">
        <f>"600630"</f>
        <v>600630</v>
      </c>
      <c r="B2658" t="s">
        <v>5021</v>
      </c>
      <c r="C2658">
        <v>3.97</v>
      </c>
      <c r="D2658">
        <v>43.72</v>
      </c>
      <c r="E2658">
        <v>8.11</v>
      </c>
      <c r="F2658">
        <v>0.31</v>
      </c>
      <c r="G2658">
        <v>8.1</v>
      </c>
      <c r="H2658">
        <v>8.11</v>
      </c>
      <c r="I2658" t="s">
        <v>5022</v>
      </c>
      <c r="J2658">
        <v>4.54</v>
      </c>
      <c r="K2658">
        <v>4.54</v>
      </c>
      <c r="L2658">
        <v>7.71</v>
      </c>
      <c r="M2658">
        <v>8.26</v>
      </c>
      <c r="N2658">
        <v>7.69</v>
      </c>
    </row>
    <row r="2659" spans="1:14" x14ac:dyDescent="0.5">
      <c r="A2659" t="str">
        <f>"600633"</f>
        <v>600633</v>
      </c>
      <c r="B2659" t="s">
        <v>5023</v>
      </c>
      <c r="C2659">
        <v>3.38</v>
      </c>
      <c r="D2659">
        <v>28.38</v>
      </c>
      <c r="E2659">
        <v>11.33</v>
      </c>
      <c r="F2659">
        <v>0.37</v>
      </c>
      <c r="G2659">
        <v>11.33</v>
      </c>
      <c r="H2659">
        <v>11.34</v>
      </c>
      <c r="I2659" t="s">
        <v>5024</v>
      </c>
      <c r="J2659">
        <v>3.23</v>
      </c>
      <c r="K2659">
        <v>3.23</v>
      </c>
      <c r="L2659">
        <v>10.79</v>
      </c>
      <c r="M2659">
        <v>11.35</v>
      </c>
      <c r="N2659">
        <v>10.66</v>
      </c>
    </row>
    <row r="2660" spans="1:14" x14ac:dyDescent="0.5">
      <c r="A2660" t="str">
        <f>"600634"</f>
        <v>600634</v>
      </c>
      <c r="B2660" t="s">
        <v>5025</v>
      </c>
      <c r="C2660">
        <v>0</v>
      </c>
      <c r="D2660" t="s">
        <v>24</v>
      </c>
      <c r="E2660">
        <v>2.88</v>
      </c>
      <c r="F2660">
        <v>0</v>
      </c>
      <c r="G2660">
        <v>2.87</v>
      </c>
      <c r="H2660">
        <v>2.88</v>
      </c>
      <c r="I2660" t="s">
        <v>2480</v>
      </c>
      <c r="J2660">
        <v>2.17</v>
      </c>
      <c r="K2660">
        <v>2.17</v>
      </c>
      <c r="L2660">
        <v>2.87</v>
      </c>
      <c r="M2660">
        <v>2.91</v>
      </c>
      <c r="N2660">
        <v>2.83</v>
      </c>
    </row>
    <row r="2661" spans="1:14" x14ac:dyDescent="0.5">
      <c r="A2661" t="str">
        <f>"600635"</f>
        <v>600635</v>
      </c>
      <c r="B2661" t="s">
        <v>5026</v>
      </c>
      <c r="C2661">
        <v>10.08</v>
      </c>
      <c r="D2661">
        <v>37.99</v>
      </c>
      <c r="E2661">
        <v>6.77</v>
      </c>
      <c r="F2661">
        <v>0.62</v>
      </c>
      <c r="G2661">
        <v>6.77</v>
      </c>
      <c r="H2661" t="s">
        <v>24</v>
      </c>
      <c r="I2661" t="s">
        <v>5027</v>
      </c>
      <c r="J2661">
        <v>8.5</v>
      </c>
      <c r="K2661">
        <v>8.5</v>
      </c>
      <c r="L2661">
        <v>6.07</v>
      </c>
      <c r="M2661">
        <v>6.77</v>
      </c>
      <c r="N2661">
        <v>6.01</v>
      </c>
    </row>
    <row r="2662" spans="1:14" x14ac:dyDescent="0.5">
      <c r="A2662" t="str">
        <f>"600636"</f>
        <v>600636</v>
      </c>
      <c r="B2662" t="s">
        <v>5028</v>
      </c>
      <c r="C2662">
        <v>1.7</v>
      </c>
      <c r="D2662">
        <v>13.19</v>
      </c>
      <c r="E2662">
        <v>14.39</v>
      </c>
      <c r="F2662">
        <v>0.24</v>
      </c>
      <c r="G2662">
        <v>14.39</v>
      </c>
      <c r="H2662">
        <v>14.4</v>
      </c>
      <c r="I2662" t="s">
        <v>5029</v>
      </c>
      <c r="J2662">
        <v>1.63</v>
      </c>
      <c r="K2662">
        <v>1.63</v>
      </c>
      <c r="L2662">
        <v>14.16</v>
      </c>
      <c r="M2662">
        <v>14.48</v>
      </c>
      <c r="N2662">
        <v>14.05</v>
      </c>
    </row>
    <row r="2663" spans="1:14" x14ac:dyDescent="0.5">
      <c r="A2663" t="str">
        <f>"600637"</f>
        <v>600637</v>
      </c>
      <c r="B2663" t="s">
        <v>5030</v>
      </c>
      <c r="C2663">
        <v>4.93</v>
      </c>
      <c r="D2663">
        <v>14.61</v>
      </c>
      <c r="E2663">
        <v>12.55</v>
      </c>
      <c r="F2663">
        <v>0.59</v>
      </c>
      <c r="G2663">
        <v>12.55</v>
      </c>
      <c r="H2663">
        <v>12.56</v>
      </c>
      <c r="I2663" t="s">
        <v>5031</v>
      </c>
      <c r="J2663">
        <v>1.36</v>
      </c>
      <c r="K2663">
        <v>1.36</v>
      </c>
      <c r="L2663">
        <v>11.97</v>
      </c>
      <c r="M2663">
        <v>12.55</v>
      </c>
      <c r="N2663">
        <v>11.81</v>
      </c>
    </row>
    <row r="2664" spans="1:14" x14ac:dyDescent="0.5">
      <c r="A2664" t="str">
        <f>"600638"</f>
        <v>600638</v>
      </c>
      <c r="B2664" t="s">
        <v>5032</v>
      </c>
      <c r="C2664">
        <v>2.85</v>
      </c>
      <c r="D2664">
        <v>56.39</v>
      </c>
      <c r="E2664">
        <v>9.75</v>
      </c>
      <c r="F2664">
        <v>0.27</v>
      </c>
      <c r="G2664">
        <v>9.75</v>
      </c>
      <c r="H2664">
        <v>9.76</v>
      </c>
      <c r="I2664" t="s">
        <v>5033</v>
      </c>
      <c r="J2664">
        <v>1.02</v>
      </c>
      <c r="K2664">
        <v>1.02</v>
      </c>
      <c r="L2664">
        <v>9.49</v>
      </c>
      <c r="M2664">
        <v>9.8000000000000007</v>
      </c>
      <c r="N2664">
        <v>9.39</v>
      </c>
    </row>
    <row r="2665" spans="1:14" x14ac:dyDescent="0.5">
      <c r="A2665" t="str">
        <f>"600639"</f>
        <v>600639</v>
      </c>
      <c r="B2665" t="s">
        <v>5034</v>
      </c>
      <c r="C2665">
        <v>7.7</v>
      </c>
      <c r="D2665">
        <v>19.82</v>
      </c>
      <c r="E2665">
        <v>14.69</v>
      </c>
      <c r="F2665">
        <v>1.05</v>
      </c>
      <c r="G2665">
        <v>14.68</v>
      </c>
      <c r="H2665">
        <v>14.69</v>
      </c>
      <c r="I2665" t="s">
        <v>5035</v>
      </c>
      <c r="J2665">
        <v>1.34</v>
      </c>
      <c r="K2665">
        <v>1.34</v>
      </c>
      <c r="L2665">
        <v>13.64</v>
      </c>
      <c r="M2665">
        <v>14.97</v>
      </c>
      <c r="N2665">
        <v>13.61</v>
      </c>
    </row>
    <row r="2666" spans="1:14" x14ac:dyDescent="0.5">
      <c r="A2666" t="str">
        <f>"600640"</f>
        <v>600640</v>
      </c>
      <c r="B2666" t="s">
        <v>5036</v>
      </c>
      <c r="C2666">
        <v>4.67</v>
      </c>
      <c r="D2666">
        <v>47.65</v>
      </c>
      <c r="E2666">
        <v>12.56</v>
      </c>
      <c r="F2666">
        <v>0.56000000000000005</v>
      </c>
      <c r="G2666">
        <v>12.56</v>
      </c>
      <c r="H2666">
        <v>12.57</v>
      </c>
      <c r="I2666" t="s">
        <v>1734</v>
      </c>
      <c r="J2666">
        <v>2.69</v>
      </c>
      <c r="K2666">
        <v>2.69</v>
      </c>
      <c r="L2666">
        <v>12</v>
      </c>
      <c r="M2666">
        <v>12.68</v>
      </c>
      <c r="N2666">
        <v>11.93</v>
      </c>
    </row>
    <row r="2667" spans="1:14" x14ac:dyDescent="0.5">
      <c r="A2667" t="str">
        <f>"600641"</f>
        <v>600641</v>
      </c>
      <c r="B2667" t="s">
        <v>5037</v>
      </c>
      <c r="C2667">
        <v>1.31</v>
      </c>
      <c r="D2667">
        <v>8.41</v>
      </c>
      <c r="E2667">
        <v>10.83</v>
      </c>
      <c r="F2667">
        <v>0.14000000000000001</v>
      </c>
      <c r="G2667">
        <v>10.83</v>
      </c>
      <c r="H2667">
        <v>10.84</v>
      </c>
      <c r="I2667" t="s">
        <v>5038</v>
      </c>
      <c r="J2667">
        <v>1.07</v>
      </c>
      <c r="K2667">
        <v>1.07</v>
      </c>
      <c r="L2667">
        <v>10.72</v>
      </c>
      <c r="M2667">
        <v>10.84</v>
      </c>
      <c r="N2667">
        <v>10.64</v>
      </c>
    </row>
    <row r="2668" spans="1:14" x14ac:dyDescent="0.5">
      <c r="A2668" t="str">
        <f>"600642"</f>
        <v>600642</v>
      </c>
      <c r="B2668" t="s">
        <v>5039</v>
      </c>
      <c r="C2668">
        <v>0.54</v>
      </c>
      <c r="D2668">
        <v>16.510000000000002</v>
      </c>
      <c r="E2668">
        <v>5.56</v>
      </c>
      <c r="F2668">
        <v>0.03</v>
      </c>
      <c r="G2668">
        <v>5.56</v>
      </c>
      <c r="H2668">
        <v>5.57</v>
      </c>
      <c r="I2668" t="s">
        <v>5040</v>
      </c>
      <c r="J2668">
        <v>0.36</v>
      </c>
      <c r="K2668">
        <v>0.36</v>
      </c>
      <c r="L2668">
        <v>5.51</v>
      </c>
      <c r="M2668">
        <v>5.57</v>
      </c>
      <c r="N2668">
        <v>5.48</v>
      </c>
    </row>
    <row r="2669" spans="1:14" x14ac:dyDescent="0.5">
      <c r="A2669" t="str">
        <f>"600643"</f>
        <v>600643</v>
      </c>
      <c r="B2669" t="s">
        <v>5041</v>
      </c>
      <c r="C2669">
        <v>-0.7</v>
      </c>
      <c r="D2669">
        <v>18.96</v>
      </c>
      <c r="E2669">
        <v>12.72</v>
      </c>
      <c r="F2669">
        <v>-0.09</v>
      </c>
      <c r="G2669">
        <v>12.71</v>
      </c>
      <c r="H2669">
        <v>12.72</v>
      </c>
      <c r="I2669" t="s">
        <v>5042</v>
      </c>
      <c r="J2669">
        <v>3.17</v>
      </c>
      <c r="K2669">
        <v>3.17</v>
      </c>
      <c r="L2669">
        <v>12.62</v>
      </c>
      <c r="M2669">
        <v>12.86</v>
      </c>
      <c r="N2669">
        <v>12.28</v>
      </c>
    </row>
    <row r="2670" spans="1:14" x14ac:dyDescent="0.5">
      <c r="A2670" t="str">
        <f>"600644"</f>
        <v>600644</v>
      </c>
      <c r="B2670" t="s">
        <v>5043</v>
      </c>
      <c r="C2670">
        <v>1.18</v>
      </c>
      <c r="D2670">
        <v>41.95</v>
      </c>
      <c r="E2670">
        <v>6.01</v>
      </c>
      <c r="F2670">
        <v>7.0000000000000007E-2</v>
      </c>
      <c r="G2670">
        <v>6.01</v>
      </c>
      <c r="H2670">
        <v>6.02</v>
      </c>
      <c r="I2670" t="s">
        <v>5044</v>
      </c>
      <c r="J2670">
        <v>2.16</v>
      </c>
      <c r="K2670">
        <v>2.16</v>
      </c>
      <c r="L2670">
        <v>5.89</v>
      </c>
      <c r="M2670">
        <v>6.2</v>
      </c>
      <c r="N2670">
        <v>5.85</v>
      </c>
    </row>
    <row r="2671" spans="1:14" x14ac:dyDescent="0.5">
      <c r="A2671" t="str">
        <f>"600645"</f>
        <v>600645</v>
      </c>
      <c r="B2671" t="s">
        <v>5045</v>
      </c>
      <c r="C2671">
        <v>2.97</v>
      </c>
      <c r="D2671">
        <v>30.66</v>
      </c>
      <c r="E2671">
        <v>21.18</v>
      </c>
      <c r="F2671">
        <v>0.61</v>
      </c>
      <c r="G2671">
        <v>21.17</v>
      </c>
      <c r="H2671">
        <v>21.18</v>
      </c>
      <c r="I2671" t="s">
        <v>1516</v>
      </c>
      <c r="J2671">
        <v>4.42</v>
      </c>
      <c r="K2671">
        <v>4.42</v>
      </c>
      <c r="L2671">
        <v>20.3</v>
      </c>
      <c r="M2671">
        <v>21.45</v>
      </c>
      <c r="N2671">
        <v>20.2</v>
      </c>
    </row>
    <row r="2672" spans="1:14" x14ac:dyDescent="0.5">
      <c r="A2672" t="str">
        <f>"600647"</f>
        <v>600647</v>
      </c>
      <c r="B2672" t="s">
        <v>5046</v>
      </c>
      <c r="C2672">
        <v>0</v>
      </c>
      <c r="D2672" t="s">
        <v>24</v>
      </c>
      <c r="E2672">
        <v>14.43</v>
      </c>
      <c r="F2672">
        <v>0</v>
      </c>
      <c r="G2672">
        <v>14.42</v>
      </c>
      <c r="H2672">
        <v>14.43</v>
      </c>
      <c r="I2672" t="s">
        <v>5047</v>
      </c>
      <c r="J2672">
        <v>0.88</v>
      </c>
      <c r="K2672">
        <v>0.88</v>
      </c>
      <c r="L2672">
        <v>14.38</v>
      </c>
      <c r="M2672">
        <v>14.44</v>
      </c>
      <c r="N2672">
        <v>14.12</v>
      </c>
    </row>
    <row r="2673" spans="1:14" x14ac:dyDescent="0.5">
      <c r="A2673" t="str">
        <f>"600648"</f>
        <v>600648</v>
      </c>
      <c r="B2673" t="s">
        <v>5048</v>
      </c>
      <c r="C2673">
        <v>5.46</v>
      </c>
      <c r="D2673">
        <v>16.670000000000002</v>
      </c>
      <c r="E2673">
        <v>16.43</v>
      </c>
      <c r="F2673">
        <v>0.85</v>
      </c>
      <c r="G2673">
        <v>16.43</v>
      </c>
      <c r="H2673">
        <v>16.440000000000001</v>
      </c>
      <c r="I2673" t="s">
        <v>5049</v>
      </c>
      <c r="J2673">
        <v>1.54</v>
      </c>
      <c r="K2673">
        <v>1.54</v>
      </c>
      <c r="L2673">
        <v>15.55</v>
      </c>
      <c r="M2673">
        <v>16.850000000000001</v>
      </c>
      <c r="N2673">
        <v>15.38</v>
      </c>
    </row>
    <row r="2674" spans="1:14" x14ac:dyDescent="0.5">
      <c r="A2674" t="str">
        <f>"600649"</f>
        <v>600649</v>
      </c>
      <c r="B2674" t="s">
        <v>5050</v>
      </c>
      <c r="C2674">
        <v>10.06</v>
      </c>
      <c r="D2674">
        <v>9.7899999999999991</v>
      </c>
      <c r="E2674">
        <v>7.11</v>
      </c>
      <c r="F2674">
        <v>0.65</v>
      </c>
      <c r="G2674">
        <v>7.11</v>
      </c>
      <c r="H2674" t="s">
        <v>24</v>
      </c>
      <c r="I2674" t="s">
        <v>5051</v>
      </c>
      <c r="J2674">
        <v>2.93</v>
      </c>
      <c r="K2674">
        <v>2.93</v>
      </c>
      <c r="L2674">
        <v>6.42</v>
      </c>
      <c r="M2674">
        <v>7.11</v>
      </c>
      <c r="N2674">
        <v>6.4</v>
      </c>
    </row>
    <row r="2675" spans="1:14" x14ac:dyDescent="0.5">
      <c r="A2675" t="str">
        <f>"600650"</f>
        <v>600650</v>
      </c>
      <c r="B2675" t="s">
        <v>5052</v>
      </c>
      <c r="C2675">
        <v>3.31</v>
      </c>
      <c r="D2675">
        <v>22.28</v>
      </c>
      <c r="E2675">
        <v>11.54</v>
      </c>
      <c r="F2675">
        <v>0.37</v>
      </c>
      <c r="G2675">
        <v>11.54</v>
      </c>
      <c r="H2675">
        <v>11.55</v>
      </c>
      <c r="I2675" t="s">
        <v>5053</v>
      </c>
      <c r="J2675">
        <v>2.5</v>
      </c>
      <c r="K2675">
        <v>2.5</v>
      </c>
      <c r="L2675">
        <v>11.04</v>
      </c>
      <c r="M2675">
        <v>11.8</v>
      </c>
      <c r="N2675">
        <v>11.04</v>
      </c>
    </row>
    <row r="2676" spans="1:14" x14ac:dyDescent="0.5">
      <c r="A2676" t="str">
        <f>"600651"</f>
        <v>600651</v>
      </c>
      <c r="B2676" t="s">
        <v>5054</v>
      </c>
      <c r="C2676">
        <v>10.11</v>
      </c>
      <c r="D2676" t="s">
        <v>24</v>
      </c>
      <c r="E2676">
        <v>4.79</v>
      </c>
      <c r="F2676">
        <v>0.44</v>
      </c>
      <c r="G2676">
        <v>4.79</v>
      </c>
      <c r="H2676" t="s">
        <v>24</v>
      </c>
      <c r="I2676" t="s">
        <v>5055</v>
      </c>
      <c r="J2676">
        <v>3.35</v>
      </c>
      <c r="K2676">
        <v>3.35</v>
      </c>
      <c r="L2676">
        <v>4.6900000000000004</v>
      </c>
      <c r="M2676">
        <v>4.79</v>
      </c>
      <c r="N2676">
        <v>4.45</v>
      </c>
    </row>
    <row r="2677" spans="1:14" x14ac:dyDescent="0.5">
      <c r="A2677" t="str">
        <f>"600652"</f>
        <v>600652</v>
      </c>
      <c r="B2677" t="s">
        <v>5056</v>
      </c>
      <c r="C2677">
        <v>5.34</v>
      </c>
      <c r="D2677" t="s">
        <v>24</v>
      </c>
      <c r="E2677">
        <v>4.34</v>
      </c>
      <c r="F2677">
        <v>0.22</v>
      </c>
      <c r="G2677">
        <v>4.34</v>
      </c>
      <c r="H2677">
        <v>4.3499999999999996</v>
      </c>
      <c r="I2677" t="s">
        <v>5057</v>
      </c>
      <c r="J2677">
        <v>4.66</v>
      </c>
      <c r="K2677">
        <v>4.66</v>
      </c>
      <c r="L2677">
        <v>4.12</v>
      </c>
      <c r="M2677">
        <v>4.3600000000000003</v>
      </c>
      <c r="N2677">
        <v>4.0999999999999996</v>
      </c>
    </row>
    <row r="2678" spans="1:14" x14ac:dyDescent="0.5">
      <c r="A2678" t="str">
        <f>"600653"</f>
        <v>600653</v>
      </c>
      <c r="B2678" t="s">
        <v>5058</v>
      </c>
      <c r="C2678">
        <v>2.02</v>
      </c>
      <c r="D2678" t="s">
        <v>24</v>
      </c>
      <c r="E2678">
        <v>2.5299999999999998</v>
      </c>
      <c r="F2678">
        <v>0.05</v>
      </c>
      <c r="G2678">
        <v>2.5299999999999998</v>
      </c>
      <c r="H2678">
        <v>2.54</v>
      </c>
      <c r="I2678" t="s">
        <v>2832</v>
      </c>
      <c r="J2678">
        <v>2.33</v>
      </c>
      <c r="K2678">
        <v>2.33</v>
      </c>
      <c r="L2678">
        <v>2.4900000000000002</v>
      </c>
      <c r="M2678">
        <v>2.54</v>
      </c>
      <c r="N2678">
        <v>2.44</v>
      </c>
    </row>
    <row r="2679" spans="1:14" x14ac:dyDescent="0.5">
      <c r="A2679" t="str">
        <f>"600654"</f>
        <v>600654</v>
      </c>
      <c r="B2679" t="s">
        <v>5059</v>
      </c>
      <c r="C2679">
        <v>1.42</v>
      </c>
      <c r="D2679" t="s">
        <v>24</v>
      </c>
      <c r="E2679">
        <v>2.15</v>
      </c>
      <c r="F2679">
        <v>0.03</v>
      </c>
      <c r="G2679">
        <v>2.14</v>
      </c>
      <c r="H2679">
        <v>2.15</v>
      </c>
      <c r="I2679" t="s">
        <v>5060</v>
      </c>
      <c r="J2679">
        <v>1.91</v>
      </c>
      <c r="K2679">
        <v>1.91</v>
      </c>
      <c r="L2679">
        <v>2.13</v>
      </c>
      <c r="M2679">
        <v>2.16</v>
      </c>
      <c r="N2679">
        <v>2.1</v>
      </c>
    </row>
    <row r="2680" spans="1:14" x14ac:dyDescent="0.5">
      <c r="A2680" t="str">
        <f>"600655"</f>
        <v>600655</v>
      </c>
      <c r="B2680" t="s">
        <v>5061</v>
      </c>
      <c r="C2680">
        <v>0.56999999999999995</v>
      </c>
      <c r="D2680">
        <v>29.88</v>
      </c>
      <c r="E2680">
        <v>8.76</v>
      </c>
      <c r="F2680">
        <v>0.05</v>
      </c>
      <c r="G2680">
        <v>8.75</v>
      </c>
      <c r="H2680">
        <v>8.76</v>
      </c>
      <c r="I2680" t="s">
        <v>5062</v>
      </c>
      <c r="J2680">
        <v>0.83</v>
      </c>
      <c r="K2680">
        <v>0.83</v>
      </c>
      <c r="L2680">
        <v>8.6999999999999993</v>
      </c>
      <c r="M2680">
        <v>8.7899999999999991</v>
      </c>
      <c r="N2680">
        <v>8.6199999999999992</v>
      </c>
    </row>
    <row r="2681" spans="1:14" x14ac:dyDescent="0.5">
      <c r="A2681" t="str">
        <f>"600657"</f>
        <v>600657</v>
      </c>
      <c r="B2681" t="s">
        <v>5063</v>
      </c>
      <c r="C2681">
        <v>1.21</v>
      </c>
      <c r="D2681">
        <v>8.73</v>
      </c>
      <c r="E2681">
        <v>5.0199999999999996</v>
      </c>
      <c r="F2681">
        <v>0.06</v>
      </c>
      <c r="G2681">
        <v>5.01</v>
      </c>
      <c r="H2681">
        <v>5.0199999999999996</v>
      </c>
      <c r="I2681" t="s">
        <v>5064</v>
      </c>
      <c r="J2681">
        <v>0.7</v>
      </c>
      <c r="K2681">
        <v>0.7</v>
      </c>
      <c r="L2681">
        <v>4.96</v>
      </c>
      <c r="M2681">
        <v>5.04</v>
      </c>
      <c r="N2681">
        <v>4.92</v>
      </c>
    </row>
    <row r="2682" spans="1:14" x14ac:dyDescent="0.5">
      <c r="A2682" t="str">
        <f>"600658"</f>
        <v>600658</v>
      </c>
      <c r="B2682" t="s">
        <v>5065</v>
      </c>
      <c r="C2682">
        <v>4.62</v>
      </c>
      <c r="D2682">
        <v>10.37</v>
      </c>
      <c r="E2682">
        <v>6.11</v>
      </c>
      <c r="F2682">
        <v>0.27</v>
      </c>
      <c r="G2682">
        <v>6.1</v>
      </c>
      <c r="H2682">
        <v>6.11</v>
      </c>
      <c r="I2682" t="s">
        <v>5066</v>
      </c>
      <c r="J2682">
        <v>1.53</v>
      </c>
      <c r="K2682">
        <v>1.53</v>
      </c>
      <c r="L2682">
        <v>5.78</v>
      </c>
      <c r="M2682">
        <v>6.19</v>
      </c>
      <c r="N2682">
        <v>5.76</v>
      </c>
    </row>
    <row r="2683" spans="1:14" x14ac:dyDescent="0.5">
      <c r="A2683" t="str">
        <f>"600660"</f>
        <v>600660</v>
      </c>
      <c r="B2683" t="s">
        <v>5067</v>
      </c>
      <c r="C2683">
        <v>-0.52</v>
      </c>
      <c r="D2683">
        <v>14.56</v>
      </c>
      <c r="E2683">
        <v>24.89</v>
      </c>
      <c r="F2683">
        <v>-0.13</v>
      </c>
      <c r="G2683">
        <v>24.89</v>
      </c>
      <c r="H2683">
        <v>24.9</v>
      </c>
      <c r="I2683" t="s">
        <v>5068</v>
      </c>
      <c r="J2683">
        <v>1.0900000000000001</v>
      </c>
      <c r="K2683">
        <v>1.0900000000000001</v>
      </c>
      <c r="L2683">
        <v>25.02</v>
      </c>
      <c r="M2683">
        <v>25.02</v>
      </c>
      <c r="N2683">
        <v>24.57</v>
      </c>
    </row>
    <row r="2684" spans="1:14" x14ac:dyDescent="0.5">
      <c r="A2684" t="str">
        <f>"600661"</f>
        <v>600661</v>
      </c>
      <c r="B2684" t="s">
        <v>5069</v>
      </c>
      <c r="C2684">
        <v>3.48</v>
      </c>
      <c r="D2684">
        <v>61.63</v>
      </c>
      <c r="E2684">
        <v>22.28</v>
      </c>
      <c r="F2684">
        <v>0.75</v>
      </c>
      <c r="G2684">
        <v>22.28</v>
      </c>
      <c r="H2684">
        <v>22.29</v>
      </c>
      <c r="I2684" t="s">
        <v>5070</v>
      </c>
      <c r="J2684">
        <v>0.51</v>
      </c>
      <c r="K2684">
        <v>0.51</v>
      </c>
      <c r="L2684">
        <v>21.5</v>
      </c>
      <c r="M2684">
        <v>22.37</v>
      </c>
      <c r="N2684">
        <v>21.42</v>
      </c>
    </row>
    <row r="2685" spans="1:14" x14ac:dyDescent="0.5">
      <c r="A2685" t="str">
        <f>"600662"</f>
        <v>600662</v>
      </c>
      <c r="B2685" t="s">
        <v>5071</v>
      </c>
      <c r="C2685">
        <v>4.3</v>
      </c>
      <c r="D2685">
        <v>53.51</v>
      </c>
      <c r="E2685">
        <v>5.09</v>
      </c>
      <c r="F2685">
        <v>0.21</v>
      </c>
      <c r="G2685">
        <v>5.09</v>
      </c>
      <c r="H2685">
        <v>5.0999999999999996</v>
      </c>
      <c r="I2685" t="s">
        <v>5072</v>
      </c>
      <c r="J2685">
        <v>2.4500000000000002</v>
      </c>
      <c r="K2685">
        <v>2.4500000000000002</v>
      </c>
      <c r="L2685">
        <v>4.84</v>
      </c>
      <c r="M2685">
        <v>5.16</v>
      </c>
      <c r="N2685">
        <v>4.83</v>
      </c>
    </row>
    <row r="2686" spans="1:14" x14ac:dyDescent="0.5">
      <c r="A2686" t="str">
        <f>"600663"</f>
        <v>600663</v>
      </c>
      <c r="B2686" t="s">
        <v>5073</v>
      </c>
      <c r="C2686">
        <v>10.029999999999999</v>
      </c>
      <c r="D2686">
        <v>13.94</v>
      </c>
      <c r="E2686">
        <v>17.66</v>
      </c>
      <c r="F2686">
        <v>1.61</v>
      </c>
      <c r="G2686">
        <v>17.66</v>
      </c>
      <c r="H2686" t="s">
        <v>24</v>
      </c>
      <c r="I2686" t="s">
        <v>5074</v>
      </c>
      <c r="J2686">
        <v>1</v>
      </c>
      <c r="K2686">
        <v>1</v>
      </c>
      <c r="L2686">
        <v>15.9</v>
      </c>
      <c r="M2686">
        <v>17.66</v>
      </c>
      <c r="N2686">
        <v>15.84</v>
      </c>
    </row>
    <row r="2687" spans="1:14" x14ac:dyDescent="0.5">
      <c r="A2687" t="str">
        <f>"600664"</f>
        <v>600664</v>
      </c>
      <c r="B2687" t="s">
        <v>5075</v>
      </c>
      <c r="C2687">
        <v>3.76</v>
      </c>
      <c r="D2687">
        <v>27.12</v>
      </c>
      <c r="E2687">
        <v>4.42</v>
      </c>
      <c r="F2687">
        <v>0.16</v>
      </c>
      <c r="G2687">
        <v>4.42</v>
      </c>
      <c r="H2687">
        <v>4.43</v>
      </c>
      <c r="I2687" t="s">
        <v>5076</v>
      </c>
      <c r="J2687">
        <v>1.28</v>
      </c>
      <c r="K2687">
        <v>1.28</v>
      </c>
      <c r="L2687">
        <v>4.26</v>
      </c>
      <c r="M2687">
        <v>4.43</v>
      </c>
      <c r="N2687">
        <v>4.21</v>
      </c>
    </row>
    <row r="2688" spans="1:14" x14ac:dyDescent="0.5">
      <c r="A2688" t="str">
        <f>"600665"</f>
        <v>600665</v>
      </c>
      <c r="B2688" t="s">
        <v>5077</v>
      </c>
      <c r="C2688">
        <v>0.73</v>
      </c>
      <c r="D2688">
        <v>7.92</v>
      </c>
      <c r="E2688">
        <v>4.1500000000000004</v>
      </c>
      <c r="F2688">
        <v>0.03</v>
      </c>
      <c r="G2688">
        <v>4.1399999999999997</v>
      </c>
      <c r="H2688">
        <v>4.1500000000000004</v>
      </c>
      <c r="I2688" t="s">
        <v>2037</v>
      </c>
      <c r="J2688">
        <v>0.87</v>
      </c>
      <c r="K2688">
        <v>0.87</v>
      </c>
      <c r="L2688">
        <v>4.12</v>
      </c>
      <c r="M2688">
        <v>4.1500000000000004</v>
      </c>
      <c r="N2688">
        <v>4.05</v>
      </c>
    </row>
    <row r="2689" spans="1:14" x14ac:dyDescent="0.5">
      <c r="A2689" t="str">
        <f>"600666"</f>
        <v>600666</v>
      </c>
      <c r="B2689" t="s">
        <v>5078</v>
      </c>
      <c r="C2689">
        <v>3.16</v>
      </c>
      <c r="D2689" t="s">
        <v>24</v>
      </c>
      <c r="E2689">
        <v>3.92</v>
      </c>
      <c r="F2689">
        <v>0.12</v>
      </c>
      <c r="G2689">
        <v>3.91</v>
      </c>
      <c r="H2689">
        <v>3.92</v>
      </c>
      <c r="I2689" t="s">
        <v>5079</v>
      </c>
      <c r="J2689">
        <v>10.17</v>
      </c>
      <c r="K2689">
        <v>10.17</v>
      </c>
      <c r="L2689">
        <v>3.8</v>
      </c>
      <c r="M2689">
        <v>3.94</v>
      </c>
      <c r="N2689">
        <v>3.69</v>
      </c>
    </row>
    <row r="2690" spans="1:14" x14ac:dyDescent="0.5">
      <c r="A2690" t="str">
        <f>"600667"</f>
        <v>600667</v>
      </c>
      <c r="B2690" t="s">
        <v>5080</v>
      </c>
      <c r="C2690">
        <v>5.01</v>
      </c>
      <c r="D2690">
        <v>27.32</v>
      </c>
      <c r="E2690">
        <v>6.71</v>
      </c>
      <c r="F2690">
        <v>0.32</v>
      </c>
      <c r="G2690">
        <v>6.71</v>
      </c>
      <c r="H2690">
        <v>6.72</v>
      </c>
      <c r="I2690" t="s">
        <v>5081</v>
      </c>
      <c r="J2690">
        <v>5.1100000000000003</v>
      </c>
      <c r="K2690">
        <v>5.1100000000000003</v>
      </c>
      <c r="L2690">
        <v>6.4</v>
      </c>
      <c r="M2690">
        <v>6.74</v>
      </c>
      <c r="N2690">
        <v>6.36</v>
      </c>
    </row>
    <row r="2691" spans="1:14" x14ac:dyDescent="0.5">
      <c r="A2691" t="str">
        <f>"600668"</f>
        <v>600668</v>
      </c>
      <c r="B2691" t="s">
        <v>5082</v>
      </c>
      <c r="C2691">
        <v>0.81</v>
      </c>
      <c r="D2691">
        <v>8.58</v>
      </c>
      <c r="E2691">
        <v>13.74</v>
      </c>
      <c r="F2691">
        <v>0.11</v>
      </c>
      <c r="G2691">
        <v>13.74</v>
      </c>
      <c r="H2691">
        <v>13.75</v>
      </c>
      <c r="I2691" t="s">
        <v>5083</v>
      </c>
      <c r="J2691">
        <v>3.78</v>
      </c>
      <c r="K2691">
        <v>3.78</v>
      </c>
      <c r="L2691">
        <v>13.55</v>
      </c>
      <c r="M2691">
        <v>13.75</v>
      </c>
      <c r="N2691">
        <v>13.51</v>
      </c>
    </row>
    <row r="2692" spans="1:14" x14ac:dyDescent="0.5">
      <c r="A2692" t="str">
        <f>"600671"</f>
        <v>600671</v>
      </c>
      <c r="B2692" t="s">
        <v>5084</v>
      </c>
      <c r="C2692">
        <v>0.55000000000000004</v>
      </c>
      <c r="D2692">
        <v>74.72</v>
      </c>
      <c r="E2692">
        <v>18.43</v>
      </c>
      <c r="F2692">
        <v>0.1</v>
      </c>
      <c r="G2692">
        <v>18.399999999999999</v>
      </c>
      <c r="H2692">
        <v>18.43</v>
      </c>
      <c r="I2692" t="s">
        <v>3201</v>
      </c>
      <c r="J2692">
        <v>1.37</v>
      </c>
      <c r="K2692">
        <v>1.37</v>
      </c>
      <c r="L2692">
        <v>18.329999999999998</v>
      </c>
      <c r="M2692">
        <v>18.47</v>
      </c>
      <c r="N2692">
        <v>18.16</v>
      </c>
    </row>
    <row r="2693" spans="1:14" x14ac:dyDescent="0.5">
      <c r="A2693" t="str">
        <f>"600673"</f>
        <v>600673</v>
      </c>
      <c r="B2693" t="s">
        <v>5085</v>
      </c>
      <c r="C2693">
        <v>-0.67</v>
      </c>
      <c r="D2693">
        <v>32.409999999999997</v>
      </c>
      <c r="E2693">
        <v>8.9</v>
      </c>
      <c r="F2693">
        <v>-0.06</v>
      </c>
      <c r="G2693">
        <v>8.89</v>
      </c>
      <c r="H2693">
        <v>8.9</v>
      </c>
      <c r="I2693" t="s">
        <v>5086</v>
      </c>
      <c r="J2693">
        <v>1.05</v>
      </c>
      <c r="K2693">
        <v>1.05</v>
      </c>
      <c r="L2693">
        <v>8.9499999999999993</v>
      </c>
      <c r="M2693">
        <v>8.98</v>
      </c>
      <c r="N2693">
        <v>8.8000000000000007</v>
      </c>
    </row>
    <row r="2694" spans="1:14" x14ac:dyDescent="0.5">
      <c r="A2694" t="str">
        <f>"600674"</f>
        <v>600674</v>
      </c>
      <c r="B2694" t="s">
        <v>5087</v>
      </c>
      <c r="C2694">
        <v>-0.54</v>
      </c>
      <c r="D2694">
        <v>12.84</v>
      </c>
      <c r="E2694">
        <v>9.25</v>
      </c>
      <c r="F2694">
        <v>-0.05</v>
      </c>
      <c r="G2694">
        <v>9.25</v>
      </c>
      <c r="H2694">
        <v>9.26</v>
      </c>
      <c r="I2694" t="s">
        <v>5088</v>
      </c>
      <c r="J2694">
        <v>0.36</v>
      </c>
      <c r="K2694">
        <v>0.36</v>
      </c>
      <c r="L2694">
        <v>9.27</v>
      </c>
      <c r="M2694">
        <v>9.2799999999999994</v>
      </c>
      <c r="N2694">
        <v>9.19</v>
      </c>
    </row>
    <row r="2695" spans="1:14" x14ac:dyDescent="0.5">
      <c r="A2695" t="str">
        <f>"600675"</f>
        <v>600675</v>
      </c>
      <c r="B2695" t="s">
        <v>5089</v>
      </c>
      <c r="C2695">
        <v>1.29</v>
      </c>
      <c r="D2695">
        <v>31.89</v>
      </c>
      <c r="E2695">
        <v>6.29</v>
      </c>
      <c r="F2695">
        <v>0.08</v>
      </c>
      <c r="G2695">
        <v>6.29</v>
      </c>
      <c r="H2695">
        <v>6.3</v>
      </c>
      <c r="I2695" t="s">
        <v>5090</v>
      </c>
      <c r="J2695">
        <v>0.48</v>
      </c>
      <c r="K2695">
        <v>0.48</v>
      </c>
      <c r="L2695">
        <v>6.21</v>
      </c>
      <c r="M2695">
        <v>6.29</v>
      </c>
      <c r="N2695">
        <v>6.15</v>
      </c>
    </row>
    <row r="2696" spans="1:14" x14ac:dyDescent="0.5">
      <c r="A2696" t="str">
        <f>"600676"</f>
        <v>600676</v>
      </c>
      <c r="B2696" t="s">
        <v>5091</v>
      </c>
      <c r="C2696">
        <v>0.98</v>
      </c>
      <c r="D2696">
        <v>11.6</v>
      </c>
      <c r="E2696">
        <v>5.15</v>
      </c>
      <c r="F2696">
        <v>0.05</v>
      </c>
      <c r="G2696">
        <v>5.14</v>
      </c>
      <c r="H2696">
        <v>5.15</v>
      </c>
      <c r="I2696" t="s">
        <v>5092</v>
      </c>
      <c r="J2696">
        <v>2.27</v>
      </c>
      <c r="K2696">
        <v>2.27</v>
      </c>
      <c r="L2696">
        <v>5.05</v>
      </c>
      <c r="M2696">
        <v>5.17</v>
      </c>
      <c r="N2696">
        <v>5.01</v>
      </c>
    </row>
    <row r="2697" spans="1:14" x14ac:dyDescent="0.5">
      <c r="A2697" t="str">
        <f>"600677"</f>
        <v>600677</v>
      </c>
      <c r="B2697" t="s">
        <v>5093</v>
      </c>
      <c r="C2697">
        <v>2.9</v>
      </c>
      <c r="D2697">
        <v>27.6</v>
      </c>
      <c r="E2697">
        <v>15.62</v>
      </c>
      <c r="F2697">
        <v>0.44</v>
      </c>
      <c r="G2697">
        <v>15.62</v>
      </c>
      <c r="H2697">
        <v>15.63</v>
      </c>
      <c r="I2697" t="s">
        <v>5094</v>
      </c>
      <c r="J2697">
        <v>11.98</v>
      </c>
      <c r="K2697">
        <v>11.98</v>
      </c>
      <c r="L2697">
        <v>15.01</v>
      </c>
      <c r="M2697">
        <v>15.67</v>
      </c>
      <c r="N2697">
        <v>14.88</v>
      </c>
    </row>
    <row r="2698" spans="1:14" x14ac:dyDescent="0.5">
      <c r="A2698" t="str">
        <f>"600678"</f>
        <v>600678</v>
      </c>
      <c r="B2698" t="s">
        <v>5095</v>
      </c>
      <c r="C2698">
        <v>0.55000000000000004</v>
      </c>
      <c r="D2698">
        <v>41.03</v>
      </c>
      <c r="E2698">
        <v>7.37</v>
      </c>
      <c r="F2698">
        <v>0.04</v>
      </c>
      <c r="G2698">
        <v>7.37</v>
      </c>
      <c r="H2698">
        <v>7.38</v>
      </c>
      <c r="I2698" t="s">
        <v>5096</v>
      </c>
      <c r="J2698">
        <v>11.73</v>
      </c>
      <c r="K2698">
        <v>11.73</v>
      </c>
      <c r="L2698">
        <v>7.17</v>
      </c>
      <c r="M2698">
        <v>7.37</v>
      </c>
      <c r="N2698">
        <v>7.06</v>
      </c>
    </row>
    <row r="2699" spans="1:14" x14ac:dyDescent="0.5">
      <c r="A2699" t="str">
        <f>"600679"</f>
        <v>600679</v>
      </c>
      <c r="B2699" t="s">
        <v>5097</v>
      </c>
      <c r="C2699">
        <v>3.55</v>
      </c>
      <c r="D2699">
        <v>115.4</v>
      </c>
      <c r="E2699">
        <v>11.96</v>
      </c>
      <c r="F2699">
        <v>0.41</v>
      </c>
      <c r="G2699">
        <v>11.95</v>
      </c>
      <c r="H2699">
        <v>11.96</v>
      </c>
      <c r="I2699" t="s">
        <v>5098</v>
      </c>
      <c r="J2699">
        <v>2.79</v>
      </c>
      <c r="K2699">
        <v>2.79</v>
      </c>
      <c r="L2699">
        <v>11.44</v>
      </c>
      <c r="M2699">
        <v>12.37</v>
      </c>
      <c r="N2699">
        <v>11.38</v>
      </c>
    </row>
    <row r="2700" spans="1:14" x14ac:dyDescent="0.5">
      <c r="A2700" t="str">
        <f>"600681"</f>
        <v>600681</v>
      </c>
      <c r="B2700" t="s">
        <v>5099</v>
      </c>
      <c r="C2700">
        <v>-2.09</v>
      </c>
      <c r="D2700">
        <v>12.3</v>
      </c>
      <c r="E2700">
        <v>14.55</v>
      </c>
      <c r="F2700">
        <v>-0.31</v>
      </c>
      <c r="G2700">
        <v>14.55</v>
      </c>
      <c r="H2700">
        <v>14.56</v>
      </c>
      <c r="I2700" t="s">
        <v>5100</v>
      </c>
      <c r="J2700">
        <v>5.25</v>
      </c>
      <c r="K2700">
        <v>5.25</v>
      </c>
      <c r="L2700">
        <v>14.72</v>
      </c>
      <c r="M2700">
        <v>15.05</v>
      </c>
      <c r="N2700">
        <v>14.37</v>
      </c>
    </row>
    <row r="2701" spans="1:14" x14ac:dyDescent="0.5">
      <c r="A2701" t="str">
        <f>"600682"</f>
        <v>600682</v>
      </c>
      <c r="B2701" t="s">
        <v>5101</v>
      </c>
      <c r="C2701">
        <v>3.16</v>
      </c>
      <c r="D2701" t="s">
        <v>24</v>
      </c>
      <c r="E2701">
        <v>13.05</v>
      </c>
      <c r="F2701">
        <v>0.4</v>
      </c>
      <c r="G2701">
        <v>13.04</v>
      </c>
      <c r="H2701">
        <v>13.05</v>
      </c>
      <c r="I2701" t="s">
        <v>5102</v>
      </c>
      <c r="J2701">
        <v>4.5</v>
      </c>
      <c r="K2701">
        <v>4.5</v>
      </c>
      <c r="L2701">
        <v>13</v>
      </c>
      <c r="M2701">
        <v>13.83</v>
      </c>
      <c r="N2701">
        <v>12.68</v>
      </c>
    </row>
    <row r="2702" spans="1:14" x14ac:dyDescent="0.5">
      <c r="A2702" t="str">
        <f>"600683"</f>
        <v>600683</v>
      </c>
      <c r="B2702" t="s">
        <v>5103</v>
      </c>
      <c r="C2702">
        <v>1.36</v>
      </c>
      <c r="D2702">
        <v>9.3000000000000007</v>
      </c>
      <c r="E2702">
        <v>5.21</v>
      </c>
      <c r="F2702">
        <v>7.0000000000000007E-2</v>
      </c>
      <c r="G2702">
        <v>5.2</v>
      </c>
      <c r="H2702">
        <v>5.21</v>
      </c>
      <c r="I2702" t="s">
        <v>5104</v>
      </c>
      <c r="J2702">
        <v>1.18</v>
      </c>
      <c r="K2702">
        <v>1.18</v>
      </c>
      <c r="L2702">
        <v>5.1100000000000003</v>
      </c>
      <c r="M2702">
        <v>5.23</v>
      </c>
      <c r="N2702">
        <v>5.05</v>
      </c>
    </row>
    <row r="2703" spans="1:14" x14ac:dyDescent="0.5">
      <c r="A2703" t="str">
        <f>"600684"</f>
        <v>600684</v>
      </c>
      <c r="B2703" t="s">
        <v>5105</v>
      </c>
      <c r="C2703">
        <v>1.38</v>
      </c>
      <c r="D2703">
        <v>12.99</v>
      </c>
      <c r="E2703">
        <v>5.16</v>
      </c>
      <c r="F2703">
        <v>7.0000000000000007E-2</v>
      </c>
      <c r="G2703">
        <v>5.16</v>
      </c>
      <c r="H2703">
        <v>5.17</v>
      </c>
      <c r="I2703" t="s">
        <v>3085</v>
      </c>
      <c r="J2703">
        <v>3.49</v>
      </c>
      <c r="K2703">
        <v>3.49</v>
      </c>
      <c r="L2703">
        <v>5.09</v>
      </c>
      <c r="M2703">
        <v>5.17</v>
      </c>
      <c r="N2703">
        <v>5.07</v>
      </c>
    </row>
    <row r="2704" spans="1:14" x14ac:dyDescent="0.5">
      <c r="A2704" t="str">
        <f>"600685"</f>
        <v>600685</v>
      </c>
      <c r="B2704" t="s">
        <v>5106</v>
      </c>
      <c r="C2704">
        <v>8.57</v>
      </c>
      <c r="D2704" t="s">
        <v>24</v>
      </c>
      <c r="E2704">
        <v>17.11</v>
      </c>
      <c r="F2704">
        <v>1.35</v>
      </c>
      <c r="G2704">
        <v>17.11</v>
      </c>
      <c r="H2704">
        <v>17.12</v>
      </c>
      <c r="I2704" t="s">
        <v>5107</v>
      </c>
      <c r="J2704">
        <v>3.82</v>
      </c>
      <c r="K2704">
        <v>3.82</v>
      </c>
      <c r="L2704">
        <v>15.56</v>
      </c>
      <c r="M2704">
        <v>17.32</v>
      </c>
      <c r="N2704">
        <v>15.36</v>
      </c>
    </row>
    <row r="2705" spans="1:14" x14ac:dyDescent="0.5">
      <c r="A2705" t="str">
        <f>"600686"</f>
        <v>600686</v>
      </c>
      <c r="B2705" t="s">
        <v>5108</v>
      </c>
      <c r="C2705">
        <v>-1.1200000000000001</v>
      </c>
      <c r="D2705">
        <v>16.38</v>
      </c>
      <c r="E2705">
        <v>8.83</v>
      </c>
      <c r="F2705">
        <v>-0.1</v>
      </c>
      <c r="G2705">
        <v>8.82</v>
      </c>
      <c r="H2705">
        <v>8.83</v>
      </c>
      <c r="I2705" t="s">
        <v>5109</v>
      </c>
      <c r="J2705">
        <v>3.13</v>
      </c>
      <c r="K2705">
        <v>3.13</v>
      </c>
      <c r="L2705">
        <v>8.93</v>
      </c>
      <c r="M2705">
        <v>8.9499999999999993</v>
      </c>
      <c r="N2705">
        <v>8.6300000000000008</v>
      </c>
    </row>
    <row r="2706" spans="1:14" x14ac:dyDescent="0.5">
      <c r="A2706" t="str">
        <f>"600687"</f>
        <v>600687</v>
      </c>
      <c r="B2706" t="s">
        <v>5110</v>
      </c>
      <c r="C2706">
        <v>1.86</v>
      </c>
      <c r="D2706">
        <v>28.78</v>
      </c>
      <c r="E2706">
        <v>4.9400000000000004</v>
      </c>
      <c r="F2706">
        <v>0.09</v>
      </c>
      <c r="G2706">
        <v>4.9400000000000004</v>
      </c>
      <c r="H2706">
        <v>4.95</v>
      </c>
      <c r="I2706" t="s">
        <v>5111</v>
      </c>
      <c r="J2706">
        <v>4.01</v>
      </c>
      <c r="K2706">
        <v>4.01</v>
      </c>
      <c r="L2706">
        <v>4.8</v>
      </c>
      <c r="M2706">
        <v>4.95</v>
      </c>
      <c r="N2706">
        <v>4.76</v>
      </c>
    </row>
    <row r="2707" spans="1:14" x14ac:dyDescent="0.5">
      <c r="A2707" t="str">
        <f>"600688"</f>
        <v>600688</v>
      </c>
      <c r="B2707" t="s">
        <v>5112</v>
      </c>
      <c r="C2707">
        <v>0.36</v>
      </c>
      <c r="D2707">
        <v>8.92</v>
      </c>
      <c r="E2707">
        <v>5.56</v>
      </c>
      <c r="F2707">
        <v>0.02</v>
      </c>
      <c r="G2707">
        <v>5.56</v>
      </c>
      <c r="H2707">
        <v>5.57</v>
      </c>
      <c r="I2707" t="s">
        <v>5113</v>
      </c>
      <c r="J2707">
        <v>0.23</v>
      </c>
      <c r="K2707">
        <v>0.23</v>
      </c>
      <c r="L2707">
        <v>5.55</v>
      </c>
      <c r="M2707">
        <v>5.6</v>
      </c>
      <c r="N2707">
        <v>5.51</v>
      </c>
    </row>
    <row r="2708" spans="1:14" x14ac:dyDescent="0.5">
      <c r="A2708" t="str">
        <f>"600689"</f>
        <v>600689</v>
      </c>
      <c r="B2708" t="s">
        <v>5114</v>
      </c>
      <c r="C2708">
        <v>4.03</v>
      </c>
      <c r="D2708" t="s">
        <v>24</v>
      </c>
      <c r="E2708">
        <v>11.63</v>
      </c>
      <c r="F2708">
        <v>0.45</v>
      </c>
      <c r="G2708">
        <v>11.63</v>
      </c>
      <c r="H2708">
        <v>11.64</v>
      </c>
      <c r="I2708" t="s">
        <v>5115</v>
      </c>
      <c r="J2708">
        <v>14.21</v>
      </c>
      <c r="K2708">
        <v>14.21</v>
      </c>
      <c r="L2708">
        <v>11.16</v>
      </c>
      <c r="M2708">
        <v>11.86</v>
      </c>
      <c r="N2708">
        <v>11.01</v>
      </c>
    </row>
    <row r="2709" spans="1:14" x14ac:dyDescent="0.5">
      <c r="A2709" t="str">
        <f>"600690"</f>
        <v>600690</v>
      </c>
      <c r="B2709" t="s">
        <v>5116</v>
      </c>
      <c r="C2709">
        <v>0.56999999999999995</v>
      </c>
      <c r="D2709">
        <v>14.68</v>
      </c>
      <c r="E2709">
        <v>17.53</v>
      </c>
      <c r="F2709">
        <v>0.1</v>
      </c>
      <c r="G2709">
        <v>17.53</v>
      </c>
      <c r="H2709">
        <v>17.54</v>
      </c>
      <c r="I2709" t="s">
        <v>5117</v>
      </c>
      <c r="J2709">
        <v>0.63</v>
      </c>
      <c r="K2709">
        <v>0.63</v>
      </c>
      <c r="L2709">
        <v>17.43</v>
      </c>
      <c r="M2709">
        <v>17.84</v>
      </c>
      <c r="N2709">
        <v>17.420000000000002</v>
      </c>
    </row>
    <row r="2710" spans="1:14" x14ac:dyDescent="0.5">
      <c r="A2710" t="str">
        <f>"600691"</f>
        <v>600691</v>
      </c>
      <c r="B2710" t="s">
        <v>5118</v>
      </c>
      <c r="C2710">
        <v>1.43</v>
      </c>
      <c r="D2710">
        <v>47.78</v>
      </c>
      <c r="E2710">
        <v>2.84</v>
      </c>
      <c r="F2710">
        <v>0.04</v>
      </c>
      <c r="G2710">
        <v>2.83</v>
      </c>
      <c r="H2710">
        <v>2.84</v>
      </c>
      <c r="I2710" t="s">
        <v>1241</v>
      </c>
      <c r="J2710">
        <v>1.85</v>
      </c>
      <c r="K2710">
        <v>1.85</v>
      </c>
      <c r="L2710">
        <v>2.78</v>
      </c>
      <c r="M2710">
        <v>2.85</v>
      </c>
      <c r="N2710">
        <v>2.77</v>
      </c>
    </row>
    <row r="2711" spans="1:14" x14ac:dyDescent="0.5">
      <c r="A2711" t="str">
        <f>"600692"</f>
        <v>600692</v>
      </c>
      <c r="B2711" t="s">
        <v>5119</v>
      </c>
      <c r="C2711">
        <v>4.4000000000000004</v>
      </c>
      <c r="D2711">
        <v>45.84</v>
      </c>
      <c r="E2711">
        <v>8.3000000000000007</v>
      </c>
      <c r="F2711">
        <v>0.35</v>
      </c>
      <c r="G2711">
        <v>8.3000000000000007</v>
      </c>
      <c r="H2711">
        <v>8.32</v>
      </c>
      <c r="I2711" t="s">
        <v>2994</v>
      </c>
      <c r="J2711">
        <v>7.62</v>
      </c>
      <c r="K2711">
        <v>7.62</v>
      </c>
      <c r="L2711">
        <v>7.9</v>
      </c>
      <c r="M2711">
        <v>8.41</v>
      </c>
      <c r="N2711">
        <v>7.88</v>
      </c>
    </row>
    <row r="2712" spans="1:14" x14ac:dyDescent="0.5">
      <c r="A2712" t="str">
        <f>"600693"</f>
        <v>600693</v>
      </c>
      <c r="B2712" t="s">
        <v>5120</v>
      </c>
      <c r="C2712">
        <v>0.71</v>
      </c>
      <c r="D2712">
        <v>33.869999999999997</v>
      </c>
      <c r="E2712">
        <v>5.69</v>
      </c>
      <c r="F2712">
        <v>0.04</v>
      </c>
      <c r="G2712">
        <v>5.68</v>
      </c>
      <c r="H2712">
        <v>5.69</v>
      </c>
      <c r="I2712" t="s">
        <v>5121</v>
      </c>
      <c r="J2712">
        <v>0.89</v>
      </c>
      <c r="K2712">
        <v>0.89</v>
      </c>
      <c r="L2712">
        <v>5.64</v>
      </c>
      <c r="M2712">
        <v>5.69</v>
      </c>
      <c r="N2712">
        <v>5.61</v>
      </c>
    </row>
    <row r="2713" spans="1:14" x14ac:dyDescent="0.5">
      <c r="A2713" t="str">
        <f>"600694"</f>
        <v>600694</v>
      </c>
      <c r="B2713" t="s">
        <v>5122</v>
      </c>
      <c r="C2713">
        <v>3.55</v>
      </c>
      <c r="D2713">
        <v>8.36</v>
      </c>
      <c r="E2713">
        <v>30.04</v>
      </c>
      <c r="F2713">
        <v>1.03</v>
      </c>
      <c r="G2713">
        <v>30.03</v>
      </c>
      <c r="H2713">
        <v>30.04</v>
      </c>
      <c r="I2713" t="s">
        <v>5123</v>
      </c>
      <c r="J2713">
        <v>1.85</v>
      </c>
      <c r="K2713">
        <v>1.85</v>
      </c>
      <c r="L2713">
        <v>29.15</v>
      </c>
      <c r="M2713">
        <v>30.1</v>
      </c>
      <c r="N2713">
        <v>29.12</v>
      </c>
    </row>
    <row r="2714" spans="1:14" x14ac:dyDescent="0.5">
      <c r="A2714" t="str">
        <f>"600695"</f>
        <v>600695</v>
      </c>
      <c r="B2714" t="s">
        <v>5124</v>
      </c>
      <c r="C2714">
        <v>1.8</v>
      </c>
      <c r="D2714">
        <v>486.19</v>
      </c>
      <c r="E2714">
        <v>6.21</v>
      </c>
      <c r="F2714">
        <v>0.11</v>
      </c>
      <c r="G2714">
        <v>6.21</v>
      </c>
      <c r="H2714">
        <v>6.22</v>
      </c>
      <c r="I2714" t="s">
        <v>5125</v>
      </c>
      <c r="J2714">
        <v>10.61</v>
      </c>
      <c r="K2714">
        <v>10.61</v>
      </c>
      <c r="L2714">
        <v>6.08</v>
      </c>
      <c r="M2714">
        <v>6.25</v>
      </c>
      <c r="N2714">
        <v>5.95</v>
      </c>
    </row>
    <row r="2715" spans="1:14" x14ac:dyDescent="0.5">
      <c r="A2715" t="str">
        <f>"600696"</f>
        <v>600696</v>
      </c>
      <c r="B2715" t="s">
        <v>5126</v>
      </c>
      <c r="C2715">
        <v>0</v>
      </c>
      <c r="D2715">
        <v>62.47</v>
      </c>
      <c r="E2715">
        <v>5.82</v>
      </c>
      <c r="F2715">
        <v>0</v>
      </c>
      <c r="G2715">
        <v>5.81</v>
      </c>
      <c r="H2715">
        <v>5.82</v>
      </c>
      <c r="I2715" t="s">
        <v>3419</v>
      </c>
      <c r="J2715">
        <v>0.94</v>
      </c>
      <c r="K2715">
        <v>0.94</v>
      </c>
      <c r="L2715">
        <v>5.8</v>
      </c>
      <c r="M2715">
        <v>5.84</v>
      </c>
      <c r="N2715">
        <v>5.72</v>
      </c>
    </row>
    <row r="2716" spans="1:14" x14ac:dyDescent="0.5">
      <c r="A2716" t="str">
        <f>"600697"</f>
        <v>600697</v>
      </c>
      <c r="B2716" t="s">
        <v>5127</v>
      </c>
      <c r="C2716">
        <v>0.56999999999999995</v>
      </c>
      <c r="D2716">
        <v>11.16</v>
      </c>
      <c r="E2716">
        <v>21</v>
      </c>
      <c r="F2716">
        <v>0.12</v>
      </c>
      <c r="G2716">
        <v>21</v>
      </c>
      <c r="H2716">
        <v>21.03</v>
      </c>
      <c r="I2716" t="s">
        <v>5128</v>
      </c>
      <c r="J2716">
        <v>0.89</v>
      </c>
      <c r="K2716">
        <v>0.89</v>
      </c>
      <c r="L2716">
        <v>20.78</v>
      </c>
      <c r="M2716">
        <v>21.02</v>
      </c>
      <c r="N2716">
        <v>20.68</v>
      </c>
    </row>
    <row r="2717" spans="1:14" x14ac:dyDescent="0.5">
      <c r="A2717" t="str">
        <f>"600698"</f>
        <v>600698</v>
      </c>
      <c r="B2717" t="s">
        <v>5129</v>
      </c>
      <c r="C2717">
        <v>3.72</v>
      </c>
      <c r="D2717" t="s">
        <v>24</v>
      </c>
      <c r="E2717">
        <v>4.18</v>
      </c>
      <c r="F2717">
        <v>0.15</v>
      </c>
      <c r="G2717">
        <v>4.18</v>
      </c>
      <c r="H2717">
        <v>4.1900000000000004</v>
      </c>
      <c r="I2717" t="s">
        <v>5130</v>
      </c>
      <c r="J2717">
        <v>4.33</v>
      </c>
      <c r="K2717">
        <v>4.33</v>
      </c>
      <c r="L2717">
        <v>4.08</v>
      </c>
      <c r="M2717">
        <v>4.21</v>
      </c>
      <c r="N2717">
        <v>4.04</v>
      </c>
    </row>
    <row r="2718" spans="1:14" x14ac:dyDescent="0.5">
      <c r="A2718" t="str">
        <f>"600699"</f>
        <v>600699</v>
      </c>
      <c r="B2718" t="s">
        <v>5131</v>
      </c>
      <c r="C2718">
        <v>1.61</v>
      </c>
      <c r="D2718">
        <v>43.49</v>
      </c>
      <c r="E2718">
        <v>26.51</v>
      </c>
      <c r="F2718">
        <v>0.42</v>
      </c>
      <c r="G2718">
        <v>26.51</v>
      </c>
      <c r="H2718">
        <v>26.52</v>
      </c>
      <c r="I2718" t="s">
        <v>5132</v>
      </c>
      <c r="J2718">
        <v>0.96</v>
      </c>
      <c r="K2718">
        <v>0.96</v>
      </c>
      <c r="L2718">
        <v>26.19</v>
      </c>
      <c r="M2718">
        <v>26.73</v>
      </c>
      <c r="N2718">
        <v>26.05</v>
      </c>
    </row>
    <row r="2719" spans="1:14" x14ac:dyDescent="0.5">
      <c r="A2719" t="str">
        <f>"600701"</f>
        <v>600701</v>
      </c>
      <c r="B2719" t="s">
        <v>5133</v>
      </c>
      <c r="C2719">
        <v>1.1499999999999999</v>
      </c>
      <c r="D2719" t="s">
        <v>24</v>
      </c>
      <c r="E2719">
        <v>2.63</v>
      </c>
      <c r="F2719">
        <v>0.03</v>
      </c>
      <c r="G2719">
        <v>2.63</v>
      </c>
      <c r="H2719">
        <v>2.64</v>
      </c>
      <c r="I2719" t="s">
        <v>581</v>
      </c>
      <c r="J2719">
        <v>2.2799999999999998</v>
      </c>
      <c r="K2719">
        <v>2.2799999999999998</v>
      </c>
      <c r="L2719">
        <v>2.59</v>
      </c>
      <c r="M2719">
        <v>2.64</v>
      </c>
      <c r="N2719">
        <v>2.57</v>
      </c>
    </row>
    <row r="2720" spans="1:14" x14ac:dyDescent="0.5">
      <c r="A2720" t="str">
        <f>"600702"</f>
        <v>600702</v>
      </c>
      <c r="B2720" t="s">
        <v>5134</v>
      </c>
      <c r="C2720">
        <v>-0.59</v>
      </c>
      <c r="D2720">
        <v>28.4</v>
      </c>
      <c r="E2720">
        <v>28.44</v>
      </c>
      <c r="F2720">
        <v>-0.17</v>
      </c>
      <c r="G2720">
        <v>28.44</v>
      </c>
      <c r="H2720">
        <v>28.45</v>
      </c>
      <c r="I2720" t="s">
        <v>5135</v>
      </c>
      <c r="J2720">
        <v>4.3899999999999997</v>
      </c>
      <c r="K2720">
        <v>4.3899999999999997</v>
      </c>
      <c r="L2720">
        <v>28.4</v>
      </c>
      <c r="M2720">
        <v>28.73</v>
      </c>
      <c r="N2720">
        <v>28.05</v>
      </c>
    </row>
    <row r="2721" spans="1:14" x14ac:dyDescent="0.5">
      <c r="A2721" t="str">
        <f>"600703"</f>
        <v>600703</v>
      </c>
      <c r="B2721" t="s">
        <v>5136</v>
      </c>
      <c r="C2721">
        <v>6.14</v>
      </c>
      <c r="D2721">
        <v>16.93</v>
      </c>
      <c r="E2721">
        <v>15.05</v>
      </c>
      <c r="F2721">
        <v>0.87</v>
      </c>
      <c r="G2721">
        <v>15.05</v>
      </c>
      <c r="H2721">
        <v>15.06</v>
      </c>
      <c r="I2721" t="s">
        <v>5137</v>
      </c>
      <c r="J2721">
        <v>4.0199999999999996</v>
      </c>
      <c r="K2721">
        <v>4.0199999999999996</v>
      </c>
      <c r="L2721">
        <v>14.16</v>
      </c>
      <c r="M2721">
        <v>15.25</v>
      </c>
      <c r="N2721">
        <v>13.8</v>
      </c>
    </row>
    <row r="2722" spans="1:14" x14ac:dyDescent="0.5">
      <c r="A2722" t="str">
        <f>"600704"</f>
        <v>600704</v>
      </c>
      <c r="B2722" t="s">
        <v>5138</v>
      </c>
      <c r="C2722">
        <v>1.98</v>
      </c>
      <c r="D2722">
        <v>9.2100000000000009</v>
      </c>
      <c r="E2722">
        <v>5.67</v>
      </c>
      <c r="F2722">
        <v>0.11</v>
      </c>
      <c r="G2722">
        <v>5.67</v>
      </c>
      <c r="H2722">
        <v>5.68</v>
      </c>
      <c r="I2722" t="s">
        <v>5139</v>
      </c>
      <c r="J2722">
        <v>0.61</v>
      </c>
      <c r="K2722">
        <v>0.61</v>
      </c>
      <c r="L2722">
        <v>5.57</v>
      </c>
      <c r="M2722">
        <v>5.68</v>
      </c>
      <c r="N2722">
        <v>5.49</v>
      </c>
    </row>
    <row r="2723" spans="1:14" x14ac:dyDescent="0.5">
      <c r="A2723" t="str">
        <f>"600705"</f>
        <v>600705</v>
      </c>
      <c r="B2723" t="s">
        <v>5140</v>
      </c>
      <c r="C2723">
        <v>-0.66</v>
      </c>
      <c r="D2723">
        <v>17.82</v>
      </c>
      <c r="E2723">
        <v>6.04</v>
      </c>
      <c r="F2723">
        <v>-0.04</v>
      </c>
      <c r="G2723">
        <v>6.04</v>
      </c>
      <c r="H2723">
        <v>6.05</v>
      </c>
      <c r="I2723" t="s">
        <v>5141</v>
      </c>
      <c r="J2723">
        <v>1.17</v>
      </c>
      <c r="K2723">
        <v>1.17</v>
      </c>
      <c r="L2723">
        <v>6</v>
      </c>
      <c r="M2723">
        <v>6.06</v>
      </c>
      <c r="N2723">
        <v>5.93</v>
      </c>
    </row>
    <row r="2724" spans="1:14" x14ac:dyDescent="0.5">
      <c r="A2724" t="str">
        <f>"600706"</f>
        <v>600706</v>
      </c>
      <c r="B2724" t="s">
        <v>5142</v>
      </c>
      <c r="C2724">
        <v>1.63</v>
      </c>
      <c r="D2724">
        <v>21.57</v>
      </c>
      <c r="E2724">
        <v>11.83</v>
      </c>
      <c r="F2724">
        <v>0.19</v>
      </c>
      <c r="G2724">
        <v>11.82</v>
      </c>
      <c r="H2724">
        <v>11.83</v>
      </c>
      <c r="I2724" t="s">
        <v>5143</v>
      </c>
      <c r="J2724">
        <v>2.25</v>
      </c>
      <c r="K2724">
        <v>2.25</v>
      </c>
      <c r="L2724">
        <v>11.63</v>
      </c>
      <c r="M2724">
        <v>11.85</v>
      </c>
      <c r="N2724">
        <v>11.6</v>
      </c>
    </row>
    <row r="2725" spans="1:14" x14ac:dyDescent="0.5">
      <c r="A2725" t="str">
        <f>"600707"</f>
        <v>600707</v>
      </c>
      <c r="B2725" t="s">
        <v>5144</v>
      </c>
      <c r="C2725">
        <v>6.28</v>
      </c>
      <c r="D2725" t="s">
        <v>24</v>
      </c>
      <c r="E2725">
        <v>6.94</v>
      </c>
      <c r="F2725">
        <v>0.41</v>
      </c>
      <c r="G2725">
        <v>6.94</v>
      </c>
      <c r="H2725">
        <v>6.95</v>
      </c>
      <c r="I2725" t="s">
        <v>5145</v>
      </c>
      <c r="J2725">
        <v>3.82</v>
      </c>
      <c r="K2725">
        <v>3.82</v>
      </c>
      <c r="L2725">
        <v>6.42</v>
      </c>
      <c r="M2725">
        <v>6.95</v>
      </c>
      <c r="N2725">
        <v>6.37</v>
      </c>
    </row>
    <row r="2726" spans="1:14" x14ac:dyDescent="0.5">
      <c r="A2726" t="str">
        <f>"600708"</f>
        <v>600708</v>
      </c>
      <c r="B2726" t="s">
        <v>5146</v>
      </c>
      <c r="C2726">
        <v>0.94</v>
      </c>
      <c r="D2726">
        <v>3.96</v>
      </c>
      <c r="E2726">
        <v>4.3099999999999996</v>
      </c>
      <c r="F2726">
        <v>0.04</v>
      </c>
      <c r="G2726">
        <v>4.3</v>
      </c>
      <c r="H2726">
        <v>4.3099999999999996</v>
      </c>
      <c r="I2726" t="s">
        <v>5147</v>
      </c>
      <c r="J2726">
        <v>1.0900000000000001</v>
      </c>
      <c r="K2726">
        <v>1.0900000000000001</v>
      </c>
      <c r="L2726">
        <v>4.24</v>
      </c>
      <c r="M2726">
        <v>4.34</v>
      </c>
      <c r="N2726">
        <v>4.2300000000000004</v>
      </c>
    </row>
    <row r="2727" spans="1:14" x14ac:dyDescent="0.5">
      <c r="A2727" t="str">
        <f>"600710"</f>
        <v>600710</v>
      </c>
      <c r="B2727" t="s">
        <v>5148</v>
      </c>
      <c r="C2727">
        <v>2.5</v>
      </c>
      <c r="D2727">
        <v>14.16</v>
      </c>
      <c r="E2727">
        <v>4.92</v>
      </c>
      <c r="F2727">
        <v>0.12</v>
      </c>
      <c r="G2727">
        <v>4.92</v>
      </c>
      <c r="H2727">
        <v>4.93</v>
      </c>
      <c r="I2727" t="s">
        <v>5149</v>
      </c>
      <c r="J2727">
        <v>2.2799999999999998</v>
      </c>
      <c r="K2727">
        <v>2.2799999999999998</v>
      </c>
      <c r="L2727">
        <v>4.7699999999999996</v>
      </c>
      <c r="M2727">
        <v>4.9800000000000004</v>
      </c>
      <c r="N2727">
        <v>4.75</v>
      </c>
    </row>
    <row r="2728" spans="1:14" x14ac:dyDescent="0.5">
      <c r="A2728" t="str">
        <f>"600711"</f>
        <v>600711</v>
      </c>
      <c r="B2728" t="s">
        <v>5150</v>
      </c>
      <c r="C2728">
        <v>2.96</v>
      </c>
      <c r="D2728">
        <v>15.66</v>
      </c>
      <c r="E2728">
        <v>6.27</v>
      </c>
      <c r="F2728">
        <v>0.18</v>
      </c>
      <c r="G2728">
        <v>6.27</v>
      </c>
      <c r="H2728">
        <v>6.28</v>
      </c>
      <c r="I2728" t="s">
        <v>5151</v>
      </c>
      <c r="J2728">
        <v>7.77</v>
      </c>
      <c r="K2728">
        <v>7.77</v>
      </c>
      <c r="L2728">
        <v>6.01</v>
      </c>
      <c r="M2728">
        <v>6.27</v>
      </c>
      <c r="N2728">
        <v>5.97</v>
      </c>
    </row>
    <row r="2729" spans="1:14" x14ac:dyDescent="0.5">
      <c r="A2729" t="str">
        <f>"600712"</f>
        <v>600712</v>
      </c>
      <c r="B2729" t="s">
        <v>5152</v>
      </c>
      <c r="C2729">
        <v>1.62</v>
      </c>
      <c r="D2729" t="s">
        <v>24</v>
      </c>
      <c r="E2729">
        <v>4.4000000000000004</v>
      </c>
      <c r="F2729">
        <v>7.0000000000000007E-2</v>
      </c>
      <c r="G2729">
        <v>4.3899999999999997</v>
      </c>
      <c r="H2729">
        <v>4.4000000000000004</v>
      </c>
      <c r="I2729" t="s">
        <v>5153</v>
      </c>
      <c r="J2729">
        <v>1.1100000000000001</v>
      </c>
      <c r="K2729">
        <v>1.1100000000000001</v>
      </c>
      <c r="L2729">
        <v>4.3600000000000003</v>
      </c>
      <c r="M2729">
        <v>4.41</v>
      </c>
      <c r="N2729">
        <v>4.3099999999999996</v>
      </c>
    </row>
    <row r="2730" spans="1:14" x14ac:dyDescent="0.5">
      <c r="A2730" t="str">
        <f>"600713"</f>
        <v>600713</v>
      </c>
      <c r="B2730" t="s">
        <v>5154</v>
      </c>
      <c r="C2730">
        <v>2.71</v>
      </c>
      <c r="D2730">
        <v>18.8</v>
      </c>
      <c r="E2730">
        <v>4.92</v>
      </c>
      <c r="F2730">
        <v>0.13</v>
      </c>
      <c r="G2730">
        <v>4.91</v>
      </c>
      <c r="H2730">
        <v>4.92</v>
      </c>
      <c r="I2730" t="s">
        <v>5155</v>
      </c>
      <c r="J2730">
        <v>0.94</v>
      </c>
      <c r="K2730">
        <v>0.94</v>
      </c>
      <c r="L2730">
        <v>4.79</v>
      </c>
      <c r="M2730">
        <v>4.92</v>
      </c>
      <c r="N2730">
        <v>4.7699999999999996</v>
      </c>
    </row>
    <row r="2731" spans="1:14" x14ac:dyDescent="0.5">
      <c r="A2731" t="str">
        <f>"600714"</f>
        <v>600714</v>
      </c>
      <c r="B2731" t="s">
        <v>5156</v>
      </c>
      <c r="C2731">
        <v>0.85</v>
      </c>
      <c r="D2731">
        <v>108.43</v>
      </c>
      <c r="E2731">
        <v>7.11</v>
      </c>
      <c r="F2731">
        <v>0.06</v>
      </c>
      <c r="G2731">
        <v>7.1</v>
      </c>
      <c r="H2731">
        <v>7.11</v>
      </c>
      <c r="I2731" t="s">
        <v>5157</v>
      </c>
      <c r="J2731">
        <v>1.4</v>
      </c>
      <c r="K2731">
        <v>1.4</v>
      </c>
      <c r="L2731">
        <v>7.1</v>
      </c>
      <c r="M2731">
        <v>7.12</v>
      </c>
      <c r="N2731">
        <v>6.99</v>
      </c>
    </row>
    <row r="2732" spans="1:14" x14ac:dyDescent="0.5">
      <c r="A2732" t="str">
        <f>"600715"</f>
        <v>600715</v>
      </c>
      <c r="B2732" t="s">
        <v>5158</v>
      </c>
      <c r="C2732">
        <v>4.09</v>
      </c>
      <c r="D2732">
        <v>110.71</v>
      </c>
      <c r="E2732">
        <v>5.09</v>
      </c>
      <c r="F2732">
        <v>0.2</v>
      </c>
      <c r="G2732">
        <v>5.09</v>
      </c>
      <c r="H2732">
        <v>5.0999999999999996</v>
      </c>
      <c r="I2732" t="s">
        <v>5159</v>
      </c>
      <c r="J2732">
        <v>1.88</v>
      </c>
      <c r="K2732">
        <v>1.88</v>
      </c>
      <c r="L2732">
        <v>4.9000000000000004</v>
      </c>
      <c r="M2732">
        <v>5.0999999999999996</v>
      </c>
      <c r="N2732">
        <v>4.83</v>
      </c>
    </row>
    <row r="2733" spans="1:14" x14ac:dyDescent="0.5">
      <c r="A2733" t="str">
        <f>"600716"</f>
        <v>600716</v>
      </c>
      <c r="B2733" t="s">
        <v>5160</v>
      </c>
      <c r="C2733">
        <v>-0.82</v>
      </c>
      <c r="D2733" t="s">
        <v>24</v>
      </c>
      <c r="E2733">
        <v>4.82</v>
      </c>
      <c r="F2733">
        <v>-0.04</v>
      </c>
      <c r="G2733">
        <v>4.82</v>
      </c>
      <c r="H2733">
        <v>4.83</v>
      </c>
      <c r="I2733" t="s">
        <v>5161</v>
      </c>
      <c r="J2733">
        <v>1.75</v>
      </c>
      <c r="K2733">
        <v>1.75</v>
      </c>
      <c r="L2733">
        <v>4.8099999999999996</v>
      </c>
      <c r="M2733">
        <v>4.8600000000000003</v>
      </c>
      <c r="N2733">
        <v>4.7</v>
      </c>
    </row>
    <row r="2734" spans="1:14" x14ac:dyDescent="0.5">
      <c r="A2734" t="str">
        <f>"600717"</f>
        <v>600717</v>
      </c>
      <c r="B2734" t="s">
        <v>5162</v>
      </c>
      <c r="C2734">
        <v>0.95</v>
      </c>
      <c r="D2734">
        <v>20.81</v>
      </c>
      <c r="E2734">
        <v>8.52</v>
      </c>
      <c r="F2734">
        <v>0.08</v>
      </c>
      <c r="G2734">
        <v>8.52</v>
      </c>
      <c r="H2734">
        <v>8.5299999999999994</v>
      </c>
      <c r="I2734" t="s">
        <v>5163</v>
      </c>
      <c r="J2734">
        <v>0.96</v>
      </c>
      <c r="K2734">
        <v>0.96</v>
      </c>
      <c r="L2734">
        <v>8.44</v>
      </c>
      <c r="M2734">
        <v>8.58</v>
      </c>
      <c r="N2734">
        <v>8.34</v>
      </c>
    </row>
    <row r="2735" spans="1:14" x14ac:dyDescent="0.5">
      <c r="A2735" t="str">
        <f>"600718"</f>
        <v>600718</v>
      </c>
      <c r="B2735" t="s">
        <v>5164</v>
      </c>
      <c r="C2735">
        <v>6.59</v>
      </c>
      <c r="D2735">
        <v>14.76</v>
      </c>
      <c r="E2735">
        <v>13.43</v>
      </c>
      <c r="F2735">
        <v>0.83</v>
      </c>
      <c r="G2735">
        <v>13.42</v>
      </c>
      <c r="H2735">
        <v>13.43</v>
      </c>
      <c r="I2735" t="s">
        <v>5165</v>
      </c>
      <c r="J2735">
        <v>3.65</v>
      </c>
      <c r="K2735">
        <v>3.65</v>
      </c>
      <c r="L2735">
        <v>12.5</v>
      </c>
      <c r="M2735">
        <v>13.44</v>
      </c>
      <c r="N2735">
        <v>12.42</v>
      </c>
    </row>
    <row r="2736" spans="1:14" x14ac:dyDescent="0.5">
      <c r="A2736" t="str">
        <f>"600719"</f>
        <v>600719</v>
      </c>
      <c r="B2736" t="s">
        <v>5166</v>
      </c>
      <c r="C2736">
        <v>0.4</v>
      </c>
      <c r="D2736" t="s">
        <v>24</v>
      </c>
      <c r="E2736">
        <v>4.99</v>
      </c>
      <c r="F2736">
        <v>0.02</v>
      </c>
      <c r="G2736">
        <v>4.99</v>
      </c>
      <c r="H2736">
        <v>5</v>
      </c>
      <c r="I2736" t="s">
        <v>518</v>
      </c>
      <c r="J2736">
        <v>1.54</v>
      </c>
      <c r="K2736">
        <v>1.54</v>
      </c>
      <c r="L2736">
        <v>4.8899999999999997</v>
      </c>
      <c r="M2736">
        <v>5.07</v>
      </c>
      <c r="N2736">
        <v>4.87</v>
      </c>
    </row>
    <row r="2737" spans="1:14" x14ac:dyDescent="0.5">
      <c r="A2737" t="str">
        <f>"600720"</f>
        <v>600720</v>
      </c>
      <c r="B2737" t="s">
        <v>5167</v>
      </c>
      <c r="C2737">
        <v>0.24</v>
      </c>
      <c r="D2737">
        <v>11.59</v>
      </c>
      <c r="E2737">
        <v>8.1999999999999993</v>
      </c>
      <c r="F2737">
        <v>0.02</v>
      </c>
      <c r="G2737">
        <v>8.1999999999999993</v>
      </c>
      <c r="H2737">
        <v>8.2100000000000009</v>
      </c>
      <c r="I2737" t="s">
        <v>5168</v>
      </c>
      <c r="J2737">
        <v>2.84</v>
      </c>
      <c r="K2737">
        <v>2.84</v>
      </c>
      <c r="L2737">
        <v>8.1999999999999993</v>
      </c>
      <c r="M2737">
        <v>8.2200000000000006</v>
      </c>
      <c r="N2737">
        <v>8.0500000000000007</v>
      </c>
    </row>
    <row r="2738" spans="1:14" x14ac:dyDescent="0.5">
      <c r="A2738" t="str">
        <f>"600721"</f>
        <v>600721</v>
      </c>
      <c r="B2738" t="s">
        <v>5169</v>
      </c>
      <c r="C2738">
        <v>3.68</v>
      </c>
      <c r="D2738" t="s">
        <v>24</v>
      </c>
      <c r="E2738">
        <v>6.2</v>
      </c>
      <c r="F2738">
        <v>0.22</v>
      </c>
      <c r="G2738">
        <v>6.2</v>
      </c>
      <c r="H2738">
        <v>6.21</v>
      </c>
      <c r="I2738" t="s">
        <v>3526</v>
      </c>
      <c r="J2738">
        <v>3.69</v>
      </c>
      <c r="K2738">
        <v>3.69</v>
      </c>
      <c r="L2738">
        <v>5.99</v>
      </c>
      <c r="M2738">
        <v>6.27</v>
      </c>
      <c r="N2738">
        <v>5.96</v>
      </c>
    </row>
    <row r="2739" spans="1:14" x14ac:dyDescent="0.5">
      <c r="A2739" t="str">
        <f>"600722"</f>
        <v>600722</v>
      </c>
      <c r="B2739" t="s">
        <v>5170</v>
      </c>
      <c r="C2739">
        <v>1.28</v>
      </c>
      <c r="D2739">
        <v>62.02</v>
      </c>
      <c r="E2739">
        <v>5.52</v>
      </c>
      <c r="F2739">
        <v>7.0000000000000007E-2</v>
      </c>
      <c r="G2739">
        <v>5.52</v>
      </c>
      <c r="H2739">
        <v>5.53</v>
      </c>
      <c r="I2739" t="s">
        <v>5171</v>
      </c>
      <c r="J2739">
        <v>3.63</v>
      </c>
      <c r="K2739">
        <v>3.63</v>
      </c>
      <c r="L2739">
        <v>5.36</v>
      </c>
      <c r="M2739">
        <v>5.53</v>
      </c>
      <c r="N2739">
        <v>5.32</v>
      </c>
    </row>
    <row r="2740" spans="1:14" x14ac:dyDescent="0.5">
      <c r="A2740" t="str">
        <f>"600723"</f>
        <v>600723</v>
      </c>
      <c r="B2740" t="s">
        <v>5172</v>
      </c>
      <c r="C2740">
        <v>3.8</v>
      </c>
      <c r="D2740">
        <v>11.63</v>
      </c>
      <c r="E2740">
        <v>7.1</v>
      </c>
      <c r="F2740">
        <v>0.26</v>
      </c>
      <c r="G2740">
        <v>7.09</v>
      </c>
      <c r="H2740">
        <v>7.1</v>
      </c>
      <c r="I2740" t="s">
        <v>5173</v>
      </c>
      <c r="J2740">
        <v>1.32</v>
      </c>
      <c r="K2740">
        <v>1.32</v>
      </c>
      <c r="L2740">
        <v>6.82</v>
      </c>
      <c r="M2740">
        <v>7.14</v>
      </c>
      <c r="N2740">
        <v>6.81</v>
      </c>
    </row>
    <row r="2741" spans="1:14" x14ac:dyDescent="0.5">
      <c r="A2741" t="str">
        <f>"600724"</f>
        <v>600724</v>
      </c>
      <c r="B2741" t="s">
        <v>5174</v>
      </c>
      <c r="C2741">
        <v>0.51</v>
      </c>
      <c r="D2741" t="s">
        <v>24</v>
      </c>
      <c r="E2741">
        <v>3.96</v>
      </c>
      <c r="F2741">
        <v>0.02</v>
      </c>
      <c r="G2741">
        <v>3.95</v>
      </c>
      <c r="H2741">
        <v>3.96</v>
      </c>
      <c r="I2741" t="s">
        <v>5175</v>
      </c>
      <c r="J2741">
        <v>0.42</v>
      </c>
      <c r="K2741">
        <v>0.42</v>
      </c>
      <c r="L2741">
        <v>3.91</v>
      </c>
      <c r="M2741">
        <v>3.97</v>
      </c>
      <c r="N2741">
        <v>3.88</v>
      </c>
    </row>
    <row r="2742" spans="1:14" x14ac:dyDescent="0.5">
      <c r="A2742" t="str">
        <f>"600725"</f>
        <v>600725</v>
      </c>
      <c r="B2742" t="s">
        <v>5176</v>
      </c>
      <c r="C2742">
        <v>-0.73</v>
      </c>
      <c r="D2742">
        <v>184.65</v>
      </c>
      <c r="E2742">
        <v>2.73</v>
      </c>
      <c r="F2742">
        <v>-0.02</v>
      </c>
      <c r="G2742">
        <v>2.73</v>
      </c>
      <c r="H2742">
        <v>2.74</v>
      </c>
      <c r="I2742" t="s">
        <v>5177</v>
      </c>
      <c r="J2742">
        <v>0.57999999999999996</v>
      </c>
      <c r="K2742">
        <v>0.57999999999999996</v>
      </c>
      <c r="L2742">
        <v>2.73</v>
      </c>
      <c r="M2742">
        <v>2.76</v>
      </c>
      <c r="N2742">
        <v>2.69</v>
      </c>
    </row>
    <row r="2743" spans="1:14" x14ac:dyDescent="0.5">
      <c r="A2743" t="str">
        <f>"600726"</f>
        <v>600726</v>
      </c>
      <c r="B2743" t="s">
        <v>5178</v>
      </c>
      <c r="C2743">
        <v>1.63</v>
      </c>
      <c r="D2743" t="s">
        <v>24</v>
      </c>
      <c r="E2743">
        <v>2.5</v>
      </c>
      <c r="F2743">
        <v>0.04</v>
      </c>
      <c r="G2743">
        <v>2.5</v>
      </c>
      <c r="H2743">
        <v>2.5099999999999998</v>
      </c>
      <c r="I2743" t="s">
        <v>1183</v>
      </c>
      <c r="J2743">
        <v>1.0900000000000001</v>
      </c>
      <c r="K2743">
        <v>1.0900000000000001</v>
      </c>
      <c r="L2743">
        <v>2.44</v>
      </c>
      <c r="M2743">
        <v>2.5</v>
      </c>
      <c r="N2743">
        <v>2.41</v>
      </c>
    </row>
    <row r="2744" spans="1:14" x14ac:dyDescent="0.5">
      <c r="A2744" t="str">
        <f>"600727"</f>
        <v>600727</v>
      </c>
      <c r="B2744" t="s">
        <v>5179</v>
      </c>
      <c r="C2744">
        <v>2.19</v>
      </c>
      <c r="D2744">
        <v>18.88</v>
      </c>
      <c r="E2744">
        <v>6.52</v>
      </c>
      <c r="F2744">
        <v>0.14000000000000001</v>
      </c>
      <c r="G2744">
        <v>6.51</v>
      </c>
      <c r="H2744">
        <v>6.52</v>
      </c>
      <c r="I2744" t="s">
        <v>5180</v>
      </c>
      <c r="J2744">
        <v>1.42</v>
      </c>
      <c r="K2744">
        <v>1.42</v>
      </c>
      <c r="L2744">
        <v>6.38</v>
      </c>
      <c r="M2744">
        <v>6.53</v>
      </c>
      <c r="N2744">
        <v>6.35</v>
      </c>
    </row>
    <row r="2745" spans="1:14" x14ac:dyDescent="0.5">
      <c r="A2745" t="str">
        <f>"600728"</f>
        <v>600728</v>
      </c>
      <c r="B2745" t="s">
        <v>5181</v>
      </c>
      <c r="C2745">
        <v>6.57</v>
      </c>
      <c r="D2745">
        <v>61.27</v>
      </c>
      <c r="E2745">
        <v>12.01</v>
      </c>
      <c r="F2745">
        <v>0.74</v>
      </c>
      <c r="G2745">
        <v>12</v>
      </c>
      <c r="H2745">
        <v>12.01</v>
      </c>
      <c r="I2745" t="s">
        <v>5182</v>
      </c>
      <c r="J2745">
        <v>10.85</v>
      </c>
      <c r="K2745">
        <v>10.85</v>
      </c>
      <c r="L2745">
        <v>11.01</v>
      </c>
      <c r="M2745">
        <v>12.3</v>
      </c>
      <c r="N2745">
        <v>10.99</v>
      </c>
    </row>
    <row r="2746" spans="1:14" x14ac:dyDescent="0.5">
      <c r="A2746" t="str">
        <f>"600729"</f>
        <v>600729</v>
      </c>
      <c r="B2746" t="s">
        <v>5183</v>
      </c>
      <c r="C2746">
        <v>4.34</v>
      </c>
      <c r="D2746">
        <v>14.37</v>
      </c>
      <c r="E2746">
        <v>32.25</v>
      </c>
      <c r="F2746">
        <v>1.34</v>
      </c>
      <c r="G2746">
        <v>32.22</v>
      </c>
      <c r="H2746">
        <v>32.25</v>
      </c>
      <c r="I2746" t="s">
        <v>5184</v>
      </c>
      <c r="J2746">
        <v>1.78</v>
      </c>
      <c r="K2746">
        <v>1.78</v>
      </c>
      <c r="L2746">
        <v>30.95</v>
      </c>
      <c r="M2746">
        <v>32.450000000000003</v>
      </c>
      <c r="N2746">
        <v>30.89</v>
      </c>
    </row>
    <row r="2747" spans="1:14" x14ac:dyDescent="0.5">
      <c r="A2747" t="str">
        <f>"600730"</f>
        <v>600730</v>
      </c>
      <c r="B2747" t="s">
        <v>5185</v>
      </c>
      <c r="C2747">
        <v>9.9499999999999993</v>
      </c>
      <c r="D2747" t="s">
        <v>24</v>
      </c>
      <c r="E2747">
        <v>6.08</v>
      </c>
      <c r="F2747">
        <v>0.55000000000000004</v>
      </c>
      <c r="G2747">
        <v>6.08</v>
      </c>
      <c r="H2747" t="s">
        <v>24</v>
      </c>
      <c r="I2747" t="s">
        <v>752</v>
      </c>
      <c r="J2747">
        <v>5.35</v>
      </c>
      <c r="K2747">
        <v>5.35</v>
      </c>
      <c r="L2747">
        <v>5.54</v>
      </c>
      <c r="M2747">
        <v>6.08</v>
      </c>
      <c r="N2747">
        <v>5.52</v>
      </c>
    </row>
    <row r="2748" spans="1:14" x14ac:dyDescent="0.5">
      <c r="A2748" t="str">
        <f>"600731"</f>
        <v>600731</v>
      </c>
      <c r="B2748" t="s">
        <v>5186</v>
      </c>
      <c r="C2748">
        <v>0.38</v>
      </c>
      <c r="D2748">
        <v>50.36</v>
      </c>
      <c r="E2748">
        <v>5.25</v>
      </c>
      <c r="F2748">
        <v>0.02</v>
      </c>
      <c r="G2748">
        <v>5.24</v>
      </c>
      <c r="H2748">
        <v>5.25</v>
      </c>
      <c r="I2748" t="s">
        <v>3083</v>
      </c>
      <c r="J2748">
        <v>1.49</v>
      </c>
      <c r="K2748">
        <v>1.49</v>
      </c>
      <c r="L2748">
        <v>5.23</v>
      </c>
      <c r="M2748">
        <v>5.26</v>
      </c>
      <c r="N2748">
        <v>5.18</v>
      </c>
    </row>
    <row r="2749" spans="1:14" x14ac:dyDescent="0.5">
      <c r="A2749" t="str">
        <f>"600732"</f>
        <v>600732</v>
      </c>
      <c r="B2749" t="s">
        <v>5187</v>
      </c>
      <c r="C2749">
        <v>-0.17</v>
      </c>
      <c r="D2749" t="s">
        <v>24</v>
      </c>
      <c r="E2749">
        <v>5.78</v>
      </c>
      <c r="F2749">
        <v>-0.01</v>
      </c>
      <c r="G2749">
        <v>5.78</v>
      </c>
      <c r="H2749">
        <v>5.79</v>
      </c>
      <c r="I2749" t="s">
        <v>1343</v>
      </c>
      <c r="J2749">
        <v>1.58</v>
      </c>
      <c r="K2749">
        <v>1.58</v>
      </c>
      <c r="L2749">
        <v>5.77</v>
      </c>
      <c r="M2749">
        <v>5.92</v>
      </c>
      <c r="N2749">
        <v>5.58</v>
      </c>
    </row>
    <row r="2750" spans="1:14" x14ac:dyDescent="0.5">
      <c r="A2750" t="str">
        <f>"600733"</f>
        <v>600733</v>
      </c>
      <c r="B2750" t="s">
        <v>5188</v>
      </c>
      <c r="C2750">
        <v>0.11</v>
      </c>
      <c r="D2750">
        <v>558.49</v>
      </c>
      <c r="E2750">
        <v>9.0399999999999991</v>
      </c>
      <c r="F2750">
        <v>0.01</v>
      </c>
      <c r="G2750">
        <v>9.0399999999999991</v>
      </c>
      <c r="H2750">
        <v>9.0500000000000007</v>
      </c>
      <c r="I2750" t="s">
        <v>954</v>
      </c>
      <c r="J2750">
        <v>7.18</v>
      </c>
      <c r="K2750">
        <v>7.18</v>
      </c>
      <c r="L2750">
        <v>8.93</v>
      </c>
      <c r="M2750">
        <v>9.1</v>
      </c>
      <c r="N2750">
        <v>8.8699999999999992</v>
      </c>
    </row>
    <row r="2751" spans="1:14" x14ac:dyDescent="0.5">
      <c r="A2751" t="str">
        <f>"600734"</f>
        <v>600734</v>
      </c>
      <c r="B2751" t="s">
        <v>5189</v>
      </c>
      <c r="C2751">
        <v>3.8</v>
      </c>
      <c r="D2751">
        <v>23.39</v>
      </c>
      <c r="E2751">
        <v>9.01</v>
      </c>
      <c r="F2751">
        <v>0.33</v>
      </c>
      <c r="G2751">
        <v>9.01</v>
      </c>
      <c r="H2751">
        <v>9.02</v>
      </c>
      <c r="I2751" t="s">
        <v>5190</v>
      </c>
      <c r="J2751">
        <v>13.16</v>
      </c>
      <c r="K2751">
        <v>13.16</v>
      </c>
      <c r="L2751">
        <v>8.61</v>
      </c>
      <c r="M2751">
        <v>9.17</v>
      </c>
      <c r="N2751">
        <v>8.51</v>
      </c>
    </row>
    <row r="2752" spans="1:14" x14ac:dyDescent="0.5">
      <c r="A2752" t="str">
        <f>"600735"</f>
        <v>600735</v>
      </c>
      <c r="B2752" t="s">
        <v>5191</v>
      </c>
      <c r="C2752">
        <v>2.98</v>
      </c>
      <c r="D2752">
        <v>28.78</v>
      </c>
      <c r="E2752">
        <v>6.57</v>
      </c>
      <c r="F2752">
        <v>0.19</v>
      </c>
      <c r="G2752">
        <v>6.56</v>
      </c>
      <c r="H2752">
        <v>6.57</v>
      </c>
      <c r="I2752" t="s">
        <v>5192</v>
      </c>
      <c r="J2752">
        <v>4.7699999999999996</v>
      </c>
      <c r="K2752">
        <v>4.7699999999999996</v>
      </c>
      <c r="L2752">
        <v>6.4</v>
      </c>
      <c r="M2752">
        <v>6.58</v>
      </c>
      <c r="N2752">
        <v>6.27</v>
      </c>
    </row>
    <row r="2753" spans="1:14" x14ac:dyDescent="0.5">
      <c r="A2753" t="str">
        <f>"600736"</f>
        <v>600736</v>
      </c>
      <c r="B2753" t="s">
        <v>5193</v>
      </c>
      <c r="C2753">
        <v>5.2</v>
      </c>
      <c r="D2753">
        <v>10</v>
      </c>
      <c r="E2753">
        <v>6.68</v>
      </c>
      <c r="F2753">
        <v>0.33</v>
      </c>
      <c r="G2753">
        <v>6.67</v>
      </c>
      <c r="H2753">
        <v>6.68</v>
      </c>
      <c r="I2753" t="s">
        <v>5194</v>
      </c>
      <c r="J2753">
        <v>4.03</v>
      </c>
      <c r="K2753">
        <v>4.03</v>
      </c>
      <c r="L2753">
        <v>6.31</v>
      </c>
      <c r="M2753">
        <v>6.77</v>
      </c>
      <c r="N2753">
        <v>6.29</v>
      </c>
    </row>
    <row r="2754" spans="1:14" x14ac:dyDescent="0.5">
      <c r="A2754" t="str">
        <f>"600737"</f>
        <v>600737</v>
      </c>
      <c r="B2754" t="s">
        <v>5195</v>
      </c>
      <c r="C2754">
        <v>3.83</v>
      </c>
      <c r="D2754">
        <v>16.91</v>
      </c>
      <c r="E2754">
        <v>8.94</v>
      </c>
      <c r="F2754">
        <v>0.33</v>
      </c>
      <c r="G2754">
        <v>8.94</v>
      </c>
      <c r="H2754">
        <v>8.9499999999999993</v>
      </c>
      <c r="I2754" t="s">
        <v>5196</v>
      </c>
      <c r="J2754">
        <v>2</v>
      </c>
      <c r="K2754">
        <v>2</v>
      </c>
      <c r="L2754">
        <v>8.58</v>
      </c>
      <c r="M2754">
        <v>9.08</v>
      </c>
      <c r="N2754">
        <v>8.5299999999999994</v>
      </c>
    </row>
    <row r="2755" spans="1:14" x14ac:dyDescent="0.5">
      <c r="A2755" t="str">
        <f>"600738"</f>
        <v>600738</v>
      </c>
      <c r="B2755" t="s">
        <v>5197</v>
      </c>
      <c r="C2755">
        <v>0.11</v>
      </c>
      <c r="D2755">
        <v>4.45</v>
      </c>
      <c r="E2755">
        <v>9.31</v>
      </c>
      <c r="F2755">
        <v>0.01</v>
      </c>
      <c r="G2755">
        <v>9.3000000000000007</v>
      </c>
      <c r="H2755">
        <v>9.31</v>
      </c>
      <c r="I2755" t="s">
        <v>5198</v>
      </c>
      <c r="J2755">
        <v>6.39</v>
      </c>
      <c r="K2755">
        <v>6.39</v>
      </c>
      <c r="L2755">
        <v>9.18</v>
      </c>
      <c r="M2755">
        <v>9.33</v>
      </c>
      <c r="N2755">
        <v>9.11</v>
      </c>
    </row>
    <row r="2756" spans="1:14" x14ac:dyDescent="0.5">
      <c r="A2756" t="str">
        <f>"600739"</f>
        <v>600739</v>
      </c>
      <c r="B2756" t="s">
        <v>5199</v>
      </c>
      <c r="C2756">
        <v>1.93</v>
      </c>
      <c r="D2756">
        <v>22.61</v>
      </c>
      <c r="E2756">
        <v>14.27</v>
      </c>
      <c r="F2756">
        <v>0.27</v>
      </c>
      <c r="G2756">
        <v>14.27</v>
      </c>
      <c r="H2756">
        <v>14.28</v>
      </c>
      <c r="I2756" t="s">
        <v>5200</v>
      </c>
      <c r="J2756">
        <v>2.68</v>
      </c>
      <c r="K2756">
        <v>2.68</v>
      </c>
      <c r="L2756">
        <v>13.75</v>
      </c>
      <c r="M2756">
        <v>14.29</v>
      </c>
      <c r="N2756">
        <v>13.75</v>
      </c>
    </row>
    <row r="2757" spans="1:14" x14ac:dyDescent="0.5">
      <c r="A2757" t="str">
        <f>"600740"</f>
        <v>600740</v>
      </c>
      <c r="B2757" t="s">
        <v>5201</v>
      </c>
      <c r="C2757">
        <v>0.21</v>
      </c>
      <c r="D2757">
        <v>10.94</v>
      </c>
      <c r="E2757">
        <v>9.64</v>
      </c>
      <c r="F2757">
        <v>0.02</v>
      </c>
      <c r="G2757">
        <v>9.6300000000000008</v>
      </c>
      <c r="H2757">
        <v>9.64</v>
      </c>
      <c r="I2757" t="s">
        <v>5202</v>
      </c>
      <c r="J2757">
        <v>5.45</v>
      </c>
      <c r="K2757">
        <v>5.45</v>
      </c>
      <c r="L2757">
        <v>9.59</v>
      </c>
      <c r="M2757">
        <v>9.64</v>
      </c>
      <c r="N2757">
        <v>9.43</v>
      </c>
    </row>
    <row r="2758" spans="1:14" x14ac:dyDescent="0.5">
      <c r="A2758" t="str">
        <f>"600741"</f>
        <v>600741</v>
      </c>
      <c r="B2758" t="s">
        <v>5203</v>
      </c>
      <c r="C2758">
        <v>-0.76</v>
      </c>
      <c r="D2758">
        <v>8.06</v>
      </c>
      <c r="E2758">
        <v>20.97</v>
      </c>
      <c r="F2758">
        <v>-0.16</v>
      </c>
      <c r="G2758">
        <v>20.96</v>
      </c>
      <c r="H2758">
        <v>20.97</v>
      </c>
      <c r="I2758" t="s">
        <v>5204</v>
      </c>
      <c r="J2758">
        <v>0.52</v>
      </c>
      <c r="K2758">
        <v>0.52</v>
      </c>
      <c r="L2758">
        <v>21.17</v>
      </c>
      <c r="M2758">
        <v>21.33</v>
      </c>
      <c r="N2758">
        <v>20.72</v>
      </c>
    </row>
    <row r="2759" spans="1:14" x14ac:dyDescent="0.5">
      <c r="A2759" t="str">
        <f>"600742"</f>
        <v>600742</v>
      </c>
      <c r="B2759" t="s">
        <v>5205</v>
      </c>
      <c r="C2759">
        <v>1.95</v>
      </c>
      <c r="D2759">
        <v>13.14</v>
      </c>
      <c r="E2759">
        <v>12.02</v>
      </c>
      <c r="F2759">
        <v>0.23</v>
      </c>
      <c r="G2759">
        <v>12.02</v>
      </c>
      <c r="H2759">
        <v>12.03</v>
      </c>
      <c r="I2759" t="s">
        <v>5206</v>
      </c>
      <c r="J2759">
        <v>1.58</v>
      </c>
      <c r="K2759">
        <v>1.58</v>
      </c>
      <c r="L2759">
        <v>11.75</v>
      </c>
      <c r="M2759">
        <v>12.03</v>
      </c>
      <c r="N2759">
        <v>11.74</v>
      </c>
    </row>
    <row r="2760" spans="1:14" x14ac:dyDescent="0.5">
      <c r="A2760" t="str">
        <f>"600743"</f>
        <v>600743</v>
      </c>
      <c r="B2760" t="s">
        <v>5207</v>
      </c>
      <c r="C2760">
        <v>-0.33</v>
      </c>
      <c r="D2760">
        <v>11.01</v>
      </c>
      <c r="E2760">
        <v>3.02</v>
      </c>
      <c r="F2760">
        <v>-0.01</v>
      </c>
      <c r="G2760">
        <v>3.02</v>
      </c>
      <c r="H2760">
        <v>3.03</v>
      </c>
      <c r="I2760" t="s">
        <v>5208</v>
      </c>
      <c r="J2760">
        <v>1.1200000000000001</v>
      </c>
      <c r="K2760">
        <v>1.1200000000000001</v>
      </c>
      <c r="L2760">
        <v>3.02</v>
      </c>
      <c r="M2760">
        <v>3.03</v>
      </c>
      <c r="N2760">
        <v>2.95</v>
      </c>
    </row>
    <row r="2761" spans="1:14" x14ac:dyDescent="0.5">
      <c r="A2761" t="str">
        <f>"600744"</f>
        <v>600744</v>
      </c>
      <c r="B2761" t="s">
        <v>5209</v>
      </c>
      <c r="C2761">
        <v>6.95</v>
      </c>
      <c r="D2761" t="s">
        <v>24</v>
      </c>
      <c r="E2761">
        <v>3.54</v>
      </c>
      <c r="F2761">
        <v>0.23</v>
      </c>
      <c r="G2761">
        <v>3.53</v>
      </c>
      <c r="H2761">
        <v>3.54</v>
      </c>
      <c r="I2761" t="s">
        <v>5210</v>
      </c>
      <c r="J2761">
        <v>4.12</v>
      </c>
      <c r="K2761">
        <v>4.12</v>
      </c>
      <c r="L2761">
        <v>3.3</v>
      </c>
      <c r="M2761">
        <v>3.61</v>
      </c>
      <c r="N2761">
        <v>3.25</v>
      </c>
    </row>
    <row r="2762" spans="1:14" x14ac:dyDescent="0.5">
      <c r="A2762" t="str">
        <f>"600745"</f>
        <v>600745</v>
      </c>
      <c r="B2762" t="s">
        <v>5211</v>
      </c>
      <c r="C2762">
        <v>4.12</v>
      </c>
      <c r="D2762" t="s">
        <v>24</v>
      </c>
      <c r="E2762">
        <v>30.3</v>
      </c>
      <c r="F2762">
        <v>1.2</v>
      </c>
      <c r="G2762">
        <v>30.3</v>
      </c>
      <c r="H2762">
        <v>30.31</v>
      </c>
      <c r="I2762" t="s">
        <v>5212</v>
      </c>
      <c r="J2762">
        <v>1.68</v>
      </c>
      <c r="K2762">
        <v>1.68</v>
      </c>
      <c r="L2762">
        <v>28.87</v>
      </c>
      <c r="M2762">
        <v>30.5</v>
      </c>
      <c r="N2762">
        <v>28.44</v>
      </c>
    </row>
    <row r="2763" spans="1:14" x14ac:dyDescent="0.5">
      <c r="A2763" t="str">
        <f>"600746"</f>
        <v>600746</v>
      </c>
      <c r="B2763" t="s">
        <v>5213</v>
      </c>
      <c r="C2763">
        <v>0.9</v>
      </c>
      <c r="D2763">
        <v>369.52</v>
      </c>
      <c r="E2763">
        <v>6.71</v>
      </c>
      <c r="F2763">
        <v>0.06</v>
      </c>
      <c r="G2763">
        <v>6.71</v>
      </c>
      <c r="H2763">
        <v>6.72</v>
      </c>
      <c r="I2763" t="s">
        <v>5214</v>
      </c>
      <c r="J2763">
        <v>1.44</v>
      </c>
      <c r="K2763">
        <v>1.44</v>
      </c>
      <c r="L2763">
        <v>6.65</v>
      </c>
      <c r="M2763">
        <v>6.75</v>
      </c>
      <c r="N2763">
        <v>6.6</v>
      </c>
    </row>
    <row r="2764" spans="1:14" x14ac:dyDescent="0.5">
      <c r="A2764" t="str">
        <f>"600747"</f>
        <v>600747</v>
      </c>
      <c r="B2764" t="s">
        <v>5215</v>
      </c>
      <c r="C2764">
        <v>1.37</v>
      </c>
      <c r="D2764" t="s">
        <v>24</v>
      </c>
      <c r="E2764">
        <v>1.48</v>
      </c>
      <c r="F2764">
        <v>0.02</v>
      </c>
      <c r="G2764">
        <v>1.47</v>
      </c>
      <c r="H2764">
        <v>1.48</v>
      </c>
      <c r="I2764" t="s">
        <v>5216</v>
      </c>
      <c r="J2764">
        <v>1.42</v>
      </c>
      <c r="K2764">
        <v>1.42</v>
      </c>
      <c r="L2764">
        <v>1.46</v>
      </c>
      <c r="M2764">
        <v>1.48</v>
      </c>
      <c r="N2764">
        <v>1.45</v>
      </c>
    </row>
    <row r="2765" spans="1:14" x14ac:dyDescent="0.5">
      <c r="A2765" t="str">
        <f>"600748"</f>
        <v>600748</v>
      </c>
      <c r="B2765" t="s">
        <v>5217</v>
      </c>
      <c r="C2765">
        <v>2.96</v>
      </c>
      <c r="D2765">
        <v>16.86</v>
      </c>
      <c r="E2765">
        <v>8.35</v>
      </c>
      <c r="F2765">
        <v>0.24</v>
      </c>
      <c r="G2765">
        <v>8.34</v>
      </c>
      <c r="H2765">
        <v>8.35</v>
      </c>
      <c r="I2765" t="s">
        <v>5218</v>
      </c>
      <c r="J2765">
        <v>2.56</v>
      </c>
      <c r="K2765">
        <v>2.56</v>
      </c>
      <c r="L2765">
        <v>8.25</v>
      </c>
      <c r="M2765">
        <v>8.51</v>
      </c>
      <c r="N2765">
        <v>7.99</v>
      </c>
    </row>
    <row r="2766" spans="1:14" x14ac:dyDescent="0.5">
      <c r="A2766" t="str">
        <f>"600749"</f>
        <v>600749</v>
      </c>
      <c r="B2766" t="s">
        <v>5219</v>
      </c>
      <c r="C2766">
        <v>2.0499999999999998</v>
      </c>
      <c r="D2766" t="s">
        <v>24</v>
      </c>
      <c r="E2766">
        <v>9.9700000000000006</v>
      </c>
      <c r="F2766">
        <v>0.2</v>
      </c>
      <c r="G2766">
        <v>9.9499999999999993</v>
      </c>
      <c r="H2766">
        <v>9.9700000000000006</v>
      </c>
      <c r="I2766" t="s">
        <v>2970</v>
      </c>
      <c r="J2766">
        <v>1.22</v>
      </c>
      <c r="K2766">
        <v>1.22</v>
      </c>
      <c r="L2766">
        <v>9.7200000000000006</v>
      </c>
      <c r="M2766">
        <v>9.9700000000000006</v>
      </c>
      <c r="N2766">
        <v>9.7100000000000009</v>
      </c>
    </row>
    <row r="2767" spans="1:14" x14ac:dyDescent="0.5">
      <c r="A2767" t="str">
        <f>"600750"</f>
        <v>600750</v>
      </c>
      <c r="B2767" t="s">
        <v>5220</v>
      </c>
      <c r="C2767">
        <v>-0.11</v>
      </c>
      <c r="D2767">
        <v>16.78</v>
      </c>
      <c r="E2767">
        <v>18.059999999999999</v>
      </c>
      <c r="F2767">
        <v>-0.02</v>
      </c>
      <c r="G2767">
        <v>18.059999999999999</v>
      </c>
      <c r="H2767">
        <v>18.07</v>
      </c>
      <c r="I2767" t="s">
        <v>5221</v>
      </c>
      <c r="J2767">
        <v>1.92</v>
      </c>
      <c r="K2767">
        <v>1.92</v>
      </c>
      <c r="L2767">
        <v>18</v>
      </c>
      <c r="M2767">
        <v>18.149999999999999</v>
      </c>
      <c r="N2767">
        <v>17.95</v>
      </c>
    </row>
    <row r="2768" spans="1:14" x14ac:dyDescent="0.5">
      <c r="A2768" t="str">
        <f>"600751"</f>
        <v>600751</v>
      </c>
      <c r="B2768" t="s">
        <v>5222</v>
      </c>
      <c r="C2768">
        <v>10.029999999999999</v>
      </c>
      <c r="D2768">
        <v>13.7</v>
      </c>
      <c r="E2768">
        <v>4.0599999999999996</v>
      </c>
      <c r="F2768">
        <v>0.37</v>
      </c>
      <c r="G2768">
        <v>4.0599999999999996</v>
      </c>
      <c r="H2768" t="s">
        <v>24</v>
      </c>
      <c r="I2768" t="s">
        <v>5223</v>
      </c>
      <c r="J2768">
        <v>3.7</v>
      </c>
      <c r="K2768">
        <v>3.7</v>
      </c>
      <c r="L2768">
        <v>3.61</v>
      </c>
      <c r="M2768">
        <v>4.0599999999999996</v>
      </c>
      <c r="N2768">
        <v>3.57</v>
      </c>
    </row>
    <row r="2769" spans="1:14" x14ac:dyDescent="0.5">
      <c r="A2769" t="str">
        <f>"600753"</f>
        <v>600753</v>
      </c>
      <c r="B2769" t="s">
        <v>5224</v>
      </c>
      <c r="C2769">
        <v>-0.27</v>
      </c>
      <c r="D2769">
        <v>129.63999999999999</v>
      </c>
      <c r="E2769">
        <v>18.440000000000001</v>
      </c>
      <c r="F2769">
        <v>-0.05</v>
      </c>
      <c r="G2769">
        <v>18.43</v>
      </c>
      <c r="H2769">
        <v>18.440000000000001</v>
      </c>
      <c r="I2769" t="s">
        <v>5225</v>
      </c>
      <c r="J2769">
        <v>3.67</v>
      </c>
      <c r="K2769">
        <v>3.67</v>
      </c>
      <c r="L2769">
        <v>18.309999999999999</v>
      </c>
      <c r="M2769">
        <v>18.47</v>
      </c>
      <c r="N2769">
        <v>17.96</v>
      </c>
    </row>
    <row r="2770" spans="1:14" x14ac:dyDescent="0.5">
      <c r="A2770" t="str">
        <f>"600754"</f>
        <v>600754</v>
      </c>
      <c r="B2770" t="s">
        <v>5226</v>
      </c>
      <c r="C2770">
        <v>0.12</v>
      </c>
      <c r="D2770">
        <v>22.98</v>
      </c>
      <c r="E2770">
        <v>25.25</v>
      </c>
      <c r="F2770">
        <v>0.03</v>
      </c>
      <c r="G2770">
        <v>25.24</v>
      </c>
      <c r="H2770">
        <v>25.25</v>
      </c>
      <c r="I2770" t="s">
        <v>5027</v>
      </c>
      <c r="J2770">
        <v>0.56000000000000005</v>
      </c>
      <c r="K2770">
        <v>0.56000000000000005</v>
      </c>
      <c r="L2770">
        <v>25.2</v>
      </c>
      <c r="M2770">
        <v>25.3</v>
      </c>
      <c r="N2770">
        <v>24.88</v>
      </c>
    </row>
    <row r="2771" spans="1:14" x14ac:dyDescent="0.5">
      <c r="A2771" t="str">
        <f>"600755"</f>
        <v>600755</v>
      </c>
      <c r="B2771" t="s">
        <v>5227</v>
      </c>
      <c r="C2771">
        <v>0.37</v>
      </c>
      <c r="D2771">
        <v>7.02</v>
      </c>
      <c r="E2771">
        <v>8.1</v>
      </c>
      <c r="F2771">
        <v>0.03</v>
      </c>
      <c r="G2771">
        <v>8.1</v>
      </c>
      <c r="H2771">
        <v>8.11</v>
      </c>
      <c r="I2771" t="s">
        <v>5228</v>
      </c>
      <c r="J2771">
        <v>2.35</v>
      </c>
      <c r="K2771">
        <v>2.35</v>
      </c>
      <c r="L2771">
        <v>8.02</v>
      </c>
      <c r="M2771">
        <v>8.11</v>
      </c>
      <c r="N2771">
        <v>7.97</v>
      </c>
    </row>
    <row r="2772" spans="1:14" x14ac:dyDescent="0.5">
      <c r="A2772" t="str">
        <f>"600756"</f>
        <v>600756</v>
      </c>
      <c r="B2772" t="s">
        <v>5229</v>
      </c>
      <c r="C2772">
        <v>10</v>
      </c>
      <c r="D2772">
        <v>31.99</v>
      </c>
      <c r="E2772">
        <v>23.21</v>
      </c>
      <c r="F2772">
        <v>2.11</v>
      </c>
      <c r="G2772">
        <v>23.21</v>
      </c>
      <c r="H2772" t="s">
        <v>24</v>
      </c>
      <c r="I2772" t="s">
        <v>1982</v>
      </c>
      <c r="J2772">
        <v>9.09</v>
      </c>
      <c r="K2772">
        <v>9.09</v>
      </c>
      <c r="L2772">
        <v>22.1</v>
      </c>
      <c r="M2772">
        <v>23.21</v>
      </c>
      <c r="N2772">
        <v>22</v>
      </c>
    </row>
    <row r="2773" spans="1:14" x14ac:dyDescent="0.5">
      <c r="A2773" t="str">
        <f>"600757"</f>
        <v>600757</v>
      </c>
      <c r="B2773" t="s">
        <v>5230</v>
      </c>
      <c r="C2773">
        <v>1.96</v>
      </c>
      <c r="D2773">
        <v>11.93</v>
      </c>
      <c r="E2773">
        <v>7.28</v>
      </c>
      <c r="F2773">
        <v>0.14000000000000001</v>
      </c>
      <c r="G2773">
        <v>7.27</v>
      </c>
      <c r="H2773">
        <v>7.28</v>
      </c>
      <c r="I2773" t="s">
        <v>5231</v>
      </c>
      <c r="J2773">
        <v>1.59</v>
      </c>
      <c r="K2773">
        <v>1.59</v>
      </c>
      <c r="L2773">
        <v>7.14</v>
      </c>
      <c r="M2773">
        <v>7.34</v>
      </c>
      <c r="N2773">
        <v>7.1</v>
      </c>
    </row>
    <row r="2774" spans="1:14" x14ac:dyDescent="0.5">
      <c r="A2774" t="str">
        <f>"600758"</f>
        <v>600758</v>
      </c>
      <c r="B2774" t="s">
        <v>5232</v>
      </c>
      <c r="C2774">
        <v>2.77</v>
      </c>
      <c r="D2774" t="s">
        <v>24</v>
      </c>
      <c r="E2774">
        <v>4.08</v>
      </c>
      <c r="F2774">
        <v>0.11</v>
      </c>
      <c r="G2774">
        <v>4.07</v>
      </c>
      <c r="H2774">
        <v>4.08</v>
      </c>
      <c r="I2774" t="s">
        <v>5233</v>
      </c>
      <c r="J2774">
        <v>1.97</v>
      </c>
      <c r="K2774">
        <v>1.97</v>
      </c>
      <c r="L2774">
        <v>3.96</v>
      </c>
      <c r="M2774">
        <v>4.09</v>
      </c>
      <c r="N2774">
        <v>3.91</v>
      </c>
    </row>
    <row r="2775" spans="1:14" x14ac:dyDescent="0.5">
      <c r="A2775" t="str">
        <f>"600759"</f>
        <v>600759</v>
      </c>
      <c r="B2775" t="s">
        <v>5234</v>
      </c>
      <c r="C2775">
        <v>2.2200000000000002</v>
      </c>
      <c r="D2775" t="s">
        <v>24</v>
      </c>
      <c r="E2775">
        <v>3.22</v>
      </c>
      <c r="F2775">
        <v>7.0000000000000007E-2</v>
      </c>
      <c r="G2775">
        <v>3.21</v>
      </c>
      <c r="H2775">
        <v>3.22</v>
      </c>
      <c r="I2775" t="s">
        <v>5235</v>
      </c>
      <c r="J2775">
        <v>2.72</v>
      </c>
      <c r="K2775">
        <v>2.72</v>
      </c>
      <c r="L2775">
        <v>3.14</v>
      </c>
      <c r="M2775">
        <v>3.22</v>
      </c>
      <c r="N2775">
        <v>3.11</v>
      </c>
    </row>
    <row r="2776" spans="1:14" x14ac:dyDescent="0.5">
      <c r="A2776" t="str">
        <f>"600760"</f>
        <v>600760</v>
      </c>
      <c r="B2776" t="s">
        <v>5236</v>
      </c>
      <c r="C2776">
        <v>0.59</v>
      </c>
      <c r="D2776">
        <v>32.270000000000003</v>
      </c>
      <c r="E2776">
        <v>33.85</v>
      </c>
      <c r="F2776">
        <v>0.2</v>
      </c>
      <c r="G2776">
        <v>33.85</v>
      </c>
      <c r="H2776">
        <v>33.86</v>
      </c>
      <c r="I2776" t="s">
        <v>5237</v>
      </c>
      <c r="J2776">
        <v>2.4900000000000002</v>
      </c>
      <c r="K2776">
        <v>2.4900000000000002</v>
      </c>
      <c r="L2776">
        <v>33.26</v>
      </c>
      <c r="M2776">
        <v>33.85</v>
      </c>
      <c r="N2776">
        <v>33.17</v>
      </c>
    </row>
    <row r="2777" spans="1:14" x14ac:dyDescent="0.5">
      <c r="A2777" t="str">
        <f>"600761"</f>
        <v>600761</v>
      </c>
      <c r="B2777" t="s">
        <v>5238</v>
      </c>
      <c r="C2777">
        <v>3.56</v>
      </c>
      <c r="D2777">
        <v>15.08</v>
      </c>
      <c r="E2777">
        <v>10.75</v>
      </c>
      <c r="F2777">
        <v>0.37</v>
      </c>
      <c r="G2777">
        <v>10.74</v>
      </c>
      <c r="H2777">
        <v>10.75</v>
      </c>
      <c r="I2777" t="s">
        <v>5239</v>
      </c>
      <c r="J2777">
        <v>2.06</v>
      </c>
      <c r="K2777">
        <v>2.06</v>
      </c>
      <c r="L2777">
        <v>10.41</v>
      </c>
      <c r="M2777">
        <v>10.81</v>
      </c>
      <c r="N2777">
        <v>10.39</v>
      </c>
    </row>
    <row r="2778" spans="1:14" x14ac:dyDescent="0.5">
      <c r="A2778" t="str">
        <f>"600763"</f>
        <v>600763</v>
      </c>
      <c r="B2778" t="s">
        <v>5240</v>
      </c>
      <c r="C2778">
        <v>0.7</v>
      </c>
      <c r="D2778">
        <v>61.01</v>
      </c>
      <c r="E2778">
        <v>58.9</v>
      </c>
      <c r="F2778">
        <v>0.41</v>
      </c>
      <c r="G2778">
        <v>58.9</v>
      </c>
      <c r="H2778">
        <v>58.91</v>
      </c>
      <c r="I2778" t="s">
        <v>5241</v>
      </c>
      <c r="J2778">
        <v>0.96</v>
      </c>
      <c r="K2778">
        <v>0.96</v>
      </c>
      <c r="L2778">
        <v>58.3</v>
      </c>
      <c r="M2778">
        <v>58.98</v>
      </c>
      <c r="N2778">
        <v>57.5</v>
      </c>
    </row>
    <row r="2779" spans="1:14" x14ac:dyDescent="0.5">
      <c r="A2779" t="str">
        <f>"600764"</f>
        <v>600764</v>
      </c>
      <c r="B2779" t="s">
        <v>5242</v>
      </c>
      <c r="C2779">
        <v>3.51</v>
      </c>
      <c r="D2779">
        <v>226.94</v>
      </c>
      <c r="E2779">
        <v>28.89</v>
      </c>
      <c r="F2779">
        <v>0.98</v>
      </c>
      <c r="G2779">
        <v>28.88</v>
      </c>
      <c r="H2779">
        <v>28.89</v>
      </c>
      <c r="I2779" t="s">
        <v>5243</v>
      </c>
      <c r="J2779">
        <v>0.9</v>
      </c>
      <c r="K2779">
        <v>0.9</v>
      </c>
      <c r="L2779">
        <v>27.71</v>
      </c>
      <c r="M2779">
        <v>29</v>
      </c>
      <c r="N2779">
        <v>27.7</v>
      </c>
    </row>
    <row r="2780" spans="1:14" x14ac:dyDescent="0.5">
      <c r="A2780" t="str">
        <f>"600765"</f>
        <v>600765</v>
      </c>
      <c r="B2780" t="s">
        <v>5244</v>
      </c>
      <c r="C2780">
        <v>1.19</v>
      </c>
      <c r="D2780">
        <v>23.12</v>
      </c>
      <c r="E2780">
        <v>10.23</v>
      </c>
      <c r="F2780">
        <v>0.12</v>
      </c>
      <c r="G2780">
        <v>10.23</v>
      </c>
      <c r="H2780">
        <v>10.24</v>
      </c>
      <c r="I2780" t="s">
        <v>5245</v>
      </c>
      <c r="J2780">
        <v>2.36</v>
      </c>
      <c r="K2780">
        <v>2.36</v>
      </c>
      <c r="L2780">
        <v>10.06</v>
      </c>
      <c r="M2780">
        <v>10.27</v>
      </c>
      <c r="N2780">
        <v>9.94</v>
      </c>
    </row>
    <row r="2781" spans="1:14" x14ac:dyDescent="0.5">
      <c r="A2781" t="str">
        <f>"600766"</f>
        <v>600766</v>
      </c>
      <c r="B2781" t="s">
        <v>5246</v>
      </c>
      <c r="C2781">
        <v>2.39</v>
      </c>
      <c r="D2781">
        <v>3291.23</v>
      </c>
      <c r="E2781">
        <v>9.84</v>
      </c>
      <c r="F2781">
        <v>0.23</v>
      </c>
      <c r="G2781">
        <v>9.84</v>
      </c>
      <c r="H2781">
        <v>9.85</v>
      </c>
      <c r="I2781" t="s">
        <v>3467</v>
      </c>
      <c r="J2781">
        <v>20.05</v>
      </c>
      <c r="K2781">
        <v>20.05</v>
      </c>
      <c r="L2781">
        <v>9.5</v>
      </c>
      <c r="M2781">
        <v>10.19</v>
      </c>
      <c r="N2781">
        <v>9.41</v>
      </c>
    </row>
    <row r="2782" spans="1:14" x14ac:dyDescent="0.5">
      <c r="A2782" t="str">
        <f>"600767"</f>
        <v>600767</v>
      </c>
      <c r="B2782" t="s">
        <v>5247</v>
      </c>
      <c r="C2782">
        <v>4.53</v>
      </c>
      <c r="D2782">
        <v>83.38</v>
      </c>
      <c r="E2782">
        <v>5.54</v>
      </c>
      <c r="F2782">
        <v>0.24</v>
      </c>
      <c r="G2782">
        <v>5.54</v>
      </c>
      <c r="H2782">
        <v>5.55</v>
      </c>
      <c r="I2782" t="s">
        <v>5248</v>
      </c>
      <c r="J2782">
        <v>0.9</v>
      </c>
      <c r="K2782">
        <v>0.9</v>
      </c>
      <c r="L2782">
        <v>5.26</v>
      </c>
      <c r="M2782">
        <v>5.56</v>
      </c>
      <c r="N2782">
        <v>5.26</v>
      </c>
    </row>
    <row r="2783" spans="1:14" x14ac:dyDescent="0.5">
      <c r="A2783" t="str">
        <f>"600768"</f>
        <v>600768</v>
      </c>
      <c r="B2783" t="s">
        <v>5249</v>
      </c>
      <c r="C2783">
        <v>1.74</v>
      </c>
      <c r="D2783" t="s">
        <v>24</v>
      </c>
      <c r="E2783">
        <v>11.68</v>
      </c>
      <c r="F2783">
        <v>0.2</v>
      </c>
      <c r="G2783">
        <v>11.67</v>
      </c>
      <c r="H2783">
        <v>11.68</v>
      </c>
      <c r="I2783" t="s">
        <v>4524</v>
      </c>
      <c r="J2783">
        <v>6.5</v>
      </c>
      <c r="K2783">
        <v>6.5</v>
      </c>
      <c r="L2783">
        <v>11.9</v>
      </c>
      <c r="M2783">
        <v>11.99</v>
      </c>
      <c r="N2783">
        <v>11.41</v>
      </c>
    </row>
    <row r="2784" spans="1:14" x14ac:dyDescent="0.5">
      <c r="A2784" t="str">
        <f>"600769"</f>
        <v>600769</v>
      </c>
      <c r="B2784" t="s">
        <v>5250</v>
      </c>
      <c r="C2784">
        <v>0</v>
      </c>
      <c r="D2784">
        <v>443.02</v>
      </c>
      <c r="E2784">
        <v>4.83</v>
      </c>
      <c r="F2784">
        <v>0</v>
      </c>
      <c r="G2784">
        <v>4.83</v>
      </c>
      <c r="H2784">
        <v>4.84</v>
      </c>
      <c r="I2784" t="s">
        <v>5251</v>
      </c>
      <c r="J2784">
        <v>1.56</v>
      </c>
      <c r="K2784">
        <v>1.56</v>
      </c>
      <c r="L2784">
        <v>4.7699999999999996</v>
      </c>
      <c r="M2784">
        <v>4.83</v>
      </c>
      <c r="N2784">
        <v>4.7300000000000004</v>
      </c>
    </row>
    <row r="2785" spans="1:14" x14ac:dyDescent="0.5">
      <c r="A2785" t="str">
        <f>"600770"</f>
        <v>600770</v>
      </c>
      <c r="B2785" t="s">
        <v>5252</v>
      </c>
      <c r="C2785">
        <v>9.9499999999999993</v>
      </c>
      <c r="D2785">
        <v>83.26</v>
      </c>
      <c r="E2785">
        <v>6.74</v>
      </c>
      <c r="F2785">
        <v>0.61</v>
      </c>
      <c r="G2785">
        <v>6.74</v>
      </c>
      <c r="H2785" t="s">
        <v>24</v>
      </c>
      <c r="I2785" t="s">
        <v>5253</v>
      </c>
      <c r="J2785">
        <v>4.05</v>
      </c>
      <c r="K2785">
        <v>4.05</v>
      </c>
      <c r="L2785">
        <v>6.11</v>
      </c>
      <c r="M2785">
        <v>6.74</v>
      </c>
      <c r="N2785">
        <v>6.07</v>
      </c>
    </row>
    <row r="2786" spans="1:14" x14ac:dyDescent="0.5">
      <c r="A2786" t="str">
        <f>"600771"</f>
        <v>600771</v>
      </c>
      <c r="B2786" t="s">
        <v>5254</v>
      </c>
      <c r="C2786">
        <v>3.55</v>
      </c>
      <c r="D2786">
        <v>28.49</v>
      </c>
      <c r="E2786">
        <v>30.35</v>
      </c>
      <c r="F2786">
        <v>1.04</v>
      </c>
      <c r="G2786">
        <v>30.34</v>
      </c>
      <c r="H2786">
        <v>30.35</v>
      </c>
      <c r="I2786" t="s">
        <v>5255</v>
      </c>
      <c r="J2786">
        <v>2.4</v>
      </c>
      <c r="K2786">
        <v>2.4</v>
      </c>
      <c r="L2786">
        <v>29.26</v>
      </c>
      <c r="M2786">
        <v>30.36</v>
      </c>
      <c r="N2786">
        <v>29.06</v>
      </c>
    </row>
    <row r="2787" spans="1:14" x14ac:dyDescent="0.5">
      <c r="A2787" t="str">
        <f>"600773"</f>
        <v>600773</v>
      </c>
      <c r="B2787" t="s">
        <v>5256</v>
      </c>
      <c r="C2787">
        <v>2.34</v>
      </c>
      <c r="D2787">
        <v>59.9</v>
      </c>
      <c r="E2787">
        <v>7.44</v>
      </c>
      <c r="F2787">
        <v>0.17</v>
      </c>
      <c r="G2787">
        <v>7.43</v>
      </c>
      <c r="H2787">
        <v>7.44</v>
      </c>
      <c r="I2787" t="s">
        <v>4539</v>
      </c>
      <c r="J2787">
        <v>2.4</v>
      </c>
      <c r="K2787">
        <v>2.4</v>
      </c>
      <c r="L2787">
        <v>7.2</v>
      </c>
      <c r="M2787">
        <v>7.44</v>
      </c>
      <c r="N2787">
        <v>7.2</v>
      </c>
    </row>
    <row r="2788" spans="1:14" x14ac:dyDescent="0.5">
      <c r="A2788" t="str">
        <f>"600774"</f>
        <v>600774</v>
      </c>
      <c r="B2788" t="s">
        <v>5257</v>
      </c>
      <c r="C2788">
        <v>2.14</v>
      </c>
      <c r="D2788">
        <v>146.47999999999999</v>
      </c>
      <c r="E2788">
        <v>13.84</v>
      </c>
      <c r="F2788">
        <v>0.28999999999999998</v>
      </c>
      <c r="G2788">
        <v>13.83</v>
      </c>
      <c r="H2788">
        <v>13.84</v>
      </c>
      <c r="I2788" t="s">
        <v>5258</v>
      </c>
      <c r="J2788">
        <v>1.3</v>
      </c>
      <c r="K2788">
        <v>1.3</v>
      </c>
      <c r="L2788">
        <v>13.1</v>
      </c>
      <c r="M2788">
        <v>14.3</v>
      </c>
      <c r="N2788">
        <v>12.78</v>
      </c>
    </row>
    <row r="2789" spans="1:14" x14ac:dyDescent="0.5">
      <c r="A2789" t="str">
        <f>"600775"</f>
        <v>600775</v>
      </c>
      <c r="B2789" t="s">
        <v>5259</v>
      </c>
      <c r="C2789">
        <v>9.99</v>
      </c>
      <c r="D2789">
        <v>67.760000000000005</v>
      </c>
      <c r="E2789">
        <v>12.33</v>
      </c>
      <c r="F2789">
        <v>1.1200000000000001</v>
      </c>
      <c r="G2789">
        <v>12.33</v>
      </c>
      <c r="H2789" t="s">
        <v>24</v>
      </c>
      <c r="I2789" t="s">
        <v>5260</v>
      </c>
      <c r="J2789">
        <v>13.81</v>
      </c>
      <c r="K2789">
        <v>13.81</v>
      </c>
      <c r="L2789">
        <v>11.35</v>
      </c>
      <c r="M2789">
        <v>12.33</v>
      </c>
      <c r="N2789">
        <v>11.32</v>
      </c>
    </row>
    <row r="2790" spans="1:14" x14ac:dyDescent="0.5">
      <c r="A2790" t="str">
        <f>"600776"</f>
        <v>600776</v>
      </c>
      <c r="B2790" t="s">
        <v>5261</v>
      </c>
      <c r="C2790">
        <v>9.99</v>
      </c>
      <c r="D2790">
        <v>275.85000000000002</v>
      </c>
      <c r="E2790">
        <v>33.46</v>
      </c>
      <c r="F2790">
        <v>3.04</v>
      </c>
      <c r="G2790">
        <v>33.46</v>
      </c>
      <c r="H2790" t="s">
        <v>24</v>
      </c>
      <c r="I2790" t="s">
        <v>5262</v>
      </c>
      <c r="J2790">
        <v>10.7</v>
      </c>
      <c r="K2790">
        <v>10.7</v>
      </c>
      <c r="L2790">
        <v>32.4</v>
      </c>
      <c r="M2790">
        <v>33.46</v>
      </c>
      <c r="N2790">
        <v>31.33</v>
      </c>
    </row>
    <row r="2791" spans="1:14" x14ac:dyDescent="0.5">
      <c r="A2791" t="str">
        <f>"600777"</f>
        <v>600777</v>
      </c>
      <c r="B2791" t="s">
        <v>5263</v>
      </c>
      <c r="C2791">
        <v>1.19</v>
      </c>
      <c r="D2791">
        <v>19.04</v>
      </c>
      <c r="E2791">
        <v>2.5499999999999998</v>
      </c>
      <c r="F2791">
        <v>0.03</v>
      </c>
      <c r="G2791">
        <v>2.5499999999999998</v>
      </c>
      <c r="H2791">
        <v>2.56</v>
      </c>
      <c r="I2791" t="s">
        <v>5264</v>
      </c>
      <c r="J2791">
        <v>3.19</v>
      </c>
      <c r="K2791">
        <v>3.19</v>
      </c>
      <c r="L2791">
        <v>2.5099999999999998</v>
      </c>
      <c r="M2791">
        <v>2.56</v>
      </c>
      <c r="N2791">
        <v>2.4700000000000002</v>
      </c>
    </row>
    <row r="2792" spans="1:14" x14ac:dyDescent="0.5">
      <c r="A2792" t="str">
        <f>"600778"</f>
        <v>600778</v>
      </c>
      <c r="B2792" t="s">
        <v>5265</v>
      </c>
      <c r="C2792">
        <v>0.19</v>
      </c>
      <c r="D2792" t="s">
        <v>24</v>
      </c>
      <c r="E2792">
        <v>5.17</v>
      </c>
      <c r="F2792">
        <v>0.01</v>
      </c>
      <c r="G2792">
        <v>5.17</v>
      </c>
      <c r="H2792">
        <v>5.18</v>
      </c>
      <c r="I2792" t="s">
        <v>3122</v>
      </c>
      <c r="J2792">
        <v>0.87</v>
      </c>
      <c r="K2792">
        <v>0.87</v>
      </c>
      <c r="L2792">
        <v>5.12</v>
      </c>
      <c r="M2792">
        <v>5.18</v>
      </c>
      <c r="N2792">
        <v>5.0999999999999996</v>
      </c>
    </row>
    <row r="2793" spans="1:14" x14ac:dyDescent="0.5">
      <c r="A2793" t="str">
        <f>"600779"</f>
        <v>600779</v>
      </c>
      <c r="B2793" t="s">
        <v>5266</v>
      </c>
      <c r="C2793">
        <v>-0.21</v>
      </c>
      <c r="D2793">
        <v>37.229999999999997</v>
      </c>
      <c r="E2793">
        <v>42.01</v>
      </c>
      <c r="F2793">
        <v>-0.09</v>
      </c>
      <c r="G2793">
        <v>42.01</v>
      </c>
      <c r="H2793">
        <v>42.02</v>
      </c>
      <c r="I2793" t="s">
        <v>5267</v>
      </c>
      <c r="J2793">
        <v>1.23</v>
      </c>
      <c r="K2793">
        <v>1.23</v>
      </c>
      <c r="L2793">
        <v>42</v>
      </c>
      <c r="M2793">
        <v>42.49</v>
      </c>
      <c r="N2793">
        <v>41.56</v>
      </c>
    </row>
    <row r="2794" spans="1:14" x14ac:dyDescent="0.5">
      <c r="A2794" t="str">
        <f>"600780"</f>
        <v>600780</v>
      </c>
      <c r="B2794" t="s">
        <v>5268</v>
      </c>
      <c r="C2794">
        <v>1.06</v>
      </c>
      <c r="D2794">
        <v>18.899999999999999</v>
      </c>
      <c r="E2794">
        <v>3.83</v>
      </c>
      <c r="F2794">
        <v>0.04</v>
      </c>
      <c r="G2794">
        <v>3.82</v>
      </c>
      <c r="H2794">
        <v>3.83</v>
      </c>
      <c r="I2794" t="s">
        <v>5269</v>
      </c>
      <c r="J2794">
        <v>0.89</v>
      </c>
      <c r="K2794">
        <v>0.89</v>
      </c>
      <c r="L2794">
        <v>3.78</v>
      </c>
      <c r="M2794">
        <v>3.84</v>
      </c>
      <c r="N2794">
        <v>3.76</v>
      </c>
    </row>
    <row r="2795" spans="1:14" x14ac:dyDescent="0.5">
      <c r="A2795" t="str">
        <f>"600781"</f>
        <v>600781</v>
      </c>
      <c r="B2795" t="s">
        <v>5270</v>
      </c>
      <c r="C2795">
        <v>0</v>
      </c>
      <c r="D2795">
        <v>10.69</v>
      </c>
      <c r="E2795">
        <v>14.23</v>
      </c>
      <c r="F2795">
        <v>0</v>
      </c>
      <c r="G2795">
        <v>14.23</v>
      </c>
      <c r="H2795">
        <v>14.24</v>
      </c>
      <c r="I2795" t="s">
        <v>5271</v>
      </c>
      <c r="J2795">
        <v>2.21</v>
      </c>
      <c r="K2795">
        <v>2.21</v>
      </c>
      <c r="L2795">
        <v>14.02</v>
      </c>
      <c r="M2795">
        <v>14.27</v>
      </c>
      <c r="N2795">
        <v>13.94</v>
      </c>
    </row>
    <row r="2796" spans="1:14" x14ac:dyDescent="0.5">
      <c r="A2796" t="str">
        <f>"600782"</f>
        <v>600782</v>
      </c>
      <c r="B2796" t="s">
        <v>5272</v>
      </c>
      <c r="C2796">
        <v>-0.81</v>
      </c>
      <c r="D2796">
        <v>3.43</v>
      </c>
      <c r="E2796">
        <v>6.14</v>
      </c>
      <c r="F2796">
        <v>-0.05</v>
      </c>
      <c r="G2796">
        <v>6.14</v>
      </c>
      <c r="H2796">
        <v>6.15</v>
      </c>
      <c r="I2796" t="s">
        <v>5273</v>
      </c>
      <c r="J2796">
        <v>2.5</v>
      </c>
      <c r="K2796">
        <v>2.5</v>
      </c>
      <c r="L2796">
        <v>6.16</v>
      </c>
      <c r="M2796">
        <v>6.18</v>
      </c>
      <c r="N2796">
        <v>6.09</v>
      </c>
    </row>
    <row r="2797" spans="1:14" x14ac:dyDescent="0.5">
      <c r="A2797" t="str">
        <f>"600783"</f>
        <v>600783</v>
      </c>
      <c r="B2797" t="s">
        <v>5274</v>
      </c>
      <c r="C2797">
        <v>7.42</v>
      </c>
      <c r="D2797">
        <v>1181.18</v>
      </c>
      <c r="E2797">
        <v>25.2</v>
      </c>
      <c r="F2797">
        <v>1.74</v>
      </c>
      <c r="G2797">
        <v>25.2</v>
      </c>
      <c r="H2797">
        <v>25.21</v>
      </c>
      <c r="I2797" t="s">
        <v>5275</v>
      </c>
      <c r="J2797">
        <v>9.5500000000000007</v>
      </c>
      <c r="K2797">
        <v>9.5500000000000007</v>
      </c>
      <c r="L2797">
        <v>22.78</v>
      </c>
      <c r="M2797">
        <v>25.81</v>
      </c>
      <c r="N2797">
        <v>22.72</v>
      </c>
    </row>
    <row r="2798" spans="1:14" x14ac:dyDescent="0.5">
      <c r="A2798" t="str">
        <f>"600784"</f>
        <v>600784</v>
      </c>
      <c r="B2798" t="s">
        <v>5276</v>
      </c>
      <c r="C2798">
        <v>4.62</v>
      </c>
      <c r="D2798" t="s">
        <v>24</v>
      </c>
      <c r="E2798">
        <v>5.89</v>
      </c>
      <c r="F2798">
        <v>0.26</v>
      </c>
      <c r="G2798">
        <v>5.89</v>
      </c>
      <c r="H2798">
        <v>5.9</v>
      </c>
      <c r="I2798" t="s">
        <v>5277</v>
      </c>
      <c r="J2798">
        <v>2.39</v>
      </c>
      <c r="K2798">
        <v>2.39</v>
      </c>
      <c r="L2798">
        <v>5.64</v>
      </c>
      <c r="M2798">
        <v>5.98</v>
      </c>
      <c r="N2798">
        <v>5.58</v>
      </c>
    </row>
    <row r="2799" spans="1:14" x14ac:dyDescent="0.5">
      <c r="A2799" t="str">
        <f>"600785"</f>
        <v>600785</v>
      </c>
      <c r="B2799" t="s">
        <v>5278</v>
      </c>
      <c r="C2799">
        <v>-0.44</v>
      </c>
      <c r="D2799">
        <v>29.36</v>
      </c>
      <c r="E2799">
        <v>17.989999999999998</v>
      </c>
      <c r="F2799">
        <v>-0.08</v>
      </c>
      <c r="G2799">
        <v>17.989999999999998</v>
      </c>
      <c r="H2799">
        <v>18</v>
      </c>
      <c r="I2799" t="s">
        <v>5279</v>
      </c>
      <c r="J2799">
        <v>0.3</v>
      </c>
      <c r="K2799">
        <v>0.3</v>
      </c>
      <c r="L2799">
        <v>17.89</v>
      </c>
      <c r="M2799">
        <v>18.059999999999999</v>
      </c>
      <c r="N2799">
        <v>17.8</v>
      </c>
    </row>
    <row r="2800" spans="1:14" x14ac:dyDescent="0.5">
      <c r="A2800" t="str">
        <f>"600787"</f>
        <v>600787</v>
      </c>
      <c r="B2800" t="s">
        <v>5280</v>
      </c>
      <c r="C2800">
        <v>-0.16</v>
      </c>
      <c r="D2800">
        <v>70.56</v>
      </c>
      <c r="E2800">
        <v>6.25</v>
      </c>
      <c r="F2800">
        <v>-0.01</v>
      </c>
      <c r="G2800">
        <v>6.24</v>
      </c>
      <c r="H2800">
        <v>6.25</v>
      </c>
      <c r="I2800" t="s">
        <v>5281</v>
      </c>
      <c r="J2800">
        <v>0.53</v>
      </c>
      <c r="K2800">
        <v>0.53</v>
      </c>
      <c r="L2800">
        <v>6.22</v>
      </c>
      <c r="M2800">
        <v>6.28</v>
      </c>
      <c r="N2800">
        <v>6.14</v>
      </c>
    </row>
    <row r="2801" spans="1:14" x14ac:dyDescent="0.5">
      <c r="A2801" t="str">
        <f>"600789"</f>
        <v>600789</v>
      </c>
      <c r="B2801" t="s">
        <v>5282</v>
      </c>
      <c r="C2801">
        <v>1.37</v>
      </c>
      <c r="D2801">
        <v>29.49</v>
      </c>
      <c r="E2801">
        <v>9.6</v>
      </c>
      <c r="F2801">
        <v>0.13</v>
      </c>
      <c r="G2801">
        <v>9.59</v>
      </c>
      <c r="H2801">
        <v>9.6</v>
      </c>
      <c r="I2801" t="s">
        <v>2263</v>
      </c>
      <c r="J2801">
        <v>6.62</v>
      </c>
      <c r="K2801">
        <v>6.62</v>
      </c>
      <c r="L2801">
        <v>9.43</v>
      </c>
      <c r="M2801">
        <v>9.6</v>
      </c>
      <c r="N2801">
        <v>9.33</v>
      </c>
    </row>
    <row r="2802" spans="1:14" x14ac:dyDescent="0.5">
      <c r="A2802" t="str">
        <f>"600790"</f>
        <v>600790</v>
      </c>
      <c r="B2802" t="s">
        <v>5283</v>
      </c>
      <c r="C2802">
        <v>0.72</v>
      </c>
      <c r="D2802">
        <v>16.489999999999998</v>
      </c>
      <c r="E2802">
        <v>4.18</v>
      </c>
      <c r="F2802">
        <v>0.03</v>
      </c>
      <c r="G2802">
        <v>4.17</v>
      </c>
      <c r="H2802">
        <v>4.18</v>
      </c>
      <c r="I2802" t="s">
        <v>5284</v>
      </c>
      <c r="J2802">
        <v>1.1299999999999999</v>
      </c>
      <c r="K2802">
        <v>1.1299999999999999</v>
      </c>
      <c r="L2802">
        <v>4.1500000000000004</v>
      </c>
      <c r="M2802">
        <v>4.18</v>
      </c>
      <c r="N2802">
        <v>4.12</v>
      </c>
    </row>
    <row r="2803" spans="1:14" x14ac:dyDescent="0.5">
      <c r="A2803" t="str">
        <f>"600791"</f>
        <v>600791</v>
      </c>
      <c r="B2803" t="s">
        <v>5285</v>
      </c>
      <c r="C2803">
        <v>2.41</v>
      </c>
      <c r="D2803">
        <v>20.72</v>
      </c>
      <c r="E2803">
        <v>4.67</v>
      </c>
      <c r="F2803">
        <v>0.11</v>
      </c>
      <c r="G2803">
        <v>4.66</v>
      </c>
      <c r="H2803">
        <v>4.67</v>
      </c>
      <c r="I2803" t="s">
        <v>5286</v>
      </c>
      <c r="J2803">
        <v>2.23</v>
      </c>
      <c r="K2803">
        <v>2.23</v>
      </c>
      <c r="L2803">
        <v>4.58</v>
      </c>
      <c r="M2803">
        <v>4.67</v>
      </c>
      <c r="N2803">
        <v>4.47</v>
      </c>
    </row>
    <row r="2804" spans="1:14" x14ac:dyDescent="0.5">
      <c r="A2804" t="str">
        <f>"600792"</f>
        <v>600792</v>
      </c>
      <c r="B2804" t="s">
        <v>5287</v>
      </c>
      <c r="C2804">
        <v>0</v>
      </c>
      <c r="D2804">
        <v>27.91</v>
      </c>
      <c r="E2804">
        <v>3.87</v>
      </c>
      <c r="F2804">
        <v>0</v>
      </c>
      <c r="G2804">
        <v>3.87</v>
      </c>
      <c r="H2804">
        <v>3.88</v>
      </c>
      <c r="I2804" t="s">
        <v>5288</v>
      </c>
      <c r="J2804">
        <v>2.35</v>
      </c>
      <c r="K2804">
        <v>2.35</v>
      </c>
      <c r="L2804">
        <v>3.87</v>
      </c>
      <c r="M2804">
        <v>3.88</v>
      </c>
      <c r="N2804">
        <v>3.77</v>
      </c>
    </row>
    <row r="2805" spans="1:14" x14ac:dyDescent="0.5">
      <c r="A2805" t="str">
        <f>"600793"</f>
        <v>600793</v>
      </c>
      <c r="B2805" t="s">
        <v>5289</v>
      </c>
      <c r="C2805">
        <v>0.36</v>
      </c>
      <c r="D2805">
        <v>8.4600000000000009</v>
      </c>
      <c r="E2805">
        <v>16.649999999999999</v>
      </c>
      <c r="F2805">
        <v>0.06</v>
      </c>
      <c r="G2805">
        <v>16.649999999999999</v>
      </c>
      <c r="H2805">
        <v>16.66</v>
      </c>
      <c r="I2805" t="s">
        <v>5290</v>
      </c>
      <c r="J2805">
        <v>2.29</v>
      </c>
      <c r="K2805">
        <v>2.29</v>
      </c>
      <c r="L2805">
        <v>16.46</v>
      </c>
      <c r="M2805">
        <v>16.73</v>
      </c>
      <c r="N2805">
        <v>16.350000000000001</v>
      </c>
    </row>
    <row r="2806" spans="1:14" x14ac:dyDescent="0.5">
      <c r="A2806" t="str">
        <f>"600794"</f>
        <v>600794</v>
      </c>
      <c r="B2806" t="s">
        <v>5291</v>
      </c>
      <c r="C2806">
        <v>3.88</v>
      </c>
      <c r="D2806" t="s">
        <v>24</v>
      </c>
      <c r="E2806">
        <v>3.21</v>
      </c>
      <c r="F2806">
        <v>0.12</v>
      </c>
      <c r="G2806">
        <v>3.21</v>
      </c>
      <c r="H2806">
        <v>3.22</v>
      </c>
      <c r="I2806" t="s">
        <v>5292</v>
      </c>
      <c r="J2806">
        <v>2.3199999999999998</v>
      </c>
      <c r="K2806">
        <v>2.3199999999999998</v>
      </c>
      <c r="L2806">
        <v>3.09</v>
      </c>
      <c r="M2806">
        <v>3.22</v>
      </c>
      <c r="N2806">
        <v>3.07</v>
      </c>
    </row>
    <row r="2807" spans="1:14" x14ac:dyDescent="0.5">
      <c r="A2807" t="str">
        <f>"600795"</f>
        <v>600795</v>
      </c>
      <c r="B2807" t="s">
        <v>5293</v>
      </c>
      <c r="C2807">
        <v>0.74</v>
      </c>
      <c r="D2807">
        <v>21.48</v>
      </c>
      <c r="E2807">
        <v>2.71</v>
      </c>
      <c r="F2807">
        <v>0.02</v>
      </c>
      <c r="G2807">
        <v>2.7</v>
      </c>
      <c r="H2807">
        <v>2.71</v>
      </c>
      <c r="I2807" t="s">
        <v>5294</v>
      </c>
      <c r="J2807">
        <v>0.56999999999999995</v>
      </c>
      <c r="K2807">
        <v>0.56999999999999995</v>
      </c>
      <c r="L2807">
        <v>2.69</v>
      </c>
      <c r="M2807">
        <v>2.71</v>
      </c>
      <c r="N2807">
        <v>2.68</v>
      </c>
    </row>
    <row r="2808" spans="1:14" x14ac:dyDescent="0.5">
      <c r="A2808" t="str">
        <f>"600796"</f>
        <v>600796</v>
      </c>
      <c r="B2808" t="s">
        <v>5295</v>
      </c>
      <c r="C2808">
        <v>2.08</v>
      </c>
      <c r="D2808" t="s">
        <v>24</v>
      </c>
      <c r="E2808">
        <v>5.89</v>
      </c>
      <c r="F2808">
        <v>0.12</v>
      </c>
      <c r="G2808">
        <v>5.89</v>
      </c>
      <c r="H2808">
        <v>5.9</v>
      </c>
      <c r="I2808" t="s">
        <v>385</v>
      </c>
      <c r="J2808">
        <v>2.67</v>
      </c>
      <c r="K2808">
        <v>2.67</v>
      </c>
      <c r="L2808">
        <v>5.77</v>
      </c>
      <c r="M2808">
        <v>5.9</v>
      </c>
      <c r="N2808">
        <v>5.72</v>
      </c>
    </row>
    <row r="2809" spans="1:14" x14ac:dyDescent="0.5">
      <c r="A2809" t="str">
        <f>"600797"</f>
        <v>600797</v>
      </c>
      <c r="B2809" t="s">
        <v>5296</v>
      </c>
      <c r="C2809">
        <v>6.18</v>
      </c>
      <c r="D2809">
        <v>37.58</v>
      </c>
      <c r="E2809">
        <v>9.8000000000000007</v>
      </c>
      <c r="F2809">
        <v>0.56999999999999995</v>
      </c>
      <c r="G2809">
        <v>9.8000000000000007</v>
      </c>
      <c r="H2809">
        <v>9.81</v>
      </c>
      <c r="I2809" t="s">
        <v>5297</v>
      </c>
      <c r="J2809">
        <v>6.51</v>
      </c>
      <c r="K2809">
        <v>6.51</v>
      </c>
      <c r="L2809">
        <v>9.15</v>
      </c>
      <c r="M2809">
        <v>9.8800000000000008</v>
      </c>
      <c r="N2809">
        <v>9.08</v>
      </c>
    </row>
    <row r="2810" spans="1:14" x14ac:dyDescent="0.5">
      <c r="A2810" t="str">
        <f>"600798"</f>
        <v>600798</v>
      </c>
      <c r="B2810" t="s">
        <v>5298</v>
      </c>
      <c r="C2810">
        <v>1.58</v>
      </c>
      <c r="D2810">
        <v>27.48</v>
      </c>
      <c r="E2810">
        <v>3.86</v>
      </c>
      <c r="F2810">
        <v>0.06</v>
      </c>
      <c r="G2810">
        <v>3.86</v>
      </c>
      <c r="H2810">
        <v>3.87</v>
      </c>
      <c r="I2810" t="s">
        <v>5299</v>
      </c>
      <c r="J2810">
        <v>1.48</v>
      </c>
      <c r="K2810">
        <v>1.48</v>
      </c>
      <c r="L2810">
        <v>3.8</v>
      </c>
      <c r="M2810">
        <v>3.87</v>
      </c>
      <c r="N2810">
        <v>3.77</v>
      </c>
    </row>
    <row r="2811" spans="1:14" x14ac:dyDescent="0.5">
      <c r="A2811" t="str">
        <f>"600800"</f>
        <v>600800</v>
      </c>
      <c r="B2811" t="s">
        <v>5300</v>
      </c>
      <c r="C2811">
        <v>4.55</v>
      </c>
      <c r="D2811" t="s">
        <v>24</v>
      </c>
      <c r="E2811">
        <v>6.43</v>
      </c>
      <c r="F2811">
        <v>0.28000000000000003</v>
      </c>
      <c r="G2811">
        <v>6.42</v>
      </c>
      <c r="H2811">
        <v>6.43</v>
      </c>
      <c r="I2811" t="s">
        <v>5301</v>
      </c>
      <c r="J2811">
        <v>6.33</v>
      </c>
      <c r="K2811">
        <v>6.33</v>
      </c>
      <c r="L2811">
        <v>6.1</v>
      </c>
      <c r="M2811">
        <v>6.56</v>
      </c>
      <c r="N2811">
        <v>6.09</v>
      </c>
    </row>
    <row r="2812" spans="1:14" x14ac:dyDescent="0.5">
      <c r="A2812" t="str">
        <f>"600801"</f>
        <v>600801</v>
      </c>
      <c r="B2812" t="s">
        <v>5302</v>
      </c>
      <c r="C2812">
        <v>-0.3</v>
      </c>
      <c r="D2812">
        <v>6.66</v>
      </c>
      <c r="E2812">
        <v>19.97</v>
      </c>
      <c r="F2812">
        <v>-0.06</v>
      </c>
      <c r="G2812">
        <v>19.96</v>
      </c>
      <c r="H2812">
        <v>19.97</v>
      </c>
      <c r="I2812" t="s">
        <v>5303</v>
      </c>
      <c r="J2812">
        <v>1.81</v>
      </c>
      <c r="K2812">
        <v>1.81</v>
      </c>
      <c r="L2812">
        <v>19.95</v>
      </c>
      <c r="M2812">
        <v>19.98</v>
      </c>
      <c r="N2812">
        <v>19.7</v>
      </c>
    </row>
    <row r="2813" spans="1:14" x14ac:dyDescent="0.5">
      <c r="A2813" t="str">
        <f>"600802"</f>
        <v>600802</v>
      </c>
      <c r="B2813" t="s">
        <v>5304</v>
      </c>
      <c r="C2813">
        <v>0.24</v>
      </c>
      <c r="D2813">
        <v>12.94</v>
      </c>
      <c r="E2813">
        <v>8.5299999999999994</v>
      </c>
      <c r="F2813">
        <v>0.02</v>
      </c>
      <c r="G2813">
        <v>8.52</v>
      </c>
      <c r="H2813">
        <v>8.5299999999999994</v>
      </c>
      <c r="I2813" t="s">
        <v>5305</v>
      </c>
      <c r="J2813">
        <v>3.98</v>
      </c>
      <c r="K2813">
        <v>3.98</v>
      </c>
      <c r="L2813">
        <v>8.49</v>
      </c>
      <c r="M2813">
        <v>8.5399999999999991</v>
      </c>
      <c r="N2813">
        <v>8.41</v>
      </c>
    </row>
    <row r="2814" spans="1:14" x14ac:dyDescent="0.5">
      <c r="A2814" t="str">
        <f>"600803"</f>
        <v>600803</v>
      </c>
      <c r="B2814" t="s">
        <v>5306</v>
      </c>
      <c r="C2814">
        <v>1.1200000000000001</v>
      </c>
      <c r="D2814">
        <v>10.88</v>
      </c>
      <c r="E2814">
        <v>11.73</v>
      </c>
      <c r="F2814">
        <v>0.13</v>
      </c>
      <c r="G2814">
        <v>11.72</v>
      </c>
      <c r="H2814">
        <v>11.73</v>
      </c>
      <c r="I2814" t="s">
        <v>5307</v>
      </c>
      <c r="J2814">
        <v>1.54</v>
      </c>
      <c r="K2814">
        <v>1.54</v>
      </c>
      <c r="L2814">
        <v>11.6</v>
      </c>
      <c r="M2814">
        <v>11.78</v>
      </c>
      <c r="N2814">
        <v>11.53</v>
      </c>
    </row>
    <row r="2815" spans="1:14" x14ac:dyDescent="0.5">
      <c r="A2815" t="str">
        <f>"600804"</f>
        <v>600804</v>
      </c>
      <c r="B2815" t="s">
        <v>5308</v>
      </c>
      <c r="C2815">
        <v>9.9600000000000009</v>
      </c>
      <c r="D2815">
        <v>28.96</v>
      </c>
      <c r="E2815">
        <v>10.93</v>
      </c>
      <c r="F2815">
        <v>0.99</v>
      </c>
      <c r="G2815">
        <v>10.93</v>
      </c>
      <c r="H2815" t="s">
        <v>24</v>
      </c>
      <c r="I2815" t="s">
        <v>5309</v>
      </c>
      <c r="J2815">
        <v>7.74</v>
      </c>
      <c r="K2815">
        <v>7.74</v>
      </c>
      <c r="L2815">
        <v>9.92</v>
      </c>
      <c r="M2815">
        <v>10.93</v>
      </c>
      <c r="N2815">
        <v>9.89</v>
      </c>
    </row>
    <row r="2816" spans="1:14" x14ac:dyDescent="0.5">
      <c r="A2816" t="str">
        <f>"600805"</f>
        <v>600805</v>
      </c>
      <c r="B2816" t="s">
        <v>5310</v>
      </c>
      <c r="C2816">
        <v>3.33</v>
      </c>
      <c r="D2816">
        <v>31.57</v>
      </c>
      <c r="E2816">
        <v>5.58</v>
      </c>
      <c r="F2816">
        <v>0.18</v>
      </c>
      <c r="G2816">
        <v>5.58</v>
      </c>
      <c r="H2816">
        <v>5.59</v>
      </c>
      <c r="I2816" t="s">
        <v>5311</v>
      </c>
      <c r="J2816">
        <v>2.6</v>
      </c>
      <c r="K2816">
        <v>2.6</v>
      </c>
      <c r="L2816">
        <v>5.4</v>
      </c>
      <c r="M2816">
        <v>5.62</v>
      </c>
      <c r="N2816">
        <v>5.36</v>
      </c>
    </row>
    <row r="2817" spans="1:14" x14ac:dyDescent="0.5">
      <c r="A2817" t="str">
        <f>"600807"</f>
        <v>600807</v>
      </c>
      <c r="B2817" t="s">
        <v>5312</v>
      </c>
      <c r="C2817">
        <v>-0.44</v>
      </c>
      <c r="D2817" t="s">
        <v>24</v>
      </c>
      <c r="E2817">
        <v>4.55</v>
      </c>
      <c r="F2817">
        <v>-0.02</v>
      </c>
      <c r="G2817">
        <v>4.54</v>
      </c>
      <c r="H2817">
        <v>4.55</v>
      </c>
      <c r="I2817" t="s">
        <v>5313</v>
      </c>
      <c r="J2817">
        <v>1.98</v>
      </c>
      <c r="K2817">
        <v>1.98</v>
      </c>
      <c r="L2817">
        <v>4.53</v>
      </c>
      <c r="M2817">
        <v>4.6100000000000003</v>
      </c>
      <c r="N2817">
        <v>4.4800000000000004</v>
      </c>
    </row>
    <row r="2818" spans="1:14" x14ac:dyDescent="0.5">
      <c r="A2818" t="str">
        <f>"600808"</f>
        <v>600808</v>
      </c>
      <c r="B2818" t="s">
        <v>5314</v>
      </c>
      <c r="C2818">
        <v>0.25</v>
      </c>
      <c r="D2818">
        <v>4.4000000000000004</v>
      </c>
      <c r="E2818">
        <v>4.05</v>
      </c>
      <c r="F2818">
        <v>0.01</v>
      </c>
      <c r="G2818">
        <v>4.04</v>
      </c>
      <c r="H2818">
        <v>4.05</v>
      </c>
      <c r="I2818" t="s">
        <v>5315</v>
      </c>
      <c r="J2818">
        <v>0.92</v>
      </c>
      <c r="K2818">
        <v>0.92</v>
      </c>
      <c r="L2818">
        <v>4.01</v>
      </c>
      <c r="M2818">
        <v>4.05</v>
      </c>
      <c r="N2818">
        <v>3.99</v>
      </c>
    </row>
    <row r="2819" spans="1:14" x14ac:dyDescent="0.5">
      <c r="A2819" t="str">
        <f>"600809"</f>
        <v>600809</v>
      </c>
      <c r="B2819" t="s">
        <v>5316</v>
      </c>
      <c r="C2819">
        <v>1.94</v>
      </c>
      <c r="D2819">
        <v>32.42</v>
      </c>
      <c r="E2819">
        <v>55.3</v>
      </c>
      <c r="F2819">
        <v>1.05</v>
      </c>
      <c r="G2819">
        <v>55.3</v>
      </c>
      <c r="H2819">
        <v>55.31</v>
      </c>
      <c r="I2819" t="s">
        <v>5317</v>
      </c>
      <c r="J2819">
        <v>1.24</v>
      </c>
      <c r="K2819">
        <v>1.24</v>
      </c>
      <c r="L2819">
        <v>54.3</v>
      </c>
      <c r="M2819">
        <v>56.11</v>
      </c>
      <c r="N2819">
        <v>53.82</v>
      </c>
    </row>
    <row r="2820" spans="1:14" x14ac:dyDescent="0.5">
      <c r="A2820" t="str">
        <f>"600810"</f>
        <v>600810</v>
      </c>
      <c r="B2820" t="s">
        <v>5318</v>
      </c>
      <c r="C2820">
        <v>4.75</v>
      </c>
      <c r="D2820">
        <v>10.41</v>
      </c>
      <c r="E2820">
        <v>14.1</v>
      </c>
      <c r="F2820">
        <v>0.64</v>
      </c>
      <c r="G2820">
        <v>14.09</v>
      </c>
      <c r="H2820">
        <v>14.1</v>
      </c>
      <c r="I2820" t="s">
        <v>5319</v>
      </c>
      <c r="J2820">
        <v>8.1999999999999993</v>
      </c>
      <c r="K2820">
        <v>8.1999999999999993</v>
      </c>
      <c r="L2820">
        <v>13.35</v>
      </c>
      <c r="M2820">
        <v>14.1</v>
      </c>
      <c r="N2820">
        <v>13.2</v>
      </c>
    </row>
    <row r="2821" spans="1:14" x14ac:dyDescent="0.5">
      <c r="A2821" t="str">
        <f>"600811"</f>
        <v>600811</v>
      </c>
      <c r="B2821" t="s">
        <v>5320</v>
      </c>
      <c r="C2821">
        <v>0.96</v>
      </c>
      <c r="D2821">
        <v>14.58</v>
      </c>
      <c r="E2821">
        <v>4.2</v>
      </c>
      <c r="F2821">
        <v>0.04</v>
      </c>
      <c r="G2821">
        <v>4.1900000000000004</v>
      </c>
      <c r="H2821">
        <v>4.2</v>
      </c>
      <c r="I2821" t="s">
        <v>5281</v>
      </c>
      <c r="J2821">
        <v>1.1399999999999999</v>
      </c>
      <c r="K2821">
        <v>1.1399999999999999</v>
      </c>
      <c r="L2821">
        <v>4.1500000000000004</v>
      </c>
      <c r="M2821">
        <v>4.21</v>
      </c>
      <c r="N2821">
        <v>4.12</v>
      </c>
    </row>
    <row r="2822" spans="1:14" x14ac:dyDescent="0.5">
      <c r="A2822" t="str">
        <f>"600812"</f>
        <v>600812</v>
      </c>
      <c r="B2822" t="s">
        <v>5321</v>
      </c>
      <c r="C2822">
        <v>1.3</v>
      </c>
      <c r="D2822">
        <v>100.3</v>
      </c>
      <c r="E2822">
        <v>4.68</v>
      </c>
      <c r="F2822">
        <v>0.06</v>
      </c>
      <c r="G2822">
        <v>4.67</v>
      </c>
      <c r="H2822">
        <v>4.68</v>
      </c>
      <c r="I2822" t="s">
        <v>4691</v>
      </c>
      <c r="J2822">
        <v>0.75</v>
      </c>
      <c r="K2822">
        <v>0.75</v>
      </c>
      <c r="L2822">
        <v>4.7</v>
      </c>
      <c r="M2822">
        <v>4.71</v>
      </c>
      <c r="N2822">
        <v>4.63</v>
      </c>
    </row>
    <row r="2823" spans="1:14" x14ac:dyDescent="0.5">
      <c r="A2823" t="str">
        <f>"600814"</f>
        <v>600814</v>
      </c>
      <c r="B2823" t="s">
        <v>5322</v>
      </c>
      <c r="C2823">
        <v>1.88</v>
      </c>
      <c r="D2823">
        <v>22.74</v>
      </c>
      <c r="E2823">
        <v>5.95</v>
      </c>
      <c r="F2823">
        <v>0.11</v>
      </c>
      <c r="G2823">
        <v>5.95</v>
      </c>
      <c r="H2823">
        <v>5.96</v>
      </c>
      <c r="I2823" t="s">
        <v>5323</v>
      </c>
      <c r="J2823">
        <v>0.79</v>
      </c>
      <c r="K2823">
        <v>0.79</v>
      </c>
      <c r="L2823">
        <v>5.84</v>
      </c>
      <c r="M2823">
        <v>5.96</v>
      </c>
      <c r="N2823">
        <v>5.81</v>
      </c>
    </row>
    <row r="2824" spans="1:14" x14ac:dyDescent="0.5">
      <c r="A2824" t="str">
        <f>"600815"</f>
        <v>600815</v>
      </c>
      <c r="B2824" t="s">
        <v>5324</v>
      </c>
      <c r="C2824">
        <v>2.61</v>
      </c>
      <c r="D2824" t="s">
        <v>24</v>
      </c>
      <c r="E2824">
        <v>3.54</v>
      </c>
      <c r="F2824">
        <v>0.09</v>
      </c>
      <c r="G2824">
        <v>3.54</v>
      </c>
      <c r="H2824">
        <v>3.55</v>
      </c>
      <c r="I2824" t="s">
        <v>5325</v>
      </c>
      <c r="J2824">
        <v>1.7</v>
      </c>
      <c r="K2824">
        <v>1.7</v>
      </c>
      <c r="L2824">
        <v>3.49</v>
      </c>
      <c r="M2824">
        <v>3.6</v>
      </c>
      <c r="N2824">
        <v>3.46</v>
      </c>
    </row>
    <row r="2825" spans="1:14" x14ac:dyDescent="0.5">
      <c r="A2825" t="str">
        <f>"600816"</f>
        <v>600816</v>
      </c>
      <c r="B2825" t="s">
        <v>5326</v>
      </c>
      <c r="C2825">
        <v>2.96</v>
      </c>
      <c r="D2825">
        <v>48.19</v>
      </c>
      <c r="E2825">
        <v>8.01</v>
      </c>
      <c r="F2825">
        <v>0.23</v>
      </c>
      <c r="G2825">
        <v>8.01</v>
      </c>
      <c r="H2825">
        <v>8.02</v>
      </c>
      <c r="I2825" t="s">
        <v>5327</v>
      </c>
      <c r="J2825">
        <v>7.72</v>
      </c>
      <c r="K2825">
        <v>7.72</v>
      </c>
      <c r="L2825">
        <v>7.5</v>
      </c>
      <c r="M2825">
        <v>8.27</v>
      </c>
      <c r="N2825">
        <v>7.4</v>
      </c>
    </row>
    <row r="2826" spans="1:14" x14ac:dyDescent="0.5">
      <c r="A2826" t="str">
        <f>"600817"</f>
        <v>600817</v>
      </c>
      <c r="B2826" t="s">
        <v>5328</v>
      </c>
      <c r="C2826">
        <v>0.62</v>
      </c>
      <c r="D2826" t="s">
        <v>24</v>
      </c>
      <c r="E2826">
        <v>8.1</v>
      </c>
      <c r="F2826">
        <v>0.05</v>
      </c>
      <c r="G2826">
        <v>8.1</v>
      </c>
      <c r="H2826">
        <v>8.11</v>
      </c>
      <c r="I2826" t="s">
        <v>5329</v>
      </c>
      <c r="J2826">
        <v>0.91</v>
      </c>
      <c r="K2826">
        <v>0.91</v>
      </c>
      <c r="L2826">
        <v>8.06</v>
      </c>
      <c r="M2826">
        <v>8.1199999999999992</v>
      </c>
      <c r="N2826">
        <v>8</v>
      </c>
    </row>
    <row r="2827" spans="1:14" x14ac:dyDescent="0.5">
      <c r="A2827" t="str">
        <f>"600818"</f>
        <v>600818</v>
      </c>
      <c r="B2827" t="s">
        <v>5330</v>
      </c>
      <c r="C2827">
        <v>4.21</v>
      </c>
      <c r="D2827">
        <v>305.64</v>
      </c>
      <c r="E2827">
        <v>12.38</v>
      </c>
      <c r="F2827">
        <v>0.5</v>
      </c>
      <c r="G2827">
        <v>12.38</v>
      </c>
      <c r="H2827">
        <v>12.39</v>
      </c>
      <c r="I2827" t="s">
        <v>5331</v>
      </c>
      <c r="J2827">
        <v>2.11</v>
      </c>
      <c r="K2827">
        <v>2.11</v>
      </c>
      <c r="L2827">
        <v>11.94</v>
      </c>
      <c r="M2827">
        <v>12.4</v>
      </c>
      <c r="N2827">
        <v>11.88</v>
      </c>
    </row>
    <row r="2828" spans="1:14" x14ac:dyDescent="0.5">
      <c r="A2828" t="str">
        <f>"600819"</f>
        <v>600819</v>
      </c>
      <c r="B2828" t="s">
        <v>5332</v>
      </c>
      <c r="C2828">
        <v>2.12</v>
      </c>
      <c r="D2828">
        <v>40.17</v>
      </c>
      <c r="E2828">
        <v>4.8099999999999996</v>
      </c>
      <c r="F2828">
        <v>0.1</v>
      </c>
      <c r="G2828">
        <v>4.8</v>
      </c>
      <c r="H2828">
        <v>4.8099999999999996</v>
      </c>
      <c r="I2828" t="s">
        <v>2121</v>
      </c>
      <c r="J2828">
        <v>0.56999999999999995</v>
      </c>
      <c r="K2828">
        <v>0.56999999999999995</v>
      </c>
      <c r="L2828">
        <v>4.72</v>
      </c>
      <c r="M2828">
        <v>4.8099999999999996</v>
      </c>
      <c r="N2828">
        <v>4.72</v>
      </c>
    </row>
    <row r="2829" spans="1:14" x14ac:dyDescent="0.5">
      <c r="A2829" t="str">
        <f>"600820"</f>
        <v>600820</v>
      </c>
      <c r="B2829" t="s">
        <v>5333</v>
      </c>
      <c r="C2829">
        <v>0.55000000000000004</v>
      </c>
      <c r="D2829">
        <v>11.76</v>
      </c>
      <c r="E2829">
        <v>7.37</v>
      </c>
      <c r="F2829">
        <v>0.04</v>
      </c>
      <c r="G2829">
        <v>7.36</v>
      </c>
      <c r="H2829">
        <v>7.37</v>
      </c>
      <c r="I2829" t="s">
        <v>5334</v>
      </c>
      <c r="J2829">
        <v>1.08</v>
      </c>
      <c r="K2829">
        <v>1.08</v>
      </c>
      <c r="L2829">
        <v>7.32</v>
      </c>
      <c r="M2829">
        <v>7.41</v>
      </c>
      <c r="N2829">
        <v>7.26</v>
      </c>
    </row>
    <row r="2830" spans="1:14" x14ac:dyDescent="0.5">
      <c r="A2830" t="str">
        <f>"600821"</f>
        <v>600821</v>
      </c>
      <c r="B2830" t="s">
        <v>5335</v>
      </c>
      <c r="C2830">
        <v>4.63</v>
      </c>
      <c r="D2830">
        <v>63.25</v>
      </c>
      <c r="E2830">
        <v>4.75</v>
      </c>
      <c r="F2830">
        <v>0.21</v>
      </c>
      <c r="G2830">
        <v>4.74</v>
      </c>
      <c r="H2830">
        <v>4.75</v>
      </c>
      <c r="I2830" t="s">
        <v>209</v>
      </c>
      <c r="J2830">
        <v>3.22</v>
      </c>
      <c r="K2830">
        <v>3.22</v>
      </c>
      <c r="L2830">
        <v>4.53</v>
      </c>
      <c r="M2830">
        <v>4.88</v>
      </c>
      <c r="N2830">
        <v>4.5</v>
      </c>
    </row>
    <row r="2831" spans="1:14" x14ac:dyDescent="0.5">
      <c r="A2831" t="str">
        <f>"600822"</f>
        <v>600822</v>
      </c>
      <c r="B2831" t="s">
        <v>5336</v>
      </c>
      <c r="C2831">
        <v>2.3199999999999998</v>
      </c>
      <c r="D2831">
        <v>95.87</v>
      </c>
      <c r="E2831">
        <v>10.15</v>
      </c>
      <c r="F2831">
        <v>0.23</v>
      </c>
      <c r="G2831">
        <v>10.14</v>
      </c>
      <c r="H2831">
        <v>10.15</v>
      </c>
      <c r="I2831" t="s">
        <v>5337</v>
      </c>
      <c r="J2831">
        <v>3.98</v>
      </c>
      <c r="K2831">
        <v>3.98</v>
      </c>
      <c r="L2831">
        <v>9.9</v>
      </c>
      <c r="M2831">
        <v>10.25</v>
      </c>
      <c r="N2831">
        <v>9.8000000000000007</v>
      </c>
    </row>
    <row r="2832" spans="1:14" x14ac:dyDescent="0.5">
      <c r="A2832" t="str">
        <f>"600823"</f>
        <v>600823</v>
      </c>
      <c r="B2832" t="s">
        <v>5338</v>
      </c>
      <c r="C2832">
        <v>1.57</v>
      </c>
      <c r="D2832">
        <v>7.16</v>
      </c>
      <c r="E2832">
        <v>4.53</v>
      </c>
      <c r="F2832">
        <v>7.0000000000000007E-2</v>
      </c>
      <c r="G2832">
        <v>4.53</v>
      </c>
      <c r="H2832">
        <v>4.54</v>
      </c>
      <c r="I2832" t="s">
        <v>5339</v>
      </c>
      <c r="J2832">
        <v>0.61</v>
      </c>
      <c r="K2832">
        <v>0.61</v>
      </c>
      <c r="L2832">
        <v>4.4400000000000004</v>
      </c>
      <c r="M2832">
        <v>4.54</v>
      </c>
      <c r="N2832">
        <v>4.43</v>
      </c>
    </row>
    <row r="2833" spans="1:14" x14ac:dyDescent="0.5">
      <c r="A2833" t="str">
        <f>"600824"</f>
        <v>600824</v>
      </c>
      <c r="B2833" t="s">
        <v>5340</v>
      </c>
      <c r="C2833">
        <v>3.03</v>
      </c>
      <c r="D2833">
        <v>35.119999999999997</v>
      </c>
      <c r="E2833">
        <v>4.08</v>
      </c>
      <c r="F2833">
        <v>0.12</v>
      </c>
      <c r="G2833">
        <v>4.07</v>
      </c>
      <c r="H2833">
        <v>4.08</v>
      </c>
      <c r="I2833" t="s">
        <v>5341</v>
      </c>
      <c r="J2833">
        <v>1.36</v>
      </c>
      <c r="K2833">
        <v>1.36</v>
      </c>
      <c r="L2833">
        <v>3.96</v>
      </c>
      <c r="M2833">
        <v>4.09</v>
      </c>
      <c r="N2833">
        <v>3.93</v>
      </c>
    </row>
    <row r="2834" spans="1:14" x14ac:dyDescent="0.5">
      <c r="A2834" t="str">
        <f>"600825"</f>
        <v>600825</v>
      </c>
      <c r="B2834" t="s">
        <v>5342</v>
      </c>
      <c r="C2834">
        <v>6.7</v>
      </c>
      <c r="D2834">
        <v>173.81</v>
      </c>
      <c r="E2834">
        <v>7.01</v>
      </c>
      <c r="F2834">
        <v>0.44</v>
      </c>
      <c r="G2834">
        <v>7</v>
      </c>
      <c r="H2834">
        <v>7.01</v>
      </c>
      <c r="I2834" t="s">
        <v>5343</v>
      </c>
      <c r="J2834">
        <v>7.98</v>
      </c>
      <c r="K2834">
        <v>7.98</v>
      </c>
      <c r="L2834">
        <v>6.53</v>
      </c>
      <c r="M2834">
        <v>7.07</v>
      </c>
      <c r="N2834">
        <v>6.44</v>
      </c>
    </row>
    <row r="2835" spans="1:14" x14ac:dyDescent="0.5">
      <c r="A2835" t="str">
        <f>"600826"</f>
        <v>600826</v>
      </c>
      <c r="B2835" t="s">
        <v>5344</v>
      </c>
      <c r="C2835">
        <v>4.32</v>
      </c>
      <c r="D2835">
        <v>10.98</v>
      </c>
      <c r="E2835">
        <v>11.84</v>
      </c>
      <c r="F2835">
        <v>0.49</v>
      </c>
      <c r="G2835">
        <v>11.84</v>
      </c>
      <c r="H2835">
        <v>11.85</v>
      </c>
      <c r="I2835" t="s">
        <v>1644</v>
      </c>
      <c r="J2835">
        <v>2.74</v>
      </c>
      <c r="K2835">
        <v>2.74</v>
      </c>
      <c r="L2835">
        <v>11.3</v>
      </c>
      <c r="M2835">
        <v>11.88</v>
      </c>
      <c r="N2835">
        <v>11.21</v>
      </c>
    </row>
    <row r="2836" spans="1:14" x14ac:dyDescent="0.5">
      <c r="A2836" t="str">
        <f>"600827"</f>
        <v>600827</v>
      </c>
      <c r="B2836" t="s">
        <v>5345</v>
      </c>
      <c r="C2836">
        <v>1.63</v>
      </c>
      <c r="D2836">
        <v>20.09</v>
      </c>
      <c r="E2836">
        <v>9.9600000000000009</v>
      </c>
      <c r="F2836">
        <v>0.16</v>
      </c>
      <c r="G2836">
        <v>9.9600000000000009</v>
      </c>
      <c r="H2836">
        <v>9.98</v>
      </c>
      <c r="I2836" t="s">
        <v>5346</v>
      </c>
      <c r="J2836">
        <v>0.67</v>
      </c>
      <c r="K2836">
        <v>0.67</v>
      </c>
      <c r="L2836">
        <v>9.85</v>
      </c>
      <c r="M2836">
        <v>10.050000000000001</v>
      </c>
      <c r="N2836">
        <v>9.85</v>
      </c>
    </row>
    <row r="2837" spans="1:14" x14ac:dyDescent="0.5">
      <c r="A2837" t="str">
        <f>"600828"</f>
        <v>600828</v>
      </c>
      <c r="B2837" t="s">
        <v>5347</v>
      </c>
      <c r="C2837">
        <v>1.1000000000000001</v>
      </c>
      <c r="D2837">
        <v>7.82</v>
      </c>
      <c r="E2837">
        <v>5.5</v>
      </c>
      <c r="F2837">
        <v>0.06</v>
      </c>
      <c r="G2837">
        <v>5.5</v>
      </c>
      <c r="H2837">
        <v>5.51</v>
      </c>
      <c r="I2837" t="s">
        <v>5348</v>
      </c>
      <c r="J2837">
        <v>1.45</v>
      </c>
      <c r="K2837">
        <v>1.45</v>
      </c>
      <c r="L2837">
        <v>5.39</v>
      </c>
      <c r="M2837">
        <v>5.51</v>
      </c>
      <c r="N2837">
        <v>5.36</v>
      </c>
    </row>
    <row r="2838" spans="1:14" x14ac:dyDescent="0.5">
      <c r="A2838" t="str">
        <f>"600829"</f>
        <v>600829</v>
      </c>
      <c r="B2838" t="s">
        <v>5349</v>
      </c>
      <c r="C2838">
        <v>1.03</v>
      </c>
      <c r="D2838">
        <v>15.8</v>
      </c>
      <c r="E2838">
        <v>6.84</v>
      </c>
      <c r="F2838">
        <v>7.0000000000000007E-2</v>
      </c>
      <c r="G2838">
        <v>6.84</v>
      </c>
      <c r="H2838">
        <v>6.85</v>
      </c>
      <c r="I2838" t="s">
        <v>5350</v>
      </c>
      <c r="J2838">
        <v>0.89</v>
      </c>
      <c r="K2838">
        <v>0.89</v>
      </c>
      <c r="L2838">
        <v>6.7</v>
      </c>
      <c r="M2838">
        <v>6.84</v>
      </c>
      <c r="N2838">
        <v>6.68</v>
      </c>
    </row>
    <row r="2839" spans="1:14" x14ac:dyDescent="0.5">
      <c r="A2839" t="str">
        <f>"600830"</f>
        <v>600830</v>
      </c>
      <c r="B2839" t="s">
        <v>5351</v>
      </c>
      <c r="C2839">
        <v>0.93</v>
      </c>
      <c r="D2839">
        <v>49.13</v>
      </c>
      <c r="E2839">
        <v>6.48</v>
      </c>
      <c r="F2839">
        <v>0.06</v>
      </c>
      <c r="G2839">
        <v>6.48</v>
      </c>
      <c r="H2839">
        <v>6.49</v>
      </c>
      <c r="I2839" t="s">
        <v>5352</v>
      </c>
      <c r="J2839">
        <v>4.01</v>
      </c>
      <c r="K2839">
        <v>4.01</v>
      </c>
      <c r="L2839">
        <v>6.33</v>
      </c>
      <c r="M2839">
        <v>6.49</v>
      </c>
      <c r="N2839">
        <v>6.29</v>
      </c>
    </row>
    <row r="2840" spans="1:14" x14ac:dyDescent="0.5">
      <c r="A2840" t="str">
        <f>"600831"</f>
        <v>600831</v>
      </c>
      <c r="B2840" t="s">
        <v>5353</v>
      </c>
      <c r="C2840">
        <v>4.04</v>
      </c>
      <c r="D2840">
        <v>30.55</v>
      </c>
      <c r="E2840">
        <v>9.26</v>
      </c>
      <c r="F2840">
        <v>0.36</v>
      </c>
      <c r="G2840">
        <v>9.26</v>
      </c>
      <c r="H2840">
        <v>9.27</v>
      </c>
      <c r="I2840" t="s">
        <v>5354</v>
      </c>
      <c r="J2840">
        <v>12.41</v>
      </c>
      <c r="K2840">
        <v>12.41</v>
      </c>
      <c r="L2840">
        <v>8.8800000000000008</v>
      </c>
      <c r="M2840">
        <v>9.48</v>
      </c>
      <c r="N2840">
        <v>8.7200000000000006</v>
      </c>
    </row>
    <row r="2841" spans="1:14" x14ac:dyDescent="0.5">
      <c r="A2841" t="str">
        <f>"600833"</f>
        <v>600833</v>
      </c>
      <c r="B2841" t="s">
        <v>5355</v>
      </c>
      <c r="C2841">
        <v>1.42</v>
      </c>
      <c r="D2841">
        <v>65.38</v>
      </c>
      <c r="E2841">
        <v>10.73</v>
      </c>
      <c r="F2841">
        <v>0.15</v>
      </c>
      <c r="G2841">
        <v>10.72</v>
      </c>
      <c r="H2841">
        <v>10.73</v>
      </c>
      <c r="I2841" t="s">
        <v>2046</v>
      </c>
      <c r="J2841">
        <v>1.97</v>
      </c>
      <c r="K2841">
        <v>1.97</v>
      </c>
      <c r="L2841">
        <v>10.63</v>
      </c>
      <c r="M2841">
        <v>10.76</v>
      </c>
      <c r="N2841">
        <v>10.5</v>
      </c>
    </row>
    <row r="2842" spans="1:14" x14ac:dyDescent="0.5">
      <c r="A2842" t="str">
        <f>"600834"</f>
        <v>600834</v>
      </c>
      <c r="B2842" t="s">
        <v>5356</v>
      </c>
      <c r="C2842">
        <v>1.63</v>
      </c>
      <c r="D2842">
        <v>280.88</v>
      </c>
      <c r="E2842">
        <v>7.5</v>
      </c>
      <c r="F2842">
        <v>0.12</v>
      </c>
      <c r="G2842">
        <v>7.49</v>
      </c>
      <c r="H2842">
        <v>7.5</v>
      </c>
      <c r="I2842" t="s">
        <v>1605</v>
      </c>
      <c r="J2842">
        <v>0.87</v>
      </c>
      <c r="K2842">
        <v>0.87</v>
      </c>
      <c r="L2842">
        <v>7.36</v>
      </c>
      <c r="M2842">
        <v>7.53</v>
      </c>
      <c r="N2842">
        <v>7.36</v>
      </c>
    </row>
    <row r="2843" spans="1:14" x14ac:dyDescent="0.5">
      <c r="A2843" t="str">
        <f>"600835"</f>
        <v>600835</v>
      </c>
      <c r="B2843" t="s">
        <v>5357</v>
      </c>
      <c r="C2843">
        <v>0.44</v>
      </c>
      <c r="D2843">
        <v>13.64</v>
      </c>
      <c r="E2843">
        <v>18.39</v>
      </c>
      <c r="F2843">
        <v>0.08</v>
      </c>
      <c r="G2843">
        <v>18.39</v>
      </c>
      <c r="H2843">
        <v>18.399999999999999</v>
      </c>
      <c r="I2843" t="s">
        <v>5358</v>
      </c>
      <c r="J2843">
        <v>0.8</v>
      </c>
      <c r="K2843">
        <v>0.8</v>
      </c>
      <c r="L2843">
        <v>18.2</v>
      </c>
      <c r="M2843">
        <v>18.48</v>
      </c>
      <c r="N2843">
        <v>18.09</v>
      </c>
    </row>
    <row r="2844" spans="1:14" x14ac:dyDescent="0.5">
      <c r="A2844" t="str">
        <f>"600836"</f>
        <v>600836</v>
      </c>
      <c r="B2844" t="s">
        <v>5359</v>
      </c>
      <c r="C2844">
        <v>4.43</v>
      </c>
      <c r="D2844">
        <v>60.69</v>
      </c>
      <c r="E2844">
        <v>4.4800000000000004</v>
      </c>
      <c r="F2844">
        <v>0.19</v>
      </c>
      <c r="G2844">
        <v>4.4800000000000004</v>
      </c>
      <c r="H2844">
        <v>4.49</v>
      </c>
      <c r="I2844" t="s">
        <v>5360</v>
      </c>
      <c r="J2844">
        <v>2.87</v>
      </c>
      <c r="K2844">
        <v>2.87</v>
      </c>
      <c r="L2844">
        <v>4.2300000000000004</v>
      </c>
      <c r="M2844">
        <v>4.55</v>
      </c>
      <c r="N2844">
        <v>4.2300000000000004</v>
      </c>
    </row>
    <row r="2845" spans="1:14" x14ac:dyDescent="0.5">
      <c r="A2845" t="str">
        <f>"600837"</f>
        <v>600837</v>
      </c>
      <c r="B2845" t="s">
        <v>5361</v>
      </c>
      <c r="C2845">
        <v>-0.31</v>
      </c>
      <c r="D2845">
        <v>24.71</v>
      </c>
      <c r="E2845">
        <v>13.03</v>
      </c>
      <c r="F2845">
        <v>-0.04</v>
      </c>
      <c r="G2845">
        <v>13.03</v>
      </c>
      <c r="H2845">
        <v>13.04</v>
      </c>
      <c r="I2845" t="s">
        <v>5362</v>
      </c>
      <c r="J2845">
        <v>1.46</v>
      </c>
      <c r="K2845">
        <v>1.46</v>
      </c>
      <c r="L2845">
        <v>12.92</v>
      </c>
      <c r="M2845">
        <v>13.11</v>
      </c>
      <c r="N2845">
        <v>12.78</v>
      </c>
    </row>
    <row r="2846" spans="1:14" x14ac:dyDescent="0.5">
      <c r="A2846" t="str">
        <f>"600838"</f>
        <v>600838</v>
      </c>
      <c r="B2846" t="s">
        <v>5363</v>
      </c>
      <c r="C2846">
        <v>2.96</v>
      </c>
      <c r="D2846">
        <v>29.11</v>
      </c>
      <c r="E2846">
        <v>7.3</v>
      </c>
      <c r="F2846">
        <v>0.21</v>
      </c>
      <c r="G2846">
        <v>7.3</v>
      </c>
      <c r="H2846">
        <v>7.31</v>
      </c>
      <c r="I2846" t="s">
        <v>5364</v>
      </c>
      <c r="J2846">
        <v>3.06</v>
      </c>
      <c r="K2846">
        <v>3.06</v>
      </c>
      <c r="L2846">
        <v>7.1</v>
      </c>
      <c r="M2846">
        <v>7.35</v>
      </c>
      <c r="N2846">
        <v>7.05</v>
      </c>
    </row>
    <row r="2847" spans="1:14" x14ac:dyDescent="0.5">
      <c r="A2847" t="str">
        <f>"600839"</f>
        <v>600839</v>
      </c>
      <c r="B2847" t="s">
        <v>5365</v>
      </c>
      <c r="C2847">
        <v>10.130000000000001</v>
      </c>
      <c r="D2847">
        <v>31.62</v>
      </c>
      <c r="E2847">
        <v>3.48</v>
      </c>
      <c r="F2847">
        <v>0.32</v>
      </c>
      <c r="G2847">
        <v>3.48</v>
      </c>
      <c r="H2847" t="s">
        <v>24</v>
      </c>
      <c r="I2847" t="s">
        <v>5366</v>
      </c>
      <c r="J2847">
        <v>4.0999999999999996</v>
      </c>
      <c r="K2847">
        <v>4.0999999999999996</v>
      </c>
      <c r="L2847">
        <v>3.45</v>
      </c>
      <c r="M2847">
        <v>3.48</v>
      </c>
      <c r="N2847">
        <v>3.33</v>
      </c>
    </row>
    <row r="2848" spans="1:14" x14ac:dyDescent="0.5">
      <c r="A2848" t="str">
        <f>"600841"</f>
        <v>600841</v>
      </c>
      <c r="B2848" t="s">
        <v>5367</v>
      </c>
      <c r="C2848">
        <v>2.52</v>
      </c>
      <c r="D2848">
        <v>50.67</v>
      </c>
      <c r="E2848">
        <v>8.5500000000000007</v>
      </c>
      <c r="F2848">
        <v>0.21</v>
      </c>
      <c r="G2848">
        <v>8.5399999999999991</v>
      </c>
      <c r="H2848">
        <v>8.5500000000000007</v>
      </c>
      <c r="I2848" t="s">
        <v>5368</v>
      </c>
      <c r="J2848">
        <v>1.02</v>
      </c>
      <c r="K2848">
        <v>1.02</v>
      </c>
      <c r="L2848">
        <v>8.42</v>
      </c>
      <c r="M2848">
        <v>8.5500000000000007</v>
      </c>
      <c r="N2848">
        <v>8.32</v>
      </c>
    </row>
    <row r="2849" spans="1:14" x14ac:dyDescent="0.5">
      <c r="A2849" t="str">
        <f>"600843"</f>
        <v>600843</v>
      </c>
      <c r="B2849" t="s">
        <v>5369</v>
      </c>
      <c r="C2849">
        <v>2.64</v>
      </c>
      <c r="D2849">
        <v>30.3</v>
      </c>
      <c r="E2849">
        <v>8.15</v>
      </c>
      <c r="F2849">
        <v>0.21</v>
      </c>
      <c r="G2849">
        <v>8.14</v>
      </c>
      <c r="H2849">
        <v>8.15</v>
      </c>
      <c r="I2849" t="s">
        <v>3643</v>
      </c>
      <c r="J2849">
        <v>2.25</v>
      </c>
      <c r="K2849">
        <v>2.25</v>
      </c>
      <c r="L2849">
        <v>7.94</v>
      </c>
      <c r="M2849">
        <v>8.15</v>
      </c>
      <c r="N2849">
        <v>7.88</v>
      </c>
    </row>
    <row r="2850" spans="1:14" x14ac:dyDescent="0.5">
      <c r="A2850" t="str">
        <f>"600844"</f>
        <v>600844</v>
      </c>
      <c r="B2850" t="s">
        <v>5370</v>
      </c>
      <c r="C2850">
        <v>2</v>
      </c>
      <c r="D2850">
        <v>20.3</v>
      </c>
      <c r="E2850">
        <v>4.08</v>
      </c>
      <c r="F2850">
        <v>0.08</v>
      </c>
      <c r="G2850">
        <v>4.07</v>
      </c>
      <c r="H2850">
        <v>4.08</v>
      </c>
      <c r="I2850" t="s">
        <v>5371</v>
      </c>
      <c r="J2850">
        <v>1.29</v>
      </c>
      <c r="K2850">
        <v>1.29</v>
      </c>
      <c r="L2850">
        <v>4.0199999999999996</v>
      </c>
      <c r="M2850">
        <v>4.09</v>
      </c>
      <c r="N2850">
        <v>3.96</v>
      </c>
    </row>
    <row r="2851" spans="1:14" x14ac:dyDescent="0.5">
      <c r="A2851" t="str">
        <f>"600845"</f>
        <v>600845</v>
      </c>
      <c r="B2851" t="s">
        <v>5372</v>
      </c>
      <c r="C2851">
        <v>4.1399999999999997</v>
      </c>
      <c r="D2851">
        <v>41.03</v>
      </c>
      <c r="E2851">
        <v>31.42</v>
      </c>
      <c r="F2851">
        <v>1.25</v>
      </c>
      <c r="G2851">
        <v>31.42</v>
      </c>
      <c r="H2851">
        <v>31.43</v>
      </c>
      <c r="I2851" t="s">
        <v>5373</v>
      </c>
      <c r="J2851">
        <v>1.49</v>
      </c>
      <c r="K2851">
        <v>1.49</v>
      </c>
      <c r="L2851">
        <v>29.95</v>
      </c>
      <c r="M2851">
        <v>31.47</v>
      </c>
      <c r="N2851">
        <v>29.83</v>
      </c>
    </row>
    <row r="2852" spans="1:14" x14ac:dyDescent="0.5">
      <c r="A2852" t="str">
        <f>"600846"</f>
        <v>600846</v>
      </c>
      <c r="B2852" t="s">
        <v>5374</v>
      </c>
      <c r="C2852">
        <v>3.9</v>
      </c>
      <c r="D2852">
        <v>17.3</v>
      </c>
      <c r="E2852">
        <v>8.7899999999999991</v>
      </c>
      <c r="F2852">
        <v>0.33</v>
      </c>
      <c r="G2852">
        <v>8.7799999999999994</v>
      </c>
      <c r="H2852">
        <v>8.7899999999999991</v>
      </c>
      <c r="I2852" t="s">
        <v>4138</v>
      </c>
      <c r="J2852">
        <v>6.59</v>
      </c>
      <c r="K2852">
        <v>6.59</v>
      </c>
      <c r="L2852">
        <v>8.48</v>
      </c>
      <c r="M2852">
        <v>8.85</v>
      </c>
      <c r="N2852">
        <v>8.41</v>
      </c>
    </row>
    <row r="2853" spans="1:14" x14ac:dyDescent="0.5">
      <c r="A2853" t="str">
        <f>"600847"</f>
        <v>600847</v>
      </c>
      <c r="B2853" t="s">
        <v>5375</v>
      </c>
      <c r="C2853">
        <v>0.93</v>
      </c>
      <c r="D2853">
        <v>226.13</v>
      </c>
      <c r="E2853">
        <v>13.08</v>
      </c>
      <c r="F2853">
        <v>0.12</v>
      </c>
      <c r="G2853">
        <v>13.07</v>
      </c>
      <c r="H2853">
        <v>13.08</v>
      </c>
      <c r="I2853" t="s">
        <v>4363</v>
      </c>
      <c r="J2853">
        <v>0.59</v>
      </c>
      <c r="K2853">
        <v>0.59</v>
      </c>
      <c r="L2853">
        <v>13</v>
      </c>
      <c r="M2853">
        <v>13.08</v>
      </c>
      <c r="N2853">
        <v>12.81</v>
      </c>
    </row>
    <row r="2854" spans="1:14" x14ac:dyDescent="0.5">
      <c r="A2854" t="str">
        <f>"600848"</f>
        <v>600848</v>
      </c>
      <c r="B2854" t="s">
        <v>5376</v>
      </c>
      <c r="C2854">
        <v>7.08</v>
      </c>
      <c r="D2854">
        <v>59.3</v>
      </c>
      <c r="E2854">
        <v>25.85</v>
      </c>
      <c r="F2854">
        <v>1.71</v>
      </c>
      <c r="G2854">
        <v>25.84</v>
      </c>
      <c r="H2854">
        <v>25.85</v>
      </c>
      <c r="I2854" t="s">
        <v>5377</v>
      </c>
      <c r="J2854">
        <v>2.85</v>
      </c>
      <c r="K2854">
        <v>2.85</v>
      </c>
      <c r="L2854">
        <v>24.4</v>
      </c>
      <c r="M2854">
        <v>26.47</v>
      </c>
      <c r="N2854">
        <v>24.03</v>
      </c>
    </row>
    <row r="2855" spans="1:14" x14ac:dyDescent="0.5">
      <c r="A2855" t="str">
        <f>"600850"</f>
        <v>600850</v>
      </c>
      <c r="B2855" t="s">
        <v>5378</v>
      </c>
      <c r="C2855">
        <v>4.1399999999999997</v>
      </c>
      <c r="D2855">
        <v>25.73</v>
      </c>
      <c r="E2855">
        <v>20.62</v>
      </c>
      <c r="F2855">
        <v>0.82</v>
      </c>
      <c r="G2855">
        <v>20.61</v>
      </c>
      <c r="H2855">
        <v>20.62</v>
      </c>
      <c r="I2855" t="s">
        <v>5379</v>
      </c>
      <c r="J2855">
        <v>2.5</v>
      </c>
      <c r="K2855">
        <v>2.5</v>
      </c>
      <c r="L2855">
        <v>19.8</v>
      </c>
      <c r="M2855">
        <v>20.62</v>
      </c>
      <c r="N2855">
        <v>19.489999999999998</v>
      </c>
    </row>
    <row r="2856" spans="1:14" x14ac:dyDescent="0.5">
      <c r="A2856" t="str">
        <f>"600851"</f>
        <v>600851</v>
      </c>
      <c r="B2856" t="s">
        <v>5380</v>
      </c>
      <c r="C2856">
        <v>-0.12</v>
      </c>
      <c r="D2856">
        <v>84.14</v>
      </c>
      <c r="E2856">
        <v>8.16</v>
      </c>
      <c r="F2856">
        <v>-0.01</v>
      </c>
      <c r="G2856">
        <v>8.16</v>
      </c>
      <c r="H2856">
        <v>8.17</v>
      </c>
      <c r="I2856" t="s">
        <v>5381</v>
      </c>
      <c r="J2856">
        <v>1.0900000000000001</v>
      </c>
      <c r="K2856">
        <v>1.0900000000000001</v>
      </c>
      <c r="L2856">
        <v>8.0500000000000007</v>
      </c>
      <c r="M2856">
        <v>8.26</v>
      </c>
      <c r="N2856">
        <v>8</v>
      </c>
    </row>
    <row r="2857" spans="1:14" x14ac:dyDescent="0.5">
      <c r="A2857" t="str">
        <f>"600853"</f>
        <v>600853</v>
      </c>
      <c r="B2857" t="s">
        <v>5382</v>
      </c>
      <c r="C2857">
        <v>0.48</v>
      </c>
      <c r="D2857">
        <v>14.01</v>
      </c>
      <c r="E2857">
        <v>4.2</v>
      </c>
      <c r="F2857">
        <v>0.02</v>
      </c>
      <c r="G2857">
        <v>4.1900000000000004</v>
      </c>
      <c r="H2857">
        <v>4.2</v>
      </c>
      <c r="I2857" t="s">
        <v>5383</v>
      </c>
      <c r="J2857">
        <v>1.86</v>
      </c>
      <c r="K2857">
        <v>1.86</v>
      </c>
      <c r="L2857">
        <v>4.17</v>
      </c>
      <c r="M2857">
        <v>4.2300000000000004</v>
      </c>
      <c r="N2857">
        <v>4.1100000000000003</v>
      </c>
    </row>
    <row r="2858" spans="1:14" x14ac:dyDescent="0.5">
      <c r="A2858" t="str">
        <f>"600854"</f>
        <v>600854</v>
      </c>
      <c r="B2858" t="s">
        <v>5384</v>
      </c>
      <c r="C2858">
        <v>2.52</v>
      </c>
      <c r="D2858">
        <v>32.83</v>
      </c>
      <c r="E2858">
        <v>4.47</v>
      </c>
      <c r="F2858">
        <v>0.11</v>
      </c>
      <c r="G2858">
        <v>4.47</v>
      </c>
      <c r="H2858">
        <v>4.4800000000000004</v>
      </c>
      <c r="I2858" t="s">
        <v>2914</v>
      </c>
      <c r="J2858">
        <v>2.34</v>
      </c>
      <c r="K2858">
        <v>2.34</v>
      </c>
      <c r="L2858">
        <v>4.34</v>
      </c>
      <c r="M2858">
        <v>4.49</v>
      </c>
      <c r="N2858">
        <v>4.3099999999999996</v>
      </c>
    </row>
    <row r="2859" spans="1:14" x14ac:dyDescent="0.5">
      <c r="A2859" t="str">
        <f>"600855"</f>
        <v>600855</v>
      </c>
      <c r="B2859" t="s">
        <v>5385</v>
      </c>
      <c r="C2859">
        <v>2</v>
      </c>
      <c r="D2859">
        <v>244.75</v>
      </c>
      <c r="E2859">
        <v>14.25</v>
      </c>
      <c r="F2859">
        <v>0.28000000000000003</v>
      </c>
      <c r="G2859">
        <v>14.24</v>
      </c>
      <c r="H2859">
        <v>14.25</v>
      </c>
      <c r="I2859" t="s">
        <v>5386</v>
      </c>
      <c r="J2859">
        <v>5.22</v>
      </c>
      <c r="K2859">
        <v>5.22</v>
      </c>
      <c r="L2859">
        <v>13.82</v>
      </c>
      <c r="M2859">
        <v>14.3</v>
      </c>
      <c r="N2859">
        <v>13.82</v>
      </c>
    </row>
    <row r="2860" spans="1:14" x14ac:dyDescent="0.5">
      <c r="A2860" t="str">
        <f>"600856"</f>
        <v>600856</v>
      </c>
      <c r="B2860" t="s">
        <v>5387</v>
      </c>
      <c r="C2860">
        <v>1.38</v>
      </c>
      <c r="D2860">
        <v>19.95</v>
      </c>
      <c r="E2860">
        <v>4.41</v>
      </c>
      <c r="F2860">
        <v>0.06</v>
      </c>
      <c r="G2860">
        <v>4.41</v>
      </c>
      <c r="H2860">
        <v>4.42</v>
      </c>
      <c r="I2860" t="s">
        <v>5388</v>
      </c>
      <c r="J2860">
        <v>2.73</v>
      </c>
      <c r="K2860">
        <v>2.73</v>
      </c>
      <c r="L2860">
        <v>4.3099999999999996</v>
      </c>
      <c r="M2860">
        <v>4.42</v>
      </c>
      <c r="N2860">
        <v>4.2699999999999996</v>
      </c>
    </row>
    <row r="2861" spans="1:14" x14ac:dyDescent="0.5">
      <c r="A2861" t="str">
        <f>"600857"</f>
        <v>600857</v>
      </c>
      <c r="B2861" t="s">
        <v>5389</v>
      </c>
      <c r="C2861">
        <v>0.31</v>
      </c>
      <c r="D2861" t="s">
        <v>24</v>
      </c>
      <c r="E2861">
        <v>9.59</v>
      </c>
      <c r="F2861">
        <v>0.03</v>
      </c>
      <c r="G2861">
        <v>9.59</v>
      </c>
      <c r="H2861">
        <v>9.6</v>
      </c>
      <c r="I2861" t="s">
        <v>3757</v>
      </c>
      <c r="J2861">
        <v>1.72</v>
      </c>
      <c r="K2861">
        <v>1.72</v>
      </c>
      <c r="L2861">
        <v>9.58</v>
      </c>
      <c r="M2861">
        <v>9.6300000000000008</v>
      </c>
      <c r="N2861">
        <v>9.51</v>
      </c>
    </row>
    <row r="2862" spans="1:14" x14ac:dyDescent="0.5">
      <c r="A2862" t="str">
        <f>"600858"</f>
        <v>600858</v>
      </c>
      <c r="B2862" t="s">
        <v>5390</v>
      </c>
      <c r="C2862">
        <v>1.98</v>
      </c>
      <c r="D2862">
        <v>54.21</v>
      </c>
      <c r="E2862">
        <v>5.67</v>
      </c>
      <c r="F2862">
        <v>0.11</v>
      </c>
      <c r="G2862">
        <v>5.66</v>
      </c>
      <c r="H2862">
        <v>5.67</v>
      </c>
      <c r="I2862" t="s">
        <v>5391</v>
      </c>
      <c r="J2862">
        <v>0.86</v>
      </c>
      <c r="K2862">
        <v>0.86</v>
      </c>
      <c r="L2862">
        <v>5.56</v>
      </c>
      <c r="M2862">
        <v>5.7</v>
      </c>
      <c r="N2862">
        <v>5.54</v>
      </c>
    </row>
    <row r="2863" spans="1:14" x14ac:dyDescent="0.5">
      <c r="A2863" t="str">
        <f>"600859"</f>
        <v>600859</v>
      </c>
      <c r="B2863" t="s">
        <v>5392</v>
      </c>
      <c r="C2863">
        <v>3.99</v>
      </c>
      <c r="D2863">
        <v>8.9600000000000009</v>
      </c>
      <c r="E2863">
        <v>16.68</v>
      </c>
      <c r="F2863">
        <v>0.64</v>
      </c>
      <c r="G2863">
        <v>16.68</v>
      </c>
      <c r="H2863">
        <v>16.690000000000001</v>
      </c>
      <c r="I2863" t="s">
        <v>5393</v>
      </c>
      <c r="J2863">
        <v>4.17</v>
      </c>
      <c r="K2863">
        <v>4.17</v>
      </c>
      <c r="L2863">
        <v>16.04</v>
      </c>
      <c r="M2863">
        <v>16.71</v>
      </c>
      <c r="N2863">
        <v>16</v>
      </c>
    </row>
    <row r="2864" spans="1:14" x14ac:dyDescent="0.5">
      <c r="A2864" t="str">
        <f>"600860"</f>
        <v>600860</v>
      </c>
      <c r="B2864" t="s">
        <v>5394</v>
      </c>
      <c r="C2864">
        <v>0.92</v>
      </c>
      <c r="D2864">
        <v>49.89</v>
      </c>
      <c r="E2864">
        <v>5.5</v>
      </c>
      <c r="F2864">
        <v>0.05</v>
      </c>
      <c r="G2864">
        <v>5.49</v>
      </c>
      <c r="H2864">
        <v>5.5</v>
      </c>
      <c r="I2864" t="s">
        <v>4046</v>
      </c>
      <c r="J2864">
        <v>0.95</v>
      </c>
      <c r="K2864">
        <v>0.95</v>
      </c>
      <c r="L2864">
        <v>5.42</v>
      </c>
      <c r="M2864">
        <v>5.53</v>
      </c>
      <c r="N2864">
        <v>5.41</v>
      </c>
    </row>
    <row r="2865" spans="1:14" x14ac:dyDescent="0.5">
      <c r="A2865" t="str">
        <f>"600861"</f>
        <v>600861</v>
      </c>
      <c r="B2865" t="s">
        <v>5395</v>
      </c>
      <c r="C2865">
        <v>0.39</v>
      </c>
      <c r="D2865">
        <v>40.75</v>
      </c>
      <c r="E2865">
        <v>7.69</v>
      </c>
      <c r="F2865">
        <v>0.03</v>
      </c>
      <c r="G2865">
        <v>7.68</v>
      </c>
      <c r="H2865">
        <v>7.69</v>
      </c>
      <c r="I2865" t="s">
        <v>5396</v>
      </c>
      <c r="J2865">
        <v>1.45</v>
      </c>
      <c r="K2865">
        <v>1.45</v>
      </c>
      <c r="L2865">
        <v>7.56</v>
      </c>
      <c r="M2865">
        <v>7.69</v>
      </c>
      <c r="N2865">
        <v>7.52</v>
      </c>
    </row>
    <row r="2866" spans="1:14" x14ac:dyDescent="0.5">
      <c r="A2866" t="str">
        <f>"600862"</f>
        <v>600862</v>
      </c>
      <c r="B2866" t="s">
        <v>5397</v>
      </c>
      <c r="C2866">
        <v>3.74</v>
      </c>
      <c r="D2866">
        <v>223.85</v>
      </c>
      <c r="E2866">
        <v>8.33</v>
      </c>
      <c r="F2866">
        <v>0.3</v>
      </c>
      <c r="G2866">
        <v>8.33</v>
      </c>
      <c r="H2866">
        <v>8.34</v>
      </c>
      <c r="I2866" t="s">
        <v>5398</v>
      </c>
      <c r="J2866">
        <v>1.82</v>
      </c>
      <c r="K2866">
        <v>1.82</v>
      </c>
      <c r="L2866">
        <v>8</v>
      </c>
      <c r="M2866">
        <v>8.5</v>
      </c>
      <c r="N2866">
        <v>7.88</v>
      </c>
    </row>
    <row r="2867" spans="1:14" x14ac:dyDescent="0.5">
      <c r="A2867" t="str">
        <f>"600863"</f>
        <v>600863</v>
      </c>
      <c r="B2867" t="s">
        <v>5399</v>
      </c>
      <c r="C2867">
        <v>1</v>
      </c>
      <c r="D2867">
        <v>34.85</v>
      </c>
      <c r="E2867">
        <v>3.04</v>
      </c>
      <c r="F2867">
        <v>0.03</v>
      </c>
      <c r="G2867">
        <v>3.03</v>
      </c>
      <c r="H2867">
        <v>3.04</v>
      </c>
      <c r="I2867" t="s">
        <v>5400</v>
      </c>
      <c r="J2867">
        <v>0.33</v>
      </c>
      <c r="K2867">
        <v>0.33</v>
      </c>
      <c r="L2867">
        <v>3.01</v>
      </c>
      <c r="M2867">
        <v>3.05</v>
      </c>
      <c r="N2867">
        <v>3</v>
      </c>
    </row>
    <row r="2868" spans="1:14" x14ac:dyDescent="0.5">
      <c r="A2868" t="str">
        <f>"600864"</f>
        <v>600864</v>
      </c>
      <c r="B2868" t="s">
        <v>5401</v>
      </c>
      <c r="C2868">
        <v>0.67</v>
      </c>
      <c r="D2868" t="s">
        <v>24</v>
      </c>
      <c r="E2868">
        <v>6.03</v>
      </c>
      <c r="F2868">
        <v>0.04</v>
      </c>
      <c r="G2868">
        <v>6.03</v>
      </c>
      <c r="H2868">
        <v>6.04</v>
      </c>
      <c r="I2868" t="s">
        <v>5402</v>
      </c>
      <c r="J2868">
        <v>3.19</v>
      </c>
      <c r="K2868">
        <v>3.19</v>
      </c>
      <c r="L2868">
        <v>5.9</v>
      </c>
      <c r="M2868">
        <v>6.04</v>
      </c>
      <c r="N2868">
        <v>5.85</v>
      </c>
    </row>
    <row r="2869" spans="1:14" x14ac:dyDescent="0.5">
      <c r="A2869" t="str">
        <f>"600865"</f>
        <v>600865</v>
      </c>
      <c r="B2869" t="s">
        <v>5403</v>
      </c>
      <c r="C2869">
        <v>1.1599999999999999</v>
      </c>
      <c r="D2869">
        <v>28.81</v>
      </c>
      <c r="E2869">
        <v>6.98</v>
      </c>
      <c r="F2869">
        <v>0.08</v>
      </c>
      <c r="G2869">
        <v>6.98</v>
      </c>
      <c r="H2869">
        <v>6.99</v>
      </c>
      <c r="I2869" t="s">
        <v>5404</v>
      </c>
      <c r="J2869">
        <v>1.23</v>
      </c>
      <c r="K2869">
        <v>1.23</v>
      </c>
      <c r="L2869">
        <v>6.88</v>
      </c>
      <c r="M2869">
        <v>7</v>
      </c>
      <c r="N2869">
        <v>6.85</v>
      </c>
    </row>
    <row r="2870" spans="1:14" x14ac:dyDescent="0.5">
      <c r="A2870" t="str">
        <f>"600866"</f>
        <v>600866</v>
      </c>
      <c r="B2870" t="s">
        <v>5405</v>
      </c>
      <c r="C2870">
        <v>3.16</v>
      </c>
      <c r="D2870" t="s">
        <v>24</v>
      </c>
      <c r="E2870">
        <v>3.92</v>
      </c>
      <c r="F2870">
        <v>0.12</v>
      </c>
      <c r="G2870">
        <v>3.91</v>
      </c>
      <c r="H2870">
        <v>3.92</v>
      </c>
      <c r="I2870" t="s">
        <v>848</v>
      </c>
      <c r="J2870">
        <v>1.51</v>
      </c>
      <c r="K2870">
        <v>1.51</v>
      </c>
      <c r="L2870">
        <v>3.81</v>
      </c>
      <c r="M2870">
        <v>3.94</v>
      </c>
      <c r="N2870">
        <v>3.76</v>
      </c>
    </row>
    <row r="2871" spans="1:14" x14ac:dyDescent="0.5">
      <c r="A2871" t="str">
        <f>"600867"</f>
        <v>600867</v>
      </c>
      <c r="B2871" t="s">
        <v>5406</v>
      </c>
      <c r="C2871">
        <v>0.27</v>
      </c>
      <c r="D2871">
        <v>34.54</v>
      </c>
      <c r="E2871">
        <v>14.93</v>
      </c>
      <c r="F2871">
        <v>0.04</v>
      </c>
      <c r="G2871">
        <v>14.93</v>
      </c>
      <c r="H2871">
        <v>14.94</v>
      </c>
      <c r="I2871" t="s">
        <v>5407</v>
      </c>
      <c r="J2871">
        <v>2.09</v>
      </c>
      <c r="K2871">
        <v>2.09</v>
      </c>
      <c r="L2871">
        <v>14.44</v>
      </c>
      <c r="M2871">
        <v>15.09</v>
      </c>
      <c r="N2871">
        <v>14.1</v>
      </c>
    </row>
    <row r="2872" spans="1:14" x14ac:dyDescent="0.5">
      <c r="A2872" t="str">
        <f>"600868"</f>
        <v>600868</v>
      </c>
      <c r="B2872" t="s">
        <v>5408</v>
      </c>
      <c r="C2872">
        <v>9.92</v>
      </c>
      <c r="D2872">
        <v>416.3</v>
      </c>
      <c r="E2872">
        <v>3.88</v>
      </c>
      <c r="F2872">
        <v>0.35</v>
      </c>
      <c r="G2872">
        <v>3.88</v>
      </c>
      <c r="H2872" t="s">
        <v>24</v>
      </c>
      <c r="I2872" t="s">
        <v>5409</v>
      </c>
      <c r="J2872">
        <v>6.06</v>
      </c>
      <c r="K2872">
        <v>6.06</v>
      </c>
      <c r="L2872">
        <v>3.53</v>
      </c>
      <c r="M2872">
        <v>3.88</v>
      </c>
      <c r="N2872">
        <v>3.5</v>
      </c>
    </row>
    <row r="2873" spans="1:14" x14ac:dyDescent="0.5">
      <c r="A2873" t="str">
        <f>"600869"</f>
        <v>600869</v>
      </c>
      <c r="B2873" t="s">
        <v>5410</v>
      </c>
      <c r="C2873">
        <v>2.82</v>
      </c>
      <c r="D2873">
        <v>57.74</v>
      </c>
      <c r="E2873">
        <v>5.47</v>
      </c>
      <c r="F2873">
        <v>0.15</v>
      </c>
      <c r="G2873">
        <v>5.46</v>
      </c>
      <c r="H2873">
        <v>5.47</v>
      </c>
      <c r="I2873" t="s">
        <v>5411</v>
      </c>
      <c r="J2873">
        <v>1.32</v>
      </c>
      <c r="K2873">
        <v>1.32</v>
      </c>
      <c r="L2873">
        <v>5.31</v>
      </c>
      <c r="M2873">
        <v>5.49</v>
      </c>
      <c r="N2873">
        <v>5.26</v>
      </c>
    </row>
    <row r="2874" spans="1:14" x14ac:dyDescent="0.5">
      <c r="A2874" t="str">
        <f>"600870"</f>
        <v>600870</v>
      </c>
      <c r="B2874" t="s">
        <v>5412</v>
      </c>
      <c r="C2874">
        <v>5.01</v>
      </c>
      <c r="D2874" t="s">
        <v>24</v>
      </c>
      <c r="E2874">
        <v>3.56</v>
      </c>
      <c r="F2874">
        <v>0.17</v>
      </c>
      <c r="G2874">
        <v>3.56</v>
      </c>
      <c r="H2874" t="s">
        <v>24</v>
      </c>
      <c r="I2874" t="s">
        <v>5413</v>
      </c>
      <c r="J2874">
        <v>1.63</v>
      </c>
      <c r="K2874">
        <v>1.63</v>
      </c>
      <c r="L2874">
        <v>3.39</v>
      </c>
      <c r="M2874">
        <v>3.56</v>
      </c>
      <c r="N2874">
        <v>3.36</v>
      </c>
    </row>
    <row r="2875" spans="1:14" x14ac:dyDescent="0.5">
      <c r="A2875" t="str">
        <f>"600871"</f>
        <v>600871</v>
      </c>
      <c r="B2875" t="s">
        <v>5414</v>
      </c>
      <c r="C2875">
        <v>0.49</v>
      </c>
      <c r="D2875" t="s">
        <v>24</v>
      </c>
      <c r="E2875">
        <v>2.06</v>
      </c>
      <c r="F2875">
        <v>0.01</v>
      </c>
      <c r="G2875">
        <v>2.06</v>
      </c>
      <c r="H2875">
        <v>2.0699999999999998</v>
      </c>
      <c r="I2875" t="s">
        <v>5415</v>
      </c>
      <c r="J2875">
        <v>0.21</v>
      </c>
      <c r="K2875">
        <v>0.21</v>
      </c>
      <c r="L2875">
        <v>2.0499999999999998</v>
      </c>
      <c r="M2875">
        <v>2.0699999999999998</v>
      </c>
      <c r="N2875">
        <v>2.0299999999999998</v>
      </c>
    </row>
    <row r="2876" spans="1:14" x14ac:dyDescent="0.5">
      <c r="A2876" t="str">
        <f>"600872"</f>
        <v>600872</v>
      </c>
      <c r="B2876" t="s">
        <v>5416</v>
      </c>
      <c r="C2876">
        <v>-3.74</v>
      </c>
      <c r="D2876">
        <v>45.9</v>
      </c>
      <c r="E2876">
        <v>32.4</v>
      </c>
      <c r="F2876">
        <v>-1.26</v>
      </c>
      <c r="G2876">
        <v>32.4</v>
      </c>
      <c r="H2876">
        <v>32.44</v>
      </c>
      <c r="I2876" t="s">
        <v>5417</v>
      </c>
      <c r="J2876">
        <v>2.77</v>
      </c>
      <c r="K2876">
        <v>2.77</v>
      </c>
      <c r="L2876">
        <v>33.380000000000003</v>
      </c>
      <c r="M2876">
        <v>33.68</v>
      </c>
      <c r="N2876">
        <v>32.15</v>
      </c>
    </row>
    <row r="2877" spans="1:14" x14ac:dyDescent="0.5">
      <c r="A2877" t="str">
        <f>"600873"</f>
        <v>600873</v>
      </c>
      <c r="B2877" t="s">
        <v>5418</v>
      </c>
      <c r="C2877">
        <v>7.66</v>
      </c>
      <c r="D2877">
        <v>12.64</v>
      </c>
      <c r="E2877">
        <v>5.34</v>
      </c>
      <c r="F2877">
        <v>0.38</v>
      </c>
      <c r="G2877">
        <v>5.33</v>
      </c>
      <c r="H2877">
        <v>5.34</v>
      </c>
      <c r="I2877" t="s">
        <v>5419</v>
      </c>
      <c r="J2877">
        <v>2.0099999999999998</v>
      </c>
      <c r="K2877">
        <v>2.0099999999999998</v>
      </c>
      <c r="L2877">
        <v>4.9800000000000004</v>
      </c>
      <c r="M2877">
        <v>5.46</v>
      </c>
      <c r="N2877">
        <v>4.96</v>
      </c>
    </row>
    <row r="2878" spans="1:14" x14ac:dyDescent="0.5">
      <c r="A2878" t="str">
        <f>"600874"</f>
        <v>600874</v>
      </c>
      <c r="B2878" t="s">
        <v>5420</v>
      </c>
      <c r="C2878">
        <v>1.47</v>
      </c>
      <c r="D2878">
        <v>25.95</v>
      </c>
      <c r="E2878">
        <v>9.69</v>
      </c>
      <c r="F2878">
        <v>0.14000000000000001</v>
      </c>
      <c r="G2878">
        <v>9.69</v>
      </c>
      <c r="H2878">
        <v>9.6999999999999993</v>
      </c>
      <c r="I2878" t="s">
        <v>5421</v>
      </c>
      <c r="J2878">
        <v>2.72</v>
      </c>
      <c r="K2878">
        <v>2.72</v>
      </c>
      <c r="L2878">
        <v>9.48</v>
      </c>
      <c r="M2878">
        <v>9.69</v>
      </c>
      <c r="N2878">
        <v>9.44</v>
      </c>
    </row>
    <row r="2879" spans="1:14" x14ac:dyDescent="0.5">
      <c r="A2879" t="str">
        <f>"600875"</f>
        <v>600875</v>
      </c>
      <c r="B2879" t="s">
        <v>5422</v>
      </c>
      <c r="C2879">
        <v>2.5099999999999998</v>
      </c>
      <c r="D2879">
        <v>31.45</v>
      </c>
      <c r="E2879">
        <v>10.220000000000001</v>
      </c>
      <c r="F2879">
        <v>0.25</v>
      </c>
      <c r="G2879">
        <v>10.210000000000001</v>
      </c>
      <c r="H2879">
        <v>10.220000000000001</v>
      </c>
      <c r="I2879" t="s">
        <v>5423</v>
      </c>
      <c r="J2879">
        <v>1.07</v>
      </c>
      <c r="K2879">
        <v>1.07</v>
      </c>
      <c r="L2879">
        <v>9.9600000000000009</v>
      </c>
      <c r="M2879">
        <v>10.25</v>
      </c>
      <c r="N2879">
        <v>9.89</v>
      </c>
    </row>
    <row r="2880" spans="1:14" x14ac:dyDescent="0.5">
      <c r="A2880" t="str">
        <f>"600876"</f>
        <v>600876</v>
      </c>
      <c r="B2880" t="s">
        <v>5424</v>
      </c>
      <c r="C2880">
        <v>3.27</v>
      </c>
      <c r="D2880" t="s">
        <v>24</v>
      </c>
      <c r="E2880">
        <v>13.27</v>
      </c>
      <c r="F2880">
        <v>0.42</v>
      </c>
      <c r="G2880">
        <v>13.27</v>
      </c>
      <c r="H2880">
        <v>13.28</v>
      </c>
      <c r="I2880" t="s">
        <v>5425</v>
      </c>
      <c r="J2880">
        <v>4.17</v>
      </c>
      <c r="K2880">
        <v>4.17</v>
      </c>
      <c r="L2880">
        <v>12.75</v>
      </c>
      <c r="M2880">
        <v>13.65</v>
      </c>
      <c r="N2880">
        <v>12.54</v>
      </c>
    </row>
    <row r="2881" spans="1:14" x14ac:dyDescent="0.5">
      <c r="A2881" t="str">
        <f>"600877"</f>
        <v>600877</v>
      </c>
      <c r="B2881" t="s">
        <v>5426</v>
      </c>
      <c r="C2881">
        <v>3.1</v>
      </c>
      <c r="D2881">
        <v>30.39</v>
      </c>
      <c r="E2881">
        <v>4.99</v>
      </c>
      <c r="F2881">
        <v>0.15</v>
      </c>
      <c r="G2881">
        <v>4.9800000000000004</v>
      </c>
      <c r="H2881">
        <v>4.99</v>
      </c>
      <c r="I2881" t="s">
        <v>197</v>
      </c>
      <c r="J2881">
        <v>1.99</v>
      </c>
      <c r="K2881">
        <v>1.99</v>
      </c>
      <c r="L2881">
        <v>4.8099999999999996</v>
      </c>
      <c r="M2881">
        <v>5.08</v>
      </c>
      <c r="N2881">
        <v>4.8</v>
      </c>
    </row>
    <row r="2882" spans="1:14" x14ac:dyDescent="0.5">
      <c r="A2882" t="str">
        <f>"600879"</f>
        <v>600879</v>
      </c>
      <c r="B2882" t="s">
        <v>5427</v>
      </c>
      <c r="C2882">
        <v>3.28</v>
      </c>
      <c r="D2882">
        <v>32.64</v>
      </c>
      <c r="E2882">
        <v>6.92</v>
      </c>
      <c r="F2882">
        <v>0.22</v>
      </c>
      <c r="G2882">
        <v>6.91</v>
      </c>
      <c r="H2882">
        <v>6.92</v>
      </c>
      <c r="I2882" t="s">
        <v>5428</v>
      </c>
      <c r="J2882">
        <v>2.89</v>
      </c>
      <c r="K2882">
        <v>2.89</v>
      </c>
      <c r="L2882">
        <v>6.7</v>
      </c>
      <c r="M2882">
        <v>6.92</v>
      </c>
      <c r="N2882">
        <v>6.66</v>
      </c>
    </row>
    <row r="2883" spans="1:14" x14ac:dyDescent="0.5">
      <c r="A2883" t="str">
        <f>"600880"</f>
        <v>600880</v>
      </c>
      <c r="B2883" t="s">
        <v>5429</v>
      </c>
      <c r="C2883">
        <v>3.66</v>
      </c>
      <c r="D2883">
        <v>44.21</v>
      </c>
      <c r="E2883">
        <v>4.25</v>
      </c>
      <c r="F2883">
        <v>0.15</v>
      </c>
      <c r="G2883">
        <v>4.24</v>
      </c>
      <c r="H2883">
        <v>4.25</v>
      </c>
      <c r="I2883" t="s">
        <v>5430</v>
      </c>
      <c r="J2883">
        <v>1.73</v>
      </c>
      <c r="K2883">
        <v>1.73</v>
      </c>
      <c r="L2883">
        <v>4.0999999999999996</v>
      </c>
      <c r="M2883">
        <v>4.26</v>
      </c>
      <c r="N2883">
        <v>4.08</v>
      </c>
    </row>
    <row r="2884" spans="1:14" x14ac:dyDescent="0.5">
      <c r="A2884" t="str">
        <f>"600881"</f>
        <v>600881</v>
      </c>
      <c r="B2884" t="s">
        <v>5431</v>
      </c>
      <c r="C2884">
        <v>2.2999999999999998</v>
      </c>
      <c r="D2884">
        <v>17.39</v>
      </c>
      <c r="E2884">
        <v>4.01</v>
      </c>
      <c r="F2884">
        <v>0.09</v>
      </c>
      <c r="G2884">
        <v>4</v>
      </c>
      <c r="H2884">
        <v>4.01</v>
      </c>
      <c r="I2884" t="s">
        <v>5432</v>
      </c>
      <c r="J2884">
        <v>0.87</v>
      </c>
      <c r="K2884">
        <v>0.87</v>
      </c>
      <c r="L2884">
        <v>3.89</v>
      </c>
      <c r="M2884">
        <v>4.0199999999999996</v>
      </c>
      <c r="N2884">
        <v>3.87</v>
      </c>
    </row>
    <row r="2885" spans="1:14" x14ac:dyDescent="0.5">
      <c r="A2885" t="str">
        <f>"600882"</f>
        <v>600882</v>
      </c>
      <c r="B2885" t="s">
        <v>5433</v>
      </c>
      <c r="C2885">
        <v>0.49</v>
      </c>
      <c r="D2885">
        <v>1226.8399999999999</v>
      </c>
      <c r="E2885">
        <v>8.14</v>
      </c>
      <c r="F2885">
        <v>0.04</v>
      </c>
      <c r="G2885">
        <v>8.14</v>
      </c>
      <c r="H2885">
        <v>8.15</v>
      </c>
      <c r="I2885" t="s">
        <v>5434</v>
      </c>
      <c r="J2885">
        <v>0.33</v>
      </c>
      <c r="K2885">
        <v>0.33</v>
      </c>
      <c r="L2885">
        <v>8.0500000000000007</v>
      </c>
      <c r="M2885">
        <v>8.18</v>
      </c>
      <c r="N2885">
        <v>8.0500000000000007</v>
      </c>
    </row>
    <row r="2886" spans="1:14" x14ac:dyDescent="0.5">
      <c r="A2886" t="str">
        <f>"600883"</f>
        <v>600883</v>
      </c>
      <c r="B2886" t="s">
        <v>5435</v>
      </c>
      <c r="C2886">
        <v>0.83</v>
      </c>
      <c r="D2886" t="s">
        <v>24</v>
      </c>
      <c r="E2886">
        <v>7.29</v>
      </c>
      <c r="F2886">
        <v>0.06</v>
      </c>
      <c r="G2886">
        <v>7.29</v>
      </c>
      <c r="H2886">
        <v>7.3</v>
      </c>
      <c r="I2886" t="s">
        <v>3679</v>
      </c>
      <c r="J2886">
        <v>1.33</v>
      </c>
      <c r="K2886">
        <v>1.33</v>
      </c>
      <c r="L2886">
        <v>7.18</v>
      </c>
      <c r="M2886">
        <v>7.31</v>
      </c>
      <c r="N2886">
        <v>7.15</v>
      </c>
    </row>
    <row r="2887" spans="1:14" x14ac:dyDescent="0.5">
      <c r="A2887" t="str">
        <f>"600884"</f>
        <v>600884</v>
      </c>
      <c r="B2887" t="s">
        <v>5436</v>
      </c>
      <c r="C2887">
        <v>1.71</v>
      </c>
      <c r="D2887">
        <v>11.89</v>
      </c>
      <c r="E2887">
        <v>16.04</v>
      </c>
      <c r="F2887">
        <v>0.27</v>
      </c>
      <c r="G2887">
        <v>16.04</v>
      </c>
      <c r="H2887">
        <v>16.05</v>
      </c>
      <c r="I2887" t="s">
        <v>5437</v>
      </c>
      <c r="J2887">
        <v>2.33</v>
      </c>
      <c r="K2887">
        <v>2.33</v>
      </c>
      <c r="L2887">
        <v>15.65</v>
      </c>
      <c r="M2887">
        <v>16.05</v>
      </c>
      <c r="N2887">
        <v>15.57</v>
      </c>
    </row>
    <row r="2888" spans="1:14" x14ac:dyDescent="0.5">
      <c r="A2888" t="str">
        <f>"600885"</f>
        <v>600885</v>
      </c>
      <c r="B2888" t="s">
        <v>5438</v>
      </c>
      <c r="C2888">
        <v>-0.93</v>
      </c>
      <c r="D2888">
        <v>27.81</v>
      </c>
      <c r="E2888">
        <v>26.59</v>
      </c>
      <c r="F2888">
        <v>-0.25</v>
      </c>
      <c r="G2888">
        <v>26.58</v>
      </c>
      <c r="H2888">
        <v>26.59</v>
      </c>
      <c r="I2888" t="s">
        <v>5439</v>
      </c>
      <c r="J2888">
        <v>0.68</v>
      </c>
      <c r="K2888">
        <v>0.68</v>
      </c>
      <c r="L2888">
        <v>26.74</v>
      </c>
      <c r="M2888">
        <v>26.76</v>
      </c>
      <c r="N2888">
        <v>26</v>
      </c>
    </row>
    <row r="2889" spans="1:14" x14ac:dyDescent="0.5">
      <c r="A2889" t="str">
        <f>"600886"</f>
        <v>600886</v>
      </c>
      <c r="B2889" t="s">
        <v>5440</v>
      </c>
      <c r="C2889">
        <v>0.97</v>
      </c>
      <c r="D2889">
        <v>14.26</v>
      </c>
      <c r="E2889">
        <v>8.2899999999999991</v>
      </c>
      <c r="F2889">
        <v>0.08</v>
      </c>
      <c r="G2889">
        <v>8.2899999999999991</v>
      </c>
      <c r="H2889">
        <v>8.3000000000000007</v>
      </c>
      <c r="I2889" t="s">
        <v>5441</v>
      </c>
      <c r="J2889">
        <v>0.84</v>
      </c>
      <c r="K2889">
        <v>0.84</v>
      </c>
      <c r="L2889">
        <v>8.25</v>
      </c>
      <c r="M2889">
        <v>8.33</v>
      </c>
      <c r="N2889">
        <v>8.2100000000000009</v>
      </c>
    </row>
    <row r="2890" spans="1:14" x14ac:dyDescent="0.5">
      <c r="A2890" t="str">
        <f>"600887"</f>
        <v>600887</v>
      </c>
      <c r="B2890" t="s">
        <v>5442</v>
      </c>
      <c r="C2890">
        <v>-0.82</v>
      </c>
      <c r="D2890">
        <v>26.25</v>
      </c>
      <c r="E2890">
        <v>27.74</v>
      </c>
      <c r="F2890">
        <v>-0.23</v>
      </c>
      <c r="G2890">
        <v>27.74</v>
      </c>
      <c r="H2890">
        <v>27.75</v>
      </c>
      <c r="I2890" t="s">
        <v>5443</v>
      </c>
      <c r="J2890">
        <v>0.88</v>
      </c>
      <c r="K2890">
        <v>0.88</v>
      </c>
      <c r="L2890">
        <v>27.97</v>
      </c>
      <c r="M2890">
        <v>28.07</v>
      </c>
      <c r="N2890">
        <v>27.43</v>
      </c>
    </row>
    <row r="2891" spans="1:14" x14ac:dyDescent="0.5">
      <c r="A2891" t="str">
        <f>"600888"</f>
        <v>600888</v>
      </c>
      <c r="B2891" t="s">
        <v>5444</v>
      </c>
      <c r="C2891">
        <v>1.2</v>
      </c>
      <c r="D2891">
        <v>26.24</v>
      </c>
      <c r="E2891">
        <v>5.08</v>
      </c>
      <c r="F2891">
        <v>0.06</v>
      </c>
      <c r="G2891">
        <v>5.07</v>
      </c>
      <c r="H2891">
        <v>5.08</v>
      </c>
      <c r="I2891" t="s">
        <v>315</v>
      </c>
      <c r="J2891">
        <v>1.92</v>
      </c>
      <c r="K2891">
        <v>1.92</v>
      </c>
      <c r="L2891">
        <v>5.0199999999999996</v>
      </c>
      <c r="M2891">
        <v>5.09</v>
      </c>
      <c r="N2891">
        <v>4.97</v>
      </c>
    </row>
    <row r="2892" spans="1:14" x14ac:dyDescent="0.5">
      <c r="A2892" t="str">
        <f>"600889"</f>
        <v>600889</v>
      </c>
      <c r="B2892" t="s">
        <v>5445</v>
      </c>
      <c r="C2892">
        <v>10.050000000000001</v>
      </c>
      <c r="D2892" t="s">
        <v>24</v>
      </c>
      <c r="E2892">
        <v>6.13</v>
      </c>
      <c r="F2892">
        <v>0.56000000000000005</v>
      </c>
      <c r="G2892">
        <v>6.12</v>
      </c>
      <c r="H2892">
        <v>6.13</v>
      </c>
      <c r="I2892" t="s">
        <v>5446</v>
      </c>
      <c r="J2892">
        <v>9.8699999999999992</v>
      </c>
      <c r="K2892">
        <v>9.8699999999999992</v>
      </c>
      <c r="L2892">
        <v>5.56</v>
      </c>
      <c r="M2892">
        <v>6.13</v>
      </c>
      <c r="N2892">
        <v>5.52</v>
      </c>
    </row>
    <row r="2893" spans="1:14" x14ac:dyDescent="0.5">
      <c r="A2893" t="str">
        <f>"600890"</f>
        <v>600890</v>
      </c>
      <c r="B2893" t="s">
        <v>5447</v>
      </c>
      <c r="C2893">
        <v>-0.24</v>
      </c>
      <c r="D2893">
        <v>8624.7000000000007</v>
      </c>
      <c r="E2893">
        <v>8.16</v>
      </c>
      <c r="F2893">
        <v>-0.02</v>
      </c>
      <c r="G2893">
        <v>8.16</v>
      </c>
      <c r="H2893">
        <v>8.17</v>
      </c>
      <c r="I2893" t="s">
        <v>5448</v>
      </c>
      <c r="J2893">
        <v>1.58</v>
      </c>
      <c r="K2893">
        <v>1.58</v>
      </c>
      <c r="L2893">
        <v>8.1</v>
      </c>
      <c r="M2893">
        <v>8.18</v>
      </c>
      <c r="N2893">
        <v>8.0399999999999991</v>
      </c>
    </row>
    <row r="2894" spans="1:14" x14ac:dyDescent="0.5">
      <c r="A2894" t="str">
        <f>"600891"</f>
        <v>600891</v>
      </c>
      <c r="B2894" t="s">
        <v>5449</v>
      </c>
      <c r="C2894">
        <v>0</v>
      </c>
      <c r="D2894">
        <v>30.66</v>
      </c>
      <c r="E2894">
        <v>5.69</v>
      </c>
      <c r="F2894">
        <v>0</v>
      </c>
      <c r="G2894">
        <v>5.68</v>
      </c>
      <c r="H2894">
        <v>5.69</v>
      </c>
      <c r="I2894" t="s">
        <v>5450</v>
      </c>
      <c r="J2894">
        <v>7.31</v>
      </c>
      <c r="K2894">
        <v>7.31</v>
      </c>
      <c r="L2894">
        <v>5.64</v>
      </c>
      <c r="M2894">
        <v>5.69</v>
      </c>
      <c r="N2894">
        <v>5.61</v>
      </c>
    </row>
    <row r="2895" spans="1:14" x14ac:dyDescent="0.5">
      <c r="A2895" t="str">
        <f>"600892"</f>
        <v>600892</v>
      </c>
      <c r="B2895" t="s">
        <v>5451</v>
      </c>
      <c r="C2895">
        <v>0.15</v>
      </c>
      <c r="D2895">
        <v>15.91</v>
      </c>
      <c r="E2895">
        <v>6.5</v>
      </c>
      <c r="F2895">
        <v>0.01</v>
      </c>
      <c r="G2895">
        <v>6.5</v>
      </c>
      <c r="H2895">
        <v>6.51</v>
      </c>
      <c r="I2895" t="s">
        <v>5452</v>
      </c>
      <c r="J2895">
        <v>6.84</v>
      </c>
      <c r="K2895">
        <v>6.84</v>
      </c>
      <c r="L2895">
        <v>6.38</v>
      </c>
      <c r="M2895">
        <v>6.53</v>
      </c>
      <c r="N2895">
        <v>6.34</v>
      </c>
    </row>
    <row r="2896" spans="1:14" x14ac:dyDescent="0.5">
      <c r="A2896" t="str">
        <f>"600893"</f>
        <v>600893</v>
      </c>
      <c r="B2896" t="s">
        <v>5453</v>
      </c>
      <c r="C2896">
        <v>2.04</v>
      </c>
      <c r="D2896">
        <v>45.37</v>
      </c>
      <c r="E2896">
        <v>26.03</v>
      </c>
      <c r="F2896">
        <v>0.52</v>
      </c>
      <c r="G2896">
        <v>26.03</v>
      </c>
      <c r="H2896">
        <v>26.04</v>
      </c>
      <c r="I2896" t="s">
        <v>5454</v>
      </c>
      <c r="J2896">
        <v>0.84</v>
      </c>
      <c r="K2896">
        <v>0.84</v>
      </c>
      <c r="L2896">
        <v>25.47</v>
      </c>
      <c r="M2896">
        <v>26.18</v>
      </c>
      <c r="N2896">
        <v>25.38</v>
      </c>
    </row>
    <row r="2897" spans="1:14" x14ac:dyDescent="0.5">
      <c r="A2897" t="str">
        <f>"600894"</f>
        <v>600894</v>
      </c>
      <c r="B2897" t="s">
        <v>5455</v>
      </c>
      <c r="C2897">
        <v>3.84</v>
      </c>
      <c r="D2897">
        <v>20.76</v>
      </c>
      <c r="E2897">
        <v>7.31</v>
      </c>
      <c r="F2897">
        <v>0.27</v>
      </c>
      <c r="G2897">
        <v>7.3</v>
      </c>
      <c r="H2897">
        <v>7.31</v>
      </c>
      <c r="I2897" t="s">
        <v>5456</v>
      </c>
      <c r="J2897">
        <v>1.91</v>
      </c>
      <c r="K2897">
        <v>1.91</v>
      </c>
      <c r="L2897">
        <v>7.04</v>
      </c>
      <c r="M2897">
        <v>7.36</v>
      </c>
      <c r="N2897">
        <v>7.02</v>
      </c>
    </row>
    <row r="2898" spans="1:14" x14ac:dyDescent="0.5">
      <c r="A2898" t="str">
        <f>"600895"</f>
        <v>600895</v>
      </c>
      <c r="B2898" t="s">
        <v>5457</v>
      </c>
      <c r="C2898">
        <v>10.029999999999999</v>
      </c>
      <c r="D2898">
        <v>53.99</v>
      </c>
      <c r="E2898">
        <v>21.07</v>
      </c>
      <c r="F2898">
        <v>1.92</v>
      </c>
      <c r="G2898">
        <v>21.07</v>
      </c>
      <c r="H2898" t="s">
        <v>24</v>
      </c>
      <c r="I2898" t="s">
        <v>5458</v>
      </c>
      <c r="J2898">
        <v>7.16</v>
      </c>
      <c r="K2898">
        <v>7.16</v>
      </c>
      <c r="L2898">
        <v>19.100000000000001</v>
      </c>
      <c r="M2898">
        <v>21.07</v>
      </c>
      <c r="N2898">
        <v>18.7</v>
      </c>
    </row>
    <row r="2899" spans="1:14" x14ac:dyDescent="0.5">
      <c r="A2899" t="str">
        <f>"600896"</f>
        <v>600896</v>
      </c>
      <c r="B2899" t="s">
        <v>5459</v>
      </c>
      <c r="C2899">
        <v>2.1</v>
      </c>
      <c r="D2899" t="s">
        <v>24</v>
      </c>
      <c r="E2899">
        <v>4.87</v>
      </c>
      <c r="F2899">
        <v>0.1</v>
      </c>
      <c r="G2899">
        <v>4.87</v>
      </c>
      <c r="H2899">
        <v>4.88</v>
      </c>
      <c r="I2899" t="s">
        <v>526</v>
      </c>
      <c r="J2899">
        <v>0.46</v>
      </c>
      <c r="K2899">
        <v>0.46</v>
      </c>
      <c r="L2899">
        <v>4.75</v>
      </c>
      <c r="M2899">
        <v>4.8899999999999997</v>
      </c>
      <c r="N2899">
        <v>4.7300000000000004</v>
      </c>
    </row>
    <row r="2900" spans="1:14" x14ac:dyDescent="0.5">
      <c r="A2900" t="str">
        <f>"600897"</f>
        <v>600897</v>
      </c>
      <c r="B2900" t="s">
        <v>5460</v>
      </c>
      <c r="C2900">
        <v>1.86</v>
      </c>
      <c r="D2900">
        <v>14.66</v>
      </c>
      <c r="E2900">
        <v>23.49</v>
      </c>
      <c r="F2900">
        <v>0.43</v>
      </c>
      <c r="G2900">
        <v>23.48</v>
      </c>
      <c r="H2900">
        <v>23.49</v>
      </c>
      <c r="I2900" t="s">
        <v>5461</v>
      </c>
      <c r="J2900">
        <v>0.82</v>
      </c>
      <c r="K2900">
        <v>0.82</v>
      </c>
      <c r="L2900">
        <v>23.11</v>
      </c>
      <c r="M2900">
        <v>23.5</v>
      </c>
      <c r="N2900">
        <v>22.96</v>
      </c>
    </row>
    <row r="2901" spans="1:14" x14ac:dyDescent="0.5">
      <c r="A2901" t="str">
        <f>"600898"</f>
        <v>600898</v>
      </c>
      <c r="B2901" t="s">
        <v>5462</v>
      </c>
      <c r="C2901">
        <v>4.25</v>
      </c>
      <c r="D2901" t="s">
        <v>24</v>
      </c>
      <c r="E2901">
        <v>9.33</v>
      </c>
      <c r="F2901">
        <v>0.38</v>
      </c>
      <c r="G2901">
        <v>9.33</v>
      </c>
      <c r="H2901">
        <v>9.34</v>
      </c>
      <c r="I2901" t="s">
        <v>5463</v>
      </c>
      <c r="J2901">
        <v>3.19</v>
      </c>
      <c r="K2901">
        <v>3.19</v>
      </c>
      <c r="L2901">
        <v>9</v>
      </c>
      <c r="M2901">
        <v>9.42</v>
      </c>
      <c r="N2901">
        <v>8.9</v>
      </c>
    </row>
    <row r="2902" spans="1:14" x14ac:dyDescent="0.5">
      <c r="A2902" t="str">
        <f>"600900"</f>
        <v>600900</v>
      </c>
      <c r="B2902" t="s">
        <v>5464</v>
      </c>
      <c r="C2902">
        <v>0.25</v>
      </c>
      <c r="D2902">
        <v>15.96</v>
      </c>
      <c r="E2902">
        <v>16.3</v>
      </c>
      <c r="F2902">
        <v>0.04</v>
      </c>
      <c r="G2902">
        <v>16.3</v>
      </c>
      <c r="H2902">
        <v>16.309999999999999</v>
      </c>
      <c r="I2902" t="s">
        <v>5465</v>
      </c>
      <c r="J2902">
        <v>0.27</v>
      </c>
      <c r="K2902">
        <v>0.27</v>
      </c>
      <c r="L2902">
        <v>16.27</v>
      </c>
      <c r="M2902">
        <v>16.38</v>
      </c>
      <c r="N2902">
        <v>16.239999999999998</v>
      </c>
    </row>
    <row r="2903" spans="1:14" x14ac:dyDescent="0.5">
      <c r="A2903" t="str">
        <f>"600901"</f>
        <v>600901</v>
      </c>
      <c r="B2903" t="s">
        <v>5466</v>
      </c>
      <c r="C2903">
        <v>-1.82</v>
      </c>
      <c r="D2903">
        <v>20.56</v>
      </c>
      <c r="E2903">
        <v>7.55</v>
      </c>
      <c r="F2903">
        <v>-0.14000000000000001</v>
      </c>
      <c r="G2903">
        <v>7.55</v>
      </c>
      <c r="H2903">
        <v>7.56</v>
      </c>
      <c r="I2903" t="s">
        <v>5467</v>
      </c>
      <c r="J2903">
        <v>4.03</v>
      </c>
      <c r="K2903">
        <v>4.03</v>
      </c>
      <c r="L2903">
        <v>7.43</v>
      </c>
      <c r="M2903">
        <v>7.56</v>
      </c>
      <c r="N2903">
        <v>7.29</v>
      </c>
    </row>
    <row r="2904" spans="1:14" x14ac:dyDescent="0.5">
      <c r="A2904" t="str">
        <f>"600903"</f>
        <v>600903</v>
      </c>
      <c r="B2904" t="s">
        <v>5468</v>
      </c>
      <c r="C2904">
        <v>-0.36</v>
      </c>
      <c r="D2904">
        <v>117.13</v>
      </c>
      <c r="E2904">
        <v>22.09</v>
      </c>
      <c r="F2904">
        <v>-0.08</v>
      </c>
      <c r="G2904">
        <v>22.08</v>
      </c>
      <c r="H2904">
        <v>22.09</v>
      </c>
      <c r="I2904" t="s">
        <v>5469</v>
      </c>
      <c r="J2904">
        <v>3.7</v>
      </c>
      <c r="K2904">
        <v>3.7</v>
      </c>
      <c r="L2904">
        <v>22.17</v>
      </c>
      <c r="M2904">
        <v>22.17</v>
      </c>
      <c r="N2904">
        <v>21.82</v>
      </c>
    </row>
    <row r="2905" spans="1:14" x14ac:dyDescent="0.5">
      <c r="A2905" t="str">
        <f>"600908"</f>
        <v>600908</v>
      </c>
      <c r="B2905" t="s">
        <v>5470</v>
      </c>
      <c r="C2905">
        <v>0.15</v>
      </c>
      <c r="D2905">
        <v>11.33</v>
      </c>
      <c r="E2905">
        <v>6.79</v>
      </c>
      <c r="F2905">
        <v>0.01</v>
      </c>
      <c r="G2905">
        <v>6.78</v>
      </c>
      <c r="H2905">
        <v>6.79</v>
      </c>
      <c r="I2905" t="s">
        <v>5471</v>
      </c>
      <c r="J2905">
        <v>3.02</v>
      </c>
      <c r="K2905">
        <v>3.02</v>
      </c>
      <c r="L2905">
        <v>6.7</v>
      </c>
      <c r="M2905">
        <v>6.82</v>
      </c>
      <c r="N2905">
        <v>6.65</v>
      </c>
    </row>
    <row r="2906" spans="1:14" x14ac:dyDescent="0.5">
      <c r="A2906" t="str">
        <f>"600909"</f>
        <v>600909</v>
      </c>
      <c r="B2906" t="s">
        <v>5472</v>
      </c>
      <c r="C2906">
        <v>0.3</v>
      </c>
      <c r="D2906">
        <v>58.72</v>
      </c>
      <c r="E2906">
        <v>6.7</v>
      </c>
      <c r="F2906">
        <v>0.02</v>
      </c>
      <c r="G2906">
        <v>6.7</v>
      </c>
      <c r="H2906">
        <v>6.71</v>
      </c>
      <c r="I2906" t="s">
        <v>5473</v>
      </c>
      <c r="J2906">
        <v>2.09</v>
      </c>
      <c r="K2906">
        <v>2.09</v>
      </c>
      <c r="L2906">
        <v>6.51</v>
      </c>
      <c r="M2906">
        <v>6.73</v>
      </c>
      <c r="N2906">
        <v>6.5</v>
      </c>
    </row>
    <row r="2907" spans="1:14" x14ac:dyDescent="0.5">
      <c r="A2907" t="str">
        <f>"600917"</f>
        <v>600917</v>
      </c>
      <c r="B2907" t="s">
        <v>5474</v>
      </c>
      <c r="C2907">
        <v>0.54</v>
      </c>
      <c r="D2907">
        <v>34.53</v>
      </c>
      <c r="E2907">
        <v>7.5</v>
      </c>
      <c r="F2907">
        <v>0.04</v>
      </c>
      <c r="G2907">
        <v>7.49</v>
      </c>
      <c r="H2907">
        <v>7.5</v>
      </c>
      <c r="I2907" t="s">
        <v>5475</v>
      </c>
      <c r="J2907">
        <v>0.41</v>
      </c>
      <c r="K2907">
        <v>0.41</v>
      </c>
      <c r="L2907">
        <v>7.46</v>
      </c>
      <c r="M2907">
        <v>7.5</v>
      </c>
      <c r="N2907">
        <v>7.41</v>
      </c>
    </row>
    <row r="2908" spans="1:14" x14ac:dyDescent="0.5">
      <c r="A2908" t="str">
        <f>"600919"</f>
        <v>600919</v>
      </c>
      <c r="B2908" t="s">
        <v>5476</v>
      </c>
      <c r="C2908">
        <v>0.54</v>
      </c>
      <c r="D2908">
        <v>6.46</v>
      </c>
      <c r="E2908">
        <v>7.46</v>
      </c>
      <c r="F2908">
        <v>0.04</v>
      </c>
      <c r="G2908">
        <v>7.45</v>
      </c>
      <c r="H2908">
        <v>7.46</v>
      </c>
      <c r="I2908" t="s">
        <v>5477</v>
      </c>
      <c r="J2908">
        <v>1.39</v>
      </c>
      <c r="K2908">
        <v>1.39</v>
      </c>
      <c r="L2908">
        <v>7.35</v>
      </c>
      <c r="M2908">
        <v>7.53</v>
      </c>
      <c r="N2908">
        <v>7.3</v>
      </c>
    </row>
    <row r="2909" spans="1:14" x14ac:dyDescent="0.5">
      <c r="A2909" t="str">
        <f>"600926"</f>
        <v>600926</v>
      </c>
      <c r="B2909" t="s">
        <v>5478</v>
      </c>
      <c r="C2909">
        <v>-0.78</v>
      </c>
      <c r="D2909">
        <v>8.68</v>
      </c>
      <c r="E2909">
        <v>8.93</v>
      </c>
      <c r="F2909">
        <v>-7.0000000000000007E-2</v>
      </c>
      <c r="G2909">
        <v>8.93</v>
      </c>
      <c r="H2909">
        <v>8.94</v>
      </c>
      <c r="I2909" t="s">
        <v>5479</v>
      </c>
      <c r="J2909">
        <v>2.4500000000000002</v>
      </c>
      <c r="K2909">
        <v>2.4500000000000002</v>
      </c>
      <c r="L2909">
        <v>8.8800000000000008</v>
      </c>
      <c r="M2909">
        <v>8.99</v>
      </c>
      <c r="N2909">
        <v>8.82</v>
      </c>
    </row>
    <row r="2910" spans="1:14" x14ac:dyDescent="0.5">
      <c r="A2910" t="str">
        <f>"600928"</f>
        <v>600928</v>
      </c>
      <c r="B2910" t="s">
        <v>5480</v>
      </c>
      <c r="C2910">
        <v>9.99</v>
      </c>
      <c r="D2910">
        <v>15.13</v>
      </c>
      <c r="E2910">
        <v>8.15</v>
      </c>
      <c r="F2910">
        <v>0.74</v>
      </c>
      <c r="G2910">
        <v>8.15</v>
      </c>
      <c r="H2910" t="s">
        <v>24</v>
      </c>
      <c r="I2910" t="s">
        <v>5481</v>
      </c>
      <c r="J2910">
        <v>0.23</v>
      </c>
      <c r="K2910">
        <v>0.23</v>
      </c>
      <c r="L2910">
        <v>8.15</v>
      </c>
      <c r="M2910">
        <v>8.15</v>
      </c>
      <c r="N2910">
        <v>8.15</v>
      </c>
    </row>
    <row r="2911" spans="1:14" x14ac:dyDescent="0.5">
      <c r="A2911" t="str">
        <f>"600929"</f>
        <v>600929</v>
      </c>
      <c r="B2911" t="s">
        <v>5482</v>
      </c>
      <c r="C2911">
        <v>0.42</v>
      </c>
      <c r="D2911">
        <v>53</v>
      </c>
      <c r="E2911">
        <v>9.59</v>
      </c>
      <c r="F2911">
        <v>0.04</v>
      </c>
      <c r="G2911">
        <v>9.59</v>
      </c>
      <c r="H2911">
        <v>9.6</v>
      </c>
      <c r="I2911" t="s">
        <v>2062</v>
      </c>
      <c r="J2911">
        <v>11.54</v>
      </c>
      <c r="K2911">
        <v>11.54</v>
      </c>
      <c r="L2911">
        <v>9.4</v>
      </c>
      <c r="M2911">
        <v>9.6</v>
      </c>
      <c r="N2911">
        <v>9.32</v>
      </c>
    </row>
    <row r="2912" spans="1:14" x14ac:dyDescent="0.5">
      <c r="A2912" t="str">
        <f>"600933"</f>
        <v>600933</v>
      </c>
      <c r="B2912" t="s">
        <v>5483</v>
      </c>
      <c r="C2912">
        <v>3.01</v>
      </c>
      <c r="D2912">
        <v>15.69</v>
      </c>
      <c r="E2912">
        <v>9.25</v>
      </c>
      <c r="F2912">
        <v>0.27</v>
      </c>
      <c r="G2912">
        <v>9.25</v>
      </c>
      <c r="H2912">
        <v>9.26</v>
      </c>
      <c r="I2912" t="s">
        <v>5484</v>
      </c>
      <c r="J2912">
        <v>2.21</v>
      </c>
      <c r="K2912">
        <v>2.21</v>
      </c>
      <c r="L2912">
        <v>9</v>
      </c>
      <c r="M2912">
        <v>9.26</v>
      </c>
      <c r="N2912">
        <v>8.94</v>
      </c>
    </row>
    <row r="2913" spans="1:14" x14ac:dyDescent="0.5">
      <c r="A2913" t="str">
        <f>"600936"</f>
        <v>600936</v>
      </c>
      <c r="B2913" t="s">
        <v>5485</v>
      </c>
      <c r="C2913">
        <v>9.91</v>
      </c>
      <c r="D2913">
        <v>43.49</v>
      </c>
      <c r="E2913">
        <v>4.99</v>
      </c>
      <c r="F2913">
        <v>0.45</v>
      </c>
      <c r="G2913">
        <v>4.99</v>
      </c>
      <c r="H2913" t="s">
        <v>24</v>
      </c>
      <c r="I2913" t="s">
        <v>2949</v>
      </c>
      <c r="J2913">
        <v>2.2000000000000002</v>
      </c>
      <c r="K2913">
        <v>2.2000000000000002</v>
      </c>
      <c r="L2913">
        <v>4.4800000000000004</v>
      </c>
      <c r="M2913">
        <v>4.99</v>
      </c>
      <c r="N2913">
        <v>4.43</v>
      </c>
    </row>
    <row r="2914" spans="1:14" x14ac:dyDescent="0.5">
      <c r="A2914" t="str">
        <f>"600939"</f>
        <v>600939</v>
      </c>
      <c r="B2914" t="s">
        <v>5486</v>
      </c>
      <c r="C2914">
        <v>2.73</v>
      </c>
      <c r="D2914">
        <v>27.49</v>
      </c>
      <c r="E2914">
        <v>5.65</v>
      </c>
      <c r="F2914">
        <v>0.15</v>
      </c>
      <c r="G2914">
        <v>5.65</v>
      </c>
      <c r="H2914">
        <v>5.66</v>
      </c>
      <c r="I2914" t="s">
        <v>1000</v>
      </c>
      <c r="J2914">
        <v>3.53</v>
      </c>
      <c r="K2914">
        <v>3.53</v>
      </c>
      <c r="L2914">
        <v>5.45</v>
      </c>
      <c r="M2914">
        <v>5.86</v>
      </c>
      <c r="N2914">
        <v>5.42</v>
      </c>
    </row>
    <row r="2915" spans="1:14" x14ac:dyDescent="0.5">
      <c r="A2915" t="str">
        <f>"600958"</f>
        <v>600958</v>
      </c>
      <c r="B2915" t="s">
        <v>5487</v>
      </c>
      <c r="C2915">
        <v>-1.18</v>
      </c>
      <c r="D2915">
        <v>48.92</v>
      </c>
      <c r="E2915">
        <v>12.6</v>
      </c>
      <c r="F2915">
        <v>-0.15</v>
      </c>
      <c r="G2915">
        <v>12.6</v>
      </c>
      <c r="H2915">
        <v>12.61</v>
      </c>
      <c r="I2915" t="s">
        <v>5488</v>
      </c>
      <c r="J2915">
        <v>1.74</v>
      </c>
      <c r="K2915">
        <v>1.74</v>
      </c>
      <c r="L2915">
        <v>12.27</v>
      </c>
      <c r="M2915">
        <v>12.68</v>
      </c>
      <c r="N2915">
        <v>12.21</v>
      </c>
    </row>
    <row r="2916" spans="1:14" x14ac:dyDescent="0.5">
      <c r="A2916" t="str">
        <f>"600959"</f>
        <v>600959</v>
      </c>
      <c r="B2916" t="s">
        <v>5489</v>
      </c>
      <c r="C2916">
        <v>4.71</v>
      </c>
      <c r="D2916">
        <v>38.61</v>
      </c>
      <c r="E2916">
        <v>5.34</v>
      </c>
      <c r="F2916">
        <v>0.24</v>
      </c>
      <c r="G2916">
        <v>5.34</v>
      </c>
      <c r="H2916">
        <v>5.35</v>
      </c>
      <c r="I2916" t="s">
        <v>5490</v>
      </c>
      <c r="J2916">
        <v>1.34</v>
      </c>
      <c r="K2916">
        <v>1.34</v>
      </c>
      <c r="L2916">
        <v>5.05</v>
      </c>
      <c r="M2916">
        <v>5.36</v>
      </c>
      <c r="N2916">
        <v>5.0199999999999996</v>
      </c>
    </row>
    <row r="2917" spans="1:14" x14ac:dyDescent="0.5">
      <c r="A2917" t="str">
        <f>"600960"</f>
        <v>600960</v>
      </c>
      <c r="B2917" t="s">
        <v>5491</v>
      </c>
      <c r="C2917">
        <v>1.46</v>
      </c>
      <c r="D2917">
        <v>26.9</v>
      </c>
      <c r="E2917">
        <v>4.18</v>
      </c>
      <c r="F2917">
        <v>0.06</v>
      </c>
      <c r="G2917">
        <v>4.17</v>
      </c>
      <c r="H2917">
        <v>4.18</v>
      </c>
      <c r="I2917" t="s">
        <v>5492</v>
      </c>
      <c r="J2917">
        <v>2.2999999999999998</v>
      </c>
      <c r="K2917">
        <v>2.2999999999999998</v>
      </c>
      <c r="L2917">
        <v>4.0999999999999996</v>
      </c>
      <c r="M2917">
        <v>4.1900000000000004</v>
      </c>
      <c r="N2917">
        <v>4.07</v>
      </c>
    </row>
    <row r="2918" spans="1:14" x14ac:dyDescent="0.5">
      <c r="A2918" t="str">
        <f>"600961"</f>
        <v>600961</v>
      </c>
      <c r="B2918" t="s">
        <v>5493</v>
      </c>
      <c r="C2918">
        <v>-0.33</v>
      </c>
      <c r="D2918" t="s">
        <v>24</v>
      </c>
      <c r="E2918">
        <v>8.9700000000000006</v>
      </c>
      <c r="F2918">
        <v>-0.03</v>
      </c>
      <c r="G2918">
        <v>8.9600000000000009</v>
      </c>
      <c r="H2918">
        <v>8.9700000000000006</v>
      </c>
      <c r="I2918" t="s">
        <v>5494</v>
      </c>
      <c r="J2918">
        <v>0.88</v>
      </c>
      <c r="K2918">
        <v>0.88</v>
      </c>
      <c r="L2918">
        <v>8.9600000000000009</v>
      </c>
      <c r="M2918">
        <v>8.9700000000000006</v>
      </c>
      <c r="N2918">
        <v>8.82</v>
      </c>
    </row>
    <row r="2919" spans="1:14" x14ac:dyDescent="0.5">
      <c r="A2919" t="str">
        <f>"600962"</f>
        <v>600962</v>
      </c>
      <c r="B2919" t="s">
        <v>5495</v>
      </c>
      <c r="C2919">
        <v>2.67</v>
      </c>
      <c r="D2919">
        <v>170.84</v>
      </c>
      <c r="E2919">
        <v>10.76</v>
      </c>
      <c r="F2919">
        <v>0.28000000000000003</v>
      </c>
      <c r="G2919">
        <v>10.75</v>
      </c>
      <c r="H2919">
        <v>10.76</v>
      </c>
      <c r="I2919" t="s">
        <v>5496</v>
      </c>
      <c r="J2919">
        <v>10.11</v>
      </c>
      <c r="K2919">
        <v>10.11</v>
      </c>
      <c r="L2919">
        <v>10.34</v>
      </c>
      <c r="M2919">
        <v>11.34</v>
      </c>
      <c r="N2919">
        <v>10.18</v>
      </c>
    </row>
    <row r="2920" spans="1:14" x14ac:dyDescent="0.5">
      <c r="A2920" t="str">
        <f>"600963"</f>
        <v>600963</v>
      </c>
      <c r="B2920" t="s">
        <v>5497</v>
      </c>
      <c r="C2920">
        <v>0.88</v>
      </c>
      <c r="D2920">
        <v>12.95</v>
      </c>
      <c r="E2920">
        <v>4.6100000000000003</v>
      </c>
      <c r="F2920">
        <v>0.04</v>
      </c>
      <c r="G2920">
        <v>4.6100000000000003</v>
      </c>
      <c r="H2920">
        <v>4.62</v>
      </c>
      <c r="I2920" t="s">
        <v>5498</v>
      </c>
      <c r="J2920">
        <v>2.3199999999999998</v>
      </c>
      <c r="K2920">
        <v>2.3199999999999998</v>
      </c>
      <c r="L2920">
        <v>4.57</v>
      </c>
      <c r="M2920">
        <v>4.62</v>
      </c>
      <c r="N2920">
        <v>4.5</v>
      </c>
    </row>
    <row r="2921" spans="1:14" x14ac:dyDescent="0.5">
      <c r="A2921" t="str">
        <f>"600965"</f>
        <v>600965</v>
      </c>
      <c r="B2921" t="s">
        <v>5499</v>
      </c>
      <c r="C2921">
        <v>0.27</v>
      </c>
      <c r="D2921">
        <v>49.52</v>
      </c>
      <c r="E2921">
        <v>10.99</v>
      </c>
      <c r="F2921">
        <v>0.03</v>
      </c>
      <c r="G2921">
        <v>10.99</v>
      </c>
      <c r="H2921">
        <v>11</v>
      </c>
      <c r="I2921" t="s">
        <v>5500</v>
      </c>
      <c r="J2921">
        <v>0.3</v>
      </c>
      <c r="K2921">
        <v>0.3</v>
      </c>
      <c r="L2921">
        <v>10.96</v>
      </c>
      <c r="M2921">
        <v>11.04</v>
      </c>
      <c r="N2921">
        <v>10.93</v>
      </c>
    </row>
    <row r="2922" spans="1:14" x14ac:dyDescent="0.5">
      <c r="A2922" t="str">
        <f>"600966"</f>
        <v>600966</v>
      </c>
      <c r="B2922" t="s">
        <v>5501</v>
      </c>
      <c r="C2922">
        <v>1.1399999999999999</v>
      </c>
      <c r="D2922">
        <v>6.09</v>
      </c>
      <c r="E2922">
        <v>3.55</v>
      </c>
      <c r="F2922">
        <v>0.04</v>
      </c>
      <c r="G2922">
        <v>3.54</v>
      </c>
      <c r="H2922">
        <v>3.55</v>
      </c>
      <c r="I2922" t="s">
        <v>5502</v>
      </c>
      <c r="J2922">
        <v>2.1800000000000002</v>
      </c>
      <c r="K2922">
        <v>2.1800000000000002</v>
      </c>
      <c r="L2922">
        <v>3.49</v>
      </c>
      <c r="M2922">
        <v>3.55</v>
      </c>
      <c r="N2922">
        <v>3.46</v>
      </c>
    </row>
    <row r="2923" spans="1:14" x14ac:dyDescent="0.5">
      <c r="A2923" t="str">
        <f>"600967"</f>
        <v>600967</v>
      </c>
      <c r="B2923" t="s">
        <v>5503</v>
      </c>
      <c r="C2923">
        <v>3.2</v>
      </c>
      <c r="D2923">
        <v>35.68</v>
      </c>
      <c r="E2923">
        <v>12.25</v>
      </c>
      <c r="F2923">
        <v>0.38</v>
      </c>
      <c r="G2923">
        <v>12.24</v>
      </c>
      <c r="H2923">
        <v>12.25</v>
      </c>
      <c r="I2923" t="s">
        <v>5504</v>
      </c>
      <c r="J2923">
        <v>3.86</v>
      </c>
      <c r="K2923">
        <v>3.86</v>
      </c>
      <c r="L2923">
        <v>11.8</v>
      </c>
      <c r="M2923">
        <v>12.25</v>
      </c>
      <c r="N2923">
        <v>11.76</v>
      </c>
    </row>
    <row r="2924" spans="1:14" x14ac:dyDescent="0.5">
      <c r="A2924" t="str">
        <f>"600969"</f>
        <v>600969</v>
      </c>
      <c r="B2924" t="s">
        <v>5505</v>
      </c>
      <c r="C2924">
        <v>1.59</v>
      </c>
      <c r="D2924">
        <v>158</v>
      </c>
      <c r="E2924">
        <v>7.02</v>
      </c>
      <c r="F2924">
        <v>0.11</v>
      </c>
      <c r="G2924">
        <v>7.01</v>
      </c>
      <c r="H2924">
        <v>7.02</v>
      </c>
      <c r="I2924" t="s">
        <v>5506</v>
      </c>
      <c r="J2924">
        <v>1.82</v>
      </c>
      <c r="K2924">
        <v>1.82</v>
      </c>
      <c r="L2924">
        <v>6.89</v>
      </c>
      <c r="M2924">
        <v>7.02</v>
      </c>
      <c r="N2924">
        <v>6.85</v>
      </c>
    </row>
    <row r="2925" spans="1:14" x14ac:dyDescent="0.5">
      <c r="A2925" t="str">
        <f>"600970"</f>
        <v>600970</v>
      </c>
      <c r="B2925" t="s">
        <v>5507</v>
      </c>
      <c r="C2925">
        <v>0.43</v>
      </c>
      <c r="D2925">
        <v>9.44</v>
      </c>
      <c r="E2925">
        <v>6.96</v>
      </c>
      <c r="F2925">
        <v>0.03</v>
      </c>
      <c r="G2925">
        <v>6.96</v>
      </c>
      <c r="H2925">
        <v>6.97</v>
      </c>
      <c r="I2925" t="s">
        <v>5508</v>
      </c>
      <c r="J2925">
        <v>2.58</v>
      </c>
      <c r="K2925">
        <v>2.58</v>
      </c>
      <c r="L2925">
        <v>6.93</v>
      </c>
      <c r="M2925">
        <v>7.06</v>
      </c>
      <c r="N2925">
        <v>6.88</v>
      </c>
    </row>
    <row r="2926" spans="1:14" x14ac:dyDescent="0.5">
      <c r="A2926" t="str">
        <f>"600971"</f>
        <v>600971</v>
      </c>
      <c r="B2926" t="s">
        <v>5509</v>
      </c>
      <c r="C2926">
        <v>3.57</v>
      </c>
      <c r="D2926">
        <v>7.94</v>
      </c>
      <c r="E2926">
        <v>6.97</v>
      </c>
      <c r="F2926">
        <v>0.24</v>
      </c>
      <c r="G2926">
        <v>6.96</v>
      </c>
      <c r="H2926">
        <v>6.97</v>
      </c>
      <c r="I2926" t="s">
        <v>5510</v>
      </c>
      <c r="J2926">
        <v>2.62</v>
      </c>
      <c r="K2926">
        <v>2.62</v>
      </c>
      <c r="L2926">
        <v>6.71</v>
      </c>
      <c r="M2926">
        <v>6.97</v>
      </c>
      <c r="N2926">
        <v>6.71</v>
      </c>
    </row>
    <row r="2927" spans="1:14" x14ac:dyDescent="0.5">
      <c r="A2927" t="str">
        <f>"600973"</f>
        <v>600973</v>
      </c>
      <c r="B2927" t="s">
        <v>5511</v>
      </c>
      <c r="C2927">
        <v>2.04</v>
      </c>
      <c r="D2927">
        <v>52.86</v>
      </c>
      <c r="E2927">
        <v>4.51</v>
      </c>
      <c r="F2927">
        <v>0.09</v>
      </c>
      <c r="G2927">
        <v>4.5</v>
      </c>
      <c r="H2927">
        <v>4.51</v>
      </c>
      <c r="I2927" t="s">
        <v>5512</v>
      </c>
      <c r="J2927">
        <v>0.95</v>
      </c>
      <c r="K2927">
        <v>0.95</v>
      </c>
      <c r="L2927">
        <v>4.45</v>
      </c>
      <c r="M2927">
        <v>4.5199999999999996</v>
      </c>
      <c r="N2927">
        <v>4.42</v>
      </c>
    </row>
    <row r="2928" spans="1:14" x14ac:dyDescent="0.5">
      <c r="A2928" t="str">
        <f>"600975"</f>
        <v>600975</v>
      </c>
      <c r="B2928" t="s">
        <v>5513</v>
      </c>
      <c r="C2928">
        <v>4.6100000000000003</v>
      </c>
      <c r="D2928" t="s">
        <v>24</v>
      </c>
      <c r="E2928">
        <v>7.72</v>
      </c>
      <c r="F2928">
        <v>0.34</v>
      </c>
      <c r="G2928">
        <v>7.72</v>
      </c>
      <c r="H2928">
        <v>7.73</v>
      </c>
      <c r="I2928" t="s">
        <v>5514</v>
      </c>
      <c r="J2928">
        <v>9.32</v>
      </c>
      <c r="K2928">
        <v>9.32</v>
      </c>
      <c r="L2928">
        <v>7.52</v>
      </c>
      <c r="M2928">
        <v>7.99</v>
      </c>
      <c r="N2928">
        <v>7.34</v>
      </c>
    </row>
    <row r="2929" spans="1:14" x14ac:dyDescent="0.5">
      <c r="A2929" t="str">
        <f>"600976"</f>
        <v>600976</v>
      </c>
      <c r="B2929" t="s">
        <v>5515</v>
      </c>
      <c r="C2929">
        <v>1.07</v>
      </c>
      <c r="D2929">
        <v>28.21</v>
      </c>
      <c r="E2929">
        <v>16.989999999999998</v>
      </c>
      <c r="F2929">
        <v>0.18</v>
      </c>
      <c r="G2929">
        <v>16.95</v>
      </c>
      <c r="H2929">
        <v>16.989999999999998</v>
      </c>
      <c r="I2929" t="s">
        <v>5516</v>
      </c>
      <c r="J2929">
        <v>2.0299999999999998</v>
      </c>
      <c r="K2929">
        <v>2.0299999999999998</v>
      </c>
      <c r="L2929">
        <v>16.829999999999998</v>
      </c>
      <c r="M2929">
        <v>16.989999999999998</v>
      </c>
      <c r="N2929">
        <v>16.73</v>
      </c>
    </row>
    <row r="2930" spans="1:14" x14ac:dyDescent="0.5">
      <c r="A2930" t="str">
        <f>"600977"</f>
        <v>600977</v>
      </c>
      <c r="B2930" t="s">
        <v>5517</v>
      </c>
      <c r="C2930">
        <v>1.1399999999999999</v>
      </c>
      <c r="D2930">
        <v>19.059999999999999</v>
      </c>
      <c r="E2930">
        <v>16.03</v>
      </c>
      <c r="F2930">
        <v>0.18</v>
      </c>
      <c r="G2930">
        <v>16.03</v>
      </c>
      <c r="H2930">
        <v>16.04</v>
      </c>
      <c r="I2930" t="s">
        <v>5518</v>
      </c>
      <c r="J2930">
        <v>3.6</v>
      </c>
      <c r="K2930">
        <v>3.6</v>
      </c>
      <c r="L2930">
        <v>15.94</v>
      </c>
      <c r="M2930">
        <v>16.16</v>
      </c>
      <c r="N2930">
        <v>15.89</v>
      </c>
    </row>
    <row r="2931" spans="1:14" x14ac:dyDescent="0.5">
      <c r="A2931" t="str">
        <f>"600978"</f>
        <v>600978</v>
      </c>
      <c r="B2931" t="s">
        <v>5519</v>
      </c>
      <c r="C2931">
        <v>2.8</v>
      </c>
      <c r="D2931">
        <v>11.7</v>
      </c>
      <c r="E2931">
        <v>4.78</v>
      </c>
      <c r="F2931">
        <v>0.13</v>
      </c>
      <c r="G2931">
        <v>4.7699999999999996</v>
      </c>
      <c r="H2931">
        <v>4.78</v>
      </c>
      <c r="I2931" t="s">
        <v>5520</v>
      </c>
      <c r="J2931">
        <v>3.13</v>
      </c>
      <c r="K2931">
        <v>3.13</v>
      </c>
      <c r="L2931">
        <v>4.63</v>
      </c>
      <c r="M2931">
        <v>4.79</v>
      </c>
      <c r="N2931">
        <v>4.5999999999999996</v>
      </c>
    </row>
    <row r="2932" spans="1:14" x14ac:dyDescent="0.5">
      <c r="A2932" t="str">
        <f>"600979"</f>
        <v>600979</v>
      </c>
      <c r="B2932" t="s">
        <v>5521</v>
      </c>
      <c r="C2932">
        <v>0.2</v>
      </c>
      <c r="D2932">
        <v>17.079999999999998</v>
      </c>
      <c r="E2932">
        <v>4.9800000000000004</v>
      </c>
      <c r="F2932">
        <v>0.01</v>
      </c>
      <c r="G2932">
        <v>4.9800000000000004</v>
      </c>
      <c r="H2932">
        <v>4.99</v>
      </c>
      <c r="I2932" t="s">
        <v>5522</v>
      </c>
      <c r="J2932">
        <v>1.51</v>
      </c>
      <c r="K2932">
        <v>1.51</v>
      </c>
      <c r="L2932">
        <v>4.95</v>
      </c>
      <c r="M2932">
        <v>4.9800000000000004</v>
      </c>
      <c r="N2932">
        <v>4.87</v>
      </c>
    </row>
    <row r="2933" spans="1:14" x14ac:dyDescent="0.5">
      <c r="A2933" t="str">
        <f>"600980"</f>
        <v>600980</v>
      </c>
      <c r="B2933" t="s">
        <v>5523</v>
      </c>
      <c r="C2933">
        <v>2.84</v>
      </c>
      <c r="D2933">
        <v>41.42</v>
      </c>
      <c r="E2933">
        <v>11.93</v>
      </c>
      <c r="F2933">
        <v>0.33</v>
      </c>
      <c r="G2933">
        <v>11.93</v>
      </c>
      <c r="H2933">
        <v>11.94</v>
      </c>
      <c r="I2933" t="s">
        <v>5524</v>
      </c>
      <c r="J2933">
        <v>2.46</v>
      </c>
      <c r="K2933">
        <v>2.46</v>
      </c>
      <c r="L2933">
        <v>11.71</v>
      </c>
      <c r="M2933">
        <v>11.94</v>
      </c>
      <c r="N2933">
        <v>11.56</v>
      </c>
    </row>
    <row r="2934" spans="1:14" x14ac:dyDescent="0.5">
      <c r="A2934" t="str">
        <f>"600981"</f>
        <v>600981</v>
      </c>
      <c r="B2934" t="s">
        <v>5525</v>
      </c>
      <c r="C2934">
        <v>1.92</v>
      </c>
      <c r="D2934">
        <v>7.72</v>
      </c>
      <c r="E2934">
        <v>4.78</v>
      </c>
      <c r="F2934">
        <v>0.09</v>
      </c>
      <c r="G2934">
        <v>4.78</v>
      </c>
      <c r="H2934">
        <v>4.79</v>
      </c>
      <c r="I2934" t="s">
        <v>834</v>
      </c>
      <c r="J2934">
        <v>3.29</v>
      </c>
      <c r="K2934">
        <v>3.29</v>
      </c>
      <c r="L2934">
        <v>4.7</v>
      </c>
      <c r="M2934">
        <v>4.78</v>
      </c>
      <c r="N2934">
        <v>4.63</v>
      </c>
    </row>
    <row r="2935" spans="1:14" x14ac:dyDescent="0.5">
      <c r="A2935" t="str">
        <f>"600982"</f>
        <v>600982</v>
      </c>
      <c r="B2935" t="s">
        <v>5526</v>
      </c>
      <c r="C2935">
        <v>1.62</v>
      </c>
      <c r="D2935">
        <v>17.8</v>
      </c>
      <c r="E2935">
        <v>3.77</v>
      </c>
      <c r="F2935">
        <v>0.06</v>
      </c>
      <c r="G2935">
        <v>3.76</v>
      </c>
      <c r="H2935">
        <v>3.77</v>
      </c>
      <c r="I2935" t="s">
        <v>4186</v>
      </c>
      <c r="J2935">
        <v>0.9</v>
      </c>
      <c r="K2935">
        <v>0.9</v>
      </c>
      <c r="L2935">
        <v>3.72</v>
      </c>
      <c r="M2935">
        <v>3.77</v>
      </c>
      <c r="N2935">
        <v>3.69</v>
      </c>
    </row>
    <row r="2936" spans="1:14" x14ac:dyDescent="0.5">
      <c r="A2936" t="str">
        <f>"600983"</f>
        <v>600983</v>
      </c>
      <c r="B2936" t="s">
        <v>5527</v>
      </c>
      <c r="C2936">
        <v>1.89</v>
      </c>
      <c r="D2936">
        <v>15.16</v>
      </c>
      <c r="E2936">
        <v>6.48</v>
      </c>
      <c r="F2936">
        <v>0.12</v>
      </c>
      <c r="G2936">
        <v>6.48</v>
      </c>
      <c r="H2936">
        <v>6.49</v>
      </c>
      <c r="I2936" t="s">
        <v>5528</v>
      </c>
      <c r="J2936">
        <v>1.41</v>
      </c>
      <c r="K2936">
        <v>1.41</v>
      </c>
      <c r="L2936">
        <v>6.34</v>
      </c>
      <c r="M2936">
        <v>6.53</v>
      </c>
      <c r="N2936">
        <v>6.26</v>
      </c>
    </row>
    <row r="2937" spans="1:14" x14ac:dyDescent="0.5">
      <c r="A2937" t="str">
        <f>"600984"</f>
        <v>600984</v>
      </c>
      <c r="B2937" t="s">
        <v>5529</v>
      </c>
      <c r="C2937">
        <v>2.5</v>
      </c>
      <c r="D2937">
        <v>98.43</v>
      </c>
      <c r="E2937">
        <v>6.56</v>
      </c>
      <c r="F2937">
        <v>0.16</v>
      </c>
      <c r="G2937">
        <v>6.55</v>
      </c>
      <c r="H2937">
        <v>6.56</v>
      </c>
      <c r="I2937" t="s">
        <v>5530</v>
      </c>
      <c r="J2937">
        <v>1.9</v>
      </c>
      <c r="K2937">
        <v>1.9</v>
      </c>
      <c r="L2937">
        <v>6.4</v>
      </c>
      <c r="M2937">
        <v>6.69</v>
      </c>
      <c r="N2937">
        <v>6.37</v>
      </c>
    </row>
    <row r="2938" spans="1:14" x14ac:dyDescent="0.5">
      <c r="A2938" t="str">
        <f>"600985"</f>
        <v>600985</v>
      </c>
      <c r="B2938" t="s">
        <v>5531</v>
      </c>
      <c r="C2938">
        <v>1.23</v>
      </c>
      <c r="D2938">
        <v>92.18</v>
      </c>
      <c r="E2938">
        <v>12.38</v>
      </c>
      <c r="F2938">
        <v>0.15</v>
      </c>
      <c r="G2938">
        <v>12.38</v>
      </c>
      <c r="H2938">
        <v>12.39</v>
      </c>
      <c r="I2938" t="s">
        <v>3379</v>
      </c>
      <c r="J2938">
        <v>1.99</v>
      </c>
      <c r="K2938">
        <v>1.99</v>
      </c>
      <c r="L2938">
        <v>12.35</v>
      </c>
      <c r="M2938">
        <v>12.45</v>
      </c>
      <c r="N2938">
        <v>12.1</v>
      </c>
    </row>
    <row r="2939" spans="1:14" x14ac:dyDescent="0.5">
      <c r="A2939" t="str">
        <f>"600986"</f>
        <v>600986</v>
      </c>
      <c r="B2939" t="s">
        <v>5532</v>
      </c>
      <c r="C2939">
        <v>9.57</v>
      </c>
      <c r="D2939">
        <v>11.7</v>
      </c>
      <c r="E2939">
        <v>5.84</v>
      </c>
      <c r="F2939">
        <v>0.51</v>
      </c>
      <c r="G2939">
        <v>5.84</v>
      </c>
      <c r="H2939">
        <v>5.85</v>
      </c>
      <c r="I2939" t="s">
        <v>5533</v>
      </c>
      <c r="J2939">
        <v>7.78</v>
      </c>
      <c r="K2939">
        <v>7.78</v>
      </c>
      <c r="L2939">
        <v>5.3</v>
      </c>
      <c r="M2939">
        <v>5.86</v>
      </c>
      <c r="N2939">
        <v>5.21</v>
      </c>
    </row>
    <row r="2940" spans="1:14" x14ac:dyDescent="0.5">
      <c r="A2940" t="str">
        <f>"600987"</f>
        <v>600987</v>
      </c>
      <c r="B2940" t="s">
        <v>5534</v>
      </c>
      <c r="C2940">
        <v>1.32</v>
      </c>
      <c r="D2940">
        <v>10.93</v>
      </c>
      <c r="E2940">
        <v>9.2200000000000006</v>
      </c>
      <c r="F2940">
        <v>0.12</v>
      </c>
      <c r="G2940">
        <v>9.2100000000000009</v>
      </c>
      <c r="H2940">
        <v>9.2200000000000006</v>
      </c>
      <c r="I2940" t="s">
        <v>5535</v>
      </c>
      <c r="J2940">
        <v>1.1200000000000001</v>
      </c>
      <c r="K2940">
        <v>1.1200000000000001</v>
      </c>
      <c r="L2940">
        <v>9.08</v>
      </c>
      <c r="M2940">
        <v>9.2200000000000006</v>
      </c>
      <c r="N2940">
        <v>9.0299999999999994</v>
      </c>
    </row>
    <row r="2941" spans="1:14" x14ac:dyDescent="0.5">
      <c r="A2941" t="str">
        <f>"600988"</f>
        <v>600988</v>
      </c>
      <c r="B2941" t="s">
        <v>5536</v>
      </c>
      <c r="C2941">
        <v>0.45</v>
      </c>
      <c r="D2941">
        <v>30.29</v>
      </c>
      <c r="E2941">
        <v>4.5</v>
      </c>
      <c r="F2941">
        <v>0.02</v>
      </c>
      <c r="G2941">
        <v>4.49</v>
      </c>
      <c r="H2941">
        <v>4.5</v>
      </c>
      <c r="I2941" t="s">
        <v>177</v>
      </c>
      <c r="J2941">
        <v>3.27</v>
      </c>
      <c r="K2941">
        <v>3.27</v>
      </c>
      <c r="L2941">
        <v>4.4400000000000004</v>
      </c>
      <c r="M2941">
        <v>4.5</v>
      </c>
      <c r="N2941">
        <v>4.4000000000000004</v>
      </c>
    </row>
    <row r="2942" spans="1:14" x14ac:dyDescent="0.5">
      <c r="A2942" t="str">
        <f>"600990"</f>
        <v>600990</v>
      </c>
      <c r="B2942" t="s">
        <v>5537</v>
      </c>
      <c r="C2942">
        <v>3.19</v>
      </c>
      <c r="D2942">
        <v>53.85</v>
      </c>
      <c r="E2942">
        <v>44.7</v>
      </c>
      <c r="F2942">
        <v>1.38</v>
      </c>
      <c r="G2942">
        <v>44.7</v>
      </c>
      <c r="H2942">
        <v>44.72</v>
      </c>
      <c r="I2942" t="s">
        <v>5538</v>
      </c>
      <c r="J2942">
        <v>1.69</v>
      </c>
      <c r="K2942">
        <v>1.69</v>
      </c>
      <c r="L2942">
        <v>43.7</v>
      </c>
      <c r="M2942">
        <v>44.7</v>
      </c>
      <c r="N2942">
        <v>43.34</v>
      </c>
    </row>
    <row r="2943" spans="1:14" x14ac:dyDescent="0.5">
      <c r="A2943" t="str">
        <f>"600992"</f>
        <v>600992</v>
      </c>
      <c r="B2943" t="s">
        <v>5539</v>
      </c>
      <c r="C2943">
        <v>0.79</v>
      </c>
      <c r="D2943">
        <v>83.33</v>
      </c>
      <c r="E2943">
        <v>8.9499999999999993</v>
      </c>
      <c r="F2943">
        <v>7.0000000000000007E-2</v>
      </c>
      <c r="G2943">
        <v>8.94</v>
      </c>
      <c r="H2943">
        <v>8.9499999999999993</v>
      </c>
      <c r="I2943" t="s">
        <v>5540</v>
      </c>
      <c r="J2943">
        <v>3.99</v>
      </c>
      <c r="K2943">
        <v>3.99</v>
      </c>
      <c r="L2943">
        <v>8.7799999999999994</v>
      </c>
      <c r="M2943">
        <v>8.9600000000000009</v>
      </c>
      <c r="N2943">
        <v>8.7799999999999994</v>
      </c>
    </row>
    <row r="2944" spans="1:14" x14ac:dyDescent="0.5">
      <c r="A2944" t="str">
        <f>"600993"</f>
        <v>600993</v>
      </c>
      <c r="B2944" t="s">
        <v>5541</v>
      </c>
      <c r="C2944">
        <v>0.52</v>
      </c>
      <c r="D2944">
        <v>32.35</v>
      </c>
      <c r="E2944">
        <v>15.52</v>
      </c>
      <c r="F2944">
        <v>0.08</v>
      </c>
      <c r="G2944">
        <v>15.52</v>
      </c>
      <c r="H2944">
        <v>15.53</v>
      </c>
      <c r="I2944" t="s">
        <v>5542</v>
      </c>
      <c r="J2944">
        <v>1.24</v>
      </c>
      <c r="K2944">
        <v>1.24</v>
      </c>
      <c r="L2944">
        <v>15.37</v>
      </c>
      <c r="M2944">
        <v>15.57</v>
      </c>
      <c r="N2944">
        <v>15.29</v>
      </c>
    </row>
    <row r="2945" spans="1:14" x14ac:dyDescent="0.5">
      <c r="A2945" t="str">
        <f>"600995"</f>
        <v>600995</v>
      </c>
      <c r="B2945" t="s">
        <v>5543</v>
      </c>
      <c r="C2945">
        <v>0.65</v>
      </c>
      <c r="D2945">
        <v>14</v>
      </c>
      <c r="E2945">
        <v>7.78</v>
      </c>
      <c r="F2945">
        <v>0.05</v>
      </c>
      <c r="G2945">
        <v>7.77</v>
      </c>
      <c r="H2945">
        <v>7.78</v>
      </c>
      <c r="I2945" t="s">
        <v>3542</v>
      </c>
      <c r="J2945">
        <v>1.54</v>
      </c>
      <c r="K2945">
        <v>1.54</v>
      </c>
      <c r="L2945">
        <v>7.7</v>
      </c>
      <c r="M2945">
        <v>7.8</v>
      </c>
      <c r="N2945">
        <v>7.69</v>
      </c>
    </row>
    <row r="2946" spans="1:14" x14ac:dyDescent="0.5">
      <c r="A2946" t="str">
        <f>"600996"</f>
        <v>600996</v>
      </c>
      <c r="B2946" t="s">
        <v>5544</v>
      </c>
      <c r="C2946">
        <v>1.1499999999999999</v>
      </c>
      <c r="D2946">
        <v>24.2</v>
      </c>
      <c r="E2946">
        <v>8.76</v>
      </c>
      <c r="F2946">
        <v>0.1</v>
      </c>
      <c r="G2946">
        <v>8.76</v>
      </c>
      <c r="H2946">
        <v>8.77</v>
      </c>
      <c r="I2946" t="s">
        <v>5545</v>
      </c>
      <c r="J2946">
        <v>8.8800000000000008</v>
      </c>
      <c r="K2946">
        <v>8.8800000000000008</v>
      </c>
      <c r="L2946">
        <v>8.5500000000000007</v>
      </c>
      <c r="M2946">
        <v>8.8699999999999992</v>
      </c>
      <c r="N2946">
        <v>8.42</v>
      </c>
    </row>
    <row r="2947" spans="1:14" x14ac:dyDescent="0.5">
      <c r="A2947" t="str">
        <f>"600997"</f>
        <v>600997</v>
      </c>
      <c r="B2947" t="s">
        <v>5546</v>
      </c>
      <c r="C2947">
        <v>0.89</v>
      </c>
      <c r="D2947">
        <v>9.1199999999999992</v>
      </c>
      <c r="E2947">
        <v>6.83</v>
      </c>
      <c r="F2947">
        <v>0.06</v>
      </c>
      <c r="G2947">
        <v>6.82</v>
      </c>
      <c r="H2947">
        <v>6.83</v>
      </c>
      <c r="I2947" t="s">
        <v>5547</v>
      </c>
      <c r="J2947">
        <v>2.09</v>
      </c>
      <c r="K2947">
        <v>2.09</v>
      </c>
      <c r="L2947">
        <v>6.74</v>
      </c>
      <c r="M2947">
        <v>6.83</v>
      </c>
      <c r="N2947">
        <v>6.66</v>
      </c>
    </row>
    <row r="2948" spans="1:14" x14ac:dyDescent="0.5">
      <c r="A2948" t="str">
        <f>"600998"</f>
        <v>600998</v>
      </c>
      <c r="B2948" t="s">
        <v>5548</v>
      </c>
      <c r="C2948">
        <v>0.19</v>
      </c>
      <c r="D2948">
        <v>23.12</v>
      </c>
      <c r="E2948">
        <v>15.63</v>
      </c>
      <c r="F2948">
        <v>0.03</v>
      </c>
      <c r="G2948">
        <v>15.62</v>
      </c>
      <c r="H2948">
        <v>15.63</v>
      </c>
      <c r="I2948" t="s">
        <v>5549</v>
      </c>
      <c r="J2948">
        <v>0.28000000000000003</v>
      </c>
      <c r="K2948">
        <v>0.28000000000000003</v>
      </c>
      <c r="L2948">
        <v>15.56</v>
      </c>
      <c r="M2948">
        <v>15.64</v>
      </c>
      <c r="N2948">
        <v>15.39</v>
      </c>
    </row>
    <row r="2949" spans="1:14" x14ac:dyDescent="0.5">
      <c r="A2949" t="str">
        <f>"600999"</f>
        <v>600999</v>
      </c>
      <c r="B2949" t="s">
        <v>5550</v>
      </c>
      <c r="C2949">
        <v>-0.28000000000000003</v>
      </c>
      <c r="D2949">
        <v>25.72</v>
      </c>
      <c r="E2949">
        <v>18.010000000000002</v>
      </c>
      <c r="F2949">
        <v>-0.05</v>
      </c>
      <c r="G2949">
        <v>18.010000000000002</v>
      </c>
      <c r="H2949">
        <v>18.02</v>
      </c>
      <c r="I2949" t="s">
        <v>5551</v>
      </c>
      <c r="J2949">
        <v>0.7</v>
      </c>
      <c r="K2949">
        <v>0.7</v>
      </c>
      <c r="L2949">
        <v>17.93</v>
      </c>
      <c r="M2949">
        <v>18.100000000000001</v>
      </c>
      <c r="N2949">
        <v>17.75</v>
      </c>
    </row>
    <row r="2950" spans="1:14" x14ac:dyDescent="0.5">
      <c r="A2950" t="str">
        <f>"601000"</f>
        <v>601000</v>
      </c>
      <c r="B2950" t="s">
        <v>5552</v>
      </c>
      <c r="C2950">
        <v>1.37</v>
      </c>
      <c r="D2950">
        <v>11.22</v>
      </c>
      <c r="E2950">
        <v>2.96</v>
      </c>
      <c r="F2950">
        <v>0.04</v>
      </c>
      <c r="G2950">
        <v>2.95</v>
      </c>
      <c r="H2950">
        <v>2.96</v>
      </c>
      <c r="I2950" t="s">
        <v>5553</v>
      </c>
      <c r="J2950">
        <v>0.83</v>
      </c>
      <c r="K2950">
        <v>0.83</v>
      </c>
      <c r="L2950">
        <v>2.91</v>
      </c>
      <c r="M2950">
        <v>2.96</v>
      </c>
      <c r="N2950">
        <v>2.88</v>
      </c>
    </row>
    <row r="2951" spans="1:14" x14ac:dyDescent="0.5">
      <c r="A2951" t="str">
        <f>"601001"</f>
        <v>601001</v>
      </c>
      <c r="B2951" t="s">
        <v>5554</v>
      </c>
      <c r="C2951">
        <v>0.83</v>
      </c>
      <c r="D2951">
        <v>13.41</v>
      </c>
      <c r="E2951">
        <v>4.88</v>
      </c>
      <c r="F2951">
        <v>0.04</v>
      </c>
      <c r="G2951">
        <v>4.87</v>
      </c>
      <c r="H2951">
        <v>4.88</v>
      </c>
      <c r="I2951" t="s">
        <v>5555</v>
      </c>
      <c r="J2951">
        <v>1.17</v>
      </c>
      <c r="K2951">
        <v>1.17</v>
      </c>
      <c r="L2951">
        <v>4.8099999999999996</v>
      </c>
      <c r="M2951">
        <v>4.88</v>
      </c>
      <c r="N2951">
        <v>4.8</v>
      </c>
    </row>
    <row r="2952" spans="1:14" x14ac:dyDescent="0.5">
      <c r="A2952" t="str">
        <f>"601002"</f>
        <v>601002</v>
      </c>
      <c r="B2952" t="s">
        <v>5556</v>
      </c>
      <c r="C2952">
        <v>0.55000000000000004</v>
      </c>
      <c r="D2952">
        <v>42.71</v>
      </c>
      <c r="E2952">
        <v>7.32</v>
      </c>
      <c r="F2952">
        <v>0.04</v>
      </c>
      <c r="G2952">
        <v>7.32</v>
      </c>
      <c r="H2952">
        <v>7.33</v>
      </c>
      <c r="I2952" t="s">
        <v>5557</v>
      </c>
      <c r="J2952">
        <v>4.57</v>
      </c>
      <c r="K2952">
        <v>4.57</v>
      </c>
      <c r="L2952">
        <v>7.21</v>
      </c>
      <c r="M2952">
        <v>7.38</v>
      </c>
      <c r="N2952">
        <v>7.14</v>
      </c>
    </row>
    <row r="2953" spans="1:14" x14ac:dyDescent="0.5">
      <c r="A2953" t="str">
        <f>"601003"</f>
        <v>601003</v>
      </c>
      <c r="B2953" t="s">
        <v>5558</v>
      </c>
      <c r="C2953">
        <v>-0.73</v>
      </c>
      <c r="D2953">
        <v>4.49</v>
      </c>
      <c r="E2953">
        <v>8.11</v>
      </c>
      <c r="F2953">
        <v>-0.06</v>
      </c>
      <c r="G2953">
        <v>8.11</v>
      </c>
      <c r="H2953">
        <v>8.1199999999999992</v>
      </c>
      <c r="I2953" t="s">
        <v>5559</v>
      </c>
      <c r="J2953">
        <v>0.92</v>
      </c>
      <c r="K2953">
        <v>0.92</v>
      </c>
      <c r="L2953">
        <v>8.11</v>
      </c>
      <c r="M2953">
        <v>8.15</v>
      </c>
      <c r="N2953">
        <v>7.98</v>
      </c>
    </row>
    <row r="2954" spans="1:14" x14ac:dyDescent="0.5">
      <c r="A2954" t="str">
        <f>"601005"</f>
        <v>601005</v>
      </c>
      <c r="B2954" t="s">
        <v>5560</v>
      </c>
      <c r="C2954">
        <v>0</v>
      </c>
      <c r="D2954">
        <v>7.35</v>
      </c>
      <c r="E2954">
        <v>2.2400000000000002</v>
      </c>
      <c r="F2954">
        <v>0</v>
      </c>
      <c r="G2954">
        <v>2.2400000000000002</v>
      </c>
      <c r="H2954">
        <v>2.25</v>
      </c>
      <c r="I2954" t="s">
        <v>5561</v>
      </c>
      <c r="J2954">
        <v>0.55000000000000004</v>
      </c>
      <c r="K2954">
        <v>0.55000000000000004</v>
      </c>
      <c r="L2954">
        <v>2.23</v>
      </c>
      <c r="M2954">
        <v>2.25</v>
      </c>
      <c r="N2954">
        <v>2.21</v>
      </c>
    </row>
    <row r="2955" spans="1:14" x14ac:dyDescent="0.5">
      <c r="A2955" t="str">
        <f>"601006"</f>
        <v>601006</v>
      </c>
      <c r="B2955" t="s">
        <v>5562</v>
      </c>
      <c r="C2955">
        <v>-0.45</v>
      </c>
      <c r="D2955">
        <v>9.27</v>
      </c>
      <c r="E2955">
        <v>8.83</v>
      </c>
      <c r="F2955">
        <v>-0.04</v>
      </c>
      <c r="G2955">
        <v>8.82</v>
      </c>
      <c r="H2955">
        <v>8.83</v>
      </c>
      <c r="I2955" t="s">
        <v>5563</v>
      </c>
      <c r="J2955">
        <v>0.33</v>
      </c>
      <c r="K2955">
        <v>0.33</v>
      </c>
      <c r="L2955">
        <v>8.8699999999999992</v>
      </c>
      <c r="M2955">
        <v>8.8699999999999992</v>
      </c>
      <c r="N2955">
        <v>8.77</v>
      </c>
    </row>
    <row r="2956" spans="1:14" x14ac:dyDescent="0.5">
      <c r="A2956" t="str">
        <f>"601007"</f>
        <v>601007</v>
      </c>
      <c r="B2956" t="s">
        <v>5564</v>
      </c>
      <c r="C2956">
        <v>-0.1</v>
      </c>
      <c r="D2956">
        <v>31.02</v>
      </c>
      <c r="E2956">
        <v>9.66</v>
      </c>
      <c r="F2956">
        <v>-0.01</v>
      </c>
      <c r="G2956">
        <v>9.66</v>
      </c>
      <c r="H2956">
        <v>9.67</v>
      </c>
      <c r="I2956" t="s">
        <v>5565</v>
      </c>
      <c r="J2956">
        <v>0.63</v>
      </c>
      <c r="K2956">
        <v>0.63</v>
      </c>
      <c r="L2956">
        <v>9.6</v>
      </c>
      <c r="M2956">
        <v>9.67</v>
      </c>
      <c r="N2956">
        <v>9.5299999999999994</v>
      </c>
    </row>
    <row r="2957" spans="1:14" x14ac:dyDescent="0.5">
      <c r="A2957" t="str">
        <f>"601008"</f>
        <v>601008</v>
      </c>
      <c r="B2957" t="s">
        <v>5566</v>
      </c>
      <c r="C2957">
        <v>3.25</v>
      </c>
      <c r="D2957">
        <v>318.33</v>
      </c>
      <c r="E2957">
        <v>3.81</v>
      </c>
      <c r="F2957">
        <v>0.12</v>
      </c>
      <c r="G2957">
        <v>3.8</v>
      </c>
      <c r="H2957">
        <v>3.81</v>
      </c>
      <c r="I2957" t="s">
        <v>2160</v>
      </c>
      <c r="J2957">
        <v>2.21</v>
      </c>
      <c r="K2957">
        <v>2.21</v>
      </c>
      <c r="L2957">
        <v>3.64</v>
      </c>
      <c r="M2957">
        <v>3.83</v>
      </c>
      <c r="N2957">
        <v>3.63</v>
      </c>
    </row>
    <row r="2958" spans="1:14" x14ac:dyDescent="0.5">
      <c r="A2958" t="str">
        <f>"601009"</f>
        <v>601009</v>
      </c>
      <c r="B2958" t="s">
        <v>5567</v>
      </c>
      <c r="C2958">
        <v>-0.39</v>
      </c>
      <c r="D2958">
        <v>6.03</v>
      </c>
      <c r="E2958">
        <v>7.73</v>
      </c>
      <c r="F2958">
        <v>-0.03</v>
      </c>
      <c r="G2958">
        <v>7.73</v>
      </c>
      <c r="H2958">
        <v>7.74</v>
      </c>
      <c r="I2958" t="s">
        <v>5568</v>
      </c>
      <c r="J2958">
        <v>0.96</v>
      </c>
      <c r="K2958">
        <v>0.96</v>
      </c>
      <c r="L2958">
        <v>7.7</v>
      </c>
      <c r="M2958">
        <v>7.76</v>
      </c>
      <c r="N2958">
        <v>7.67</v>
      </c>
    </row>
    <row r="2959" spans="1:14" x14ac:dyDescent="0.5">
      <c r="A2959" t="str">
        <f>"601010"</f>
        <v>601010</v>
      </c>
      <c r="B2959" t="s">
        <v>5569</v>
      </c>
      <c r="C2959">
        <v>2.75</v>
      </c>
      <c r="D2959">
        <v>21.12</v>
      </c>
      <c r="E2959">
        <v>3.36</v>
      </c>
      <c r="F2959">
        <v>0.09</v>
      </c>
      <c r="G2959">
        <v>3.35</v>
      </c>
      <c r="H2959">
        <v>3.36</v>
      </c>
      <c r="I2959" t="s">
        <v>5570</v>
      </c>
      <c r="J2959">
        <v>0.93</v>
      </c>
      <c r="K2959">
        <v>0.93</v>
      </c>
      <c r="L2959">
        <v>3.25</v>
      </c>
      <c r="M2959">
        <v>3.37</v>
      </c>
      <c r="N2959">
        <v>3.24</v>
      </c>
    </row>
    <row r="2960" spans="1:14" x14ac:dyDescent="0.5">
      <c r="A2960" t="str">
        <f>"601011"</f>
        <v>601011</v>
      </c>
      <c r="B2960" t="s">
        <v>5571</v>
      </c>
      <c r="C2960">
        <v>3.6</v>
      </c>
      <c r="D2960">
        <v>35.270000000000003</v>
      </c>
      <c r="E2960">
        <v>6.62</v>
      </c>
      <c r="F2960">
        <v>0.23</v>
      </c>
      <c r="G2960">
        <v>6.62</v>
      </c>
      <c r="H2960">
        <v>6.63</v>
      </c>
      <c r="I2960" t="s">
        <v>2726</v>
      </c>
      <c r="J2960">
        <v>3.85</v>
      </c>
      <c r="K2960">
        <v>3.85</v>
      </c>
      <c r="L2960">
        <v>6.36</v>
      </c>
      <c r="M2960">
        <v>6.63</v>
      </c>
      <c r="N2960">
        <v>6.33</v>
      </c>
    </row>
    <row r="2961" spans="1:14" x14ac:dyDescent="0.5">
      <c r="A2961" t="str">
        <f>"601012"</f>
        <v>601012</v>
      </c>
      <c r="B2961" t="s">
        <v>5572</v>
      </c>
      <c r="C2961">
        <v>0.62</v>
      </c>
      <c r="D2961">
        <v>25.61</v>
      </c>
      <c r="E2961">
        <v>27.57</v>
      </c>
      <c r="F2961">
        <v>0.17</v>
      </c>
      <c r="G2961">
        <v>27.57</v>
      </c>
      <c r="H2961">
        <v>27.58</v>
      </c>
      <c r="I2961" t="s">
        <v>5573</v>
      </c>
      <c r="J2961">
        <v>1.44</v>
      </c>
      <c r="K2961">
        <v>1.44</v>
      </c>
      <c r="L2961">
        <v>27.38</v>
      </c>
      <c r="M2961">
        <v>28.08</v>
      </c>
      <c r="N2961">
        <v>27</v>
      </c>
    </row>
    <row r="2962" spans="1:14" x14ac:dyDescent="0.5">
      <c r="A2962" t="str">
        <f>"601015"</f>
        <v>601015</v>
      </c>
      <c r="B2962" t="s">
        <v>5574</v>
      </c>
      <c r="C2962">
        <v>0.49</v>
      </c>
      <c r="D2962">
        <v>27.02</v>
      </c>
      <c r="E2962">
        <v>6.15</v>
      </c>
      <c r="F2962">
        <v>0.03</v>
      </c>
      <c r="G2962">
        <v>6.15</v>
      </c>
      <c r="H2962">
        <v>6.16</v>
      </c>
      <c r="I2962" t="s">
        <v>5575</v>
      </c>
      <c r="J2962">
        <v>1.1599999999999999</v>
      </c>
      <c r="K2962">
        <v>1.1599999999999999</v>
      </c>
      <c r="L2962">
        <v>6.09</v>
      </c>
      <c r="M2962">
        <v>6.15</v>
      </c>
      <c r="N2962">
        <v>6.03</v>
      </c>
    </row>
    <row r="2963" spans="1:14" x14ac:dyDescent="0.5">
      <c r="A2963" t="str">
        <f>"601016"</f>
        <v>601016</v>
      </c>
      <c r="B2963" t="s">
        <v>5576</v>
      </c>
      <c r="C2963">
        <v>2.38</v>
      </c>
      <c r="D2963">
        <v>20.97</v>
      </c>
      <c r="E2963">
        <v>3.01</v>
      </c>
      <c r="F2963">
        <v>7.0000000000000007E-2</v>
      </c>
      <c r="G2963">
        <v>3</v>
      </c>
      <c r="H2963">
        <v>3.01</v>
      </c>
      <c r="I2963" t="s">
        <v>5577</v>
      </c>
      <c r="J2963">
        <v>1.43</v>
      </c>
      <c r="K2963">
        <v>1.43</v>
      </c>
      <c r="L2963">
        <v>2.92</v>
      </c>
      <c r="M2963">
        <v>3.01</v>
      </c>
      <c r="N2963">
        <v>2.9</v>
      </c>
    </row>
    <row r="2964" spans="1:14" x14ac:dyDescent="0.5">
      <c r="A2964" t="str">
        <f>"601018"</f>
        <v>601018</v>
      </c>
      <c r="B2964" t="s">
        <v>5578</v>
      </c>
      <c r="C2964">
        <v>0</v>
      </c>
      <c r="D2964">
        <v>18.62</v>
      </c>
      <c r="E2964">
        <v>3.96</v>
      </c>
      <c r="F2964">
        <v>0</v>
      </c>
      <c r="G2964">
        <v>3.96</v>
      </c>
      <c r="H2964">
        <v>3.97</v>
      </c>
      <c r="I2964" t="s">
        <v>5579</v>
      </c>
      <c r="J2964">
        <v>0.22</v>
      </c>
      <c r="K2964">
        <v>0.22</v>
      </c>
      <c r="L2964">
        <v>3.94</v>
      </c>
      <c r="M2964">
        <v>3.97</v>
      </c>
      <c r="N2964">
        <v>3.88</v>
      </c>
    </row>
    <row r="2965" spans="1:14" x14ac:dyDescent="0.5">
      <c r="A2965" t="str">
        <f>"601019"</f>
        <v>601019</v>
      </c>
      <c r="B2965" t="s">
        <v>5580</v>
      </c>
      <c r="C2965">
        <v>0.91</v>
      </c>
      <c r="D2965">
        <v>11.93</v>
      </c>
      <c r="E2965">
        <v>8.8800000000000008</v>
      </c>
      <c r="F2965">
        <v>0.08</v>
      </c>
      <c r="G2965">
        <v>8.8699999999999992</v>
      </c>
      <c r="H2965">
        <v>8.8800000000000008</v>
      </c>
      <c r="I2965" t="s">
        <v>5581</v>
      </c>
      <c r="J2965">
        <v>2.2999999999999998</v>
      </c>
      <c r="K2965">
        <v>2.2999999999999998</v>
      </c>
      <c r="L2965">
        <v>8.8000000000000007</v>
      </c>
      <c r="M2965">
        <v>8.8800000000000008</v>
      </c>
      <c r="N2965">
        <v>8.73</v>
      </c>
    </row>
    <row r="2966" spans="1:14" x14ac:dyDescent="0.5">
      <c r="A2966" t="str">
        <f>"601020"</f>
        <v>601020</v>
      </c>
      <c r="B2966" t="s">
        <v>5582</v>
      </c>
      <c r="C2966">
        <v>2.5099999999999998</v>
      </c>
      <c r="D2966">
        <v>19.309999999999999</v>
      </c>
      <c r="E2966">
        <v>11.01</v>
      </c>
      <c r="F2966">
        <v>0.27</v>
      </c>
      <c r="G2966">
        <v>11.01</v>
      </c>
      <c r="H2966">
        <v>11.02</v>
      </c>
      <c r="I2966" t="s">
        <v>1369</v>
      </c>
      <c r="J2966">
        <v>4.07</v>
      </c>
      <c r="K2966">
        <v>4.07</v>
      </c>
      <c r="L2966">
        <v>10.6</v>
      </c>
      <c r="M2966">
        <v>11.04</v>
      </c>
      <c r="N2966">
        <v>10.5</v>
      </c>
    </row>
    <row r="2967" spans="1:14" x14ac:dyDescent="0.5">
      <c r="A2967" t="str">
        <f>"601021"</f>
        <v>601021</v>
      </c>
      <c r="B2967" t="s">
        <v>5583</v>
      </c>
      <c r="C2967">
        <v>0.06</v>
      </c>
      <c r="D2967">
        <v>21.93</v>
      </c>
      <c r="E2967">
        <v>35.76</v>
      </c>
      <c r="F2967">
        <v>0.02</v>
      </c>
      <c r="G2967">
        <v>35.75</v>
      </c>
      <c r="H2967">
        <v>35.76</v>
      </c>
      <c r="I2967" t="s">
        <v>5584</v>
      </c>
      <c r="J2967">
        <v>0.3</v>
      </c>
      <c r="K2967">
        <v>0.3</v>
      </c>
      <c r="L2967">
        <v>35.700000000000003</v>
      </c>
      <c r="M2967">
        <v>35.83</v>
      </c>
      <c r="N2967">
        <v>35.28</v>
      </c>
    </row>
    <row r="2968" spans="1:14" x14ac:dyDescent="0.5">
      <c r="A2968" t="str">
        <f>"601028"</f>
        <v>601028</v>
      </c>
      <c r="B2968" t="s">
        <v>5585</v>
      </c>
      <c r="C2968">
        <v>5.66</v>
      </c>
      <c r="D2968">
        <v>43.68</v>
      </c>
      <c r="E2968">
        <v>5.6</v>
      </c>
      <c r="F2968">
        <v>0.3</v>
      </c>
      <c r="G2968">
        <v>5.59</v>
      </c>
      <c r="H2968">
        <v>5.6</v>
      </c>
      <c r="I2968" t="s">
        <v>5586</v>
      </c>
      <c r="J2968">
        <v>1.48</v>
      </c>
      <c r="K2968">
        <v>1.48</v>
      </c>
      <c r="L2968">
        <v>5.26</v>
      </c>
      <c r="M2968">
        <v>5.74</v>
      </c>
      <c r="N2968">
        <v>5.22</v>
      </c>
    </row>
    <row r="2969" spans="1:14" x14ac:dyDescent="0.5">
      <c r="A2969" t="str">
        <f>"601038"</f>
        <v>601038</v>
      </c>
      <c r="B2969" t="s">
        <v>5587</v>
      </c>
      <c r="C2969">
        <v>2.76</v>
      </c>
      <c r="D2969" t="s">
        <v>24</v>
      </c>
      <c r="E2969">
        <v>5.22</v>
      </c>
      <c r="F2969">
        <v>0.14000000000000001</v>
      </c>
      <c r="G2969">
        <v>5.21</v>
      </c>
      <c r="H2969">
        <v>5.22</v>
      </c>
      <c r="I2969" t="s">
        <v>1811</v>
      </c>
      <c r="J2969">
        <v>1.89</v>
      </c>
      <c r="K2969">
        <v>1.89</v>
      </c>
      <c r="L2969">
        <v>5.14</v>
      </c>
      <c r="M2969">
        <v>5.23</v>
      </c>
      <c r="N2969">
        <v>5.08</v>
      </c>
    </row>
    <row r="2970" spans="1:14" x14ac:dyDescent="0.5">
      <c r="A2970" t="str">
        <f>"601058"</f>
        <v>601058</v>
      </c>
      <c r="B2970" t="s">
        <v>5588</v>
      </c>
      <c r="C2970">
        <v>1.83</v>
      </c>
      <c r="D2970">
        <v>11</v>
      </c>
      <c r="E2970">
        <v>2.78</v>
      </c>
      <c r="F2970">
        <v>0.05</v>
      </c>
      <c r="G2970">
        <v>2.77</v>
      </c>
      <c r="H2970">
        <v>2.78</v>
      </c>
      <c r="I2970" t="s">
        <v>5589</v>
      </c>
      <c r="J2970">
        <v>1.56</v>
      </c>
      <c r="K2970">
        <v>1.56</v>
      </c>
      <c r="L2970">
        <v>2.72</v>
      </c>
      <c r="M2970">
        <v>2.78</v>
      </c>
      <c r="N2970">
        <v>2.7</v>
      </c>
    </row>
    <row r="2971" spans="1:14" x14ac:dyDescent="0.5">
      <c r="A2971" t="str">
        <f>"601066"</f>
        <v>601066</v>
      </c>
      <c r="B2971" t="s">
        <v>5590</v>
      </c>
      <c r="C2971">
        <v>10</v>
      </c>
      <c r="D2971">
        <v>53.42</v>
      </c>
      <c r="E2971">
        <v>25.75</v>
      </c>
      <c r="F2971">
        <v>2.34</v>
      </c>
      <c r="G2971">
        <v>25.75</v>
      </c>
      <c r="H2971" t="s">
        <v>24</v>
      </c>
      <c r="I2971" t="s">
        <v>4710</v>
      </c>
      <c r="J2971">
        <v>33.270000000000003</v>
      </c>
      <c r="K2971">
        <v>33.270000000000003</v>
      </c>
      <c r="L2971">
        <v>23</v>
      </c>
      <c r="M2971">
        <v>25.75</v>
      </c>
      <c r="N2971">
        <v>22.66</v>
      </c>
    </row>
    <row r="2972" spans="1:14" x14ac:dyDescent="0.5">
      <c r="A2972" t="str">
        <f>"601068"</f>
        <v>601068</v>
      </c>
      <c r="B2972" t="s">
        <v>5591</v>
      </c>
      <c r="C2972">
        <v>2.82</v>
      </c>
      <c r="D2972">
        <v>33.799999999999997</v>
      </c>
      <c r="E2972">
        <v>7.67</v>
      </c>
      <c r="F2972">
        <v>0.21</v>
      </c>
      <c r="G2972">
        <v>7.67</v>
      </c>
      <c r="H2972">
        <v>7.68</v>
      </c>
      <c r="I2972" t="s">
        <v>2777</v>
      </c>
      <c r="J2972">
        <v>51.92</v>
      </c>
      <c r="K2972">
        <v>51.92</v>
      </c>
      <c r="L2972">
        <v>7.45</v>
      </c>
      <c r="M2972">
        <v>8.1999999999999993</v>
      </c>
      <c r="N2972">
        <v>7.31</v>
      </c>
    </row>
    <row r="2973" spans="1:14" x14ac:dyDescent="0.5">
      <c r="A2973" t="str">
        <f>"601069"</f>
        <v>601069</v>
      </c>
      <c r="B2973" t="s">
        <v>5592</v>
      </c>
      <c r="C2973">
        <v>-7.0000000000000007E-2</v>
      </c>
      <c r="D2973">
        <v>252.8</v>
      </c>
      <c r="E2973">
        <v>15.11</v>
      </c>
      <c r="F2973">
        <v>-0.01</v>
      </c>
      <c r="G2973">
        <v>15.11</v>
      </c>
      <c r="H2973">
        <v>15.12</v>
      </c>
      <c r="I2973" t="s">
        <v>5593</v>
      </c>
      <c r="J2973">
        <v>2.61</v>
      </c>
      <c r="K2973">
        <v>2.61</v>
      </c>
      <c r="L2973">
        <v>15.01</v>
      </c>
      <c r="M2973">
        <v>15.18</v>
      </c>
      <c r="N2973">
        <v>14.9</v>
      </c>
    </row>
    <row r="2974" spans="1:14" x14ac:dyDescent="0.5">
      <c r="A2974" t="str">
        <f>"601086"</f>
        <v>601086</v>
      </c>
      <c r="B2974" t="s">
        <v>5594</v>
      </c>
      <c r="C2974">
        <v>2.14</v>
      </c>
      <c r="D2974">
        <v>30.04</v>
      </c>
      <c r="E2974">
        <v>6.2</v>
      </c>
      <c r="F2974">
        <v>0.13</v>
      </c>
      <c r="G2974">
        <v>6.19</v>
      </c>
      <c r="H2974">
        <v>6.2</v>
      </c>
      <c r="I2974" t="s">
        <v>3899</v>
      </c>
      <c r="J2974">
        <v>8.8800000000000008</v>
      </c>
      <c r="K2974">
        <v>8.8800000000000008</v>
      </c>
      <c r="L2974">
        <v>6.03</v>
      </c>
      <c r="M2974">
        <v>6.2</v>
      </c>
      <c r="N2974">
        <v>6.03</v>
      </c>
    </row>
    <row r="2975" spans="1:14" x14ac:dyDescent="0.5">
      <c r="A2975" t="str">
        <f>"601088"</f>
        <v>601088</v>
      </c>
      <c r="B2975" t="s">
        <v>5595</v>
      </c>
      <c r="C2975">
        <v>0.14000000000000001</v>
      </c>
      <c r="D2975">
        <v>9.2799999999999994</v>
      </c>
      <c r="E2975">
        <v>21.1</v>
      </c>
      <c r="F2975">
        <v>0.03</v>
      </c>
      <c r="G2975">
        <v>21.1</v>
      </c>
      <c r="H2975">
        <v>21.11</v>
      </c>
      <c r="I2975" t="s">
        <v>5596</v>
      </c>
      <c r="J2975">
        <v>0.13</v>
      </c>
      <c r="K2975">
        <v>0.13</v>
      </c>
      <c r="L2975">
        <v>21.1</v>
      </c>
      <c r="M2975">
        <v>21.25</v>
      </c>
      <c r="N2975">
        <v>20.77</v>
      </c>
    </row>
    <row r="2976" spans="1:14" x14ac:dyDescent="0.5">
      <c r="A2976" t="str">
        <f>"601098"</f>
        <v>601098</v>
      </c>
      <c r="B2976" t="s">
        <v>5597</v>
      </c>
      <c r="C2976">
        <v>0.37</v>
      </c>
      <c r="D2976">
        <v>19.84</v>
      </c>
      <c r="E2976">
        <v>13.6</v>
      </c>
      <c r="F2976">
        <v>0.05</v>
      </c>
      <c r="G2976">
        <v>13.59</v>
      </c>
      <c r="H2976">
        <v>13.6</v>
      </c>
      <c r="I2976" t="s">
        <v>5598</v>
      </c>
      <c r="J2976">
        <v>0.54</v>
      </c>
      <c r="K2976">
        <v>0.54</v>
      </c>
      <c r="L2976">
        <v>13.55</v>
      </c>
      <c r="M2976">
        <v>13.78</v>
      </c>
      <c r="N2976">
        <v>13.4</v>
      </c>
    </row>
    <row r="2977" spans="1:14" x14ac:dyDescent="0.5">
      <c r="A2977" t="str">
        <f>"601099"</f>
        <v>601099</v>
      </c>
      <c r="B2977" t="s">
        <v>5599</v>
      </c>
      <c r="C2977">
        <v>0.45</v>
      </c>
      <c r="D2977" t="s">
        <v>24</v>
      </c>
      <c r="E2977">
        <v>4.43</v>
      </c>
      <c r="F2977">
        <v>0.02</v>
      </c>
      <c r="G2977">
        <v>4.43</v>
      </c>
      <c r="H2977">
        <v>4.4400000000000004</v>
      </c>
      <c r="I2977" t="s">
        <v>5600</v>
      </c>
      <c r="J2977">
        <v>13.54</v>
      </c>
      <c r="K2977">
        <v>13.54</v>
      </c>
      <c r="L2977">
        <v>4.21</v>
      </c>
      <c r="M2977">
        <v>4.54</v>
      </c>
      <c r="N2977">
        <v>4.16</v>
      </c>
    </row>
    <row r="2978" spans="1:14" x14ac:dyDescent="0.5">
      <c r="A2978" t="str">
        <f>"601100"</f>
        <v>601100</v>
      </c>
      <c r="B2978" t="s">
        <v>5601</v>
      </c>
      <c r="C2978">
        <v>1.58</v>
      </c>
      <c r="D2978">
        <v>29.95</v>
      </c>
      <c r="E2978">
        <v>30.29</v>
      </c>
      <c r="F2978">
        <v>0.47</v>
      </c>
      <c r="G2978">
        <v>30.28</v>
      </c>
      <c r="H2978">
        <v>30.29</v>
      </c>
      <c r="I2978" t="s">
        <v>5602</v>
      </c>
      <c r="J2978">
        <v>0.92</v>
      </c>
      <c r="K2978">
        <v>0.92</v>
      </c>
      <c r="L2978">
        <v>30</v>
      </c>
      <c r="M2978">
        <v>30.7</v>
      </c>
      <c r="N2978">
        <v>29.64</v>
      </c>
    </row>
    <row r="2979" spans="1:14" x14ac:dyDescent="0.5">
      <c r="A2979" t="str">
        <f>"601101"</f>
        <v>601101</v>
      </c>
      <c r="B2979" t="s">
        <v>5603</v>
      </c>
      <c r="C2979">
        <v>0.74</v>
      </c>
      <c r="D2979">
        <v>8.94</v>
      </c>
      <c r="E2979">
        <v>6.82</v>
      </c>
      <c r="F2979">
        <v>0.05</v>
      </c>
      <c r="G2979">
        <v>6.81</v>
      </c>
      <c r="H2979">
        <v>6.82</v>
      </c>
      <c r="I2979" t="s">
        <v>5604</v>
      </c>
      <c r="J2979">
        <v>1.31</v>
      </c>
      <c r="K2979">
        <v>1.31</v>
      </c>
      <c r="L2979">
        <v>6.75</v>
      </c>
      <c r="M2979">
        <v>6.82</v>
      </c>
      <c r="N2979">
        <v>6.68</v>
      </c>
    </row>
    <row r="2980" spans="1:14" x14ac:dyDescent="0.5">
      <c r="A2980" t="str">
        <f>"601106"</f>
        <v>601106</v>
      </c>
      <c r="B2980" t="s">
        <v>5605</v>
      </c>
      <c r="C2980">
        <v>1.23</v>
      </c>
      <c r="D2980">
        <v>185.11</v>
      </c>
      <c r="E2980">
        <v>4.12</v>
      </c>
      <c r="F2980">
        <v>0.05</v>
      </c>
      <c r="G2980">
        <v>4.12</v>
      </c>
      <c r="H2980">
        <v>4.13</v>
      </c>
      <c r="I2980" t="s">
        <v>5606</v>
      </c>
      <c r="J2980">
        <v>1.97</v>
      </c>
      <c r="K2980">
        <v>1.97</v>
      </c>
      <c r="L2980">
        <v>4.08</v>
      </c>
      <c r="M2980">
        <v>4.1399999999999997</v>
      </c>
      <c r="N2980">
        <v>3.89</v>
      </c>
    </row>
    <row r="2981" spans="1:14" x14ac:dyDescent="0.5">
      <c r="A2981" t="str">
        <f>"601107"</f>
        <v>601107</v>
      </c>
      <c r="B2981" t="s">
        <v>5607</v>
      </c>
      <c r="C2981">
        <v>0.78</v>
      </c>
      <c r="D2981">
        <v>13.26</v>
      </c>
      <c r="E2981">
        <v>3.89</v>
      </c>
      <c r="F2981">
        <v>0.03</v>
      </c>
      <c r="G2981">
        <v>3.88</v>
      </c>
      <c r="H2981">
        <v>3.89</v>
      </c>
      <c r="I2981" t="s">
        <v>5608</v>
      </c>
      <c r="J2981">
        <v>0.28000000000000003</v>
      </c>
      <c r="K2981">
        <v>0.28000000000000003</v>
      </c>
      <c r="L2981">
        <v>3.87</v>
      </c>
      <c r="M2981">
        <v>3.89</v>
      </c>
      <c r="N2981">
        <v>3.83</v>
      </c>
    </row>
    <row r="2982" spans="1:14" x14ac:dyDescent="0.5">
      <c r="A2982" t="str">
        <f>"601108"</f>
        <v>601108</v>
      </c>
      <c r="B2982" t="s">
        <v>5609</v>
      </c>
      <c r="C2982">
        <v>4.6500000000000004</v>
      </c>
      <c r="D2982">
        <v>39.270000000000003</v>
      </c>
      <c r="E2982">
        <v>11.26</v>
      </c>
      <c r="F2982">
        <v>0.5</v>
      </c>
      <c r="G2982">
        <v>11.26</v>
      </c>
      <c r="H2982">
        <v>11.27</v>
      </c>
      <c r="I2982" t="s">
        <v>5610</v>
      </c>
      <c r="J2982">
        <v>6.93</v>
      </c>
      <c r="K2982">
        <v>6.93</v>
      </c>
      <c r="L2982">
        <v>10.59</v>
      </c>
      <c r="M2982">
        <v>11.35</v>
      </c>
      <c r="N2982">
        <v>10.49</v>
      </c>
    </row>
    <row r="2983" spans="1:14" x14ac:dyDescent="0.5">
      <c r="A2983" t="str">
        <f>"601111"</f>
        <v>601111</v>
      </c>
      <c r="B2983" t="s">
        <v>5611</v>
      </c>
      <c r="C2983">
        <v>0.2</v>
      </c>
      <c r="D2983">
        <v>24.3</v>
      </c>
      <c r="E2983">
        <v>9.89</v>
      </c>
      <c r="F2983">
        <v>0.02</v>
      </c>
      <c r="G2983">
        <v>9.8800000000000008</v>
      </c>
      <c r="H2983">
        <v>9.89</v>
      </c>
      <c r="I2983" t="s">
        <v>5612</v>
      </c>
      <c r="J2983">
        <v>1</v>
      </c>
      <c r="K2983">
        <v>1</v>
      </c>
      <c r="L2983">
        <v>9.8699999999999992</v>
      </c>
      <c r="M2983">
        <v>9.91</v>
      </c>
      <c r="N2983">
        <v>9.65</v>
      </c>
    </row>
    <row r="2984" spans="1:14" x14ac:dyDescent="0.5">
      <c r="A2984" t="str">
        <f>"601113"</f>
        <v>601113</v>
      </c>
      <c r="B2984" t="s">
        <v>5613</v>
      </c>
      <c r="C2984">
        <v>0.64</v>
      </c>
      <c r="D2984">
        <v>32.96</v>
      </c>
      <c r="E2984">
        <v>7.9</v>
      </c>
      <c r="F2984">
        <v>0.05</v>
      </c>
      <c r="G2984">
        <v>7.9</v>
      </c>
      <c r="H2984">
        <v>7.91</v>
      </c>
      <c r="I2984" t="s">
        <v>5614</v>
      </c>
      <c r="J2984">
        <v>1.48</v>
      </c>
      <c r="K2984">
        <v>1.48</v>
      </c>
      <c r="L2984">
        <v>7.85</v>
      </c>
      <c r="M2984">
        <v>7.93</v>
      </c>
      <c r="N2984">
        <v>7.76</v>
      </c>
    </row>
    <row r="2985" spans="1:14" x14ac:dyDescent="0.5">
      <c r="A2985" t="str">
        <f>"601116"</f>
        <v>601116</v>
      </c>
      <c r="B2985" t="s">
        <v>5615</v>
      </c>
      <c r="C2985">
        <v>1.91</v>
      </c>
      <c r="D2985">
        <v>77.150000000000006</v>
      </c>
      <c r="E2985">
        <v>13.33</v>
      </c>
      <c r="F2985">
        <v>0.25</v>
      </c>
      <c r="G2985">
        <v>13.32</v>
      </c>
      <c r="H2985">
        <v>13.33</v>
      </c>
      <c r="I2985" t="s">
        <v>5616</v>
      </c>
      <c r="J2985">
        <v>2.5499999999999998</v>
      </c>
      <c r="K2985">
        <v>2.5499999999999998</v>
      </c>
      <c r="L2985">
        <v>13.13</v>
      </c>
      <c r="M2985">
        <v>13.59</v>
      </c>
      <c r="N2985">
        <v>13.09</v>
      </c>
    </row>
    <row r="2986" spans="1:14" x14ac:dyDescent="0.5">
      <c r="A2986" t="str">
        <f>"601117"</f>
        <v>601117</v>
      </c>
      <c r="B2986" t="s">
        <v>5617</v>
      </c>
      <c r="C2986">
        <v>1.6</v>
      </c>
      <c r="D2986">
        <v>16.100000000000001</v>
      </c>
      <c r="E2986">
        <v>6.34</v>
      </c>
      <c r="F2986">
        <v>0.1</v>
      </c>
      <c r="G2986">
        <v>6.34</v>
      </c>
      <c r="H2986">
        <v>6.35</v>
      </c>
      <c r="I2986" t="s">
        <v>5618</v>
      </c>
      <c r="J2986">
        <v>1.07</v>
      </c>
      <c r="K2986">
        <v>1.07</v>
      </c>
      <c r="L2986">
        <v>6.22</v>
      </c>
      <c r="M2986">
        <v>6.46</v>
      </c>
      <c r="N2986">
        <v>6.15</v>
      </c>
    </row>
    <row r="2987" spans="1:14" x14ac:dyDescent="0.5">
      <c r="A2987" t="str">
        <f>"601118"</f>
        <v>601118</v>
      </c>
      <c r="B2987" t="s">
        <v>5619</v>
      </c>
      <c r="C2987">
        <v>0.74</v>
      </c>
      <c r="D2987">
        <v>132.03</v>
      </c>
      <c r="E2987">
        <v>5.41</v>
      </c>
      <c r="F2987">
        <v>0.04</v>
      </c>
      <c r="G2987">
        <v>5.4</v>
      </c>
      <c r="H2987">
        <v>5.41</v>
      </c>
      <c r="I2987" t="s">
        <v>5620</v>
      </c>
      <c r="J2987">
        <v>1.32</v>
      </c>
      <c r="K2987">
        <v>1.32</v>
      </c>
      <c r="L2987">
        <v>5.31</v>
      </c>
      <c r="M2987">
        <v>5.42</v>
      </c>
      <c r="N2987">
        <v>5.3</v>
      </c>
    </row>
    <row r="2988" spans="1:14" x14ac:dyDescent="0.5">
      <c r="A2988" t="str">
        <f>"601126"</f>
        <v>601126</v>
      </c>
      <c r="B2988" t="s">
        <v>5621</v>
      </c>
      <c r="C2988">
        <v>2.41</v>
      </c>
      <c r="D2988">
        <v>21.03</v>
      </c>
      <c r="E2988">
        <v>6.38</v>
      </c>
      <c r="F2988">
        <v>0.15</v>
      </c>
      <c r="G2988">
        <v>6.38</v>
      </c>
      <c r="H2988">
        <v>6.39</v>
      </c>
      <c r="I2988" t="s">
        <v>5622</v>
      </c>
      <c r="J2988">
        <v>1.1499999999999999</v>
      </c>
      <c r="K2988">
        <v>1.1499999999999999</v>
      </c>
      <c r="L2988">
        <v>6.21</v>
      </c>
      <c r="M2988">
        <v>6.38</v>
      </c>
      <c r="N2988">
        <v>6.19</v>
      </c>
    </row>
    <row r="2989" spans="1:14" x14ac:dyDescent="0.5">
      <c r="A2989" t="str">
        <f>"601127"</f>
        <v>601127</v>
      </c>
      <c r="B2989" t="s">
        <v>5623</v>
      </c>
      <c r="C2989">
        <v>0</v>
      </c>
      <c r="D2989">
        <v>55.05</v>
      </c>
      <c r="E2989">
        <v>16.59</v>
      </c>
      <c r="F2989">
        <v>0</v>
      </c>
      <c r="G2989">
        <v>16.59</v>
      </c>
      <c r="H2989">
        <v>16.600000000000001</v>
      </c>
      <c r="I2989" t="s">
        <v>5624</v>
      </c>
      <c r="J2989">
        <v>1.1399999999999999</v>
      </c>
      <c r="K2989">
        <v>1.1399999999999999</v>
      </c>
      <c r="L2989">
        <v>16.66</v>
      </c>
      <c r="M2989">
        <v>16.690000000000001</v>
      </c>
      <c r="N2989">
        <v>16.41</v>
      </c>
    </row>
    <row r="2990" spans="1:14" x14ac:dyDescent="0.5">
      <c r="A2990" t="str">
        <f>"601128"</f>
        <v>601128</v>
      </c>
      <c r="B2990" t="s">
        <v>5625</v>
      </c>
      <c r="C2990">
        <v>2.15</v>
      </c>
      <c r="D2990">
        <v>11.9</v>
      </c>
      <c r="E2990">
        <v>8.06</v>
      </c>
      <c r="F2990">
        <v>0.17</v>
      </c>
      <c r="G2990">
        <v>8.06</v>
      </c>
      <c r="H2990">
        <v>8.07</v>
      </c>
      <c r="I2990" t="s">
        <v>5626</v>
      </c>
      <c r="J2990">
        <v>4.46</v>
      </c>
      <c r="K2990">
        <v>4.46</v>
      </c>
      <c r="L2990">
        <v>7.9</v>
      </c>
      <c r="M2990">
        <v>8.15</v>
      </c>
      <c r="N2990">
        <v>7.8</v>
      </c>
    </row>
    <row r="2991" spans="1:14" x14ac:dyDescent="0.5">
      <c r="A2991" t="str">
        <f>"601137"</f>
        <v>601137</v>
      </c>
      <c r="B2991" t="s">
        <v>5627</v>
      </c>
      <c r="C2991">
        <v>0.85</v>
      </c>
      <c r="D2991">
        <v>15.29</v>
      </c>
      <c r="E2991">
        <v>8.3000000000000007</v>
      </c>
      <c r="F2991">
        <v>7.0000000000000007E-2</v>
      </c>
      <c r="G2991">
        <v>8.3000000000000007</v>
      </c>
      <c r="H2991">
        <v>8.31</v>
      </c>
      <c r="I2991" t="s">
        <v>5628</v>
      </c>
      <c r="J2991">
        <v>0.69</v>
      </c>
      <c r="K2991">
        <v>0.69</v>
      </c>
      <c r="L2991">
        <v>8.18</v>
      </c>
      <c r="M2991">
        <v>8.32</v>
      </c>
      <c r="N2991">
        <v>8.17</v>
      </c>
    </row>
    <row r="2992" spans="1:14" x14ac:dyDescent="0.5">
      <c r="A2992" t="str">
        <f>"601138"</f>
        <v>601138</v>
      </c>
      <c r="B2992" t="s">
        <v>5629</v>
      </c>
      <c r="C2992">
        <v>0.91</v>
      </c>
      <c r="D2992">
        <v>18.420000000000002</v>
      </c>
      <c r="E2992">
        <v>15.45</v>
      </c>
      <c r="F2992">
        <v>0.14000000000000001</v>
      </c>
      <c r="G2992">
        <v>15.44</v>
      </c>
      <c r="H2992">
        <v>15.45</v>
      </c>
      <c r="I2992" t="s">
        <v>5630</v>
      </c>
      <c r="J2992">
        <v>5.0199999999999996</v>
      </c>
      <c r="K2992">
        <v>5.0199999999999996</v>
      </c>
      <c r="L2992">
        <v>15.31</v>
      </c>
      <c r="M2992">
        <v>15.55</v>
      </c>
      <c r="N2992">
        <v>15.15</v>
      </c>
    </row>
    <row r="2993" spans="1:14" x14ac:dyDescent="0.5">
      <c r="A2993" t="str">
        <f>"601139"</f>
        <v>601139</v>
      </c>
      <c r="B2993" t="s">
        <v>5631</v>
      </c>
      <c r="C2993">
        <v>0.66</v>
      </c>
      <c r="D2993">
        <v>18.55</v>
      </c>
      <c r="E2993">
        <v>6.12</v>
      </c>
      <c r="F2993">
        <v>0.04</v>
      </c>
      <c r="G2993">
        <v>6.11</v>
      </c>
      <c r="H2993">
        <v>6.12</v>
      </c>
      <c r="I2993" t="s">
        <v>5632</v>
      </c>
      <c r="J2993">
        <v>0.55000000000000004</v>
      </c>
      <c r="K2993">
        <v>0.55000000000000004</v>
      </c>
      <c r="L2993">
        <v>6.07</v>
      </c>
      <c r="M2993">
        <v>6.15</v>
      </c>
      <c r="N2993">
        <v>6.03</v>
      </c>
    </row>
    <row r="2994" spans="1:14" x14ac:dyDescent="0.5">
      <c r="A2994" t="str">
        <f>"601155"</f>
        <v>601155</v>
      </c>
      <c r="B2994" t="s">
        <v>5633</v>
      </c>
      <c r="C2994">
        <v>5.14</v>
      </c>
      <c r="D2994">
        <v>10.62</v>
      </c>
      <c r="E2994">
        <v>36.4</v>
      </c>
      <c r="F2994">
        <v>1.78</v>
      </c>
      <c r="G2994">
        <v>36.39</v>
      </c>
      <c r="H2994">
        <v>36.4</v>
      </c>
      <c r="I2994" t="s">
        <v>5634</v>
      </c>
      <c r="J2994">
        <v>0.94</v>
      </c>
      <c r="K2994">
        <v>0.94</v>
      </c>
      <c r="L2994">
        <v>34.880000000000003</v>
      </c>
      <c r="M2994">
        <v>36.49</v>
      </c>
      <c r="N2994">
        <v>34.82</v>
      </c>
    </row>
    <row r="2995" spans="1:14" x14ac:dyDescent="0.5">
      <c r="A2995" t="str">
        <f>"601158"</f>
        <v>601158</v>
      </c>
      <c r="B2995" t="s">
        <v>5635</v>
      </c>
      <c r="C2995">
        <v>0.65</v>
      </c>
      <c r="D2995">
        <v>14.97</v>
      </c>
      <c r="E2995">
        <v>6.17</v>
      </c>
      <c r="F2995">
        <v>0.04</v>
      </c>
      <c r="G2995">
        <v>6.16</v>
      </c>
      <c r="H2995">
        <v>6.17</v>
      </c>
      <c r="I2995" t="s">
        <v>5636</v>
      </c>
      <c r="J2995">
        <v>0.08</v>
      </c>
      <c r="K2995">
        <v>0.08</v>
      </c>
      <c r="L2995">
        <v>6.14</v>
      </c>
      <c r="M2995">
        <v>6.18</v>
      </c>
      <c r="N2995">
        <v>6.09</v>
      </c>
    </row>
    <row r="2996" spans="1:14" x14ac:dyDescent="0.5">
      <c r="A2996" t="str">
        <f>"601162"</f>
        <v>601162</v>
      </c>
      <c r="B2996" t="s">
        <v>5637</v>
      </c>
      <c r="C2996">
        <v>1.18</v>
      </c>
      <c r="D2996">
        <v>127.99</v>
      </c>
      <c r="E2996">
        <v>10.27</v>
      </c>
      <c r="F2996">
        <v>0.12</v>
      </c>
      <c r="G2996">
        <v>10.27</v>
      </c>
      <c r="H2996">
        <v>10.28</v>
      </c>
      <c r="I2996" t="s">
        <v>4752</v>
      </c>
      <c r="J2996">
        <v>32.33</v>
      </c>
      <c r="K2996">
        <v>32.33</v>
      </c>
      <c r="L2996">
        <v>9.8000000000000007</v>
      </c>
      <c r="M2996">
        <v>10.45</v>
      </c>
      <c r="N2996">
        <v>9.7100000000000009</v>
      </c>
    </row>
    <row r="2997" spans="1:14" x14ac:dyDescent="0.5">
      <c r="A2997" t="str">
        <f>"601163"</f>
        <v>601163</v>
      </c>
      <c r="B2997" t="s">
        <v>5638</v>
      </c>
      <c r="C2997">
        <v>0.87</v>
      </c>
      <c r="D2997">
        <v>22.64</v>
      </c>
      <c r="E2997">
        <v>12.81</v>
      </c>
      <c r="F2997">
        <v>0.11</v>
      </c>
      <c r="G2997">
        <v>12.81</v>
      </c>
      <c r="H2997">
        <v>12.82</v>
      </c>
      <c r="I2997" t="s">
        <v>5639</v>
      </c>
      <c r="J2997">
        <v>2.06</v>
      </c>
      <c r="K2997">
        <v>2.06</v>
      </c>
      <c r="L2997">
        <v>12.69</v>
      </c>
      <c r="M2997">
        <v>12.82</v>
      </c>
      <c r="N2997">
        <v>12.65</v>
      </c>
    </row>
    <row r="2998" spans="1:14" x14ac:dyDescent="0.5">
      <c r="A2998" t="str">
        <f>"601166"</f>
        <v>601166</v>
      </c>
      <c r="B2998" t="s">
        <v>5640</v>
      </c>
      <c r="C2998">
        <v>-1.1399999999999999</v>
      </c>
      <c r="D2998">
        <v>6.61</v>
      </c>
      <c r="E2998">
        <v>19.079999999999998</v>
      </c>
      <c r="F2998">
        <v>-0.22</v>
      </c>
      <c r="G2998">
        <v>19.07</v>
      </c>
      <c r="H2998">
        <v>19.079999999999998</v>
      </c>
      <c r="I2998" t="s">
        <v>5641</v>
      </c>
      <c r="J2998">
        <v>0.68</v>
      </c>
      <c r="K2998">
        <v>0.68</v>
      </c>
      <c r="L2998">
        <v>19.2</v>
      </c>
      <c r="M2998">
        <v>19.350000000000001</v>
      </c>
      <c r="N2998">
        <v>18.97</v>
      </c>
    </row>
    <row r="2999" spans="1:14" x14ac:dyDescent="0.5">
      <c r="A2999" t="str">
        <f>"601168"</f>
        <v>601168</v>
      </c>
      <c r="B2999" t="s">
        <v>5642</v>
      </c>
      <c r="C2999">
        <v>1.86</v>
      </c>
      <c r="D2999">
        <v>24.51</v>
      </c>
      <c r="E2999">
        <v>6.58</v>
      </c>
      <c r="F2999">
        <v>0.12</v>
      </c>
      <c r="G2999">
        <v>6.57</v>
      </c>
      <c r="H2999">
        <v>6.58</v>
      </c>
      <c r="I2999" t="s">
        <v>5643</v>
      </c>
      <c r="J2999">
        <v>1.47</v>
      </c>
      <c r="K2999">
        <v>1.47</v>
      </c>
      <c r="L2999">
        <v>6.42</v>
      </c>
      <c r="M2999">
        <v>6.58</v>
      </c>
      <c r="N2999">
        <v>6.37</v>
      </c>
    </row>
    <row r="3000" spans="1:14" x14ac:dyDescent="0.5">
      <c r="A3000" t="str">
        <f>"601169"</f>
        <v>601169</v>
      </c>
      <c r="B3000" t="s">
        <v>5644</v>
      </c>
      <c r="C3000">
        <v>0</v>
      </c>
      <c r="D3000">
        <v>6.99</v>
      </c>
      <c r="E3000">
        <v>6.63</v>
      </c>
      <c r="F3000">
        <v>0</v>
      </c>
      <c r="G3000">
        <v>6.62</v>
      </c>
      <c r="H3000">
        <v>6.63</v>
      </c>
      <c r="I3000" t="s">
        <v>5645</v>
      </c>
      <c r="J3000">
        <v>0.27</v>
      </c>
      <c r="K3000">
        <v>0.27</v>
      </c>
      <c r="L3000">
        <v>6.59</v>
      </c>
      <c r="M3000">
        <v>6.66</v>
      </c>
      <c r="N3000">
        <v>6.57</v>
      </c>
    </row>
    <row r="3001" spans="1:14" x14ac:dyDescent="0.5">
      <c r="A3001" t="str">
        <f>"601177"</f>
        <v>601177</v>
      </c>
      <c r="B3001" t="s">
        <v>5646</v>
      </c>
      <c r="C3001">
        <v>8.7899999999999991</v>
      </c>
      <c r="D3001">
        <v>307.89</v>
      </c>
      <c r="E3001">
        <v>13.99</v>
      </c>
      <c r="F3001">
        <v>1.1299999999999999</v>
      </c>
      <c r="G3001">
        <v>13.98</v>
      </c>
      <c r="H3001">
        <v>13.99</v>
      </c>
      <c r="I3001" t="s">
        <v>5647</v>
      </c>
      <c r="J3001">
        <v>1.73</v>
      </c>
      <c r="K3001">
        <v>1.73</v>
      </c>
      <c r="L3001">
        <v>12.73</v>
      </c>
      <c r="M3001">
        <v>14.14</v>
      </c>
      <c r="N3001">
        <v>12.6</v>
      </c>
    </row>
    <row r="3002" spans="1:14" x14ac:dyDescent="0.5">
      <c r="A3002" t="str">
        <f>"601179"</f>
        <v>601179</v>
      </c>
      <c r="B3002" t="s">
        <v>5648</v>
      </c>
      <c r="C3002">
        <v>1.65</v>
      </c>
      <c r="D3002">
        <v>42.99</v>
      </c>
      <c r="E3002">
        <v>4.3099999999999996</v>
      </c>
      <c r="F3002">
        <v>7.0000000000000007E-2</v>
      </c>
      <c r="G3002">
        <v>4.3</v>
      </c>
      <c r="H3002">
        <v>4.3099999999999996</v>
      </c>
      <c r="I3002" t="s">
        <v>5649</v>
      </c>
      <c r="J3002">
        <v>0.45</v>
      </c>
      <c r="K3002">
        <v>0.45</v>
      </c>
      <c r="L3002">
        <v>4.22</v>
      </c>
      <c r="M3002">
        <v>4.33</v>
      </c>
      <c r="N3002">
        <v>4.21</v>
      </c>
    </row>
    <row r="3003" spans="1:14" x14ac:dyDescent="0.5">
      <c r="A3003" t="str">
        <f>"601186"</f>
        <v>601186</v>
      </c>
      <c r="B3003" t="s">
        <v>5650</v>
      </c>
      <c r="C3003">
        <v>1.1100000000000001</v>
      </c>
      <c r="D3003">
        <v>8.6300000000000008</v>
      </c>
      <c r="E3003">
        <v>11.79</v>
      </c>
      <c r="F3003">
        <v>0.13</v>
      </c>
      <c r="G3003">
        <v>11.79</v>
      </c>
      <c r="H3003">
        <v>11.8</v>
      </c>
      <c r="I3003" t="s">
        <v>5651</v>
      </c>
      <c r="J3003">
        <v>1.38</v>
      </c>
      <c r="K3003">
        <v>1.38</v>
      </c>
      <c r="L3003">
        <v>11.61</v>
      </c>
      <c r="M3003">
        <v>11.93</v>
      </c>
      <c r="N3003">
        <v>11.46</v>
      </c>
    </row>
    <row r="3004" spans="1:14" x14ac:dyDescent="0.5">
      <c r="A3004" t="str">
        <f>"601188"</f>
        <v>601188</v>
      </c>
      <c r="B3004" t="s">
        <v>5652</v>
      </c>
      <c r="C3004">
        <v>1.19</v>
      </c>
      <c r="D3004">
        <v>13.9</v>
      </c>
      <c r="E3004">
        <v>3.41</v>
      </c>
      <c r="F3004">
        <v>0.04</v>
      </c>
      <c r="G3004">
        <v>3.4</v>
      </c>
      <c r="H3004">
        <v>3.41</v>
      </c>
      <c r="I3004" t="s">
        <v>4175</v>
      </c>
      <c r="J3004">
        <v>0.6</v>
      </c>
      <c r="K3004">
        <v>0.6</v>
      </c>
      <c r="L3004">
        <v>3.37</v>
      </c>
      <c r="M3004">
        <v>3.41</v>
      </c>
      <c r="N3004">
        <v>3.35</v>
      </c>
    </row>
    <row r="3005" spans="1:14" x14ac:dyDescent="0.5">
      <c r="A3005" t="str">
        <f>"601198"</f>
        <v>601198</v>
      </c>
      <c r="B3005" t="s">
        <v>5653</v>
      </c>
      <c r="C3005">
        <v>-0.37</v>
      </c>
      <c r="D3005">
        <v>32.049999999999997</v>
      </c>
      <c r="E3005">
        <v>13.54</v>
      </c>
      <c r="F3005">
        <v>-0.05</v>
      </c>
      <c r="G3005">
        <v>13.54</v>
      </c>
      <c r="H3005">
        <v>13.55</v>
      </c>
      <c r="I3005" t="s">
        <v>5654</v>
      </c>
      <c r="J3005">
        <v>1.36</v>
      </c>
      <c r="K3005">
        <v>1.36</v>
      </c>
      <c r="L3005">
        <v>13.39</v>
      </c>
      <c r="M3005">
        <v>13.59</v>
      </c>
      <c r="N3005">
        <v>13.22</v>
      </c>
    </row>
    <row r="3006" spans="1:14" x14ac:dyDescent="0.5">
      <c r="A3006" t="str">
        <f>"601199"</f>
        <v>601199</v>
      </c>
      <c r="B3006" t="s">
        <v>5655</v>
      </c>
      <c r="C3006">
        <v>1.47</v>
      </c>
      <c r="D3006">
        <v>21.06</v>
      </c>
      <c r="E3006">
        <v>4.1500000000000004</v>
      </c>
      <c r="F3006">
        <v>0.06</v>
      </c>
      <c r="G3006">
        <v>4.1399999999999997</v>
      </c>
      <c r="H3006">
        <v>4.1500000000000004</v>
      </c>
      <c r="I3006" t="s">
        <v>4938</v>
      </c>
      <c r="J3006">
        <v>0.81</v>
      </c>
      <c r="K3006">
        <v>0.81</v>
      </c>
      <c r="L3006">
        <v>4.08</v>
      </c>
      <c r="M3006">
        <v>4.1500000000000004</v>
      </c>
      <c r="N3006">
        <v>4.0599999999999996</v>
      </c>
    </row>
    <row r="3007" spans="1:14" x14ac:dyDescent="0.5">
      <c r="A3007" t="str">
        <f>"601200"</f>
        <v>601200</v>
      </c>
      <c r="B3007" t="s">
        <v>5656</v>
      </c>
      <c r="C3007">
        <v>0.86</v>
      </c>
      <c r="D3007">
        <v>19.47</v>
      </c>
      <c r="E3007">
        <v>15.21</v>
      </c>
      <c r="F3007">
        <v>0.13</v>
      </c>
      <c r="G3007">
        <v>15.21</v>
      </c>
      <c r="H3007">
        <v>15.22</v>
      </c>
      <c r="I3007" t="s">
        <v>5657</v>
      </c>
      <c r="J3007">
        <v>1.1399999999999999</v>
      </c>
      <c r="K3007">
        <v>1.1399999999999999</v>
      </c>
      <c r="L3007">
        <v>14.98</v>
      </c>
      <c r="M3007">
        <v>15.22</v>
      </c>
      <c r="N3007">
        <v>14.93</v>
      </c>
    </row>
    <row r="3008" spans="1:14" x14ac:dyDescent="0.5">
      <c r="A3008" t="str">
        <f>"601208"</f>
        <v>601208</v>
      </c>
      <c r="B3008" t="s">
        <v>5658</v>
      </c>
      <c r="C3008">
        <v>3.93</v>
      </c>
      <c r="D3008">
        <v>86.38</v>
      </c>
      <c r="E3008">
        <v>5.82</v>
      </c>
      <c r="F3008">
        <v>0.22</v>
      </c>
      <c r="G3008">
        <v>5.81</v>
      </c>
      <c r="H3008">
        <v>5.82</v>
      </c>
      <c r="I3008" t="s">
        <v>5659</v>
      </c>
      <c r="J3008">
        <v>10.050000000000001</v>
      </c>
      <c r="K3008">
        <v>10.050000000000001</v>
      </c>
      <c r="L3008">
        <v>5.51</v>
      </c>
      <c r="M3008">
        <v>5.89</v>
      </c>
      <c r="N3008">
        <v>5.44</v>
      </c>
    </row>
    <row r="3009" spans="1:14" x14ac:dyDescent="0.5">
      <c r="A3009" t="str">
        <f>"601211"</f>
        <v>601211</v>
      </c>
      <c r="B3009" t="s">
        <v>5660</v>
      </c>
      <c r="C3009">
        <v>0.4</v>
      </c>
      <c r="D3009">
        <v>20.81</v>
      </c>
      <c r="E3009">
        <v>20.09</v>
      </c>
      <c r="F3009">
        <v>0.08</v>
      </c>
      <c r="G3009">
        <v>20.079999999999998</v>
      </c>
      <c r="H3009">
        <v>20.09</v>
      </c>
      <c r="I3009" t="s">
        <v>5661</v>
      </c>
      <c r="J3009">
        <v>0.71</v>
      </c>
      <c r="K3009">
        <v>0.71</v>
      </c>
      <c r="L3009">
        <v>19.88</v>
      </c>
      <c r="M3009">
        <v>20.18</v>
      </c>
      <c r="N3009">
        <v>19.8</v>
      </c>
    </row>
    <row r="3010" spans="1:14" x14ac:dyDescent="0.5">
      <c r="A3010" t="str">
        <f>"601212"</f>
        <v>601212</v>
      </c>
      <c r="B3010" t="s">
        <v>5662</v>
      </c>
      <c r="C3010">
        <v>10.1</v>
      </c>
      <c r="D3010" t="s">
        <v>24</v>
      </c>
      <c r="E3010">
        <v>4.3600000000000003</v>
      </c>
      <c r="F3010">
        <v>0.4</v>
      </c>
      <c r="G3010">
        <v>4.3600000000000003</v>
      </c>
      <c r="H3010" t="s">
        <v>24</v>
      </c>
      <c r="I3010" t="s">
        <v>5663</v>
      </c>
      <c r="J3010">
        <v>0.66</v>
      </c>
      <c r="K3010">
        <v>0.66</v>
      </c>
      <c r="L3010">
        <v>4.3600000000000003</v>
      </c>
      <c r="M3010">
        <v>4.3600000000000003</v>
      </c>
      <c r="N3010">
        <v>4.3600000000000003</v>
      </c>
    </row>
    <row r="3011" spans="1:14" x14ac:dyDescent="0.5">
      <c r="A3011" t="str">
        <f>"601216"</f>
        <v>601216</v>
      </c>
      <c r="B3011" t="s">
        <v>5664</v>
      </c>
      <c r="C3011">
        <v>-0.49</v>
      </c>
      <c r="D3011">
        <v>14.09</v>
      </c>
      <c r="E3011">
        <v>4.07</v>
      </c>
      <c r="F3011">
        <v>-0.02</v>
      </c>
      <c r="G3011">
        <v>4.07</v>
      </c>
      <c r="H3011">
        <v>4.08</v>
      </c>
      <c r="I3011" t="s">
        <v>5665</v>
      </c>
      <c r="J3011">
        <v>2.58</v>
      </c>
      <c r="K3011">
        <v>2.58</v>
      </c>
      <c r="L3011">
        <v>3.95</v>
      </c>
      <c r="M3011">
        <v>4.08</v>
      </c>
      <c r="N3011">
        <v>3.89</v>
      </c>
    </row>
    <row r="3012" spans="1:14" x14ac:dyDescent="0.5">
      <c r="A3012" t="str">
        <f>"601218"</f>
        <v>601218</v>
      </c>
      <c r="B3012" t="s">
        <v>5666</v>
      </c>
      <c r="C3012">
        <v>4.76</v>
      </c>
      <c r="D3012" t="s">
        <v>24</v>
      </c>
      <c r="E3012">
        <v>3.08</v>
      </c>
      <c r="F3012">
        <v>0.14000000000000001</v>
      </c>
      <c r="G3012">
        <v>3.08</v>
      </c>
      <c r="H3012">
        <v>3.09</v>
      </c>
      <c r="I3012" t="s">
        <v>5667</v>
      </c>
      <c r="J3012">
        <v>4.29</v>
      </c>
      <c r="K3012">
        <v>4.29</v>
      </c>
      <c r="L3012">
        <v>2.91</v>
      </c>
      <c r="M3012">
        <v>3.08</v>
      </c>
      <c r="N3012">
        <v>2.9</v>
      </c>
    </row>
    <row r="3013" spans="1:14" x14ac:dyDescent="0.5">
      <c r="A3013" t="str">
        <f>"601222"</f>
        <v>601222</v>
      </c>
      <c r="B3013" t="s">
        <v>5668</v>
      </c>
      <c r="C3013">
        <v>1.92</v>
      </c>
      <c r="D3013">
        <v>12.64</v>
      </c>
      <c r="E3013">
        <v>5.84</v>
      </c>
      <c r="F3013">
        <v>0.11</v>
      </c>
      <c r="G3013">
        <v>5.84</v>
      </c>
      <c r="H3013">
        <v>5.85</v>
      </c>
      <c r="I3013" t="s">
        <v>5669</v>
      </c>
      <c r="J3013">
        <v>2.57</v>
      </c>
      <c r="K3013">
        <v>2.57</v>
      </c>
      <c r="L3013">
        <v>5.68</v>
      </c>
      <c r="M3013">
        <v>5.85</v>
      </c>
      <c r="N3013">
        <v>5.64</v>
      </c>
    </row>
    <row r="3014" spans="1:14" x14ac:dyDescent="0.5">
      <c r="A3014" t="str">
        <f>"601225"</f>
        <v>601225</v>
      </c>
      <c r="B3014" t="s">
        <v>5670</v>
      </c>
      <c r="C3014">
        <v>-0.87</v>
      </c>
      <c r="D3014">
        <v>8.11</v>
      </c>
      <c r="E3014">
        <v>9.15</v>
      </c>
      <c r="F3014">
        <v>-0.08</v>
      </c>
      <c r="G3014">
        <v>9.14</v>
      </c>
      <c r="H3014">
        <v>9.15</v>
      </c>
      <c r="I3014" t="s">
        <v>5671</v>
      </c>
      <c r="J3014">
        <v>0.71</v>
      </c>
      <c r="K3014">
        <v>0.71</v>
      </c>
      <c r="L3014">
        <v>9.2899999999999991</v>
      </c>
      <c r="M3014">
        <v>9.2899999999999991</v>
      </c>
      <c r="N3014">
        <v>9.08</v>
      </c>
    </row>
    <row r="3015" spans="1:14" x14ac:dyDescent="0.5">
      <c r="A3015" t="str">
        <f>"601226"</f>
        <v>601226</v>
      </c>
      <c r="B3015" t="s">
        <v>5672</v>
      </c>
      <c r="C3015">
        <v>0.86</v>
      </c>
      <c r="D3015">
        <v>64.48</v>
      </c>
      <c r="E3015">
        <v>4.7</v>
      </c>
      <c r="F3015">
        <v>0.04</v>
      </c>
      <c r="G3015">
        <v>4.6900000000000004</v>
      </c>
      <c r="H3015">
        <v>4.7</v>
      </c>
      <c r="I3015" t="s">
        <v>5673</v>
      </c>
      <c r="J3015">
        <v>0.83</v>
      </c>
      <c r="K3015">
        <v>0.83</v>
      </c>
      <c r="L3015">
        <v>4.6500000000000004</v>
      </c>
      <c r="M3015">
        <v>4.72</v>
      </c>
      <c r="N3015">
        <v>4.5999999999999996</v>
      </c>
    </row>
    <row r="3016" spans="1:14" x14ac:dyDescent="0.5">
      <c r="A3016" t="str">
        <f>"601228"</f>
        <v>601228</v>
      </c>
      <c r="B3016" t="s">
        <v>5674</v>
      </c>
      <c r="C3016">
        <v>0.41</v>
      </c>
      <c r="D3016">
        <v>34.74</v>
      </c>
      <c r="E3016">
        <v>4.8899999999999997</v>
      </c>
      <c r="F3016">
        <v>0.02</v>
      </c>
      <c r="G3016">
        <v>4.8899999999999997</v>
      </c>
      <c r="H3016">
        <v>4.9000000000000004</v>
      </c>
      <c r="I3016" t="s">
        <v>5675</v>
      </c>
      <c r="J3016">
        <v>1.81</v>
      </c>
      <c r="K3016">
        <v>1.81</v>
      </c>
      <c r="L3016">
        <v>4.83</v>
      </c>
      <c r="M3016">
        <v>4.8899999999999997</v>
      </c>
      <c r="N3016">
        <v>4.8099999999999996</v>
      </c>
    </row>
    <row r="3017" spans="1:14" x14ac:dyDescent="0.5">
      <c r="A3017" t="str">
        <f>"601229"</f>
        <v>601229</v>
      </c>
      <c r="B3017" t="s">
        <v>5676</v>
      </c>
      <c r="C3017">
        <v>-0.08</v>
      </c>
      <c r="D3017">
        <v>7.59</v>
      </c>
      <c r="E3017">
        <v>12.58</v>
      </c>
      <c r="F3017">
        <v>-0.01</v>
      </c>
      <c r="G3017">
        <v>12.58</v>
      </c>
      <c r="H3017">
        <v>12.59</v>
      </c>
      <c r="I3017" t="s">
        <v>5677</v>
      </c>
      <c r="J3017">
        <v>0.73</v>
      </c>
      <c r="K3017">
        <v>0.73</v>
      </c>
      <c r="L3017">
        <v>12.53</v>
      </c>
      <c r="M3017">
        <v>12.62</v>
      </c>
      <c r="N3017">
        <v>12.44</v>
      </c>
    </row>
    <row r="3018" spans="1:14" x14ac:dyDescent="0.5">
      <c r="A3018" t="str">
        <f>"601231"</f>
        <v>601231</v>
      </c>
      <c r="B3018" t="s">
        <v>5678</v>
      </c>
      <c r="C3018">
        <v>8.07</v>
      </c>
      <c r="D3018">
        <v>21.61</v>
      </c>
      <c r="E3018">
        <v>13.13</v>
      </c>
      <c r="F3018">
        <v>0.98</v>
      </c>
      <c r="G3018">
        <v>13.12</v>
      </c>
      <c r="H3018">
        <v>13.13</v>
      </c>
      <c r="I3018" t="s">
        <v>5679</v>
      </c>
      <c r="J3018">
        <v>1.39</v>
      </c>
      <c r="K3018">
        <v>1.39</v>
      </c>
      <c r="L3018">
        <v>12.15</v>
      </c>
      <c r="M3018">
        <v>13.33</v>
      </c>
      <c r="N3018">
        <v>12.15</v>
      </c>
    </row>
    <row r="3019" spans="1:14" x14ac:dyDescent="0.5">
      <c r="A3019" t="str">
        <f>"601233"</f>
        <v>601233</v>
      </c>
      <c r="B3019" t="s">
        <v>5680</v>
      </c>
      <c r="C3019">
        <v>0.93</v>
      </c>
      <c r="D3019">
        <v>7.52</v>
      </c>
      <c r="E3019">
        <v>13.05</v>
      </c>
      <c r="F3019">
        <v>0.12</v>
      </c>
      <c r="G3019">
        <v>13.05</v>
      </c>
      <c r="H3019">
        <v>13.06</v>
      </c>
      <c r="I3019" t="s">
        <v>5681</v>
      </c>
      <c r="J3019">
        <v>2.0299999999999998</v>
      </c>
      <c r="K3019">
        <v>2.0299999999999998</v>
      </c>
      <c r="L3019">
        <v>12.9</v>
      </c>
      <c r="M3019">
        <v>13.06</v>
      </c>
      <c r="N3019">
        <v>12.76</v>
      </c>
    </row>
    <row r="3020" spans="1:14" x14ac:dyDescent="0.5">
      <c r="A3020" t="str">
        <f>"601238"</f>
        <v>601238</v>
      </c>
      <c r="B3020" t="s">
        <v>5682</v>
      </c>
      <c r="C3020">
        <v>1.07</v>
      </c>
      <c r="D3020">
        <v>10.59</v>
      </c>
      <c r="E3020">
        <v>12.27</v>
      </c>
      <c r="F3020">
        <v>0.13</v>
      </c>
      <c r="G3020">
        <v>12.27</v>
      </c>
      <c r="H3020">
        <v>12.28</v>
      </c>
      <c r="I3020" t="s">
        <v>5683</v>
      </c>
      <c r="J3020">
        <v>0.21</v>
      </c>
      <c r="K3020">
        <v>0.21</v>
      </c>
      <c r="L3020">
        <v>12.14</v>
      </c>
      <c r="M3020">
        <v>12.31</v>
      </c>
      <c r="N3020">
        <v>12.14</v>
      </c>
    </row>
    <row r="3021" spans="1:14" x14ac:dyDescent="0.5">
      <c r="A3021" t="str">
        <f>"601258"</f>
        <v>601258</v>
      </c>
      <c r="B3021" t="s">
        <v>5684</v>
      </c>
      <c r="C3021">
        <v>-0.53</v>
      </c>
      <c r="D3021" t="s">
        <v>24</v>
      </c>
      <c r="E3021">
        <v>1.87</v>
      </c>
      <c r="F3021">
        <v>-0.01</v>
      </c>
      <c r="G3021">
        <v>1.86</v>
      </c>
      <c r="H3021">
        <v>1.87</v>
      </c>
      <c r="I3021" t="s">
        <v>5685</v>
      </c>
      <c r="J3021">
        <v>6.19</v>
      </c>
      <c r="K3021">
        <v>6.19</v>
      </c>
      <c r="L3021">
        <v>1.81</v>
      </c>
      <c r="M3021">
        <v>1.87</v>
      </c>
      <c r="N3021">
        <v>1.78</v>
      </c>
    </row>
    <row r="3022" spans="1:14" x14ac:dyDescent="0.5">
      <c r="A3022" t="str">
        <f>"601288"</f>
        <v>601288</v>
      </c>
      <c r="B3022" t="s">
        <v>5686</v>
      </c>
      <c r="C3022">
        <v>-0.78</v>
      </c>
      <c r="D3022">
        <v>6.59</v>
      </c>
      <c r="E3022">
        <v>3.84</v>
      </c>
      <c r="F3022">
        <v>-0.03</v>
      </c>
      <c r="G3022">
        <v>3.84</v>
      </c>
      <c r="H3022">
        <v>3.85</v>
      </c>
      <c r="I3022" t="s">
        <v>5687</v>
      </c>
      <c r="J3022">
        <v>0.16</v>
      </c>
      <c r="K3022">
        <v>0.16</v>
      </c>
      <c r="L3022">
        <v>3.85</v>
      </c>
      <c r="M3022">
        <v>3.86</v>
      </c>
      <c r="N3022">
        <v>3.82</v>
      </c>
    </row>
    <row r="3023" spans="1:14" x14ac:dyDescent="0.5">
      <c r="A3023" t="str">
        <f>"601298"</f>
        <v>601298</v>
      </c>
      <c r="B3023" t="s">
        <v>5688</v>
      </c>
      <c r="C3023">
        <v>-0.49</v>
      </c>
      <c r="D3023">
        <v>14.64</v>
      </c>
      <c r="E3023">
        <v>8.1</v>
      </c>
      <c r="F3023">
        <v>-0.04</v>
      </c>
      <c r="G3023">
        <v>8.1</v>
      </c>
      <c r="H3023">
        <v>8.11</v>
      </c>
      <c r="I3023" t="s">
        <v>5689</v>
      </c>
      <c r="J3023">
        <v>19.36</v>
      </c>
      <c r="K3023">
        <v>19.36</v>
      </c>
      <c r="L3023">
        <v>8.01</v>
      </c>
      <c r="M3023">
        <v>8.1199999999999992</v>
      </c>
      <c r="N3023">
        <v>7.98</v>
      </c>
    </row>
    <row r="3024" spans="1:14" x14ac:dyDescent="0.5">
      <c r="A3024" t="str">
        <f>"601311"</f>
        <v>601311</v>
      </c>
      <c r="B3024" t="s">
        <v>5690</v>
      </c>
      <c r="C3024">
        <v>9.98</v>
      </c>
      <c r="D3024">
        <v>16.170000000000002</v>
      </c>
      <c r="E3024">
        <v>11.02</v>
      </c>
      <c r="F3024">
        <v>1</v>
      </c>
      <c r="G3024">
        <v>11.02</v>
      </c>
      <c r="H3024" t="s">
        <v>24</v>
      </c>
      <c r="I3024" t="s">
        <v>5691</v>
      </c>
      <c r="J3024">
        <v>0.64</v>
      </c>
      <c r="K3024">
        <v>0.64</v>
      </c>
      <c r="L3024">
        <v>11.02</v>
      </c>
      <c r="M3024">
        <v>11.02</v>
      </c>
      <c r="N3024">
        <v>11.02</v>
      </c>
    </row>
    <row r="3025" spans="1:14" x14ac:dyDescent="0.5">
      <c r="A3025" t="str">
        <f>"601318"</f>
        <v>601318</v>
      </c>
      <c r="B3025" t="s">
        <v>5692</v>
      </c>
      <c r="C3025">
        <v>-0.7</v>
      </c>
      <c r="D3025">
        <v>12.95</v>
      </c>
      <c r="E3025">
        <v>72.069999999999993</v>
      </c>
      <c r="F3025">
        <v>-0.51</v>
      </c>
      <c r="G3025">
        <v>72.069999999999993</v>
      </c>
      <c r="H3025">
        <v>72.08</v>
      </c>
      <c r="I3025" t="s">
        <v>5693</v>
      </c>
      <c r="J3025">
        <v>0.61</v>
      </c>
      <c r="K3025">
        <v>0.61</v>
      </c>
      <c r="L3025">
        <v>72.48</v>
      </c>
      <c r="M3025">
        <v>72.739999999999995</v>
      </c>
      <c r="N3025">
        <v>71.569999999999993</v>
      </c>
    </row>
    <row r="3026" spans="1:14" x14ac:dyDescent="0.5">
      <c r="A3026" t="str">
        <f>"601319"</f>
        <v>601319</v>
      </c>
      <c r="B3026" t="s">
        <v>5694</v>
      </c>
      <c r="C3026">
        <v>9.9600000000000009</v>
      </c>
      <c r="D3026">
        <v>27.13</v>
      </c>
      <c r="E3026">
        <v>10.6</v>
      </c>
      <c r="F3026">
        <v>0.96</v>
      </c>
      <c r="G3026">
        <v>10.6</v>
      </c>
      <c r="H3026" t="s">
        <v>24</v>
      </c>
      <c r="I3026" t="s">
        <v>5695</v>
      </c>
      <c r="J3026">
        <v>35.89</v>
      </c>
      <c r="K3026">
        <v>35.89</v>
      </c>
      <c r="L3026">
        <v>10</v>
      </c>
      <c r="M3026">
        <v>10.6</v>
      </c>
      <c r="N3026">
        <v>9.86</v>
      </c>
    </row>
    <row r="3027" spans="1:14" x14ac:dyDescent="0.5">
      <c r="A3027" t="str">
        <f>"601326"</f>
        <v>601326</v>
      </c>
      <c r="B3027" t="s">
        <v>5696</v>
      </c>
      <c r="C3027">
        <v>0.83</v>
      </c>
      <c r="D3027">
        <v>19.12</v>
      </c>
      <c r="E3027">
        <v>3.64</v>
      </c>
      <c r="F3027">
        <v>0.03</v>
      </c>
      <c r="G3027">
        <v>3.63</v>
      </c>
      <c r="H3027">
        <v>3.64</v>
      </c>
      <c r="I3027" t="s">
        <v>5697</v>
      </c>
      <c r="J3027">
        <v>1.2</v>
      </c>
      <c r="K3027">
        <v>1.2</v>
      </c>
      <c r="L3027">
        <v>3.58</v>
      </c>
      <c r="M3027">
        <v>3.65</v>
      </c>
      <c r="N3027">
        <v>3.57</v>
      </c>
    </row>
    <row r="3028" spans="1:14" x14ac:dyDescent="0.5">
      <c r="A3028" t="str">
        <f>"601328"</f>
        <v>601328</v>
      </c>
      <c r="B3028" t="s">
        <v>5698</v>
      </c>
      <c r="C3028">
        <v>0.45</v>
      </c>
      <c r="D3028">
        <v>6.69</v>
      </c>
      <c r="E3028">
        <v>6.73</v>
      </c>
      <c r="F3028">
        <v>0.03</v>
      </c>
      <c r="G3028">
        <v>6.73</v>
      </c>
      <c r="H3028">
        <v>6.74</v>
      </c>
      <c r="I3028" t="s">
        <v>5699</v>
      </c>
      <c r="J3028">
        <v>0.35</v>
      </c>
      <c r="K3028">
        <v>0.35</v>
      </c>
      <c r="L3028">
        <v>6.7</v>
      </c>
      <c r="M3028">
        <v>6.8</v>
      </c>
      <c r="N3028">
        <v>6.66</v>
      </c>
    </row>
    <row r="3029" spans="1:14" x14ac:dyDescent="0.5">
      <c r="A3029" t="str">
        <f>"601330"</f>
        <v>601330</v>
      </c>
      <c r="B3029" t="s">
        <v>5700</v>
      </c>
      <c r="C3029">
        <v>-0.92</v>
      </c>
      <c r="D3029">
        <v>53.37</v>
      </c>
      <c r="E3029">
        <v>13.96</v>
      </c>
      <c r="F3029">
        <v>-0.13</v>
      </c>
      <c r="G3029">
        <v>13.95</v>
      </c>
      <c r="H3029">
        <v>13.96</v>
      </c>
      <c r="I3029" t="s">
        <v>5701</v>
      </c>
      <c r="J3029">
        <v>18.18</v>
      </c>
      <c r="K3029">
        <v>18.18</v>
      </c>
      <c r="L3029">
        <v>13.97</v>
      </c>
      <c r="M3029">
        <v>14.09</v>
      </c>
      <c r="N3029">
        <v>13.71</v>
      </c>
    </row>
    <row r="3030" spans="1:14" x14ac:dyDescent="0.5">
      <c r="A3030" t="str">
        <f>"601333"</f>
        <v>601333</v>
      </c>
      <c r="B3030" t="s">
        <v>5702</v>
      </c>
      <c r="C3030">
        <v>0.52</v>
      </c>
      <c r="D3030">
        <v>24.81</v>
      </c>
      <c r="E3030">
        <v>3.86</v>
      </c>
      <c r="F3030">
        <v>0.02</v>
      </c>
      <c r="G3030">
        <v>3.86</v>
      </c>
      <c r="H3030">
        <v>3.87</v>
      </c>
      <c r="I3030" t="s">
        <v>5703</v>
      </c>
      <c r="J3030">
        <v>0.66</v>
      </c>
      <c r="K3030">
        <v>0.66</v>
      </c>
      <c r="L3030">
        <v>3.82</v>
      </c>
      <c r="M3030">
        <v>3.87</v>
      </c>
      <c r="N3030">
        <v>3.81</v>
      </c>
    </row>
    <row r="3031" spans="1:14" x14ac:dyDescent="0.5">
      <c r="A3031" t="str">
        <f>"601336"</f>
        <v>601336</v>
      </c>
      <c r="B3031" t="s">
        <v>5704</v>
      </c>
      <c r="C3031">
        <v>0.37</v>
      </c>
      <c r="D3031">
        <v>20.3</v>
      </c>
      <c r="E3031">
        <v>54</v>
      </c>
      <c r="F3031">
        <v>0.2</v>
      </c>
      <c r="G3031">
        <v>53.99</v>
      </c>
      <c r="H3031">
        <v>54</v>
      </c>
      <c r="I3031" t="s">
        <v>5705</v>
      </c>
      <c r="J3031">
        <v>0.9</v>
      </c>
      <c r="K3031">
        <v>0.9</v>
      </c>
      <c r="L3031">
        <v>53.31</v>
      </c>
      <c r="M3031">
        <v>54.54</v>
      </c>
      <c r="N3031">
        <v>52.7</v>
      </c>
    </row>
    <row r="3032" spans="1:14" x14ac:dyDescent="0.5">
      <c r="A3032" t="str">
        <f>"601339"</f>
        <v>601339</v>
      </c>
      <c r="B3032" t="s">
        <v>5706</v>
      </c>
      <c r="C3032">
        <v>0.56999999999999995</v>
      </c>
      <c r="D3032">
        <v>13.89</v>
      </c>
      <c r="E3032">
        <v>5.28</v>
      </c>
      <c r="F3032">
        <v>0.03</v>
      </c>
      <c r="G3032">
        <v>5.27</v>
      </c>
      <c r="H3032">
        <v>5.28</v>
      </c>
      <c r="I3032" t="s">
        <v>5707</v>
      </c>
      <c r="J3032">
        <v>0.45</v>
      </c>
      <c r="K3032">
        <v>0.45</v>
      </c>
      <c r="L3032">
        <v>5.24</v>
      </c>
      <c r="M3032">
        <v>5.28</v>
      </c>
      <c r="N3032">
        <v>5.22</v>
      </c>
    </row>
    <row r="3033" spans="1:14" x14ac:dyDescent="0.5">
      <c r="A3033" t="str">
        <f>"601360"</f>
        <v>601360</v>
      </c>
      <c r="B3033" t="s">
        <v>5708</v>
      </c>
      <c r="C3033">
        <v>2.4700000000000002</v>
      </c>
      <c r="D3033">
        <v>690.9</v>
      </c>
      <c r="E3033">
        <v>26.95</v>
      </c>
      <c r="F3033">
        <v>0.65</v>
      </c>
      <c r="G3033">
        <v>26.95</v>
      </c>
      <c r="H3033">
        <v>26.96</v>
      </c>
      <c r="I3033" t="s">
        <v>5709</v>
      </c>
      <c r="J3033">
        <v>3.48</v>
      </c>
      <c r="K3033">
        <v>3.48</v>
      </c>
      <c r="L3033">
        <v>26</v>
      </c>
      <c r="M3033">
        <v>27.1</v>
      </c>
      <c r="N3033">
        <v>25.9</v>
      </c>
    </row>
    <row r="3034" spans="1:14" x14ac:dyDescent="0.5">
      <c r="A3034" t="str">
        <f>"601366"</f>
        <v>601366</v>
      </c>
      <c r="B3034" t="s">
        <v>5710</v>
      </c>
      <c r="C3034">
        <v>2.78</v>
      </c>
      <c r="D3034">
        <v>13.93</v>
      </c>
      <c r="E3034">
        <v>7.02</v>
      </c>
      <c r="F3034">
        <v>0.19</v>
      </c>
      <c r="G3034">
        <v>7.01</v>
      </c>
      <c r="H3034">
        <v>7.02</v>
      </c>
      <c r="I3034" t="s">
        <v>1576</v>
      </c>
      <c r="J3034">
        <v>3.18</v>
      </c>
      <c r="K3034">
        <v>3.18</v>
      </c>
      <c r="L3034">
        <v>6.83</v>
      </c>
      <c r="M3034">
        <v>7.03</v>
      </c>
      <c r="N3034">
        <v>6.8</v>
      </c>
    </row>
    <row r="3035" spans="1:14" x14ac:dyDescent="0.5">
      <c r="A3035" t="str">
        <f>"601368"</f>
        <v>601368</v>
      </c>
      <c r="B3035" t="s">
        <v>5711</v>
      </c>
      <c r="C3035">
        <v>1.7</v>
      </c>
      <c r="D3035">
        <v>16.309999999999999</v>
      </c>
      <c r="E3035">
        <v>6.57</v>
      </c>
      <c r="F3035">
        <v>0.11</v>
      </c>
      <c r="G3035">
        <v>6.56</v>
      </c>
      <c r="H3035">
        <v>6.57</v>
      </c>
      <c r="I3035" t="s">
        <v>5712</v>
      </c>
      <c r="J3035">
        <v>0.49</v>
      </c>
      <c r="K3035">
        <v>0.49</v>
      </c>
      <c r="L3035">
        <v>6.46</v>
      </c>
      <c r="M3035">
        <v>6.58</v>
      </c>
      <c r="N3035">
        <v>6.42</v>
      </c>
    </row>
    <row r="3036" spans="1:14" x14ac:dyDescent="0.5">
      <c r="A3036" t="str">
        <f>"601369"</f>
        <v>601369</v>
      </c>
      <c r="B3036" t="s">
        <v>5713</v>
      </c>
      <c r="C3036">
        <v>1.78</v>
      </c>
      <c r="D3036">
        <v>29.96</v>
      </c>
      <c r="E3036">
        <v>6.85</v>
      </c>
      <c r="F3036">
        <v>0.12</v>
      </c>
      <c r="G3036">
        <v>6.84</v>
      </c>
      <c r="H3036">
        <v>6.85</v>
      </c>
      <c r="I3036" t="s">
        <v>5714</v>
      </c>
      <c r="J3036">
        <v>0.44</v>
      </c>
      <c r="K3036">
        <v>0.44</v>
      </c>
      <c r="L3036">
        <v>6.71</v>
      </c>
      <c r="M3036">
        <v>6.92</v>
      </c>
      <c r="N3036">
        <v>6.69</v>
      </c>
    </row>
    <row r="3037" spans="1:14" x14ac:dyDescent="0.5">
      <c r="A3037" t="str">
        <f>"601375"</f>
        <v>601375</v>
      </c>
      <c r="B3037" t="s">
        <v>5715</v>
      </c>
      <c r="C3037">
        <v>0.85</v>
      </c>
      <c r="D3037">
        <v>100.36</v>
      </c>
      <c r="E3037">
        <v>5.93</v>
      </c>
      <c r="F3037">
        <v>0.05</v>
      </c>
      <c r="G3037">
        <v>5.93</v>
      </c>
      <c r="H3037">
        <v>5.94</v>
      </c>
      <c r="I3037" t="s">
        <v>5716</v>
      </c>
      <c r="J3037">
        <v>3.29</v>
      </c>
      <c r="K3037">
        <v>3.29</v>
      </c>
      <c r="L3037">
        <v>5.74</v>
      </c>
      <c r="M3037">
        <v>5.93</v>
      </c>
      <c r="N3037">
        <v>5.7</v>
      </c>
    </row>
    <row r="3038" spans="1:14" x14ac:dyDescent="0.5">
      <c r="A3038" t="str">
        <f>"601377"</f>
        <v>601377</v>
      </c>
      <c r="B3038" t="s">
        <v>5717</v>
      </c>
      <c r="C3038">
        <v>-0.28000000000000003</v>
      </c>
      <c r="D3038">
        <v>45.75</v>
      </c>
      <c r="E3038">
        <v>7.04</v>
      </c>
      <c r="F3038">
        <v>-0.02</v>
      </c>
      <c r="G3038">
        <v>7.04</v>
      </c>
      <c r="H3038">
        <v>7.05</v>
      </c>
      <c r="I3038" t="s">
        <v>5718</v>
      </c>
      <c r="J3038">
        <v>2.02</v>
      </c>
      <c r="K3038">
        <v>2.02</v>
      </c>
      <c r="L3038">
        <v>6.97</v>
      </c>
      <c r="M3038">
        <v>7.07</v>
      </c>
      <c r="N3038">
        <v>6.9</v>
      </c>
    </row>
    <row r="3039" spans="1:14" x14ac:dyDescent="0.5">
      <c r="A3039" t="str">
        <f>"601388"</f>
        <v>601388</v>
      </c>
      <c r="B3039" t="s">
        <v>5719</v>
      </c>
      <c r="C3039">
        <v>8.42</v>
      </c>
      <c r="D3039">
        <v>32.75</v>
      </c>
      <c r="E3039">
        <v>2.96</v>
      </c>
      <c r="F3039">
        <v>0.23</v>
      </c>
      <c r="G3039">
        <v>2.96</v>
      </c>
      <c r="H3039">
        <v>2.97</v>
      </c>
      <c r="I3039" t="s">
        <v>5720</v>
      </c>
      <c r="J3039">
        <v>6.65</v>
      </c>
      <c r="K3039">
        <v>6.65</v>
      </c>
      <c r="L3039">
        <v>2.71</v>
      </c>
      <c r="M3039">
        <v>3</v>
      </c>
      <c r="N3039">
        <v>2.68</v>
      </c>
    </row>
    <row r="3040" spans="1:14" x14ac:dyDescent="0.5">
      <c r="A3040" t="str">
        <f>"601390"</f>
        <v>601390</v>
      </c>
      <c r="B3040" t="s">
        <v>5721</v>
      </c>
      <c r="C3040">
        <v>0.66</v>
      </c>
      <c r="D3040">
        <v>9.43</v>
      </c>
      <c r="E3040">
        <v>7.57</v>
      </c>
      <c r="F3040">
        <v>0.05</v>
      </c>
      <c r="G3040">
        <v>7.57</v>
      </c>
      <c r="H3040">
        <v>7.58</v>
      </c>
      <c r="I3040" t="s">
        <v>5722</v>
      </c>
      <c r="J3040">
        <v>0.72</v>
      </c>
      <c r="K3040">
        <v>0.72</v>
      </c>
      <c r="L3040">
        <v>7.48</v>
      </c>
      <c r="M3040">
        <v>7.66</v>
      </c>
      <c r="N3040">
        <v>7.44</v>
      </c>
    </row>
    <row r="3041" spans="1:14" x14ac:dyDescent="0.5">
      <c r="A3041" t="str">
        <f>"601398"</f>
        <v>601398</v>
      </c>
      <c r="B3041" t="s">
        <v>5723</v>
      </c>
      <c r="C3041">
        <v>-0.68</v>
      </c>
      <c r="D3041">
        <v>7</v>
      </c>
      <c r="E3041">
        <v>5.82</v>
      </c>
      <c r="F3041">
        <v>-0.04</v>
      </c>
      <c r="G3041">
        <v>5.82</v>
      </c>
      <c r="H3041">
        <v>5.83</v>
      </c>
      <c r="I3041" t="s">
        <v>5724</v>
      </c>
      <c r="J3041">
        <v>0.12</v>
      </c>
      <c r="K3041">
        <v>0.12</v>
      </c>
      <c r="L3041">
        <v>5.83</v>
      </c>
      <c r="M3041">
        <v>5.84</v>
      </c>
      <c r="N3041">
        <v>5.77</v>
      </c>
    </row>
    <row r="3042" spans="1:14" x14ac:dyDescent="0.5">
      <c r="A3042" t="str">
        <f>"601500"</f>
        <v>601500</v>
      </c>
      <c r="B3042" t="s">
        <v>5725</v>
      </c>
      <c r="C3042">
        <v>2.75</v>
      </c>
      <c r="D3042">
        <v>33.51</v>
      </c>
      <c r="E3042">
        <v>7.46</v>
      </c>
      <c r="F3042">
        <v>0.2</v>
      </c>
      <c r="G3042">
        <v>7.46</v>
      </c>
      <c r="H3042">
        <v>7.47</v>
      </c>
      <c r="I3042" t="s">
        <v>5726</v>
      </c>
      <c r="J3042">
        <v>2.27</v>
      </c>
      <c r="K3042">
        <v>2.27</v>
      </c>
      <c r="L3042">
        <v>7.2</v>
      </c>
      <c r="M3042">
        <v>7.48</v>
      </c>
      <c r="N3042">
        <v>7.2</v>
      </c>
    </row>
    <row r="3043" spans="1:14" x14ac:dyDescent="0.5">
      <c r="A3043" t="str">
        <f>"601515"</f>
        <v>601515</v>
      </c>
      <c r="B3043" t="s">
        <v>5727</v>
      </c>
      <c r="C3043">
        <v>0.54</v>
      </c>
      <c r="D3043">
        <v>16.149999999999999</v>
      </c>
      <c r="E3043">
        <v>9.39</v>
      </c>
      <c r="F3043">
        <v>0.05</v>
      </c>
      <c r="G3043">
        <v>9.39</v>
      </c>
      <c r="H3043">
        <v>9.4</v>
      </c>
      <c r="I3043" t="s">
        <v>5728</v>
      </c>
      <c r="J3043">
        <v>0.79</v>
      </c>
      <c r="K3043">
        <v>0.79</v>
      </c>
      <c r="L3043">
        <v>9.23</v>
      </c>
      <c r="M3043">
        <v>9.48</v>
      </c>
      <c r="N3043">
        <v>9.14</v>
      </c>
    </row>
    <row r="3044" spans="1:14" x14ac:dyDescent="0.5">
      <c r="A3044" t="str">
        <f>"601518"</f>
        <v>601518</v>
      </c>
      <c r="B3044" t="s">
        <v>5729</v>
      </c>
      <c r="C3044">
        <v>0.96</v>
      </c>
      <c r="D3044">
        <v>15.02</v>
      </c>
      <c r="E3044">
        <v>3.14</v>
      </c>
      <c r="F3044">
        <v>0.03</v>
      </c>
      <c r="G3044">
        <v>3.13</v>
      </c>
      <c r="H3044">
        <v>3.14</v>
      </c>
      <c r="I3044" t="s">
        <v>5730</v>
      </c>
      <c r="J3044">
        <v>1.73</v>
      </c>
      <c r="K3044">
        <v>1.73</v>
      </c>
      <c r="L3044">
        <v>3.11</v>
      </c>
      <c r="M3044">
        <v>3.14</v>
      </c>
      <c r="N3044">
        <v>3.05</v>
      </c>
    </row>
    <row r="3045" spans="1:14" x14ac:dyDescent="0.5">
      <c r="A3045" t="str">
        <f>"601519"</f>
        <v>601519</v>
      </c>
      <c r="B3045" t="s">
        <v>5731</v>
      </c>
      <c r="C3045">
        <v>10.050000000000001</v>
      </c>
      <c r="D3045" t="s">
        <v>24</v>
      </c>
      <c r="E3045">
        <v>9.75</v>
      </c>
      <c r="F3045">
        <v>0.89</v>
      </c>
      <c r="G3045">
        <v>9.75</v>
      </c>
      <c r="H3045" t="s">
        <v>24</v>
      </c>
      <c r="I3045" t="s">
        <v>5732</v>
      </c>
      <c r="J3045">
        <v>6.52</v>
      </c>
      <c r="K3045">
        <v>6.52</v>
      </c>
      <c r="L3045">
        <v>9</v>
      </c>
      <c r="M3045">
        <v>9.75</v>
      </c>
      <c r="N3045">
        <v>8.86</v>
      </c>
    </row>
    <row r="3046" spans="1:14" x14ac:dyDescent="0.5">
      <c r="A3046" t="str">
        <f>"601555"</f>
        <v>601555</v>
      </c>
      <c r="B3046" t="s">
        <v>5733</v>
      </c>
      <c r="C3046">
        <v>-0.32</v>
      </c>
      <c r="D3046">
        <v>163.66999999999999</v>
      </c>
      <c r="E3046">
        <v>9.42</v>
      </c>
      <c r="F3046">
        <v>-0.03</v>
      </c>
      <c r="G3046">
        <v>9.42</v>
      </c>
      <c r="H3046">
        <v>9.43</v>
      </c>
      <c r="I3046" t="s">
        <v>5734</v>
      </c>
      <c r="J3046">
        <v>1.49</v>
      </c>
      <c r="K3046">
        <v>1.49</v>
      </c>
      <c r="L3046">
        <v>9.3699999999999992</v>
      </c>
      <c r="M3046">
        <v>9.5</v>
      </c>
      <c r="N3046">
        <v>9.24</v>
      </c>
    </row>
    <row r="3047" spans="1:14" x14ac:dyDescent="0.5">
      <c r="A3047" t="str">
        <f>"601558"</f>
        <v>601558</v>
      </c>
      <c r="B3047" t="s">
        <v>5735</v>
      </c>
      <c r="C3047">
        <v>0.74</v>
      </c>
      <c r="D3047" t="s">
        <v>24</v>
      </c>
      <c r="E3047">
        <v>1.37</v>
      </c>
      <c r="F3047">
        <v>0.01</v>
      </c>
      <c r="G3047">
        <v>1.37</v>
      </c>
      <c r="H3047">
        <v>1.38</v>
      </c>
      <c r="I3047" t="s">
        <v>5736</v>
      </c>
      <c r="J3047">
        <v>0.98</v>
      </c>
      <c r="K3047">
        <v>0.98</v>
      </c>
      <c r="L3047">
        <v>1.35</v>
      </c>
      <c r="M3047">
        <v>1.38</v>
      </c>
      <c r="N3047">
        <v>1.34</v>
      </c>
    </row>
    <row r="3048" spans="1:14" x14ac:dyDescent="0.5">
      <c r="A3048" t="str">
        <f>"601566"</f>
        <v>601566</v>
      </c>
      <c r="B3048" t="s">
        <v>5737</v>
      </c>
      <c r="C3048">
        <v>-7.0000000000000007E-2</v>
      </c>
      <c r="D3048">
        <v>15.79</v>
      </c>
      <c r="E3048">
        <v>13.79</v>
      </c>
      <c r="F3048">
        <v>-0.01</v>
      </c>
      <c r="G3048">
        <v>13.79</v>
      </c>
      <c r="H3048">
        <v>13.8</v>
      </c>
      <c r="I3048" t="s">
        <v>5738</v>
      </c>
      <c r="J3048">
        <v>0.87</v>
      </c>
      <c r="K3048">
        <v>0.87</v>
      </c>
      <c r="L3048">
        <v>13.83</v>
      </c>
      <c r="M3048">
        <v>13.83</v>
      </c>
      <c r="N3048">
        <v>13.53</v>
      </c>
    </row>
    <row r="3049" spans="1:14" x14ac:dyDescent="0.5">
      <c r="A3049" t="str">
        <f>"601567"</f>
        <v>601567</v>
      </c>
      <c r="B3049" t="s">
        <v>5739</v>
      </c>
      <c r="C3049">
        <v>0.3</v>
      </c>
      <c r="D3049">
        <v>10.46</v>
      </c>
      <c r="E3049">
        <v>6.75</v>
      </c>
      <c r="F3049">
        <v>0.02</v>
      </c>
      <c r="G3049">
        <v>6.75</v>
      </c>
      <c r="H3049">
        <v>6.76</v>
      </c>
      <c r="I3049" t="s">
        <v>5740</v>
      </c>
      <c r="J3049">
        <v>0.45</v>
      </c>
      <c r="K3049">
        <v>0.45</v>
      </c>
      <c r="L3049">
        <v>6.73</v>
      </c>
      <c r="M3049">
        <v>6.78</v>
      </c>
      <c r="N3049">
        <v>6.67</v>
      </c>
    </row>
    <row r="3050" spans="1:14" x14ac:dyDescent="0.5">
      <c r="A3050" t="str">
        <f>"601577"</f>
        <v>601577</v>
      </c>
      <c r="B3050" t="s">
        <v>5741</v>
      </c>
      <c r="C3050">
        <v>-0.97</v>
      </c>
      <c r="D3050">
        <v>8.8699999999999992</v>
      </c>
      <c r="E3050">
        <v>11.28</v>
      </c>
      <c r="F3050">
        <v>-0.11</v>
      </c>
      <c r="G3050">
        <v>11.28</v>
      </c>
      <c r="H3050">
        <v>11.29</v>
      </c>
      <c r="I3050" t="s">
        <v>3855</v>
      </c>
      <c r="J3050">
        <v>17.61</v>
      </c>
      <c r="K3050">
        <v>17.61</v>
      </c>
      <c r="L3050">
        <v>11.07</v>
      </c>
      <c r="M3050">
        <v>11.43</v>
      </c>
      <c r="N3050">
        <v>11.02</v>
      </c>
    </row>
    <row r="3051" spans="1:14" x14ac:dyDescent="0.5">
      <c r="A3051" t="str">
        <f>"601579"</f>
        <v>601579</v>
      </c>
      <c r="B3051" t="s">
        <v>5742</v>
      </c>
      <c r="C3051">
        <v>0.72</v>
      </c>
      <c r="D3051">
        <v>26.22</v>
      </c>
      <c r="E3051">
        <v>9.86</v>
      </c>
      <c r="F3051">
        <v>7.0000000000000007E-2</v>
      </c>
      <c r="G3051">
        <v>9.85</v>
      </c>
      <c r="H3051">
        <v>9.86</v>
      </c>
      <c r="I3051" t="s">
        <v>5743</v>
      </c>
      <c r="J3051">
        <v>0.51</v>
      </c>
      <c r="K3051">
        <v>0.51</v>
      </c>
      <c r="L3051">
        <v>9.77</v>
      </c>
      <c r="M3051">
        <v>9.8699999999999992</v>
      </c>
      <c r="N3051">
        <v>9.73</v>
      </c>
    </row>
    <row r="3052" spans="1:14" x14ac:dyDescent="0.5">
      <c r="A3052" t="str">
        <f>"601588"</f>
        <v>601588</v>
      </c>
      <c r="B3052" t="s">
        <v>5744</v>
      </c>
      <c r="C3052">
        <v>0.87</v>
      </c>
      <c r="D3052">
        <v>7.62</v>
      </c>
      <c r="E3052">
        <v>3.46</v>
      </c>
      <c r="F3052">
        <v>0.03</v>
      </c>
      <c r="G3052">
        <v>3.45</v>
      </c>
      <c r="H3052">
        <v>3.46</v>
      </c>
      <c r="I3052" t="s">
        <v>5745</v>
      </c>
      <c r="J3052">
        <v>1.18</v>
      </c>
      <c r="K3052">
        <v>1.18</v>
      </c>
      <c r="L3052">
        <v>3.43</v>
      </c>
      <c r="M3052">
        <v>3.47</v>
      </c>
      <c r="N3052">
        <v>3.39</v>
      </c>
    </row>
    <row r="3053" spans="1:14" x14ac:dyDescent="0.5">
      <c r="A3053" t="str">
        <f>"601595"</f>
        <v>601595</v>
      </c>
      <c r="B3053" t="s">
        <v>5746</v>
      </c>
      <c r="C3053">
        <v>1.1399999999999999</v>
      </c>
      <c r="D3053">
        <v>25.78</v>
      </c>
      <c r="E3053">
        <v>14.24</v>
      </c>
      <c r="F3053">
        <v>0.16</v>
      </c>
      <c r="G3053">
        <v>14.24</v>
      </c>
      <c r="H3053">
        <v>14.25</v>
      </c>
      <c r="I3053" t="s">
        <v>5747</v>
      </c>
      <c r="J3053">
        <v>2.3199999999999998</v>
      </c>
      <c r="K3053">
        <v>2.3199999999999998</v>
      </c>
      <c r="L3053">
        <v>14.08</v>
      </c>
      <c r="M3053">
        <v>14.29</v>
      </c>
      <c r="N3053">
        <v>13.98</v>
      </c>
    </row>
    <row r="3054" spans="1:14" x14ac:dyDescent="0.5">
      <c r="A3054" t="str">
        <f>"601598"</f>
        <v>601598</v>
      </c>
      <c r="B3054" t="s">
        <v>5748</v>
      </c>
      <c r="C3054">
        <v>2.12</v>
      </c>
      <c r="D3054">
        <v>15.62</v>
      </c>
      <c r="E3054">
        <v>5.77</v>
      </c>
      <c r="F3054">
        <v>0.12</v>
      </c>
      <c r="G3054">
        <v>5.76</v>
      </c>
      <c r="H3054">
        <v>5.77</v>
      </c>
      <c r="I3054" t="s">
        <v>436</v>
      </c>
      <c r="J3054">
        <v>11.52</v>
      </c>
      <c r="K3054">
        <v>11.52</v>
      </c>
      <c r="L3054">
        <v>5.6</v>
      </c>
      <c r="M3054">
        <v>5.78</v>
      </c>
      <c r="N3054">
        <v>5.51</v>
      </c>
    </row>
    <row r="3055" spans="1:14" x14ac:dyDescent="0.5">
      <c r="A3055" t="str">
        <f>"601599"</f>
        <v>601599</v>
      </c>
      <c r="B3055" t="s">
        <v>5749</v>
      </c>
      <c r="C3055">
        <v>6.11</v>
      </c>
      <c r="D3055">
        <v>12.28</v>
      </c>
      <c r="E3055">
        <v>3.82</v>
      </c>
      <c r="F3055">
        <v>0.22</v>
      </c>
      <c r="G3055">
        <v>3.81</v>
      </c>
      <c r="H3055">
        <v>3.82</v>
      </c>
      <c r="I3055" t="s">
        <v>404</v>
      </c>
      <c r="J3055">
        <v>4.09</v>
      </c>
      <c r="K3055">
        <v>4.09</v>
      </c>
      <c r="L3055">
        <v>3.59</v>
      </c>
      <c r="M3055">
        <v>3.87</v>
      </c>
      <c r="N3055">
        <v>3.57</v>
      </c>
    </row>
    <row r="3056" spans="1:14" x14ac:dyDescent="0.5">
      <c r="A3056" t="str">
        <f>"601600"</f>
        <v>601600</v>
      </c>
      <c r="B3056" t="s">
        <v>5750</v>
      </c>
      <c r="C3056">
        <v>2.09</v>
      </c>
      <c r="D3056">
        <v>47.38</v>
      </c>
      <c r="E3056">
        <v>4.3899999999999997</v>
      </c>
      <c r="F3056">
        <v>0.09</v>
      </c>
      <c r="G3056">
        <v>4.38</v>
      </c>
      <c r="H3056">
        <v>4.3899999999999997</v>
      </c>
      <c r="I3056" t="s">
        <v>5751</v>
      </c>
      <c r="J3056">
        <v>1.78</v>
      </c>
      <c r="K3056">
        <v>1.78</v>
      </c>
      <c r="L3056">
        <v>4.26</v>
      </c>
      <c r="M3056">
        <v>4.43</v>
      </c>
      <c r="N3056">
        <v>4.21</v>
      </c>
    </row>
    <row r="3057" spans="1:14" x14ac:dyDescent="0.5">
      <c r="A3057" t="str">
        <f>"601601"</f>
        <v>601601</v>
      </c>
      <c r="B3057" t="s">
        <v>5752</v>
      </c>
      <c r="C3057">
        <v>-1.31</v>
      </c>
      <c r="D3057">
        <v>19.440000000000001</v>
      </c>
      <c r="E3057">
        <v>34.619999999999997</v>
      </c>
      <c r="F3057">
        <v>-0.46</v>
      </c>
      <c r="G3057">
        <v>34.619999999999997</v>
      </c>
      <c r="H3057">
        <v>34.630000000000003</v>
      </c>
      <c r="I3057" t="s">
        <v>5753</v>
      </c>
      <c r="J3057">
        <v>0.56000000000000005</v>
      </c>
      <c r="K3057">
        <v>0.56000000000000005</v>
      </c>
      <c r="L3057">
        <v>34.92</v>
      </c>
      <c r="M3057">
        <v>34.950000000000003</v>
      </c>
      <c r="N3057">
        <v>34.07</v>
      </c>
    </row>
    <row r="3058" spans="1:14" x14ac:dyDescent="0.5">
      <c r="A3058" t="str">
        <f>"601606"</f>
        <v>601606</v>
      </c>
      <c r="B3058" t="s">
        <v>5754</v>
      </c>
      <c r="C3058">
        <v>0.78</v>
      </c>
      <c r="D3058">
        <v>110.2</v>
      </c>
      <c r="E3058">
        <v>18.04</v>
      </c>
      <c r="F3058">
        <v>0.14000000000000001</v>
      </c>
      <c r="G3058">
        <v>18.04</v>
      </c>
      <c r="H3058">
        <v>18.05</v>
      </c>
      <c r="I3058" t="s">
        <v>5755</v>
      </c>
      <c r="J3058">
        <v>31.29</v>
      </c>
      <c r="K3058">
        <v>31.29</v>
      </c>
      <c r="L3058">
        <v>17.670000000000002</v>
      </c>
      <c r="M3058">
        <v>18.3</v>
      </c>
      <c r="N3058">
        <v>17.36</v>
      </c>
    </row>
    <row r="3059" spans="1:14" x14ac:dyDescent="0.5">
      <c r="A3059" t="str">
        <f>"601607"</f>
        <v>601607</v>
      </c>
      <c r="B3059" t="s">
        <v>5756</v>
      </c>
      <c r="C3059">
        <v>1.01</v>
      </c>
      <c r="D3059">
        <v>12.41</v>
      </c>
      <c r="E3059">
        <v>18.93</v>
      </c>
      <c r="F3059">
        <v>0.19</v>
      </c>
      <c r="G3059">
        <v>18.920000000000002</v>
      </c>
      <c r="H3059">
        <v>18.93</v>
      </c>
      <c r="I3059" t="s">
        <v>5757</v>
      </c>
      <c r="J3059">
        <v>0.9</v>
      </c>
      <c r="K3059">
        <v>0.9</v>
      </c>
      <c r="L3059">
        <v>18.649999999999999</v>
      </c>
      <c r="M3059">
        <v>18.95</v>
      </c>
      <c r="N3059">
        <v>18.55</v>
      </c>
    </row>
    <row r="3060" spans="1:14" x14ac:dyDescent="0.5">
      <c r="A3060" t="str">
        <f>"601608"</f>
        <v>601608</v>
      </c>
      <c r="B3060" t="s">
        <v>5758</v>
      </c>
      <c r="C3060">
        <v>9.92</v>
      </c>
      <c r="D3060">
        <v>235.01</v>
      </c>
      <c r="E3060">
        <v>5.21</v>
      </c>
      <c r="F3060">
        <v>0.47</v>
      </c>
      <c r="G3060">
        <v>5.21</v>
      </c>
      <c r="H3060" t="s">
        <v>24</v>
      </c>
      <c r="I3060" t="s">
        <v>5759</v>
      </c>
      <c r="J3060">
        <v>2.64</v>
      </c>
      <c r="K3060">
        <v>2.64</v>
      </c>
      <c r="L3060">
        <v>4.96</v>
      </c>
      <c r="M3060">
        <v>5.21</v>
      </c>
      <c r="N3060">
        <v>4.88</v>
      </c>
    </row>
    <row r="3061" spans="1:14" x14ac:dyDescent="0.5">
      <c r="A3061" t="str">
        <f>"601611"</f>
        <v>601611</v>
      </c>
      <c r="B3061" t="s">
        <v>5760</v>
      </c>
      <c r="C3061">
        <v>2.4700000000000002</v>
      </c>
      <c r="D3061">
        <v>22.7</v>
      </c>
      <c r="E3061">
        <v>8.3000000000000007</v>
      </c>
      <c r="F3061">
        <v>0.2</v>
      </c>
      <c r="G3061">
        <v>8.2899999999999991</v>
      </c>
      <c r="H3061">
        <v>8.3000000000000007</v>
      </c>
      <c r="I3061" t="s">
        <v>5761</v>
      </c>
      <c r="J3061">
        <v>3.33</v>
      </c>
      <c r="K3061">
        <v>3.33</v>
      </c>
      <c r="L3061">
        <v>8.0299999999999994</v>
      </c>
      <c r="M3061">
        <v>8.36</v>
      </c>
      <c r="N3061">
        <v>7.97</v>
      </c>
    </row>
    <row r="3062" spans="1:14" x14ac:dyDescent="0.5">
      <c r="A3062" t="str">
        <f>"601615"</f>
        <v>601615</v>
      </c>
      <c r="B3062" t="s">
        <v>5762</v>
      </c>
      <c r="C3062">
        <v>1.22</v>
      </c>
      <c r="D3062">
        <v>37.03</v>
      </c>
      <c r="E3062">
        <v>12.42</v>
      </c>
      <c r="F3062">
        <v>0.15</v>
      </c>
      <c r="G3062">
        <v>12.41</v>
      </c>
      <c r="H3062">
        <v>12.42</v>
      </c>
      <c r="I3062" t="s">
        <v>5763</v>
      </c>
      <c r="J3062">
        <v>24.93</v>
      </c>
      <c r="K3062">
        <v>24.93</v>
      </c>
      <c r="L3062">
        <v>12.1</v>
      </c>
      <c r="M3062">
        <v>12.56</v>
      </c>
      <c r="N3062">
        <v>11.95</v>
      </c>
    </row>
    <row r="3063" spans="1:14" x14ac:dyDescent="0.5">
      <c r="A3063" t="str">
        <f>"601616"</f>
        <v>601616</v>
      </c>
      <c r="B3063" t="s">
        <v>5764</v>
      </c>
      <c r="C3063">
        <v>2.16</v>
      </c>
      <c r="D3063">
        <v>19.43</v>
      </c>
      <c r="E3063">
        <v>4.25</v>
      </c>
      <c r="F3063">
        <v>0.09</v>
      </c>
      <c r="G3063">
        <v>4.24</v>
      </c>
      <c r="H3063">
        <v>4.25</v>
      </c>
      <c r="I3063" t="s">
        <v>1290</v>
      </c>
      <c r="J3063">
        <v>2.77</v>
      </c>
      <c r="K3063">
        <v>2.77</v>
      </c>
      <c r="L3063">
        <v>4.13</v>
      </c>
      <c r="M3063">
        <v>4.25</v>
      </c>
      <c r="N3063">
        <v>4.1100000000000003</v>
      </c>
    </row>
    <row r="3064" spans="1:14" x14ac:dyDescent="0.5">
      <c r="A3064" t="str">
        <f>"601618"</f>
        <v>601618</v>
      </c>
      <c r="B3064" t="s">
        <v>5765</v>
      </c>
      <c r="C3064">
        <v>4.78</v>
      </c>
      <c r="D3064">
        <v>11.65</v>
      </c>
      <c r="E3064">
        <v>3.73</v>
      </c>
      <c r="F3064">
        <v>0.17</v>
      </c>
      <c r="G3064">
        <v>3.73</v>
      </c>
      <c r="H3064">
        <v>3.74</v>
      </c>
      <c r="I3064" t="s">
        <v>5766</v>
      </c>
      <c r="J3064">
        <v>2.63</v>
      </c>
      <c r="K3064">
        <v>2.63</v>
      </c>
      <c r="L3064">
        <v>3.51</v>
      </c>
      <c r="M3064">
        <v>3.92</v>
      </c>
      <c r="N3064">
        <v>3.47</v>
      </c>
    </row>
    <row r="3065" spans="1:14" x14ac:dyDescent="0.5">
      <c r="A3065" t="str">
        <f>"601619"</f>
        <v>601619</v>
      </c>
      <c r="B3065" t="s">
        <v>5767</v>
      </c>
      <c r="C3065">
        <v>2.9</v>
      </c>
      <c r="D3065">
        <v>39.26</v>
      </c>
      <c r="E3065">
        <v>5.67</v>
      </c>
      <c r="F3065">
        <v>0.16</v>
      </c>
      <c r="G3065">
        <v>5.67</v>
      </c>
      <c r="H3065">
        <v>5.68</v>
      </c>
      <c r="I3065" t="s">
        <v>5768</v>
      </c>
      <c r="J3065">
        <v>6.84</v>
      </c>
      <c r="K3065">
        <v>6.84</v>
      </c>
      <c r="L3065">
        <v>5.51</v>
      </c>
      <c r="M3065">
        <v>5.68</v>
      </c>
      <c r="N3065">
        <v>5.43</v>
      </c>
    </row>
    <row r="3066" spans="1:14" x14ac:dyDescent="0.5">
      <c r="A3066" t="str">
        <f>"601628"</f>
        <v>601628</v>
      </c>
      <c r="B3066" t="s">
        <v>5769</v>
      </c>
      <c r="C3066">
        <v>-1</v>
      </c>
      <c r="D3066">
        <v>34.75</v>
      </c>
      <c r="E3066">
        <v>30.71</v>
      </c>
      <c r="F3066">
        <v>-0.31</v>
      </c>
      <c r="G3066">
        <v>30.7</v>
      </c>
      <c r="H3066">
        <v>30.71</v>
      </c>
      <c r="I3066" t="s">
        <v>5770</v>
      </c>
      <c r="J3066">
        <v>0.13</v>
      </c>
      <c r="K3066">
        <v>0.13</v>
      </c>
      <c r="L3066">
        <v>30.73</v>
      </c>
      <c r="M3066">
        <v>30.85</v>
      </c>
      <c r="N3066">
        <v>29.96</v>
      </c>
    </row>
    <row r="3067" spans="1:14" x14ac:dyDescent="0.5">
      <c r="A3067" t="str">
        <f>"601633"</f>
        <v>601633</v>
      </c>
      <c r="B3067" t="s">
        <v>5771</v>
      </c>
      <c r="C3067">
        <v>0.12</v>
      </c>
      <c r="D3067">
        <v>12.26</v>
      </c>
      <c r="E3067">
        <v>8.1199999999999992</v>
      </c>
      <c r="F3067">
        <v>0.01</v>
      </c>
      <c r="G3067">
        <v>8.11</v>
      </c>
      <c r="H3067">
        <v>8.1199999999999992</v>
      </c>
      <c r="I3067" t="s">
        <v>5772</v>
      </c>
      <c r="J3067">
        <v>0.27</v>
      </c>
      <c r="K3067">
        <v>0.27</v>
      </c>
      <c r="L3067">
        <v>8.1300000000000008</v>
      </c>
      <c r="M3067">
        <v>8.18</v>
      </c>
      <c r="N3067">
        <v>8.0299999999999994</v>
      </c>
    </row>
    <row r="3068" spans="1:14" x14ac:dyDescent="0.5">
      <c r="A3068" t="str">
        <f>"601636"</f>
        <v>601636</v>
      </c>
      <c r="B3068" t="s">
        <v>5773</v>
      </c>
      <c r="C3068">
        <v>0.89</v>
      </c>
      <c r="D3068">
        <v>9.41</v>
      </c>
      <c r="E3068">
        <v>4.5199999999999996</v>
      </c>
      <c r="F3068">
        <v>0.04</v>
      </c>
      <c r="G3068">
        <v>4.51</v>
      </c>
      <c r="H3068">
        <v>4.5199999999999996</v>
      </c>
      <c r="I3068" t="s">
        <v>5774</v>
      </c>
      <c r="J3068">
        <v>1.55</v>
      </c>
      <c r="K3068">
        <v>1.55</v>
      </c>
      <c r="L3068">
        <v>4.47</v>
      </c>
      <c r="M3068">
        <v>4.5199999999999996</v>
      </c>
      <c r="N3068">
        <v>4.43</v>
      </c>
    </row>
    <row r="3069" spans="1:14" x14ac:dyDescent="0.5">
      <c r="A3069" t="str">
        <f>"601666"</f>
        <v>601666</v>
      </c>
      <c r="B3069" t="s">
        <v>5775</v>
      </c>
      <c r="C3069">
        <v>1.68</v>
      </c>
      <c r="D3069">
        <v>11.19</v>
      </c>
      <c r="E3069">
        <v>4.24</v>
      </c>
      <c r="F3069">
        <v>7.0000000000000007E-2</v>
      </c>
      <c r="G3069">
        <v>4.2300000000000004</v>
      </c>
      <c r="H3069">
        <v>4.24</v>
      </c>
      <c r="I3069" t="s">
        <v>5776</v>
      </c>
      <c r="J3069">
        <v>1.02</v>
      </c>
      <c r="K3069">
        <v>1.02</v>
      </c>
      <c r="L3069">
        <v>4.1500000000000004</v>
      </c>
      <c r="M3069">
        <v>4.24</v>
      </c>
      <c r="N3069">
        <v>4.1399999999999997</v>
      </c>
    </row>
    <row r="3070" spans="1:14" x14ac:dyDescent="0.5">
      <c r="A3070" t="str">
        <f>"601668"</f>
        <v>601668</v>
      </c>
      <c r="B3070" t="s">
        <v>5777</v>
      </c>
      <c r="C3070">
        <v>0.79</v>
      </c>
      <c r="D3070">
        <v>7.59</v>
      </c>
      <c r="E3070">
        <v>6.36</v>
      </c>
      <c r="F3070">
        <v>0.05</v>
      </c>
      <c r="G3070">
        <v>6.36</v>
      </c>
      <c r="H3070">
        <v>6.37</v>
      </c>
      <c r="I3070" t="s">
        <v>5778</v>
      </c>
      <c r="J3070">
        <v>1.42</v>
      </c>
      <c r="K3070">
        <v>1.42</v>
      </c>
      <c r="L3070">
        <v>6.31</v>
      </c>
      <c r="M3070">
        <v>6.44</v>
      </c>
      <c r="N3070">
        <v>6.26</v>
      </c>
    </row>
    <row r="3071" spans="1:14" x14ac:dyDescent="0.5">
      <c r="A3071" t="str">
        <f>"601669"</f>
        <v>601669</v>
      </c>
      <c r="B3071" t="s">
        <v>5779</v>
      </c>
      <c r="C3071">
        <v>2.44</v>
      </c>
      <c r="D3071">
        <v>11.33</v>
      </c>
      <c r="E3071">
        <v>5.87</v>
      </c>
      <c r="F3071">
        <v>0.14000000000000001</v>
      </c>
      <c r="G3071">
        <v>5.87</v>
      </c>
      <c r="H3071">
        <v>5.88</v>
      </c>
      <c r="I3071" t="s">
        <v>5780</v>
      </c>
      <c r="J3071">
        <v>0.96</v>
      </c>
      <c r="K3071">
        <v>0.96</v>
      </c>
      <c r="L3071">
        <v>5.69</v>
      </c>
      <c r="M3071">
        <v>6.16</v>
      </c>
      <c r="N3071">
        <v>5.63</v>
      </c>
    </row>
    <row r="3072" spans="1:14" x14ac:dyDescent="0.5">
      <c r="A3072" t="str">
        <f>"601677"</f>
        <v>601677</v>
      </c>
      <c r="B3072" t="s">
        <v>5781</v>
      </c>
      <c r="C3072">
        <v>3.75</v>
      </c>
      <c r="D3072">
        <v>13.15</v>
      </c>
      <c r="E3072">
        <v>10.78</v>
      </c>
      <c r="F3072">
        <v>0.39</v>
      </c>
      <c r="G3072">
        <v>10.78</v>
      </c>
      <c r="H3072">
        <v>10.79</v>
      </c>
      <c r="I3072" t="s">
        <v>5782</v>
      </c>
      <c r="J3072">
        <v>1.04</v>
      </c>
      <c r="K3072">
        <v>1.04</v>
      </c>
      <c r="L3072">
        <v>10.42</v>
      </c>
      <c r="M3072">
        <v>10.79</v>
      </c>
      <c r="N3072">
        <v>10.4</v>
      </c>
    </row>
    <row r="3073" spans="1:14" x14ac:dyDescent="0.5">
      <c r="A3073" t="str">
        <f>"601678"</f>
        <v>601678</v>
      </c>
      <c r="B3073" t="s">
        <v>5783</v>
      </c>
      <c r="C3073">
        <v>1.1499999999999999</v>
      </c>
      <c r="D3073">
        <v>8.51</v>
      </c>
      <c r="E3073">
        <v>5.28</v>
      </c>
      <c r="F3073">
        <v>0.06</v>
      </c>
      <c r="G3073">
        <v>5.28</v>
      </c>
      <c r="H3073">
        <v>5.29</v>
      </c>
      <c r="I3073" t="s">
        <v>5784</v>
      </c>
      <c r="J3073">
        <v>1.07</v>
      </c>
      <c r="K3073">
        <v>1.07</v>
      </c>
      <c r="L3073">
        <v>5.18</v>
      </c>
      <c r="M3073">
        <v>5.29</v>
      </c>
      <c r="N3073">
        <v>5.15</v>
      </c>
    </row>
    <row r="3074" spans="1:14" x14ac:dyDescent="0.5">
      <c r="A3074" t="str">
        <f>"601688"</f>
        <v>601688</v>
      </c>
      <c r="B3074" t="s">
        <v>5785</v>
      </c>
      <c r="C3074">
        <v>-1.1399999999999999</v>
      </c>
      <c r="D3074">
        <v>21.66</v>
      </c>
      <c r="E3074">
        <v>23.49</v>
      </c>
      <c r="F3074">
        <v>-0.27</v>
      </c>
      <c r="G3074">
        <v>23.49</v>
      </c>
      <c r="H3074">
        <v>23.5</v>
      </c>
      <c r="I3074" t="s">
        <v>5786</v>
      </c>
      <c r="J3074">
        <v>2.2400000000000002</v>
      </c>
      <c r="K3074">
        <v>2.2400000000000002</v>
      </c>
      <c r="L3074">
        <v>23.5</v>
      </c>
      <c r="M3074">
        <v>23.64</v>
      </c>
      <c r="N3074">
        <v>23.08</v>
      </c>
    </row>
    <row r="3075" spans="1:14" x14ac:dyDescent="0.5">
      <c r="A3075" t="str">
        <f>"601689"</f>
        <v>601689</v>
      </c>
      <c r="B3075" t="s">
        <v>5787</v>
      </c>
      <c r="C3075">
        <v>7.63</v>
      </c>
      <c r="D3075">
        <v>16.899999999999999</v>
      </c>
      <c r="E3075">
        <v>21.43</v>
      </c>
      <c r="F3075">
        <v>1.52</v>
      </c>
      <c r="G3075">
        <v>21.42</v>
      </c>
      <c r="H3075">
        <v>21.43</v>
      </c>
      <c r="I3075" t="s">
        <v>5788</v>
      </c>
      <c r="J3075">
        <v>7.25</v>
      </c>
      <c r="K3075">
        <v>7.25</v>
      </c>
      <c r="L3075">
        <v>19.91</v>
      </c>
      <c r="M3075">
        <v>21.75</v>
      </c>
      <c r="N3075">
        <v>19.809999999999999</v>
      </c>
    </row>
    <row r="3076" spans="1:14" x14ac:dyDescent="0.5">
      <c r="A3076" t="str">
        <f>"601699"</f>
        <v>601699</v>
      </c>
      <c r="B3076" t="s">
        <v>5789</v>
      </c>
      <c r="C3076">
        <v>-0.24</v>
      </c>
      <c r="D3076">
        <v>7.97</v>
      </c>
      <c r="E3076">
        <v>8.33</v>
      </c>
      <c r="F3076">
        <v>-0.02</v>
      </c>
      <c r="G3076">
        <v>8.33</v>
      </c>
      <c r="H3076">
        <v>8.34</v>
      </c>
      <c r="I3076" t="s">
        <v>5790</v>
      </c>
      <c r="J3076">
        <v>1.33</v>
      </c>
      <c r="K3076">
        <v>1.33</v>
      </c>
      <c r="L3076">
        <v>8.35</v>
      </c>
      <c r="M3076">
        <v>8.35</v>
      </c>
      <c r="N3076">
        <v>8.19</v>
      </c>
    </row>
    <row r="3077" spans="1:14" x14ac:dyDescent="0.5">
      <c r="A3077" t="str">
        <f>"601700"</f>
        <v>601700</v>
      </c>
      <c r="B3077" t="s">
        <v>5791</v>
      </c>
      <c r="C3077">
        <v>9.98</v>
      </c>
      <c r="D3077">
        <v>454.44</v>
      </c>
      <c r="E3077">
        <v>10.14</v>
      </c>
      <c r="F3077">
        <v>0.92</v>
      </c>
      <c r="G3077">
        <v>10.14</v>
      </c>
      <c r="H3077" t="s">
        <v>24</v>
      </c>
      <c r="I3077" t="s">
        <v>5792</v>
      </c>
      <c r="J3077">
        <v>11.75</v>
      </c>
      <c r="K3077">
        <v>11.75</v>
      </c>
      <c r="L3077">
        <v>9.15</v>
      </c>
      <c r="M3077">
        <v>10.14</v>
      </c>
      <c r="N3077">
        <v>9.01</v>
      </c>
    </row>
    <row r="3078" spans="1:14" x14ac:dyDescent="0.5">
      <c r="A3078" t="str">
        <f>"601717"</f>
        <v>601717</v>
      </c>
      <c r="B3078" t="s">
        <v>5793</v>
      </c>
      <c r="C3078">
        <v>1.63</v>
      </c>
      <c r="D3078">
        <v>16.28</v>
      </c>
      <c r="E3078">
        <v>6.24</v>
      </c>
      <c r="F3078">
        <v>0.1</v>
      </c>
      <c r="G3078">
        <v>6.24</v>
      </c>
      <c r="H3078">
        <v>6.25</v>
      </c>
      <c r="I3078" t="s">
        <v>5794</v>
      </c>
      <c r="J3078">
        <v>1.75</v>
      </c>
      <c r="K3078">
        <v>1.75</v>
      </c>
      <c r="L3078">
        <v>6.13</v>
      </c>
      <c r="M3078">
        <v>6.25</v>
      </c>
      <c r="N3078">
        <v>6.11</v>
      </c>
    </row>
    <row r="3079" spans="1:14" x14ac:dyDescent="0.5">
      <c r="A3079" t="str">
        <f>"601718"</f>
        <v>601718</v>
      </c>
      <c r="B3079" t="s">
        <v>5795</v>
      </c>
      <c r="C3079">
        <v>0.23</v>
      </c>
      <c r="D3079">
        <v>45.93</v>
      </c>
      <c r="E3079">
        <v>4.3099999999999996</v>
      </c>
      <c r="F3079">
        <v>0.01</v>
      </c>
      <c r="G3079">
        <v>4.3099999999999996</v>
      </c>
      <c r="H3079">
        <v>4.32</v>
      </c>
      <c r="I3079" t="s">
        <v>5796</v>
      </c>
      <c r="J3079">
        <v>1.1399999999999999</v>
      </c>
      <c r="K3079">
        <v>1.1399999999999999</v>
      </c>
      <c r="L3079">
        <v>4.25</v>
      </c>
      <c r="M3079">
        <v>4.37</v>
      </c>
      <c r="N3079">
        <v>4.2300000000000004</v>
      </c>
    </row>
    <row r="3080" spans="1:14" x14ac:dyDescent="0.5">
      <c r="A3080" t="str">
        <f>"601727"</f>
        <v>601727</v>
      </c>
      <c r="B3080" t="s">
        <v>5797</v>
      </c>
      <c r="C3080">
        <v>2.79</v>
      </c>
      <c r="D3080">
        <v>28.14</v>
      </c>
      <c r="E3080">
        <v>5.9</v>
      </c>
      <c r="F3080">
        <v>0.16</v>
      </c>
      <c r="G3080">
        <v>5.89</v>
      </c>
      <c r="H3080">
        <v>5.9</v>
      </c>
      <c r="I3080" t="s">
        <v>5798</v>
      </c>
      <c r="J3080">
        <v>0.44</v>
      </c>
      <c r="K3080">
        <v>0.44</v>
      </c>
      <c r="L3080">
        <v>5.7</v>
      </c>
      <c r="M3080">
        <v>5.91</v>
      </c>
      <c r="N3080">
        <v>5.68</v>
      </c>
    </row>
    <row r="3081" spans="1:14" x14ac:dyDescent="0.5">
      <c r="A3081" t="str">
        <f>"601766"</f>
        <v>601766</v>
      </c>
      <c r="B3081" t="s">
        <v>5799</v>
      </c>
      <c r="C3081">
        <v>0.93</v>
      </c>
      <c r="D3081">
        <v>23.69</v>
      </c>
      <c r="E3081">
        <v>9.7200000000000006</v>
      </c>
      <c r="F3081">
        <v>0.09</v>
      </c>
      <c r="G3081">
        <v>9.7200000000000006</v>
      </c>
      <c r="H3081">
        <v>9.73</v>
      </c>
      <c r="I3081" t="s">
        <v>5800</v>
      </c>
      <c r="J3081">
        <v>0.71</v>
      </c>
      <c r="K3081">
        <v>0.71</v>
      </c>
      <c r="L3081">
        <v>9.64</v>
      </c>
      <c r="M3081">
        <v>9.7899999999999991</v>
      </c>
      <c r="N3081">
        <v>9.4499999999999993</v>
      </c>
    </row>
    <row r="3082" spans="1:14" x14ac:dyDescent="0.5">
      <c r="A3082" t="str">
        <f>"601777"</f>
        <v>601777</v>
      </c>
      <c r="B3082" t="s">
        <v>5801</v>
      </c>
      <c r="C3082">
        <v>2.61</v>
      </c>
      <c r="D3082">
        <v>42.4</v>
      </c>
      <c r="E3082">
        <v>4.72</v>
      </c>
      <c r="F3082">
        <v>0.12</v>
      </c>
      <c r="G3082">
        <v>4.72</v>
      </c>
      <c r="H3082">
        <v>4.7300000000000004</v>
      </c>
      <c r="I3082" t="s">
        <v>5802</v>
      </c>
      <c r="J3082">
        <v>1.56</v>
      </c>
      <c r="K3082">
        <v>1.56</v>
      </c>
      <c r="L3082">
        <v>4.59</v>
      </c>
      <c r="M3082">
        <v>4.72</v>
      </c>
      <c r="N3082">
        <v>4.54</v>
      </c>
    </row>
    <row r="3083" spans="1:14" x14ac:dyDescent="0.5">
      <c r="A3083" t="str">
        <f>"601788"</f>
        <v>601788</v>
      </c>
      <c r="B3083" t="s">
        <v>5803</v>
      </c>
      <c r="C3083">
        <v>-0.51</v>
      </c>
      <c r="D3083">
        <v>32.43</v>
      </c>
      <c r="E3083">
        <v>13.58</v>
      </c>
      <c r="F3083">
        <v>-7.0000000000000007E-2</v>
      </c>
      <c r="G3083">
        <v>13.57</v>
      </c>
      <c r="H3083">
        <v>13.58</v>
      </c>
      <c r="I3083" t="s">
        <v>5804</v>
      </c>
      <c r="J3083">
        <v>1.43</v>
      </c>
      <c r="K3083">
        <v>1.43</v>
      </c>
      <c r="L3083">
        <v>13.21</v>
      </c>
      <c r="M3083">
        <v>13.59</v>
      </c>
      <c r="N3083">
        <v>13.16</v>
      </c>
    </row>
    <row r="3084" spans="1:14" x14ac:dyDescent="0.5">
      <c r="A3084" t="str">
        <f>"601789"</f>
        <v>601789</v>
      </c>
      <c r="B3084" t="s">
        <v>5805</v>
      </c>
      <c r="C3084">
        <v>9.9499999999999993</v>
      </c>
      <c r="D3084">
        <v>16.11</v>
      </c>
      <c r="E3084">
        <v>4.09</v>
      </c>
      <c r="F3084">
        <v>0.37</v>
      </c>
      <c r="G3084">
        <v>4.09</v>
      </c>
      <c r="H3084" t="s">
        <v>24</v>
      </c>
      <c r="I3084" t="s">
        <v>5806</v>
      </c>
      <c r="J3084">
        <v>4.29</v>
      </c>
      <c r="K3084">
        <v>4.29</v>
      </c>
      <c r="L3084">
        <v>3.72</v>
      </c>
      <c r="M3084">
        <v>4.09</v>
      </c>
      <c r="N3084">
        <v>3.69</v>
      </c>
    </row>
    <row r="3085" spans="1:14" x14ac:dyDescent="0.5">
      <c r="A3085" t="str">
        <f>"601798"</f>
        <v>601798</v>
      </c>
      <c r="B3085" t="s">
        <v>5807</v>
      </c>
      <c r="C3085">
        <v>1.06</v>
      </c>
      <c r="D3085" t="s">
        <v>24</v>
      </c>
      <c r="E3085">
        <v>5.73</v>
      </c>
      <c r="F3085">
        <v>0.06</v>
      </c>
      <c r="G3085">
        <v>5.73</v>
      </c>
      <c r="H3085">
        <v>5.74</v>
      </c>
      <c r="I3085" t="s">
        <v>3323</v>
      </c>
      <c r="J3085">
        <v>0.9</v>
      </c>
      <c r="K3085">
        <v>0.9</v>
      </c>
      <c r="L3085">
        <v>5.65</v>
      </c>
      <c r="M3085">
        <v>5.88</v>
      </c>
      <c r="N3085">
        <v>5.61</v>
      </c>
    </row>
    <row r="3086" spans="1:14" x14ac:dyDescent="0.5">
      <c r="A3086" t="str">
        <f>"601799"</f>
        <v>601799</v>
      </c>
      <c r="B3086" t="s">
        <v>5808</v>
      </c>
      <c r="C3086">
        <v>-1.03</v>
      </c>
      <c r="D3086">
        <v>27.39</v>
      </c>
      <c r="E3086">
        <v>57.45</v>
      </c>
      <c r="F3086">
        <v>-0.6</v>
      </c>
      <c r="G3086">
        <v>57.12</v>
      </c>
      <c r="H3086">
        <v>57.45</v>
      </c>
      <c r="I3086" t="s">
        <v>5809</v>
      </c>
      <c r="J3086">
        <v>0.57999999999999996</v>
      </c>
      <c r="K3086">
        <v>0.57999999999999996</v>
      </c>
      <c r="L3086">
        <v>57.53</v>
      </c>
      <c r="M3086">
        <v>57.98</v>
      </c>
      <c r="N3086">
        <v>56.2</v>
      </c>
    </row>
    <row r="3087" spans="1:14" x14ac:dyDescent="0.5">
      <c r="A3087" t="str">
        <f>"601800"</f>
        <v>601800</v>
      </c>
      <c r="B3087" t="s">
        <v>5810</v>
      </c>
      <c r="C3087">
        <v>1.43</v>
      </c>
      <c r="D3087">
        <v>9.3000000000000007</v>
      </c>
      <c r="E3087">
        <v>12.75</v>
      </c>
      <c r="F3087">
        <v>0.18</v>
      </c>
      <c r="G3087">
        <v>12.74</v>
      </c>
      <c r="H3087">
        <v>12.75</v>
      </c>
      <c r="I3087" t="s">
        <v>5811</v>
      </c>
      <c r="J3087">
        <v>0.48</v>
      </c>
      <c r="K3087">
        <v>0.48</v>
      </c>
      <c r="L3087">
        <v>12.55</v>
      </c>
      <c r="M3087">
        <v>12.97</v>
      </c>
      <c r="N3087">
        <v>12.34</v>
      </c>
    </row>
    <row r="3088" spans="1:14" x14ac:dyDescent="0.5">
      <c r="A3088" t="str">
        <f>"601801"</f>
        <v>601801</v>
      </c>
      <c r="B3088" t="s">
        <v>5812</v>
      </c>
      <c r="C3088">
        <v>2.7</v>
      </c>
      <c r="D3088">
        <v>13.03</v>
      </c>
      <c r="E3088">
        <v>7.99</v>
      </c>
      <c r="F3088">
        <v>0.21</v>
      </c>
      <c r="G3088">
        <v>7.99</v>
      </c>
      <c r="H3088">
        <v>8</v>
      </c>
      <c r="I3088" t="s">
        <v>5813</v>
      </c>
      <c r="J3088">
        <v>0.74</v>
      </c>
      <c r="K3088">
        <v>0.74</v>
      </c>
      <c r="L3088">
        <v>7.73</v>
      </c>
      <c r="M3088">
        <v>8</v>
      </c>
      <c r="N3088">
        <v>7.7</v>
      </c>
    </row>
    <row r="3089" spans="1:14" x14ac:dyDescent="0.5">
      <c r="A3089" t="str">
        <f>"601808"</f>
        <v>601808</v>
      </c>
      <c r="B3089" t="s">
        <v>5814</v>
      </c>
      <c r="C3089">
        <v>0</v>
      </c>
      <c r="D3089" t="s">
        <v>24</v>
      </c>
      <c r="E3089">
        <v>9.9</v>
      </c>
      <c r="F3089">
        <v>0</v>
      </c>
      <c r="G3089">
        <v>9.9</v>
      </c>
      <c r="H3089">
        <v>9.91</v>
      </c>
      <c r="I3089" t="s">
        <v>5815</v>
      </c>
      <c r="J3089">
        <v>0.33</v>
      </c>
      <c r="K3089">
        <v>0.33</v>
      </c>
      <c r="L3089">
        <v>9.8699999999999992</v>
      </c>
      <c r="M3089">
        <v>9.92</v>
      </c>
      <c r="N3089">
        <v>9.75</v>
      </c>
    </row>
    <row r="3090" spans="1:14" x14ac:dyDescent="0.5">
      <c r="A3090" t="str">
        <f>"601811"</f>
        <v>601811</v>
      </c>
      <c r="B3090" t="s">
        <v>5816</v>
      </c>
      <c r="C3090">
        <v>7.72</v>
      </c>
      <c r="D3090">
        <v>17.96</v>
      </c>
      <c r="E3090">
        <v>13.4</v>
      </c>
      <c r="F3090">
        <v>0.96</v>
      </c>
      <c r="G3090">
        <v>13.4</v>
      </c>
      <c r="H3090">
        <v>13.41</v>
      </c>
      <c r="I3090" t="s">
        <v>1652</v>
      </c>
      <c r="J3090">
        <v>9.69</v>
      </c>
      <c r="K3090">
        <v>9.69</v>
      </c>
      <c r="L3090">
        <v>12.25</v>
      </c>
      <c r="M3090">
        <v>13.49</v>
      </c>
      <c r="N3090">
        <v>12.2</v>
      </c>
    </row>
    <row r="3091" spans="1:14" x14ac:dyDescent="0.5">
      <c r="A3091" t="str">
        <f>"601818"</f>
        <v>601818</v>
      </c>
      <c r="B3091" t="s">
        <v>5817</v>
      </c>
      <c r="C3091">
        <v>-0.45</v>
      </c>
      <c r="D3091">
        <v>6.82</v>
      </c>
      <c r="E3091">
        <v>4.47</v>
      </c>
      <c r="F3091">
        <v>-0.02</v>
      </c>
      <c r="G3091">
        <v>4.47</v>
      </c>
      <c r="H3091">
        <v>4.4800000000000004</v>
      </c>
      <c r="I3091" t="s">
        <v>5818</v>
      </c>
      <c r="J3091">
        <v>0.31</v>
      </c>
      <c r="K3091">
        <v>0.31</v>
      </c>
      <c r="L3091">
        <v>4.46</v>
      </c>
      <c r="M3091">
        <v>4.5</v>
      </c>
      <c r="N3091">
        <v>4.41</v>
      </c>
    </row>
    <row r="3092" spans="1:14" x14ac:dyDescent="0.5">
      <c r="A3092" t="str">
        <f>"601828"</f>
        <v>601828</v>
      </c>
      <c r="B3092" t="s">
        <v>5819</v>
      </c>
      <c r="C3092">
        <v>1.03</v>
      </c>
      <c r="D3092">
        <v>8.23</v>
      </c>
      <c r="E3092">
        <v>12.77</v>
      </c>
      <c r="F3092">
        <v>0.13</v>
      </c>
      <c r="G3092">
        <v>12.76</v>
      </c>
      <c r="H3092">
        <v>12.77</v>
      </c>
      <c r="I3092" t="s">
        <v>5820</v>
      </c>
      <c r="J3092">
        <v>3.63</v>
      </c>
      <c r="K3092">
        <v>3.63</v>
      </c>
      <c r="L3092">
        <v>12.53</v>
      </c>
      <c r="M3092">
        <v>12.84</v>
      </c>
      <c r="N3092">
        <v>12.51</v>
      </c>
    </row>
    <row r="3093" spans="1:14" x14ac:dyDescent="0.5">
      <c r="A3093" t="str">
        <f>"601838"</f>
        <v>601838</v>
      </c>
      <c r="B3093" t="s">
        <v>5821</v>
      </c>
      <c r="C3093">
        <v>0</v>
      </c>
      <c r="D3093">
        <v>7.26</v>
      </c>
      <c r="E3093">
        <v>9.3000000000000007</v>
      </c>
      <c r="F3093">
        <v>0</v>
      </c>
      <c r="G3093">
        <v>9.3000000000000007</v>
      </c>
      <c r="H3093">
        <v>9.31</v>
      </c>
      <c r="I3093" t="s">
        <v>5822</v>
      </c>
      <c r="J3093">
        <v>2.33</v>
      </c>
      <c r="K3093">
        <v>2.33</v>
      </c>
      <c r="L3093">
        <v>9.19</v>
      </c>
      <c r="M3093">
        <v>9.35</v>
      </c>
      <c r="N3093">
        <v>9.1300000000000008</v>
      </c>
    </row>
    <row r="3094" spans="1:14" x14ac:dyDescent="0.5">
      <c r="A3094" t="str">
        <f>"601857"</f>
        <v>601857</v>
      </c>
      <c r="B3094" t="s">
        <v>5823</v>
      </c>
      <c r="C3094">
        <v>-0.51</v>
      </c>
      <c r="D3094">
        <v>26.93</v>
      </c>
      <c r="E3094">
        <v>7.87</v>
      </c>
      <c r="F3094">
        <v>-0.04</v>
      </c>
      <c r="G3094">
        <v>7.87</v>
      </c>
      <c r="H3094">
        <v>7.88</v>
      </c>
      <c r="I3094" t="s">
        <v>5824</v>
      </c>
      <c r="J3094">
        <v>0.09</v>
      </c>
      <c r="K3094">
        <v>0.09</v>
      </c>
      <c r="L3094">
        <v>7.89</v>
      </c>
      <c r="M3094">
        <v>7.9</v>
      </c>
      <c r="N3094">
        <v>7.81</v>
      </c>
    </row>
    <row r="3095" spans="1:14" x14ac:dyDescent="0.5">
      <c r="A3095" t="str">
        <f>"601858"</f>
        <v>601858</v>
      </c>
      <c r="B3095" t="s">
        <v>5825</v>
      </c>
      <c r="C3095">
        <v>2.1</v>
      </c>
      <c r="D3095">
        <v>20.100000000000001</v>
      </c>
      <c r="E3095">
        <v>10.68</v>
      </c>
      <c r="F3095">
        <v>0.22</v>
      </c>
      <c r="G3095">
        <v>10.67</v>
      </c>
      <c r="H3095">
        <v>10.68</v>
      </c>
      <c r="I3095" t="s">
        <v>5826</v>
      </c>
      <c r="J3095">
        <v>4.9000000000000004</v>
      </c>
      <c r="K3095">
        <v>4.9000000000000004</v>
      </c>
      <c r="L3095">
        <v>10.42</v>
      </c>
      <c r="M3095">
        <v>10.7</v>
      </c>
      <c r="N3095">
        <v>10.32</v>
      </c>
    </row>
    <row r="3096" spans="1:14" x14ac:dyDescent="0.5">
      <c r="A3096" t="str">
        <f>"601860"</f>
        <v>601860</v>
      </c>
      <c r="B3096" t="s">
        <v>5827</v>
      </c>
      <c r="C3096">
        <v>3.17</v>
      </c>
      <c r="D3096">
        <v>27.64</v>
      </c>
      <c r="E3096">
        <v>9.75</v>
      </c>
      <c r="F3096">
        <v>0.3</v>
      </c>
      <c r="G3096">
        <v>9.75</v>
      </c>
      <c r="H3096">
        <v>9.76</v>
      </c>
      <c r="I3096" t="s">
        <v>5828</v>
      </c>
      <c r="J3096">
        <v>56.63</v>
      </c>
      <c r="K3096">
        <v>56.63</v>
      </c>
      <c r="L3096">
        <v>9</v>
      </c>
      <c r="M3096">
        <v>10.3</v>
      </c>
      <c r="N3096">
        <v>8.86</v>
      </c>
    </row>
    <row r="3097" spans="1:14" x14ac:dyDescent="0.5">
      <c r="A3097" t="str">
        <f>"601865"</f>
        <v>601865</v>
      </c>
      <c r="B3097" t="s">
        <v>5829</v>
      </c>
      <c r="C3097">
        <v>9.98</v>
      </c>
      <c r="D3097">
        <v>34.119999999999997</v>
      </c>
      <c r="E3097">
        <v>9.0399999999999991</v>
      </c>
      <c r="F3097">
        <v>0.82</v>
      </c>
      <c r="G3097">
        <v>9.0399999999999991</v>
      </c>
      <c r="H3097" t="s">
        <v>24</v>
      </c>
      <c r="I3097" t="s">
        <v>2143</v>
      </c>
      <c r="J3097">
        <v>2.82</v>
      </c>
      <c r="K3097">
        <v>2.82</v>
      </c>
      <c r="L3097">
        <v>9.0399999999999991</v>
      </c>
      <c r="M3097">
        <v>9.0399999999999991</v>
      </c>
      <c r="N3097">
        <v>9.0399999999999991</v>
      </c>
    </row>
    <row r="3098" spans="1:14" x14ac:dyDescent="0.5">
      <c r="A3098" t="str">
        <f>"601866"</f>
        <v>601866</v>
      </c>
      <c r="B3098" t="s">
        <v>5830</v>
      </c>
      <c r="C3098">
        <v>1.33</v>
      </c>
      <c r="D3098">
        <v>31.07</v>
      </c>
      <c r="E3098">
        <v>3.05</v>
      </c>
      <c r="F3098">
        <v>0.04</v>
      </c>
      <c r="G3098">
        <v>3.04</v>
      </c>
      <c r="H3098">
        <v>3.05</v>
      </c>
      <c r="I3098" t="s">
        <v>5831</v>
      </c>
      <c r="J3098">
        <v>0.38</v>
      </c>
      <c r="K3098">
        <v>0.38</v>
      </c>
      <c r="L3098">
        <v>3.02</v>
      </c>
      <c r="M3098">
        <v>3.05</v>
      </c>
      <c r="N3098">
        <v>2.99</v>
      </c>
    </row>
    <row r="3099" spans="1:14" x14ac:dyDescent="0.5">
      <c r="A3099" t="str">
        <f>"601869"</f>
        <v>601869</v>
      </c>
      <c r="B3099" t="s">
        <v>5832</v>
      </c>
      <c r="C3099">
        <v>2.25</v>
      </c>
      <c r="D3099">
        <v>22.28</v>
      </c>
      <c r="E3099">
        <v>48.62</v>
      </c>
      <c r="F3099">
        <v>1.07</v>
      </c>
      <c r="G3099">
        <v>48.62</v>
      </c>
      <c r="H3099">
        <v>48.63</v>
      </c>
      <c r="I3099" t="s">
        <v>561</v>
      </c>
      <c r="J3099">
        <v>12.64</v>
      </c>
      <c r="K3099">
        <v>12.64</v>
      </c>
      <c r="L3099">
        <v>47.4</v>
      </c>
      <c r="M3099">
        <v>48.62</v>
      </c>
      <c r="N3099">
        <v>47.01</v>
      </c>
    </row>
    <row r="3100" spans="1:14" x14ac:dyDescent="0.5">
      <c r="A3100" t="str">
        <f>"601872"</f>
        <v>601872</v>
      </c>
      <c r="B3100" t="s">
        <v>5833</v>
      </c>
      <c r="C3100">
        <v>0.85</v>
      </c>
      <c r="D3100">
        <v>134.81</v>
      </c>
      <c r="E3100">
        <v>4.72</v>
      </c>
      <c r="F3100">
        <v>0.04</v>
      </c>
      <c r="G3100">
        <v>4.71</v>
      </c>
      <c r="H3100">
        <v>4.72</v>
      </c>
      <c r="I3100" t="s">
        <v>5834</v>
      </c>
      <c r="J3100">
        <v>0.51</v>
      </c>
      <c r="K3100">
        <v>0.51</v>
      </c>
      <c r="L3100">
        <v>4.66</v>
      </c>
      <c r="M3100">
        <v>4.74</v>
      </c>
      <c r="N3100">
        <v>4.6100000000000003</v>
      </c>
    </row>
    <row r="3101" spans="1:14" x14ac:dyDescent="0.5">
      <c r="A3101" t="str">
        <f>"601877"</f>
        <v>601877</v>
      </c>
      <c r="B3101" t="s">
        <v>5835</v>
      </c>
      <c r="C3101">
        <v>-1.6</v>
      </c>
      <c r="D3101">
        <v>15.19</v>
      </c>
      <c r="E3101">
        <v>25.88</v>
      </c>
      <c r="F3101">
        <v>-0.42</v>
      </c>
      <c r="G3101">
        <v>25.87</v>
      </c>
      <c r="H3101">
        <v>25.88</v>
      </c>
      <c r="I3101" t="s">
        <v>5836</v>
      </c>
      <c r="J3101">
        <v>1.3</v>
      </c>
      <c r="K3101">
        <v>1.3</v>
      </c>
      <c r="L3101">
        <v>26.25</v>
      </c>
      <c r="M3101">
        <v>26.25</v>
      </c>
      <c r="N3101">
        <v>25.39</v>
      </c>
    </row>
    <row r="3102" spans="1:14" x14ac:dyDescent="0.5">
      <c r="A3102" t="str">
        <f>"601878"</f>
        <v>601878</v>
      </c>
      <c r="B3102" t="s">
        <v>5837</v>
      </c>
      <c r="C3102">
        <v>0.28000000000000003</v>
      </c>
      <c r="D3102">
        <v>42.81</v>
      </c>
      <c r="E3102">
        <v>10.6</v>
      </c>
      <c r="F3102">
        <v>0.03</v>
      </c>
      <c r="G3102">
        <v>10.6</v>
      </c>
      <c r="H3102">
        <v>10.61</v>
      </c>
      <c r="I3102" t="s">
        <v>5838</v>
      </c>
      <c r="J3102">
        <v>5.99</v>
      </c>
      <c r="K3102">
        <v>5.99</v>
      </c>
      <c r="L3102">
        <v>10.31</v>
      </c>
      <c r="M3102">
        <v>10.64</v>
      </c>
      <c r="N3102">
        <v>10.25</v>
      </c>
    </row>
    <row r="3103" spans="1:14" x14ac:dyDescent="0.5">
      <c r="A3103" t="str">
        <f>"601880"</f>
        <v>601880</v>
      </c>
      <c r="B3103" t="s">
        <v>5839</v>
      </c>
      <c r="C3103">
        <v>0.88</v>
      </c>
      <c r="D3103">
        <v>51.57</v>
      </c>
      <c r="E3103">
        <v>2.29</v>
      </c>
      <c r="F3103">
        <v>0.02</v>
      </c>
      <c r="G3103">
        <v>2.2799999999999998</v>
      </c>
      <c r="H3103">
        <v>2.29</v>
      </c>
      <c r="I3103" t="s">
        <v>5840</v>
      </c>
      <c r="J3103">
        <v>0.69</v>
      </c>
      <c r="K3103">
        <v>0.69</v>
      </c>
      <c r="L3103">
        <v>2.25</v>
      </c>
      <c r="M3103">
        <v>2.29</v>
      </c>
      <c r="N3103">
        <v>2.25</v>
      </c>
    </row>
    <row r="3104" spans="1:14" x14ac:dyDescent="0.5">
      <c r="A3104" t="str">
        <f>"601881"</f>
        <v>601881</v>
      </c>
      <c r="B3104" t="s">
        <v>5841</v>
      </c>
      <c r="C3104">
        <v>-1.26</v>
      </c>
      <c r="D3104">
        <v>48.2</v>
      </c>
      <c r="E3104">
        <v>11.71</v>
      </c>
      <c r="F3104">
        <v>-0.15</v>
      </c>
      <c r="G3104">
        <v>11.71</v>
      </c>
      <c r="H3104">
        <v>11.72</v>
      </c>
      <c r="I3104" t="s">
        <v>5842</v>
      </c>
      <c r="J3104">
        <v>9.52</v>
      </c>
      <c r="K3104">
        <v>9.52</v>
      </c>
      <c r="L3104">
        <v>11.5</v>
      </c>
      <c r="M3104">
        <v>11.82</v>
      </c>
      <c r="N3104">
        <v>11.36</v>
      </c>
    </row>
    <row r="3105" spans="1:14" x14ac:dyDescent="0.5">
      <c r="A3105" t="str">
        <f>"601882"</f>
        <v>601882</v>
      </c>
      <c r="B3105" t="s">
        <v>5843</v>
      </c>
      <c r="C3105">
        <v>3.36</v>
      </c>
      <c r="D3105">
        <v>40.520000000000003</v>
      </c>
      <c r="E3105">
        <v>8.91</v>
      </c>
      <c r="F3105">
        <v>0.28999999999999998</v>
      </c>
      <c r="G3105">
        <v>8.9</v>
      </c>
      <c r="H3105">
        <v>8.91</v>
      </c>
      <c r="I3105" t="s">
        <v>5844</v>
      </c>
      <c r="J3105">
        <v>4.84</v>
      </c>
      <c r="K3105">
        <v>4.84</v>
      </c>
      <c r="L3105">
        <v>8.7200000000000006</v>
      </c>
      <c r="M3105">
        <v>8.9700000000000006</v>
      </c>
      <c r="N3105">
        <v>8.7200000000000006</v>
      </c>
    </row>
    <row r="3106" spans="1:14" x14ac:dyDescent="0.5">
      <c r="A3106" t="str">
        <f>"601886"</f>
        <v>601886</v>
      </c>
      <c r="B3106" t="s">
        <v>5845</v>
      </c>
      <c r="C3106">
        <v>1.0900000000000001</v>
      </c>
      <c r="D3106">
        <v>16.600000000000001</v>
      </c>
      <c r="E3106">
        <v>8.3699999999999992</v>
      </c>
      <c r="F3106">
        <v>0.09</v>
      </c>
      <c r="G3106">
        <v>8.3699999999999992</v>
      </c>
      <c r="H3106">
        <v>8.3800000000000008</v>
      </c>
      <c r="I3106" t="s">
        <v>5846</v>
      </c>
      <c r="J3106">
        <v>3.15</v>
      </c>
      <c r="K3106">
        <v>3.15</v>
      </c>
      <c r="L3106">
        <v>8.24</v>
      </c>
      <c r="M3106">
        <v>8.5500000000000007</v>
      </c>
      <c r="N3106">
        <v>8.2200000000000006</v>
      </c>
    </row>
    <row r="3107" spans="1:14" x14ac:dyDescent="0.5">
      <c r="A3107" t="str">
        <f>"601888"</f>
        <v>601888</v>
      </c>
      <c r="B3107" t="s">
        <v>5847</v>
      </c>
      <c r="C3107">
        <v>-2.09</v>
      </c>
      <c r="D3107">
        <v>37.81</v>
      </c>
      <c r="E3107">
        <v>62.4</v>
      </c>
      <c r="F3107">
        <v>-1.33</v>
      </c>
      <c r="G3107">
        <v>62.4</v>
      </c>
      <c r="H3107">
        <v>62.41</v>
      </c>
      <c r="I3107" t="s">
        <v>5848</v>
      </c>
      <c r="J3107">
        <v>0.99</v>
      </c>
      <c r="K3107">
        <v>0.99</v>
      </c>
      <c r="L3107">
        <v>63.48</v>
      </c>
      <c r="M3107">
        <v>64</v>
      </c>
      <c r="N3107">
        <v>61.19</v>
      </c>
    </row>
    <row r="3108" spans="1:14" x14ac:dyDescent="0.5">
      <c r="A3108" t="str">
        <f>"601890"</f>
        <v>601890</v>
      </c>
      <c r="B3108" t="s">
        <v>5849</v>
      </c>
      <c r="C3108">
        <v>9.93</v>
      </c>
      <c r="D3108" t="s">
        <v>24</v>
      </c>
      <c r="E3108">
        <v>6.42</v>
      </c>
      <c r="F3108">
        <v>0.57999999999999996</v>
      </c>
      <c r="G3108">
        <v>6.42</v>
      </c>
      <c r="H3108" t="s">
        <v>24</v>
      </c>
      <c r="I3108" t="s">
        <v>5850</v>
      </c>
      <c r="J3108">
        <v>7.81</v>
      </c>
      <c r="K3108">
        <v>7.81</v>
      </c>
      <c r="L3108">
        <v>6.03</v>
      </c>
      <c r="M3108">
        <v>6.42</v>
      </c>
      <c r="N3108">
        <v>5.72</v>
      </c>
    </row>
    <row r="3109" spans="1:14" x14ac:dyDescent="0.5">
      <c r="A3109" t="str">
        <f>"601898"</f>
        <v>601898</v>
      </c>
      <c r="B3109" t="s">
        <v>5851</v>
      </c>
      <c r="C3109">
        <v>0.56999999999999995</v>
      </c>
      <c r="D3109">
        <v>16.36</v>
      </c>
      <c r="E3109">
        <v>5.25</v>
      </c>
      <c r="F3109">
        <v>0.03</v>
      </c>
      <c r="G3109">
        <v>5.25</v>
      </c>
      <c r="H3109">
        <v>5.26</v>
      </c>
      <c r="I3109" t="s">
        <v>5852</v>
      </c>
      <c r="J3109">
        <v>0.31</v>
      </c>
      <c r="K3109">
        <v>0.31</v>
      </c>
      <c r="L3109">
        <v>5.22</v>
      </c>
      <c r="M3109">
        <v>5.25</v>
      </c>
      <c r="N3109">
        <v>5.15</v>
      </c>
    </row>
    <row r="3110" spans="1:14" x14ac:dyDescent="0.5">
      <c r="A3110" t="str">
        <f>"601899"</f>
        <v>601899</v>
      </c>
      <c r="B3110" t="s">
        <v>5853</v>
      </c>
      <c r="C3110">
        <v>-0.55000000000000004</v>
      </c>
      <c r="D3110">
        <v>18</v>
      </c>
      <c r="E3110">
        <v>3.61</v>
      </c>
      <c r="F3110">
        <v>-0.02</v>
      </c>
      <c r="G3110">
        <v>3.61</v>
      </c>
      <c r="H3110">
        <v>3.62</v>
      </c>
      <c r="I3110" t="s">
        <v>5854</v>
      </c>
      <c r="J3110">
        <v>1.26</v>
      </c>
      <c r="K3110">
        <v>1.26</v>
      </c>
      <c r="L3110">
        <v>3.58</v>
      </c>
      <c r="M3110">
        <v>3.62</v>
      </c>
      <c r="N3110">
        <v>3.56</v>
      </c>
    </row>
    <row r="3111" spans="1:14" x14ac:dyDescent="0.5">
      <c r="A3111" t="str">
        <f>"601900"</f>
        <v>601900</v>
      </c>
      <c r="B3111" t="s">
        <v>5855</v>
      </c>
      <c r="C3111">
        <v>-0.21</v>
      </c>
      <c r="D3111">
        <v>13.24</v>
      </c>
      <c r="E3111">
        <v>9.52</v>
      </c>
      <c r="F3111">
        <v>-0.02</v>
      </c>
      <c r="G3111">
        <v>9.52</v>
      </c>
      <c r="H3111">
        <v>9.5299999999999994</v>
      </c>
      <c r="I3111" t="s">
        <v>5856</v>
      </c>
      <c r="J3111">
        <v>0.49</v>
      </c>
      <c r="K3111">
        <v>0.49</v>
      </c>
      <c r="L3111">
        <v>9.4700000000000006</v>
      </c>
      <c r="M3111">
        <v>9.6</v>
      </c>
      <c r="N3111">
        <v>9.44</v>
      </c>
    </row>
    <row r="3112" spans="1:14" x14ac:dyDescent="0.5">
      <c r="A3112" t="str">
        <f>"601901"</f>
        <v>601901</v>
      </c>
      <c r="B3112" t="s">
        <v>5857</v>
      </c>
      <c r="C3112">
        <v>0.52</v>
      </c>
      <c r="D3112">
        <v>109.59</v>
      </c>
      <c r="E3112">
        <v>7.77</v>
      </c>
      <c r="F3112">
        <v>0.04</v>
      </c>
      <c r="G3112">
        <v>7.77</v>
      </c>
      <c r="H3112">
        <v>7.78</v>
      </c>
      <c r="I3112" t="s">
        <v>5858</v>
      </c>
      <c r="J3112">
        <v>0.79</v>
      </c>
      <c r="K3112">
        <v>0.79</v>
      </c>
      <c r="L3112">
        <v>7.67</v>
      </c>
      <c r="M3112">
        <v>7.84</v>
      </c>
      <c r="N3112">
        <v>7.61</v>
      </c>
    </row>
    <row r="3113" spans="1:14" x14ac:dyDescent="0.5">
      <c r="A3113" t="str">
        <f>"601908"</f>
        <v>601908</v>
      </c>
      <c r="B3113" t="s">
        <v>5859</v>
      </c>
      <c r="C3113">
        <v>2.91</v>
      </c>
      <c r="D3113">
        <v>16.239999999999998</v>
      </c>
      <c r="E3113">
        <v>4.24</v>
      </c>
      <c r="F3113">
        <v>0.12</v>
      </c>
      <c r="G3113">
        <v>4.24</v>
      </c>
      <c r="H3113">
        <v>4.25</v>
      </c>
      <c r="I3113" t="s">
        <v>5860</v>
      </c>
      <c r="J3113">
        <v>1.7</v>
      </c>
      <c r="K3113">
        <v>1.7</v>
      </c>
      <c r="L3113">
        <v>4.09</v>
      </c>
      <c r="M3113">
        <v>4.26</v>
      </c>
      <c r="N3113">
        <v>4.08</v>
      </c>
    </row>
    <row r="3114" spans="1:14" x14ac:dyDescent="0.5">
      <c r="A3114" t="str">
        <f>"601918"</f>
        <v>601918</v>
      </c>
      <c r="B3114" t="s">
        <v>5861</v>
      </c>
      <c r="C3114">
        <v>0.87</v>
      </c>
      <c r="D3114">
        <v>11.58</v>
      </c>
      <c r="E3114">
        <v>3.46</v>
      </c>
      <c r="F3114">
        <v>0.03</v>
      </c>
      <c r="G3114">
        <v>3.45</v>
      </c>
      <c r="H3114">
        <v>3.46</v>
      </c>
      <c r="I3114" t="s">
        <v>5862</v>
      </c>
      <c r="J3114">
        <v>1.42</v>
      </c>
      <c r="K3114">
        <v>1.42</v>
      </c>
      <c r="L3114">
        <v>3.46</v>
      </c>
      <c r="M3114">
        <v>3.46</v>
      </c>
      <c r="N3114">
        <v>3.36</v>
      </c>
    </row>
    <row r="3115" spans="1:14" x14ac:dyDescent="0.5">
      <c r="A3115" t="str">
        <f>"601919"</f>
        <v>601919</v>
      </c>
      <c r="B3115" t="s">
        <v>5863</v>
      </c>
      <c r="C3115">
        <v>0.4</v>
      </c>
      <c r="D3115">
        <v>79.28</v>
      </c>
      <c r="E3115">
        <v>5.04</v>
      </c>
      <c r="F3115">
        <v>0.02</v>
      </c>
      <c r="G3115">
        <v>5.04</v>
      </c>
      <c r="H3115">
        <v>5.05</v>
      </c>
      <c r="I3115" t="s">
        <v>5864</v>
      </c>
      <c r="J3115">
        <v>0.52</v>
      </c>
      <c r="K3115">
        <v>0.52</v>
      </c>
      <c r="L3115">
        <v>5.03</v>
      </c>
      <c r="M3115">
        <v>5.0599999999999996</v>
      </c>
      <c r="N3115">
        <v>4.9000000000000004</v>
      </c>
    </row>
    <row r="3116" spans="1:14" x14ac:dyDescent="0.5">
      <c r="A3116" t="str">
        <f>"601928"</f>
        <v>601928</v>
      </c>
      <c r="B3116" t="s">
        <v>5865</v>
      </c>
      <c r="C3116">
        <v>0.83</v>
      </c>
      <c r="D3116">
        <v>15.18</v>
      </c>
      <c r="E3116">
        <v>8.5</v>
      </c>
      <c r="F3116">
        <v>7.0000000000000007E-2</v>
      </c>
      <c r="G3116">
        <v>8.49</v>
      </c>
      <c r="H3116">
        <v>8.5</v>
      </c>
      <c r="I3116" t="s">
        <v>5866</v>
      </c>
      <c r="J3116">
        <v>0.51</v>
      </c>
      <c r="K3116">
        <v>0.51</v>
      </c>
      <c r="L3116">
        <v>8.43</v>
      </c>
      <c r="M3116">
        <v>8.5</v>
      </c>
      <c r="N3116">
        <v>8.36</v>
      </c>
    </row>
    <row r="3117" spans="1:14" x14ac:dyDescent="0.5">
      <c r="A3117" t="str">
        <f>"601929"</f>
        <v>601929</v>
      </c>
      <c r="B3117" t="s">
        <v>5867</v>
      </c>
      <c r="C3117">
        <v>4.66</v>
      </c>
      <c r="D3117">
        <v>23.3</v>
      </c>
      <c r="E3117">
        <v>2.92</v>
      </c>
      <c r="F3117">
        <v>0.13</v>
      </c>
      <c r="G3117">
        <v>2.92</v>
      </c>
      <c r="H3117">
        <v>2.93</v>
      </c>
      <c r="I3117" t="s">
        <v>5868</v>
      </c>
      <c r="J3117">
        <v>5.56</v>
      </c>
      <c r="K3117">
        <v>5.56</v>
      </c>
      <c r="L3117">
        <v>2.78</v>
      </c>
      <c r="M3117">
        <v>2.99</v>
      </c>
      <c r="N3117">
        <v>2.71</v>
      </c>
    </row>
    <row r="3118" spans="1:14" x14ac:dyDescent="0.5">
      <c r="A3118" t="str">
        <f>"601933"</f>
        <v>601933</v>
      </c>
      <c r="B3118" t="s">
        <v>5869</v>
      </c>
      <c r="C3118">
        <v>0.8</v>
      </c>
      <c r="D3118">
        <v>57.86</v>
      </c>
      <c r="E3118">
        <v>8.8699999999999992</v>
      </c>
      <c r="F3118">
        <v>7.0000000000000007E-2</v>
      </c>
      <c r="G3118">
        <v>8.8699999999999992</v>
      </c>
      <c r="H3118">
        <v>8.8800000000000008</v>
      </c>
      <c r="I3118" t="s">
        <v>5870</v>
      </c>
      <c r="J3118">
        <v>0.78</v>
      </c>
      <c r="K3118">
        <v>0.78</v>
      </c>
      <c r="L3118">
        <v>8.81</v>
      </c>
      <c r="M3118">
        <v>9.11</v>
      </c>
      <c r="N3118">
        <v>8.76</v>
      </c>
    </row>
    <row r="3119" spans="1:14" x14ac:dyDescent="0.5">
      <c r="A3119" t="str">
        <f>"601939"</f>
        <v>601939</v>
      </c>
      <c r="B3119" t="s">
        <v>5871</v>
      </c>
      <c r="C3119">
        <v>-0.82</v>
      </c>
      <c r="D3119">
        <v>7.19</v>
      </c>
      <c r="E3119">
        <v>7.3</v>
      </c>
      <c r="F3119">
        <v>-0.06</v>
      </c>
      <c r="G3119">
        <v>7.3</v>
      </c>
      <c r="H3119">
        <v>7.31</v>
      </c>
      <c r="I3119" t="s">
        <v>5872</v>
      </c>
      <c r="J3119">
        <v>1.89</v>
      </c>
      <c r="K3119">
        <v>1.89</v>
      </c>
      <c r="L3119">
        <v>7.3</v>
      </c>
      <c r="M3119">
        <v>7.33</v>
      </c>
      <c r="N3119">
        <v>7.22</v>
      </c>
    </row>
    <row r="3120" spans="1:14" x14ac:dyDescent="0.5">
      <c r="A3120" t="str">
        <f>"601949"</f>
        <v>601949</v>
      </c>
      <c r="B3120" t="s">
        <v>5873</v>
      </c>
      <c r="C3120">
        <v>3.33</v>
      </c>
      <c r="D3120">
        <v>15.56</v>
      </c>
      <c r="E3120">
        <v>5.58</v>
      </c>
      <c r="F3120">
        <v>0.18</v>
      </c>
      <c r="G3120">
        <v>5.57</v>
      </c>
      <c r="H3120">
        <v>5.58</v>
      </c>
      <c r="I3120" t="s">
        <v>5874</v>
      </c>
      <c r="J3120">
        <v>4.8099999999999996</v>
      </c>
      <c r="K3120">
        <v>4.8099999999999996</v>
      </c>
      <c r="L3120">
        <v>5.31</v>
      </c>
      <c r="M3120">
        <v>5.63</v>
      </c>
      <c r="N3120">
        <v>5.29</v>
      </c>
    </row>
    <row r="3121" spans="1:14" x14ac:dyDescent="0.5">
      <c r="A3121" t="str">
        <f>"601952"</f>
        <v>601952</v>
      </c>
      <c r="B3121" t="s">
        <v>5875</v>
      </c>
      <c r="C3121">
        <v>1.07</v>
      </c>
      <c r="D3121">
        <v>16.64</v>
      </c>
      <c r="E3121">
        <v>7.54</v>
      </c>
      <c r="F3121">
        <v>0.08</v>
      </c>
      <c r="G3121">
        <v>7.53</v>
      </c>
      <c r="H3121">
        <v>7.54</v>
      </c>
      <c r="I3121" t="s">
        <v>351</v>
      </c>
      <c r="J3121">
        <v>3.6</v>
      </c>
      <c r="K3121">
        <v>3.6</v>
      </c>
      <c r="L3121">
        <v>7.45</v>
      </c>
      <c r="M3121">
        <v>7.54</v>
      </c>
      <c r="N3121">
        <v>7.39</v>
      </c>
    </row>
    <row r="3122" spans="1:14" x14ac:dyDescent="0.5">
      <c r="A3122" t="str">
        <f>"601958"</f>
        <v>601958</v>
      </c>
      <c r="B3122" t="s">
        <v>5876</v>
      </c>
      <c r="C3122">
        <v>1.29</v>
      </c>
      <c r="D3122">
        <v>75.03</v>
      </c>
      <c r="E3122">
        <v>7.04</v>
      </c>
      <c r="F3122">
        <v>0.09</v>
      </c>
      <c r="G3122">
        <v>7.03</v>
      </c>
      <c r="H3122">
        <v>7.04</v>
      </c>
      <c r="I3122" t="s">
        <v>5877</v>
      </c>
      <c r="J3122">
        <v>0.55000000000000004</v>
      </c>
      <c r="K3122">
        <v>0.55000000000000004</v>
      </c>
      <c r="L3122">
        <v>6.93</v>
      </c>
      <c r="M3122">
        <v>7.04</v>
      </c>
      <c r="N3122">
        <v>6.87</v>
      </c>
    </row>
    <row r="3123" spans="1:14" x14ac:dyDescent="0.5">
      <c r="A3123" t="str">
        <f>"601965"</f>
        <v>601965</v>
      </c>
      <c r="B3123" t="s">
        <v>5878</v>
      </c>
      <c r="C3123">
        <v>0.25</v>
      </c>
      <c r="D3123">
        <v>18.36</v>
      </c>
      <c r="E3123">
        <v>7.95</v>
      </c>
      <c r="F3123">
        <v>0.02</v>
      </c>
      <c r="G3123">
        <v>7.95</v>
      </c>
      <c r="H3123">
        <v>7.96</v>
      </c>
      <c r="I3123" t="s">
        <v>5879</v>
      </c>
      <c r="J3123">
        <v>0.83</v>
      </c>
      <c r="K3123">
        <v>0.83</v>
      </c>
      <c r="L3123">
        <v>7.91</v>
      </c>
      <c r="M3123">
        <v>7.96</v>
      </c>
      <c r="N3123">
        <v>7.75</v>
      </c>
    </row>
    <row r="3124" spans="1:14" x14ac:dyDescent="0.5">
      <c r="A3124" t="str">
        <f>"601966"</f>
        <v>601966</v>
      </c>
      <c r="B3124" t="s">
        <v>5880</v>
      </c>
      <c r="C3124">
        <v>0.79</v>
      </c>
      <c r="D3124">
        <v>16.22</v>
      </c>
      <c r="E3124">
        <v>16.5</v>
      </c>
      <c r="F3124">
        <v>0.13</v>
      </c>
      <c r="G3124">
        <v>16.489999999999998</v>
      </c>
      <c r="H3124">
        <v>16.5</v>
      </c>
      <c r="I3124" t="s">
        <v>5881</v>
      </c>
      <c r="J3124">
        <v>1.86</v>
      </c>
      <c r="K3124">
        <v>1.86</v>
      </c>
      <c r="L3124">
        <v>16.28</v>
      </c>
      <c r="M3124">
        <v>16.55</v>
      </c>
      <c r="N3124">
        <v>16.239999999999998</v>
      </c>
    </row>
    <row r="3125" spans="1:14" x14ac:dyDescent="0.5">
      <c r="A3125" t="str">
        <f>"601968"</f>
        <v>601968</v>
      </c>
      <c r="B3125" t="s">
        <v>5882</v>
      </c>
      <c r="C3125">
        <v>0.79</v>
      </c>
      <c r="D3125">
        <v>75.72</v>
      </c>
      <c r="E3125">
        <v>5.09</v>
      </c>
      <c r="F3125">
        <v>0.04</v>
      </c>
      <c r="G3125">
        <v>5.08</v>
      </c>
      <c r="H3125">
        <v>5.09</v>
      </c>
      <c r="I3125" t="s">
        <v>5883</v>
      </c>
      <c r="J3125">
        <v>0.69</v>
      </c>
      <c r="K3125">
        <v>0.69</v>
      </c>
      <c r="L3125">
        <v>5.05</v>
      </c>
      <c r="M3125">
        <v>5.0999999999999996</v>
      </c>
      <c r="N3125">
        <v>4.99</v>
      </c>
    </row>
    <row r="3126" spans="1:14" x14ac:dyDescent="0.5">
      <c r="A3126" t="str">
        <f>"601969"</f>
        <v>601969</v>
      </c>
      <c r="B3126" t="s">
        <v>5884</v>
      </c>
      <c r="C3126">
        <v>1.1299999999999999</v>
      </c>
      <c r="D3126" t="s">
        <v>24</v>
      </c>
      <c r="E3126">
        <v>5.36</v>
      </c>
      <c r="F3126">
        <v>0.06</v>
      </c>
      <c r="G3126">
        <v>5.36</v>
      </c>
      <c r="H3126">
        <v>5.37</v>
      </c>
      <c r="I3126" t="s">
        <v>5885</v>
      </c>
      <c r="J3126">
        <v>0.62</v>
      </c>
      <c r="K3126">
        <v>0.62</v>
      </c>
      <c r="L3126">
        <v>5.22</v>
      </c>
      <c r="M3126">
        <v>5.36</v>
      </c>
      <c r="N3126">
        <v>5.2</v>
      </c>
    </row>
    <row r="3127" spans="1:14" x14ac:dyDescent="0.5">
      <c r="A3127" t="str">
        <f>"601975"</f>
        <v>601975</v>
      </c>
      <c r="B3127" t="s">
        <v>5886</v>
      </c>
      <c r="C3127">
        <v>0</v>
      </c>
      <c r="D3127">
        <v>29.25</v>
      </c>
      <c r="E3127">
        <v>2.39</v>
      </c>
      <c r="F3127">
        <v>0</v>
      </c>
      <c r="G3127">
        <v>2.39</v>
      </c>
      <c r="H3127">
        <v>2.4</v>
      </c>
      <c r="I3127" t="s">
        <v>5887</v>
      </c>
      <c r="J3127">
        <v>3.71</v>
      </c>
      <c r="K3127">
        <v>3.71</v>
      </c>
      <c r="L3127">
        <v>2.37</v>
      </c>
      <c r="M3127">
        <v>2.39</v>
      </c>
      <c r="N3127">
        <v>2.36</v>
      </c>
    </row>
    <row r="3128" spans="1:14" x14ac:dyDescent="0.5">
      <c r="A3128" t="str">
        <f>"601985"</f>
        <v>601985</v>
      </c>
      <c r="B3128" t="s">
        <v>5888</v>
      </c>
      <c r="C3128">
        <v>1.31</v>
      </c>
      <c r="D3128">
        <v>22.56</v>
      </c>
      <c r="E3128">
        <v>6.17</v>
      </c>
      <c r="F3128">
        <v>0.08</v>
      </c>
      <c r="G3128">
        <v>6.16</v>
      </c>
      <c r="H3128">
        <v>6.17</v>
      </c>
      <c r="I3128" t="s">
        <v>5889</v>
      </c>
      <c r="J3128">
        <v>0.36</v>
      </c>
      <c r="K3128">
        <v>0.36</v>
      </c>
      <c r="L3128">
        <v>6.06</v>
      </c>
      <c r="M3128">
        <v>6.18</v>
      </c>
      <c r="N3128">
        <v>6.04</v>
      </c>
    </row>
    <row r="3129" spans="1:14" x14ac:dyDescent="0.5">
      <c r="A3129" t="str">
        <f>"601988"</f>
        <v>601988</v>
      </c>
      <c r="B3129" t="s">
        <v>5890</v>
      </c>
      <c r="C3129">
        <v>-0.51</v>
      </c>
      <c r="D3129">
        <v>6.37</v>
      </c>
      <c r="E3129">
        <v>3.9</v>
      </c>
      <c r="F3129">
        <v>-0.02</v>
      </c>
      <c r="G3129">
        <v>3.89</v>
      </c>
      <c r="H3129">
        <v>3.9</v>
      </c>
      <c r="I3129" t="s">
        <v>5891</v>
      </c>
      <c r="J3129">
        <v>0.11</v>
      </c>
      <c r="K3129">
        <v>0.11</v>
      </c>
      <c r="L3129">
        <v>3.9</v>
      </c>
      <c r="M3129">
        <v>3.92</v>
      </c>
      <c r="N3129">
        <v>3.88</v>
      </c>
    </row>
    <row r="3130" spans="1:14" x14ac:dyDescent="0.5">
      <c r="A3130" t="str">
        <f>"601989"</f>
        <v>601989</v>
      </c>
      <c r="B3130" t="s">
        <v>5892</v>
      </c>
      <c r="C3130">
        <v>0.18</v>
      </c>
      <c r="D3130">
        <v>106.28</v>
      </c>
      <c r="E3130">
        <v>5.56</v>
      </c>
      <c r="F3130">
        <v>0.01</v>
      </c>
      <c r="G3130">
        <v>5.56</v>
      </c>
      <c r="H3130">
        <v>5.57</v>
      </c>
      <c r="I3130" t="s">
        <v>5893</v>
      </c>
      <c r="J3130">
        <v>1.56</v>
      </c>
      <c r="K3130">
        <v>1.56</v>
      </c>
      <c r="L3130">
        <v>5.51</v>
      </c>
      <c r="M3130">
        <v>5.65</v>
      </c>
      <c r="N3130">
        <v>5.43</v>
      </c>
    </row>
    <row r="3131" spans="1:14" x14ac:dyDescent="0.5">
      <c r="A3131" t="str">
        <f>"601990"</f>
        <v>601990</v>
      </c>
      <c r="B3131" t="s">
        <v>5894</v>
      </c>
      <c r="C3131">
        <v>0.37</v>
      </c>
      <c r="D3131">
        <v>114.67</v>
      </c>
      <c r="E3131">
        <v>13.68</v>
      </c>
      <c r="F3131">
        <v>0.05</v>
      </c>
      <c r="G3131">
        <v>13.68</v>
      </c>
      <c r="H3131">
        <v>13.69</v>
      </c>
      <c r="I3131" t="s">
        <v>5895</v>
      </c>
      <c r="J3131">
        <v>25.07</v>
      </c>
      <c r="K3131">
        <v>25.07</v>
      </c>
      <c r="L3131">
        <v>13.2</v>
      </c>
      <c r="M3131">
        <v>13.95</v>
      </c>
      <c r="N3131">
        <v>13.05</v>
      </c>
    </row>
    <row r="3132" spans="1:14" x14ac:dyDescent="0.5">
      <c r="A3132" t="str">
        <f>"601991"</f>
        <v>601991</v>
      </c>
      <c r="B3132" t="s">
        <v>5896</v>
      </c>
      <c r="C3132">
        <v>1.77</v>
      </c>
      <c r="D3132">
        <v>32.19</v>
      </c>
      <c r="E3132">
        <v>3.45</v>
      </c>
      <c r="F3132">
        <v>0.06</v>
      </c>
      <c r="G3132">
        <v>3.44</v>
      </c>
      <c r="H3132">
        <v>3.45</v>
      </c>
      <c r="I3132" t="s">
        <v>5897</v>
      </c>
      <c r="J3132">
        <v>0.31</v>
      </c>
      <c r="K3132">
        <v>0.31</v>
      </c>
      <c r="L3132">
        <v>3.38</v>
      </c>
      <c r="M3132">
        <v>3.46</v>
      </c>
      <c r="N3132">
        <v>3.36</v>
      </c>
    </row>
    <row r="3133" spans="1:14" x14ac:dyDescent="0.5">
      <c r="A3133" t="str">
        <f>"601992"</f>
        <v>601992</v>
      </c>
      <c r="B3133" t="s">
        <v>5898</v>
      </c>
      <c r="C3133">
        <v>0.72</v>
      </c>
      <c r="D3133">
        <v>13.16</v>
      </c>
      <c r="E3133">
        <v>4.17</v>
      </c>
      <c r="F3133">
        <v>0.03</v>
      </c>
      <c r="G3133">
        <v>4.16</v>
      </c>
      <c r="H3133">
        <v>4.17</v>
      </c>
      <c r="I3133" t="s">
        <v>5899</v>
      </c>
      <c r="J3133">
        <v>1.35</v>
      </c>
      <c r="K3133">
        <v>1.35</v>
      </c>
      <c r="L3133">
        <v>4.16</v>
      </c>
      <c r="M3133">
        <v>4.18</v>
      </c>
      <c r="N3133">
        <v>4.12</v>
      </c>
    </row>
    <row r="3134" spans="1:14" x14ac:dyDescent="0.5">
      <c r="A3134" t="str">
        <f>"601996"</f>
        <v>601996</v>
      </c>
      <c r="B3134" t="s">
        <v>5900</v>
      </c>
      <c r="C3134">
        <v>2.06</v>
      </c>
      <c r="D3134">
        <v>36.31</v>
      </c>
      <c r="E3134">
        <v>3.47</v>
      </c>
      <c r="F3134">
        <v>7.0000000000000007E-2</v>
      </c>
      <c r="G3134">
        <v>3.46</v>
      </c>
      <c r="H3134">
        <v>3.47</v>
      </c>
      <c r="I3134" t="s">
        <v>1006</v>
      </c>
      <c r="J3134">
        <v>1.24</v>
      </c>
      <c r="K3134">
        <v>1.24</v>
      </c>
      <c r="L3134">
        <v>3.4</v>
      </c>
      <c r="M3134">
        <v>3.47</v>
      </c>
      <c r="N3134">
        <v>3.36</v>
      </c>
    </row>
    <row r="3135" spans="1:14" x14ac:dyDescent="0.5">
      <c r="A3135" t="str">
        <f>"601997"</f>
        <v>601997</v>
      </c>
      <c r="B3135" t="s">
        <v>5901</v>
      </c>
      <c r="C3135">
        <v>7.0000000000000007E-2</v>
      </c>
      <c r="D3135">
        <v>6.13</v>
      </c>
      <c r="E3135">
        <v>13.63</v>
      </c>
      <c r="F3135">
        <v>0.01</v>
      </c>
      <c r="G3135">
        <v>13.63</v>
      </c>
      <c r="H3135">
        <v>13.64</v>
      </c>
      <c r="I3135" t="s">
        <v>5902</v>
      </c>
      <c r="J3135">
        <v>2.5499999999999998</v>
      </c>
      <c r="K3135">
        <v>2.5499999999999998</v>
      </c>
      <c r="L3135">
        <v>13.49</v>
      </c>
      <c r="M3135">
        <v>13.67</v>
      </c>
      <c r="N3135">
        <v>13.43</v>
      </c>
    </row>
    <row r="3136" spans="1:14" x14ac:dyDescent="0.5">
      <c r="A3136" t="str">
        <f>"601998"</f>
        <v>601998</v>
      </c>
      <c r="B3136" t="s">
        <v>5903</v>
      </c>
      <c r="C3136">
        <v>-0.87</v>
      </c>
      <c r="D3136">
        <v>7.62</v>
      </c>
      <c r="E3136">
        <v>6.85</v>
      </c>
      <c r="F3136">
        <v>-0.06</v>
      </c>
      <c r="G3136">
        <v>6.84</v>
      </c>
      <c r="H3136">
        <v>6.85</v>
      </c>
      <c r="I3136" t="s">
        <v>5904</v>
      </c>
      <c r="J3136">
        <v>0.22</v>
      </c>
      <c r="K3136">
        <v>0.22</v>
      </c>
      <c r="L3136">
        <v>6.81</v>
      </c>
      <c r="M3136">
        <v>6.87</v>
      </c>
      <c r="N3136">
        <v>6.71</v>
      </c>
    </row>
    <row r="3137" spans="1:14" x14ac:dyDescent="0.5">
      <c r="A3137" t="str">
        <f>"601999"</f>
        <v>601999</v>
      </c>
      <c r="B3137" t="s">
        <v>5905</v>
      </c>
      <c r="C3137">
        <v>6.15</v>
      </c>
      <c r="D3137">
        <v>20.04</v>
      </c>
      <c r="E3137">
        <v>6.73</v>
      </c>
      <c r="F3137">
        <v>0.39</v>
      </c>
      <c r="G3137">
        <v>6.72</v>
      </c>
      <c r="H3137">
        <v>6.73</v>
      </c>
      <c r="I3137" t="s">
        <v>5906</v>
      </c>
      <c r="J3137">
        <v>1.68</v>
      </c>
      <c r="K3137">
        <v>1.68</v>
      </c>
      <c r="L3137">
        <v>6.28</v>
      </c>
      <c r="M3137">
        <v>6.73</v>
      </c>
      <c r="N3137">
        <v>6.26</v>
      </c>
    </row>
    <row r="3138" spans="1:14" x14ac:dyDescent="0.5">
      <c r="A3138" t="str">
        <f>"603000"</f>
        <v>603000</v>
      </c>
      <c r="B3138" t="s">
        <v>5907</v>
      </c>
      <c r="C3138">
        <v>9.99</v>
      </c>
      <c r="D3138">
        <v>150.59</v>
      </c>
      <c r="E3138">
        <v>23.24</v>
      </c>
      <c r="F3138">
        <v>2.11</v>
      </c>
      <c r="G3138">
        <v>23.24</v>
      </c>
      <c r="H3138" t="s">
        <v>24</v>
      </c>
      <c r="I3138" t="s">
        <v>5908</v>
      </c>
      <c r="J3138">
        <v>8.5500000000000007</v>
      </c>
      <c r="K3138">
        <v>8.5500000000000007</v>
      </c>
      <c r="L3138">
        <v>23.24</v>
      </c>
      <c r="M3138">
        <v>23.24</v>
      </c>
      <c r="N3138">
        <v>22.28</v>
      </c>
    </row>
    <row r="3139" spans="1:14" x14ac:dyDescent="0.5">
      <c r="A3139" t="str">
        <f>"603001"</f>
        <v>603001</v>
      </c>
      <c r="B3139" t="s">
        <v>5909</v>
      </c>
      <c r="C3139">
        <v>0.98</v>
      </c>
      <c r="D3139">
        <v>21.62</v>
      </c>
      <c r="E3139">
        <v>11.33</v>
      </c>
      <c r="F3139">
        <v>0.11</v>
      </c>
      <c r="G3139">
        <v>11.31</v>
      </c>
      <c r="H3139">
        <v>11.33</v>
      </c>
      <c r="I3139" t="s">
        <v>5910</v>
      </c>
      <c r="J3139">
        <v>0.66</v>
      </c>
      <c r="K3139">
        <v>0.66</v>
      </c>
      <c r="L3139">
        <v>11.18</v>
      </c>
      <c r="M3139">
        <v>11.38</v>
      </c>
      <c r="N3139">
        <v>11.14</v>
      </c>
    </row>
    <row r="3140" spans="1:14" x14ac:dyDescent="0.5">
      <c r="A3140" t="str">
        <f>"603002"</f>
        <v>603002</v>
      </c>
      <c r="B3140" t="s">
        <v>5911</v>
      </c>
      <c r="C3140">
        <v>3.6</v>
      </c>
      <c r="D3140">
        <v>28.33</v>
      </c>
      <c r="E3140">
        <v>4.32</v>
      </c>
      <c r="F3140">
        <v>0.15</v>
      </c>
      <c r="G3140">
        <v>4.3099999999999996</v>
      </c>
      <c r="H3140">
        <v>4.32</v>
      </c>
      <c r="I3140" t="s">
        <v>5912</v>
      </c>
      <c r="J3140">
        <v>2.71</v>
      </c>
      <c r="K3140">
        <v>2.71</v>
      </c>
      <c r="L3140">
        <v>4.17</v>
      </c>
      <c r="M3140">
        <v>4.34</v>
      </c>
      <c r="N3140">
        <v>4.13</v>
      </c>
    </row>
    <row r="3141" spans="1:14" x14ac:dyDescent="0.5">
      <c r="A3141" t="str">
        <f>"603003"</f>
        <v>603003</v>
      </c>
      <c r="B3141" t="s">
        <v>5913</v>
      </c>
      <c r="C3141">
        <v>5.78</v>
      </c>
      <c r="D3141">
        <v>53.27</v>
      </c>
      <c r="E3141">
        <v>8.6</v>
      </c>
      <c r="F3141">
        <v>0.47</v>
      </c>
      <c r="G3141">
        <v>8.59</v>
      </c>
      <c r="H3141">
        <v>8.6</v>
      </c>
      <c r="I3141" t="s">
        <v>5914</v>
      </c>
      <c r="J3141">
        <v>2.4500000000000002</v>
      </c>
      <c r="K3141">
        <v>2.4500000000000002</v>
      </c>
      <c r="L3141">
        <v>8.1</v>
      </c>
      <c r="M3141">
        <v>8.6300000000000008</v>
      </c>
      <c r="N3141">
        <v>8.07</v>
      </c>
    </row>
    <row r="3142" spans="1:14" x14ac:dyDescent="0.5">
      <c r="A3142" t="str">
        <f>"603005"</f>
        <v>603005</v>
      </c>
      <c r="B3142" t="s">
        <v>5915</v>
      </c>
      <c r="C3142">
        <v>9.35</v>
      </c>
      <c r="D3142">
        <v>62.46</v>
      </c>
      <c r="E3142">
        <v>20.94</v>
      </c>
      <c r="F3142">
        <v>1.79</v>
      </c>
      <c r="G3142">
        <v>20.94</v>
      </c>
      <c r="H3142">
        <v>20.95</v>
      </c>
      <c r="I3142" t="s">
        <v>798</v>
      </c>
      <c r="J3142">
        <v>8.2899999999999991</v>
      </c>
      <c r="K3142">
        <v>8.2899999999999991</v>
      </c>
      <c r="L3142">
        <v>19</v>
      </c>
      <c r="M3142">
        <v>21.06</v>
      </c>
      <c r="N3142">
        <v>18.809999999999999</v>
      </c>
    </row>
    <row r="3143" spans="1:14" x14ac:dyDescent="0.5">
      <c r="A3143" t="str">
        <f>"603006"</f>
        <v>603006</v>
      </c>
      <c r="B3143" t="s">
        <v>5916</v>
      </c>
      <c r="C3143">
        <v>10.02</v>
      </c>
      <c r="D3143">
        <v>23.47</v>
      </c>
      <c r="E3143">
        <v>13.39</v>
      </c>
      <c r="F3143">
        <v>1.22</v>
      </c>
      <c r="G3143">
        <v>13.39</v>
      </c>
      <c r="H3143" t="s">
        <v>24</v>
      </c>
      <c r="I3143" t="s">
        <v>3015</v>
      </c>
      <c r="J3143">
        <v>13.18</v>
      </c>
      <c r="K3143">
        <v>13.18</v>
      </c>
      <c r="L3143">
        <v>12.22</v>
      </c>
      <c r="M3143">
        <v>13.39</v>
      </c>
      <c r="N3143">
        <v>12.22</v>
      </c>
    </row>
    <row r="3144" spans="1:14" x14ac:dyDescent="0.5">
      <c r="A3144" t="str">
        <f>"603007"</f>
        <v>603007</v>
      </c>
      <c r="B3144" t="s">
        <v>5917</v>
      </c>
      <c r="C3144">
        <v>0.41</v>
      </c>
      <c r="D3144">
        <v>17.79</v>
      </c>
      <c r="E3144">
        <v>9.8000000000000007</v>
      </c>
      <c r="F3144">
        <v>0.04</v>
      </c>
      <c r="G3144">
        <v>9.7899999999999991</v>
      </c>
      <c r="H3144">
        <v>9.8000000000000007</v>
      </c>
      <c r="I3144" t="s">
        <v>1127</v>
      </c>
      <c r="J3144">
        <v>2.5</v>
      </c>
      <c r="K3144">
        <v>2.5</v>
      </c>
      <c r="L3144">
        <v>9.73</v>
      </c>
      <c r="M3144">
        <v>9.86</v>
      </c>
      <c r="N3144">
        <v>9.65</v>
      </c>
    </row>
    <row r="3145" spans="1:14" x14ac:dyDescent="0.5">
      <c r="A3145" t="str">
        <f>"603008"</f>
        <v>603008</v>
      </c>
      <c r="B3145" t="s">
        <v>5918</v>
      </c>
      <c r="C3145">
        <v>4.79</v>
      </c>
      <c r="D3145">
        <v>16.66</v>
      </c>
      <c r="E3145">
        <v>10.72</v>
      </c>
      <c r="F3145">
        <v>0.49</v>
      </c>
      <c r="G3145">
        <v>10.72</v>
      </c>
      <c r="H3145">
        <v>10.73</v>
      </c>
      <c r="I3145" t="s">
        <v>836</v>
      </c>
      <c r="J3145">
        <v>3.18</v>
      </c>
      <c r="K3145">
        <v>3.18</v>
      </c>
      <c r="L3145">
        <v>10.25</v>
      </c>
      <c r="M3145">
        <v>10.72</v>
      </c>
      <c r="N3145">
        <v>10.11</v>
      </c>
    </row>
    <row r="3146" spans="1:14" x14ac:dyDescent="0.5">
      <c r="A3146" t="str">
        <f>"603009"</f>
        <v>603009</v>
      </c>
      <c r="B3146" t="s">
        <v>5919</v>
      </c>
      <c r="C3146">
        <v>1.78</v>
      </c>
      <c r="D3146">
        <v>28.67</v>
      </c>
      <c r="E3146">
        <v>6.85</v>
      </c>
      <c r="F3146">
        <v>0.12</v>
      </c>
      <c r="G3146">
        <v>6.84</v>
      </c>
      <c r="H3146">
        <v>6.85</v>
      </c>
      <c r="I3146" t="s">
        <v>3227</v>
      </c>
      <c r="J3146">
        <v>2.46</v>
      </c>
      <c r="K3146">
        <v>2.46</v>
      </c>
      <c r="L3146">
        <v>6.69</v>
      </c>
      <c r="M3146">
        <v>6.85</v>
      </c>
      <c r="N3146">
        <v>6.6</v>
      </c>
    </row>
    <row r="3147" spans="1:14" x14ac:dyDescent="0.5">
      <c r="A3147" t="str">
        <f>"603010"</f>
        <v>603010</v>
      </c>
      <c r="B3147" t="s">
        <v>5920</v>
      </c>
      <c r="C3147">
        <v>1.39</v>
      </c>
      <c r="D3147">
        <v>24.68</v>
      </c>
      <c r="E3147">
        <v>15.28</v>
      </c>
      <c r="F3147">
        <v>0.21</v>
      </c>
      <c r="G3147">
        <v>15.28</v>
      </c>
      <c r="H3147">
        <v>15.29</v>
      </c>
      <c r="I3147" t="s">
        <v>5921</v>
      </c>
      <c r="J3147">
        <v>4.0199999999999996</v>
      </c>
      <c r="K3147">
        <v>4.0199999999999996</v>
      </c>
      <c r="L3147">
        <v>15.05</v>
      </c>
      <c r="M3147">
        <v>15.35</v>
      </c>
      <c r="N3147">
        <v>14.9</v>
      </c>
    </row>
    <row r="3148" spans="1:14" x14ac:dyDescent="0.5">
      <c r="A3148" t="str">
        <f>"603011"</f>
        <v>603011</v>
      </c>
      <c r="B3148" t="s">
        <v>5922</v>
      </c>
      <c r="C3148">
        <v>2</v>
      </c>
      <c r="D3148">
        <v>57.18</v>
      </c>
      <c r="E3148">
        <v>5.6</v>
      </c>
      <c r="F3148">
        <v>0.11</v>
      </c>
      <c r="G3148">
        <v>5.6</v>
      </c>
      <c r="H3148">
        <v>5.61</v>
      </c>
      <c r="I3148" t="s">
        <v>2806</v>
      </c>
      <c r="J3148">
        <v>1.7</v>
      </c>
      <c r="K3148">
        <v>1.7</v>
      </c>
      <c r="L3148">
        <v>5.45</v>
      </c>
      <c r="M3148">
        <v>5.6</v>
      </c>
      <c r="N3148">
        <v>5.43</v>
      </c>
    </row>
    <row r="3149" spans="1:14" x14ac:dyDescent="0.5">
      <c r="A3149" t="str">
        <f>"603012"</f>
        <v>603012</v>
      </c>
      <c r="B3149" t="s">
        <v>5923</v>
      </c>
      <c r="C3149">
        <v>0.71</v>
      </c>
      <c r="D3149">
        <v>27.46</v>
      </c>
      <c r="E3149">
        <v>8.5299999999999994</v>
      </c>
      <c r="F3149">
        <v>0.06</v>
      </c>
      <c r="G3149">
        <v>8.52</v>
      </c>
      <c r="H3149">
        <v>8.5299999999999994</v>
      </c>
      <c r="I3149" t="s">
        <v>5924</v>
      </c>
      <c r="J3149">
        <v>1.04</v>
      </c>
      <c r="K3149">
        <v>1.04</v>
      </c>
      <c r="L3149">
        <v>8.4499999999999993</v>
      </c>
      <c r="M3149">
        <v>8.61</v>
      </c>
      <c r="N3149">
        <v>8.3800000000000008</v>
      </c>
    </row>
    <row r="3150" spans="1:14" x14ac:dyDescent="0.5">
      <c r="A3150" t="str">
        <f>"603013"</f>
        <v>603013</v>
      </c>
      <c r="B3150" t="s">
        <v>5925</v>
      </c>
      <c r="C3150">
        <v>1.31</v>
      </c>
      <c r="D3150">
        <v>28.01</v>
      </c>
      <c r="E3150">
        <v>18.59</v>
      </c>
      <c r="F3150">
        <v>0.24</v>
      </c>
      <c r="G3150">
        <v>18.59</v>
      </c>
      <c r="H3150">
        <v>18.600000000000001</v>
      </c>
      <c r="I3150" t="s">
        <v>5926</v>
      </c>
      <c r="J3150">
        <v>13.2</v>
      </c>
      <c r="K3150">
        <v>13.2</v>
      </c>
      <c r="L3150">
        <v>18.2</v>
      </c>
      <c r="M3150">
        <v>18.7</v>
      </c>
      <c r="N3150">
        <v>18.18</v>
      </c>
    </row>
    <row r="3151" spans="1:14" x14ac:dyDescent="0.5">
      <c r="A3151" t="str">
        <f>"603015"</f>
        <v>603015</v>
      </c>
      <c r="B3151" t="s">
        <v>5927</v>
      </c>
      <c r="C3151">
        <v>4.79</v>
      </c>
      <c r="D3151">
        <v>37.340000000000003</v>
      </c>
      <c r="E3151">
        <v>7.65</v>
      </c>
      <c r="F3151">
        <v>0.35</v>
      </c>
      <c r="G3151">
        <v>7.65</v>
      </c>
      <c r="H3151">
        <v>7.66</v>
      </c>
      <c r="I3151" t="s">
        <v>3528</v>
      </c>
      <c r="J3151">
        <v>1.83</v>
      </c>
      <c r="K3151">
        <v>1.83</v>
      </c>
      <c r="L3151">
        <v>7.26</v>
      </c>
      <c r="M3151">
        <v>7.71</v>
      </c>
      <c r="N3151">
        <v>7.2</v>
      </c>
    </row>
    <row r="3152" spans="1:14" x14ac:dyDescent="0.5">
      <c r="A3152" t="str">
        <f>"603016"</f>
        <v>603016</v>
      </c>
      <c r="B3152" t="s">
        <v>5928</v>
      </c>
      <c r="C3152">
        <v>3.04</v>
      </c>
      <c r="D3152">
        <v>49.75</v>
      </c>
      <c r="E3152">
        <v>20.32</v>
      </c>
      <c r="F3152">
        <v>0.6</v>
      </c>
      <c r="G3152">
        <v>20.309999999999999</v>
      </c>
      <c r="H3152">
        <v>20.32</v>
      </c>
      <c r="I3152" t="s">
        <v>5929</v>
      </c>
      <c r="J3152">
        <v>8.06</v>
      </c>
      <c r="K3152">
        <v>8.06</v>
      </c>
      <c r="L3152">
        <v>19.809999999999999</v>
      </c>
      <c r="M3152">
        <v>20.440000000000001</v>
      </c>
      <c r="N3152">
        <v>19.64</v>
      </c>
    </row>
    <row r="3153" spans="1:14" x14ac:dyDescent="0.5">
      <c r="A3153" t="str">
        <f>"603017"</f>
        <v>603017</v>
      </c>
      <c r="B3153" t="s">
        <v>5930</v>
      </c>
      <c r="C3153">
        <v>4.57</v>
      </c>
      <c r="D3153">
        <v>25.63</v>
      </c>
      <c r="E3153">
        <v>15.32</v>
      </c>
      <c r="F3153">
        <v>0.67</v>
      </c>
      <c r="G3153">
        <v>15.31</v>
      </c>
      <c r="H3153">
        <v>15.32</v>
      </c>
      <c r="I3153" t="s">
        <v>5931</v>
      </c>
      <c r="J3153">
        <v>5.96</v>
      </c>
      <c r="K3153">
        <v>5.96</v>
      </c>
      <c r="L3153">
        <v>14.74</v>
      </c>
      <c r="M3153">
        <v>15.4</v>
      </c>
      <c r="N3153">
        <v>14.61</v>
      </c>
    </row>
    <row r="3154" spans="1:14" x14ac:dyDescent="0.5">
      <c r="A3154" t="str">
        <f>"603018"</f>
        <v>603018</v>
      </c>
      <c r="B3154" t="s">
        <v>5932</v>
      </c>
      <c r="C3154">
        <v>2.0299999999999998</v>
      </c>
      <c r="D3154">
        <v>16.52</v>
      </c>
      <c r="E3154">
        <v>20.100000000000001</v>
      </c>
      <c r="F3154">
        <v>0.4</v>
      </c>
      <c r="G3154">
        <v>20.100000000000001</v>
      </c>
      <c r="H3154">
        <v>20.11</v>
      </c>
      <c r="I3154" t="s">
        <v>5570</v>
      </c>
      <c r="J3154">
        <v>2.44</v>
      </c>
      <c r="K3154">
        <v>2.44</v>
      </c>
      <c r="L3154">
        <v>19.78</v>
      </c>
      <c r="M3154">
        <v>20.440000000000001</v>
      </c>
      <c r="N3154">
        <v>19.510000000000002</v>
      </c>
    </row>
    <row r="3155" spans="1:14" x14ac:dyDescent="0.5">
      <c r="A3155" t="str">
        <f>"603019"</f>
        <v>603019</v>
      </c>
      <c r="B3155" t="s">
        <v>5933</v>
      </c>
      <c r="C3155">
        <v>10</v>
      </c>
      <c r="D3155">
        <v>73.739999999999995</v>
      </c>
      <c r="E3155">
        <v>52.7</v>
      </c>
      <c r="F3155">
        <v>4.79</v>
      </c>
      <c r="G3155">
        <v>52.7</v>
      </c>
      <c r="H3155" t="s">
        <v>24</v>
      </c>
      <c r="I3155" t="s">
        <v>5934</v>
      </c>
      <c r="J3155">
        <v>6.84</v>
      </c>
      <c r="K3155">
        <v>6.84</v>
      </c>
      <c r="L3155">
        <v>48.29</v>
      </c>
      <c r="M3155">
        <v>52.7</v>
      </c>
      <c r="N3155">
        <v>48.2</v>
      </c>
    </row>
    <row r="3156" spans="1:14" x14ac:dyDescent="0.5">
      <c r="A3156" t="str">
        <f>"603020"</f>
        <v>603020</v>
      </c>
      <c r="B3156" t="s">
        <v>5935</v>
      </c>
      <c r="C3156">
        <v>1.43</v>
      </c>
      <c r="D3156">
        <v>24.69</v>
      </c>
      <c r="E3156">
        <v>8.5</v>
      </c>
      <c r="F3156">
        <v>0.12</v>
      </c>
      <c r="G3156">
        <v>8.5</v>
      </c>
      <c r="H3156">
        <v>8.51</v>
      </c>
      <c r="I3156" t="s">
        <v>4284</v>
      </c>
      <c r="J3156">
        <v>0.8</v>
      </c>
      <c r="K3156">
        <v>0.8</v>
      </c>
      <c r="L3156">
        <v>8.35</v>
      </c>
      <c r="M3156">
        <v>8.51</v>
      </c>
      <c r="N3156">
        <v>8.2899999999999991</v>
      </c>
    </row>
    <row r="3157" spans="1:14" x14ac:dyDescent="0.5">
      <c r="A3157" t="str">
        <f>"603021"</f>
        <v>603021</v>
      </c>
      <c r="B3157" t="s">
        <v>5936</v>
      </c>
      <c r="C3157">
        <v>0.74</v>
      </c>
      <c r="D3157" t="s">
        <v>24</v>
      </c>
      <c r="E3157">
        <v>6.83</v>
      </c>
      <c r="F3157">
        <v>0.05</v>
      </c>
      <c r="G3157">
        <v>6.82</v>
      </c>
      <c r="H3157">
        <v>6.83</v>
      </c>
      <c r="I3157" t="s">
        <v>5937</v>
      </c>
      <c r="J3157">
        <v>1.2</v>
      </c>
      <c r="K3157">
        <v>1.2</v>
      </c>
      <c r="L3157">
        <v>6.76</v>
      </c>
      <c r="M3157">
        <v>6.96</v>
      </c>
      <c r="N3157">
        <v>6.7</v>
      </c>
    </row>
    <row r="3158" spans="1:14" x14ac:dyDescent="0.5">
      <c r="A3158" t="str">
        <f>"603022"</f>
        <v>603022</v>
      </c>
      <c r="B3158" t="s">
        <v>5938</v>
      </c>
      <c r="C3158">
        <v>1.96</v>
      </c>
      <c r="D3158">
        <v>45.02</v>
      </c>
      <c r="E3158">
        <v>8.33</v>
      </c>
      <c r="F3158">
        <v>0.16</v>
      </c>
      <c r="G3158">
        <v>8.33</v>
      </c>
      <c r="H3158">
        <v>8.34</v>
      </c>
      <c r="I3158" t="s">
        <v>2419</v>
      </c>
      <c r="J3158">
        <v>1.75</v>
      </c>
      <c r="K3158">
        <v>1.75</v>
      </c>
      <c r="L3158">
        <v>8.18</v>
      </c>
      <c r="M3158">
        <v>8.34</v>
      </c>
      <c r="N3158">
        <v>8.1199999999999992</v>
      </c>
    </row>
    <row r="3159" spans="1:14" x14ac:dyDescent="0.5">
      <c r="A3159" t="str">
        <f>"603023"</f>
        <v>603023</v>
      </c>
      <c r="B3159" t="s">
        <v>5939</v>
      </c>
      <c r="C3159">
        <v>10.050000000000001</v>
      </c>
      <c r="D3159">
        <v>28.02</v>
      </c>
      <c r="E3159">
        <v>6.13</v>
      </c>
      <c r="F3159">
        <v>0.56000000000000005</v>
      </c>
      <c r="G3159">
        <v>6.13</v>
      </c>
      <c r="H3159" t="s">
        <v>24</v>
      </c>
      <c r="I3159" t="s">
        <v>1093</v>
      </c>
      <c r="J3159">
        <v>2.75</v>
      </c>
      <c r="K3159">
        <v>2.75</v>
      </c>
      <c r="L3159">
        <v>5.94</v>
      </c>
      <c r="M3159">
        <v>6.13</v>
      </c>
      <c r="N3159">
        <v>5.8</v>
      </c>
    </row>
    <row r="3160" spans="1:14" x14ac:dyDescent="0.5">
      <c r="A3160" t="str">
        <f>"603025"</f>
        <v>603025</v>
      </c>
      <c r="B3160" t="s">
        <v>5940</v>
      </c>
      <c r="C3160">
        <v>4.24</v>
      </c>
      <c r="D3160">
        <v>24.92</v>
      </c>
      <c r="E3160">
        <v>12.05</v>
      </c>
      <c r="F3160">
        <v>0.49</v>
      </c>
      <c r="G3160">
        <v>12.05</v>
      </c>
      <c r="H3160">
        <v>12.06</v>
      </c>
      <c r="I3160" t="s">
        <v>5941</v>
      </c>
      <c r="J3160">
        <v>0.66</v>
      </c>
      <c r="K3160">
        <v>0.66</v>
      </c>
      <c r="L3160">
        <v>11.56</v>
      </c>
      <c r="M3160">
        <v>12.08</v>
      </c>
      <c r="N3160">
        <v>11.5</v>
      </c>
    </row>
    <row r="3161" spans="1:14" x14ac:dyDescent="0.5">
      <c r="A3161" t="str">
        <f>"603026"</f>
        <v>603026</v>
      </c>
      <c r="B3161" t="s">
        <v>5942</v>
      </c>
      <c r="C3161">
        <v>-0.12</v>
      </c>
      <c r="D3161">
        <v>21.77</v>
      </c>
      <c r="E3161">
        <v>24.17</v>
      </c>
      <c r="F3161">
        <v>-0.03</v>
      </c>
      <c r="G3161">
        <v>24.16</v>
      </c>
      <c r="H3161">
        <v>24.17</v>
      </c>
      <c r="I3161" t="s">
        <v>1690</v>
      </c>
      <c r="J3161">
        <v>1.58</v>
      </c>
      <c r="K3161">
        <v>1.58</v>
      </c>
      <c r="L3161">
        <v>23.92</v>
      </c>
      <c r="M3161">
        <v>24.21</v>
      </c>
      <c r="N3161">
        <v>23.65</v>
      </c>
    </row>
    <row r="3162" spans="1:14" x14ac:dyDescent="0.5">
      <c r="A3162" t="str">
        <f>"603027"</f>
        <v>603027</v>
      </c>
      <c r="B3162" t="s">
        <v>5943</v>
      </c>
      <c r="C3162">
        <v>0.2</v>
      </c>
      <c r="D3162">
        <v>30.71</v>
      </c>
      <c r="E3162">
        <v>19.98</v>
      </c>
      <c r="F3162">
        <v>0.04</v>
      </c>
      <c r="G3162">
        <v>19.98</v>
      </c>
      <c r="H3162">
        <v>19.989999999999998</v>
      </c>
      <c r="I3162" t="s">
        <v>5944</v>
      </c>
      <c r="J3162">
        <v>4.97</v>
      </c>
      <c r="K3162">
        <v>4.97</v>
      </c>
      <c r="L3162">
        <v>19.88</v>
      </c>
      <c r="M3162">
        <v>20</v>
      </c>
      <c r="N3162">
        <v>19.510000000000002</v>
      </c>
    </row>
    <row r="3163" spans="1:14" x14ac:dyDescent="0.5">
      <c r="A3163" t="str">
        <f>"603028"</f>
        <v>603028</v>
      </c>
      <c r="B3163" t="s">
        <v>5945</v>
      </c>
      <c r="C3163">
        <v>1.08</v>
      </c>
      <c r="D3163">
        <v>162.26</v>
      </c>
      <c r="E3163">
        <v>9.39</v>
      </c>
      <c r="F3163">
        <v>0.1</v>
      </c>
      <c r="G3163">
        <v>9.39</v>
      </c>
      <c r="H3163">
        <v>9.4</v>
      </c>
      <c r="I3163" t="s">
        <v>5946</v>
      </c>
      <c r="J3163">
        <v>4.1399999999999997</v>
      </c>
      <c r="K3163">
        <v>4.1399999999999997</v>
      </c>
      <c r="L3163">
        <v>9.2899999999999991</v>
      </c>
      <c r="M3163">
        <v>9.51</v>
      </c>
      <c r="N3163">
        <v>9.1999999999999993</v>
      </c>
    </row>
    <row r="3164" spans="1:14" x14ac:dyDescent="0.5">
      <c r="A3164" t="str">
        <f>"603029"</f>
        <v>603029</v>
      </c>
      <c r="B3164" t="s">
        <v>5947</v>
      </c>
      <c r="C3164">
        <v>1.27</v>
      </c>
      <c r="D3164">
        <v>155.49</v>
      </c>
      <c r="E3164">
        <v>15.18</v>
      </c>
      <c r="F3164">
        <v>0.19</v>
      </c>
      <c r="G3164">
        <v>15.18</v>
      </c>
      <c r="H3164">
        <v>15.19</v>
      </c>
      <c r="I3164" t="s">
        <v>5948</v>
      </c>
      <c r="J3164">
        <v>2.64</v>
      </c>
      <c r="K3164">
        <v>2.64</v>
      </c>
      <c r="L3164">
        <v>14.98</v>
      </c>
      <c r="M3164">
        <v>15.19</v>
      </c>
      <c r="N3164">
        <v>14.9</v>
      </c>
    </row>
    <row r="3165" spans="1:14" x14ac:dyDescent="0.5">
      <c r="A3165" t="str">
        <f>"603030"</f>
        <v>603030</v>
      </c>
      <c r="B3165" t="s">
        <v>5949</v>
      </c>
      <c r="C3165">
        <v>-0.15</v>
      </c>
      <c r="D3165">
        <v>15.26</v>
      </c>
      <c r="E3165">
        <v>6.82</v>
      </c>
      <c r="F3165">
        <v>-0.01</v>
      </c>
      <c r="G3165">
        <v>6.81</v>
      </c>
      <c r="H3165">
        <v>6.82</v>
      </c>
      <c r="I3165" t="s">
        <v>5950</v>
      </c>
      <c r="J3165">
        <v>1.94</v>
      </c>
      <c r="K3165">
        <v>1.94</v>
      </c>
      <c r="L3165">
        <v>6.65</v>
      </c>
      <c r="M3165">
        <v>6.86</v>
      </c>
      <c r="N3165">
        <v>6.65</v>
      </c>
    </row>
    <row r="3166" spans="1:14" x14ac:dyDescent="0.5">
      <c r="A3166" t="str">
        <f>"603031"</f>
        <v>603031</v>
      </c>
      <c r="B3166" t="s">
        <v>5951</v>
      </c>
      <c r="C3166">
        <v>4.59</v>
      </c>
      <c r="D3166">
        <v>59.22</v>
      </c>
      <c r="E3166">
        <v>13.22</v>
      </c>
      <c r="F3166">
        <v>0.57999999999999996</v>
      </c>
      <c r="G3166">
        <v>13.22</v>
      </c>
      <c r="H3166">
        <v>13.23</v>
      </c>
      <c r="I3166" t="s">
        <v>5952</v>
      </c>
      <c r="J3166">
        <v>7.98</v>
      </c>
      <c r="K3166">
        <v>7.98</v>
      </c>
      <c r="L3166">
        <v>12.63</v>
      </c>
      <c r="M3166">
        <v>13.34</v>
      </c>
      <c r="N3166">
        <v>12.57</v>
      </c>
    </row>
    <row r="3167" spans="1:14" x14ac:dyDescent="0.5">
      <c r="A3167" t="str">
        <f>"603032"</f>
        <v>603032</v>
      </c>
      <c r="B3167" t="s">
        <v>5953</v>
      </c>
      <c r="C3167">
        <v>10.01</v>
      </c>
      <c r="D3167">
        <v>449.11</v>
      </c>
      <c r="E3167">
        <v>38.340000000000003</v>
      </c>
      <c r="F3167">
        <v>3.49</v>
      </c>
      <c r="G3167">
        <v>38.340000000000003</v>
      </c>
      <c r="H3167" t="s">
        <v>24</v>
      </c>
      <c r="I3167" t="s">
        <v>5954</v>
      </c>
      <c r="J3167">
        <v>37.770000000000003</v>
      </c>
      <c r="K3167">
        <v>37.770000000000003</v>
      </c>
      <c r="L3167">
        <v>36.479999999999997</v>
      </c>
      <c r="M3167">
        <v>38.340000000000003</v>
      </c>
      <c r="N3167">
        <v>32.89</v>
      </c>
    </row>
    <row r="3168" spans="1:14" x14ac:dyDescent="0.5">
      <c r="A3168" t="str">
        <f>"603033"</f>
        <v>603033</v>
      </c>
      <c r="B3168" t="s">
        <v>5955</v>
      </c>
      <c r="C3168">
        <v>0.4</v>
      </c>
      <c r="D3168">
        <v>47.86</v>
      </c>
      <c r="E3168">
        <v>22.34</v>
      </c>
      <c r="F3168">
        <v>0.09</v>
      </c>
      <c r="G3168">
        <v>22.33</v>
      </c>
      <c r="H3168">
        <v>22.34</v>
      </c>
      <c r="I3168" t="s">
        <v>5956</v>
      </c>
      <c r="J3168">
        <v>1.1499999999999999</v>
      </c>
      <c r="K3168">
        <v>1.1499999999999999</v>
      </c>
      <c r="L3168">
        <v>22.24</v>
      </c>
      <c r="M3168">
        <v>22.34</v>
      </c>
      <c r="N3168">
        <v>22</v>
      </c>
    </row>
    <row r="3169" spans="1:14" x14ac:dyDescent="0.5">
      <c r="A3169" t="str">
        <f>"603035"</f>
        <v>603035</v>
      </c>
      <c r="B3169" t="s">
        <v>5957</v>
      </c>
      <c r="C3169">
        <v>1.94</v>
      </c>
      <c r="D3169">
        <v>9.89</v>
      </c>
      <c r="E3169">
        <v>13.66</v>
      </c>
      <c r="F3169">
        <v>0.26</v>
      </c>
      <c r="G3169">
        <v>13.65</v>
      </c>
      <c r="H3169">
        <v>13.66</v>
      </c>
      <c r="I3169" t="s">
        <v>1547</v>
      </c>
      <c r="J3169">
        <v>2.2400000000000002</v>
      </c>
      <c r="K3169">
        <v>2.2400000000000002</v>
      </c>
      <c r="L3169">
        <v>13.37</v>
      </c>
      <c r="M3169">
        <v>13.69</v>
      </c>
      <c r="N3169">
        <v>13.27</v>
      </c>
    </row>
    <row r="3170" spans="1:14" x14ac:dyDescent="0.5">
      <c r="A3170" t="str">
        <f>"603036"</f>
        <v>603036</v>
      </c>
      <c r="B3170" t="s">
        <v>5958</v>
      </c>
      <c r="C3170">
        <v>1.62</v>
      </c>
      <c r="D3170">
        <v>78.900000000000006</v>
      </c>
      <c r="E3170">
        <v>13.16</v>
      </c>
      <c r="F3170">
        <v>0.21</v>
      </c>
      <c r="G3170">
        <v>13.16</v>
      </c>
      <c r="H3170">
        <v>13.17</v>
      </c>
      <c r="I3170" t="s">
        <v>5959</v>
      </c>
      <c r="J3170">
        <v>8.19</v>
      </c>
      <c r="K3170">
        <v>8.19</v>
      </c>
      <c r="L3170">
        <v>12.96</v>
      </c>
      <c r="M3170">
        <v>13.17</v>
      </c>
      <c r="N3170">
        <v>12.85</v>
      </c>
    </row>
    <row r="3171" spans="1:14" x14ac:dyDescent="0.5">
      <c r="A3171" t="str">
        <f>"603037"</f>
        <v>603037</v>
      </c>
      <c r="B3171" t="s">
        <v>5960</v>
      </c>
      <c r="C3171">
        <v>3.95</v>
      </c>
      <c r="D3171">
        <v>16.86</v>
      </c>
      <c r="E3171">
        <v>21.83</v>
      </c>
      <c r="F3171">
        <v>0.83</v>
      </c>
      <c r="G3171">
        <v>21.81</v>
      </c>
      <c r="H3171">
        <v>21.83</v>
      </c>
      <c r="I3171" t="s">
        <v>5961</v>
      </c>
      <c r="J3171">
        <v>3.91</v>
      </c>
      <c r="K3171">
        <v>3.91</v>
      </c>
      <c r="L3171">
        <v>20.86</v>
      </c>
      <c r="M3171">
        <v>21.9</v>
      </c>
      <c r="N3171">
        <v>20.8</v>
      </c>
    </row>
    <row r="3172" spans="1:14" x14ac:dyDescent="0.5">
      <c r="A3172" t="str">
        <f>"603038"</f>
        <v>603038</v>
      </c>
      <c r="B3172" t="s">
        <v>5962</v>
      </c>
      <c r="C3172">
        <v>2.57</v>
      </c>
      <c r="D3172">
        <v>23.37</v>
      </c>
      <c r="E3172">
        <v>19.190000000000001</v>
      </c>
      <c r="F3172">
        <v>0.48</v>
      </c>
      <c r="G3172">
        <v>19.190000000000001</v>
      </c>
      <c r="H3172">
        <v>19.2</v>
      </c>
      <c r="I3172" t="s">
        <v>3817</v>
      </c>
      <c r="J3172">
        <v>3.38</v>
      </c>
      <c r="K3172">
        <v>3.38</v>
      </c>
      <c r="L3172">
        <v>18.63</v>
      </c>
      <c r="M3172">
        <v>19.3</v>
      </c>
      <c r="N3172">
        <v>18.62</v>
      </c>
    </row>
    <row r="3173" spans="1:14" x14ac:dyDescent="0.5">
      <c r="A3173" t="str">
        <f>"603039"</f>
        <v>603039</v>
      </c>
      <c r="B3173" t="s">
        <v>5963</v>
      </c>
      <c r="C3173">
        <v>0.64</v>
      </c>
      <c r="D3173">
        <v>92.86</v>
      </c>
      <c r="E3173">
        <v>89.2</v>
      </c>
      <c r="F3173">
        <v>0.56999999999999995</v>
      </c>
      <c r="G3173">
        <v>89.2</v>
      </c>
      <c r="H3173">
        <v>89.22</v>
      </c>
      <c r="I3173" t="s">
        <v>474</v>
      </c>
      <c r="J3173">
        <v>0.86</v>
      </c>
      <c r="K3173">
        <v>0.86</v>
      </c>
      <c r="L3173">
        <v>88.98</v>
      </c>
      <c r="M3173">
        <v>90.05</v>
      </c>
      <c r="N3173">
        <v>88.26</v>
      </c>
    </row>
    <row r="3174" spans="1:14" x14ac:dyDescent="0.5">
      <c r="A3174" t="str">
        <f>"603040"</f>
        <v>603040</v>
      </c>
      <c r="B3174" t="s">
        <v>5964</v>
      </c>
      <c r="C3174">
        <v>1.06</v>
      </c>
      <c r="D3174">
        <v>21.39</v>
      </c>
      <c r="E3174">
        <v>29.58</v>
      </c>
      <c r="F3174">
        <v>0.31</v>
      </c>
      <c r="G3174">
        <v>29.58</v>
      </c>
      <c r="H3174">
        <v>29.59</v>
      </c>
      <c r="I3174" t="s">
        <v>5965</v>
      </c>
      <c r="J3174">
        <v>6.2</v>
      </c>
      <c r="K3174">
        <v>6.2</v>
      </c>
      <c r="L3174">
        <v>29.45</v>
      </c>
      <c r="M3174">
        <v>29.74</v>
      </c>
      <c r="N3174">
        <v>28.84</v>
      </c>
    </row>
    <row r="3175" spans="1:14" x14ac:dyDescent="0.5">
      <c r="A3175" t="str">
        <f>"603041"</f>
        <v>603041</v>
      </c>
      <c r="B3175" t="s">
        <v>5966</v>
      </c>
      <c r="C3175">
        <v>1.17</v>
      </c>
      <c r="D3175">
        <v>38.69</v>
      </c>
      <c r="E3175">
        <v>15.58</v>
      </c>
      <c r="F3175">
        <v>0.18</v>
      </c>
      <c r="G3175">
        <v>15.58</v>
      </c>
      <c r="H3175">
        <v>15.59</v>
      </c>
      <c r="I3175" t="s">
        <v>5967</v>
      </c>
      <c r="J3175">
        <v>1.61</v>
      </c>
      <c r="K3175">
        <v>1.61</v>
      </c>
      <c r="L3175">
        <v>15.3</v>
      </c>
      <c r="M3175">
        <v>15.59</v>
      </c>
      <c r="N3175">
        <v>15.26</v>
      </c>
    </row>
    <row r="3176" spans="1:14" x14ac:dyDescent="0.5">
      <c r="A3176" t="str">
        <f>"603042"</f>
        <v>603042</v>
      </c>
      <c r="B3176" t="s">
        <v>5968</v>
      </c>
      <c r="C3176">
        <v>4.9800000000000004</v>
      </c>
      <c r="D3176">
        <v>230.55</v>
      </c>
      <c r="E3176">
        <v>15.19</v>
      </c>
      <c r="F3176">
        <v>0.72</v>
      </c>
      <c r="G3176">
        <v>15.19</v>
      </c>
      <c r="H3176">
        <v>15.2</v>
      </c>
      <c r="I3176" t="s">
        <v>2681</v>
      </c>
      <c r="J3176">
        <v>6.5</v>
      </c>
      <c r="K3176">
        <v>6.5</v>
      </c>
      <c r="L3176">
        <v>14.47</v>
      </c>
      <c r="M3176">
        <v>15.28</v>
      </c>
      <c r="N3176">
        <v>14.38</v>
      </c>
    </row>
    <row r="3177" spans="1:14" x14ac:dyDescent="0.5">
      <c r="A3177" t="str">
        <f>"603043"</f>
        <v>603043</v>
      </c>
      <c r="B3177" t="s">
        <v>5969</v>
      </c>
      <c r="C3177">
        <v>-0.1</v>
      </c>
      <c r="D3177">
        <v>28.97</v>
      </c>
      <c r="E3177">
        <v>31.43</v>
      </c>
      <c r="F3177">
        <v>-0.03</v>
      </c>
      <c r="G3177">
        <v>31.43</v>
      </c>
      <c r="H3177">
        <v>31.44</v>
      </c>
      <c r="I3177" t="s">
        <v>1612</v>
      </c>
      <c r="J3177">
        <v>1.93</v>
      </c>
      <c r="K3177">
        <v>1.93</v>
      </c>
      <c r="L3177">
        <v>31.5</v>
      </c>
      <c r="M3177">
        <v>31.8</v>
      </c>
      <c r="N3177">
        <v>30.9</v>
      </c>
    </row>
    <row r="3178" spans="1:14" x14ac:dyDescent="0.5">
      <c r="A3178" t="str">
        <f>"603045"</f>
        <v>603045</v>
      </c>
      <c r="B3178" t="s">
        <v>5970</v>
      </c>
      <c r="C3178">
        <v>1.42</v>
      </c>
      <c r="D3178">
        <v>56.1</v>
      </c>
      <c r="E3178">
        <v>30.09</v>
      </c>
      <c r="F3178">
        <v>0.42</v>
      </c>
      <c r="G3178">
        <v>30.09</v>
      </c>
      <c r="H3178">
        <v>30.1</v>
      </c>
      <c r="I3178" t="s">
        <v>5971</v>
      </c>
      <c r="J3178">
        <v>11.22</v>
      </c>
      <c r="K3178">
        <v>11.22</v>
      </c>
      <c r="L3178">
        <v>29.51</v>
      </c>
      <c r="M3178">
        <v>30.17</v>
      </c>
      <c r="N3178">
        <v>29.2</v>
      </c>
    </row>
    <row r="3179" spans="1:14" x14ac:dyDescent="0.5">
      <c r="A3179" t="str">
        <f>"603050"</f>
        <v>603050</v>
      </c>
      <c r="B3179" t="s">
        <v>5972</v>
      </c>
      <c r="C3179">
        <v>1.26</v>
      </c>
      <c r="D3179">
        <v>26.89</v>
      </c>
      <c r="E3179">
        <v>14.41</v>
      </c>
      <c r="F3179">
        <v>0.18</v>
      </c>
      <c r="G3179">
        <v>14.41</v>
      </c>
      <c r="H3179">
        <v>14.42</v>
      </c>
      <c r="I3179" t="s">
        <v>5973</v>
      </c>
      <c r="J3179">
        <v>8.07</v>
      </c>
      <c r="K3179">
        <v>8.07</v>
      </c>
      <c r="L3179">
        <v>14.24</v>
      </c>
      <c r="M3179">
        <v>14.44</v>
      </c>
      <c r="N3179">
        <v>14.01</v>
      </c>
    </row>
    <row r="3180" spans="1:14" x14ac:dyDescent="0.5">
      <c r="A3180" t="str">
        <f>"603055"</f>
        <v>603055</v>
      </c>
      <c r="B3180" t="s">
        <v>5974</v>
      </c>
      <c r="C3180">
        <v>0.87</v>
      </c>
      <c r="D3180">
        <v>15.85</v>
      </c>
      <c r="E3180">
        <v>12.78</v>
      </c>
      <c r="F3180">
        <v>0.11</v>
      </c>
      <c r="G3180">
        <v>12.77</v>
      </c>
      <c r="H3180">
        <v>12.78</v>
      </c>
      <c r="I3180" t="s">
        <v>3953</v>
      </c>
      <c r="J3180">
        <v>2.21</v>
      </c>
      <c r="K3180">
        <v>2.21</v>
      </c>
      <c r="L3180">
        <v>12.67</v>
      </c>
      <c r="M3180">
        <v>12.78</v>
      </c>
      <c r="N3180">
        <v>12.51</v>
      </c>
    </row>
    <row r="3181" spans="1:14" x14ac:dyDescent="0.5">
      <c r="A3181" t="str">
        <f>"603056"</f>
        <v>603056</v>
      </c>
      <c r="B3181" t="s">
        <v>5975</v>
      </c>
      <c r="C3181">
        <v>-0.56000000000000005</v>
      </c>
      <c r="D3181">
        <v>27.04</v>
      </c>
      <c r="E3181">
        <v>19.690000000000001</v>
      </c>
      <c r="F3181">
        <v>-0.11</v>
      </c>
      <c r="G3181">
        <v>19.690000000000001</v>
      </c>
      <c r="H3181">
        <v>19.7</v>
      </c>
      <c r="I3181" t="s">
        <v>5976</v>
      </c>
      <c r="J3181">
        <v>2.78</v>
      </c>
      <c r="K3181">
        <v>2.78</v>
      </c>
      <c r="L3181">
        <v>19.82</v>
      </c>
      <c r="M3181">
        <v>19.940000000000001</v>
      </c>
      <c r="N3181">
        <v>19.25</v>
      </c>
    </row>
    <row r="3182" spans="1:14" x14ac:dyDescent="0.5">
      <c r="A3182" t="str">
        <f>"603058"</f>
        <v>603058</v>
      </c>
      <c r="B3182" t="s">
        <v>5977</v>
      </c>
      <c r="C3182">
        <v>1.17</v>
      </c>
      <c r="D3182">
        <v>37.5</v>
      </c>
      <c r="E3182">
        <v>11.26</v>
      </c>
      <c r="F3182">
        <v>0.13</v>
      </c>
      <c r="G3182">
        <v>11.26</v>
      </c>
      <c r="H3182">
        <v>11.27</v>
      </c>
      <c r="I3182" t="s">
        <v>2221</v>
      </c>
      <c r="J3182">
        <v>3.27</v>
      </c>
      <c r="K3182">
        <v>3.27</v>
      </c>
      <c r="L3182">
        <v>11.06</v>
      </c>
      <c r="M3182">
        <v>11.26</v>
      </c>
      <c r="N3182">
        <v>10.86</v>
      </c>
    </row>
    <row r="3183" spans="1:14" x14ac:dyDescent="0.5">
      <c r="A3183" t="str">
        <f>"603059"</f>
        <v>603059</v>
      </c>
      <c r="B3183" t="s">
        <v>5978</v>
      </c>
      <c r="C3183">
        <v>-0.39</v>
      </c>
      <c r="D3183">
        <v>29.01</v>
      </c>
      <c r="E3183">
        <v>35.57</v>
      </c>
      <c r="F3183">
        <v>-0.14000000000000001</v>
      </c>
      <c r="G3183">
        <v>35.57</v>
      </c>
      <c r="H3183">
        <v>35.58</v>
      </c>
      <c r="I3183" t="s">
        <v>3873</v>
      </c>
      <c r="J3183">
        <v>11.21</v>
      </c>
      <c r="K3183">
        <v>11.21</v>
      </c>
      <c r="L3183">
        <v>35.380000000000003</v>
      </c>
      <c r="M3183">
        <v>35.79</v>
      </c>
      <c r="N3183">
        <v>35.1</v>
      </c>
    </row>
    <row r="3184" spans="1:14" x14ac:dyDescent="0.5">
      <c r="A3184" t="str">
        <f>"603060"</f>
        <v>603060</v>
      </c>
      <c r="B3184" t="s">
        <v>5979</v>
      </c>
      <c r="C3184">
        <v>1.39</v>
      </c>
      <c r="D3184">
        <v>29.37</v>
      </c>
      <c r="E3184">
        <v>24.12</v>
      </c>
      <c r="F3184">
        <v>0.33</v>
      </c>
      <c r="G3184">
        <v>24.11</v>
      </c>
      <c r="H3184">
        <v>24.12</v>
      </c>
      <c r="I3184" t="s">
        <v>5980</v>
      </c>
      <c r="J3184">
        <v>1.26</v>
      </c>
      <c r="K3184">
        <v>1.26</v>
      </c>
      <c r="L3184">
        <v>23.89</v>
      </c>
      <c r="M3184">
        <v>24.16</v>
      </c>
      <c r="N3184">
        <v>23.84</v>
      </c>
    </row>
    <row r="3185" spans="1:14" x14ac:dyDescent="0.5">
      <c r="A3185" t="str">
        <f>"603063"</f>
        <v>603063</v>
      </c>
      <c r="B3185" t="s">
        <v>5981</v>
      </c>
      <c r="C3185">
        <v>2.75</v>
      </c>
      <c r="D3185">
        <v>42.72</v>
      </c>
      <c r="E3185">
        <v>10.85</v>
      </c>
      <c r="F3185">
        <v>0.28999999999999998</v>
      </c>
      <c r="G3185">
        <v>10.85</v>
      </c>
      <c r="H3185">
        <v>10.86</v>
      </c>
      <c r="I3185" t="s">
        <v>179</v>
      </c>
      <c r="J3185">
        <v>9.1</v>
      </c>
      <c r="K3185">
        <v>9.1</v>
      </c>
      <c r="L3185">
        <v>10.32</v>
      </c>
      <c r="M3185">
        <v>11.03</v>
      </c>
      <c r="N3185">
        <v>10.1</v>
      </c>
    </row>
    <row r="3186" spans="1:14" x14ac:dyDescent="0.5">
      <c r="A3186" t="str">
        <f>"603066"</f>
        <v>603066</v>
      </c>
      <c r="B3186" t="s">
        <v>5982</v>
      </c>
      <c r="C3186">
        <v>2.72</v>
      </c>
      <c r="D3186">
        <v>25.17</v>
      </c>
      <c r="E3186">
        <v>7.92</v>
      </c>
      <c r="F3186">
        <v>0.21</v>
      </c>
      <c r="G3186">
        <v>7.92</v>
      </c>
      <c r="H3186">
        <v>7.93</v>
      </c>
      <c r="I3186" t="s">
        <v>5983</v>
      </c>
      <c r="J3186">
        <v>3.29</v>
      </c>
      <c r="K3186">
        <v>3.29</v>
      </c>
      <c r="L3186">
        <v>7.71</v>
      </c>
      <c r="M3186">
        <v>7.93</v>
      </c>
      <c r="N3186">
        <v>7.63</v>
      </c>
    </row>
    <row r="3187" spans="1:14" x14ac:dyDescent="0.5">
      <c r="A3187" t="str">
        <f>"603067"</f>
        <v>603067</v>
      </c>
      <c r="B3187" t="s">
        <v>5984</v>
      </c>
      <c r="C3187">
        <v>3.34</v>
      </c>
      <c r="D3187">
        <v>17.11</v>
      </c>
      <c r="E3187">
        <v>9.2899999999999991</v>
      </c>
      <c r="F3187">
        <v>0.3</v>
      </c>
      <c r="G3187">
        <v>9.2899999999999991</v>
      </c>
      <c r="H3187">
        <v>9.3000000000000007</v>
      </c>
      <c r="I3187" t="s">
        <v>5985</v>
      </c>
      <c r="J3187">
        <v>6.11</v>
      </c>
      <c r="K3187">
        <v>6.11</v>
      </c>
      <c r="L3187">
        <v>9</v>
      </c>
      <c r="M3187">
        <v>9.36</v>
      </c>
      <c r="N3187">
        <v>8.9</v>
      </c>
    </row>
    <row r="3188" spans="1:14" x14ac:dyDescent="0.5">
      <c r="A3188" t="str">
        <f>"603069"</f>
        <v>603069</v>
      </c>
      <c r="B3188" t="s">
        <v>5986</v>
      </c>
      <c r="C3188">
        <v>1.89</v>
      </c>
      <c r="D3188">
        <v>42.46</v>
      </c>
      <c r="E3188">
        <v>7.54</v>
      </c>
      <c r="F3188">
        <v>0.14000000000000001</v>
      </c>
      <c r="G3188">
        <v>7.54</v>
      </c>
      <c r="H3188">
        <v>7.55</v>
      </c>
      <c r="I3188" t="s">
        <v>5987</v>
      </c>
      <c r="J3188">
        <v>2.78</v>
      </c>
      <c r="K3188">
        <v>2.78</v>
      </c>
      <c r="L3188">
        <v>7.4</v>
      </c>
      <c r="M3188">
        <v>7.59</v>
      </c>
      <c r="N3188">
        <v>7.33</v>
      </c>
    </row>
    <row r="3189" spans="1:14" x14ac:dyDescent="0.5">
      <c r="A3189" t="str">
        <f>"603076"</f>
        <v>603076</v>
      </c>
      <c r="B3189" t="s">
        <v>5988</v>
      </c>
      <c r="C3189">
        <v>1.66</v>
      </c>
      <c r="D3189">
        <v>26.77</v>
      </c>
      <c r="E3189">
        <v>25.79</v>
      </c>
      <c r="F3189">
        <v>0.42</v>
      </c>
      <c r="G3189">
        <v>25.78</v>
      </c>
      <c r="H3189">
        <v>25.79</v>
      </c>
      <c r="I3189" t="s">
        <v>5989</v>
      </c>
      <c r="J3189">
        <v>5.22</v>
      </c>
      <c r="K3189">
        <v>5.22</v>
      </c>
      <c r="L3189">
        <v>25.26</v>
      </c>
      <c r="M3189">
        <v>25.86</v>
      </c>
      <c r="N3189">
        <v>25.26</v>
      </c>
    </row>
    <row r="3190" spans="1:14" x14ac:dyDescent="0.5">
      <c r="A3190" t="str">
        <f>"603077"</f>
        <v>603077</v>
      </c>
      <c r="B3190" t="s">
        <v>5990</v>
      </c>
      <c r="C3190">
        <v>0.5</v>
      </c>
      <c r="D3190">
        <v>28.12</v>
      </c>
      <c r="E3190">
        <v>2.0099999999999998</v>
      </c>
      <c r="F3190">
        <v>0.01</v>
      </c>
      <c r="G3190">
        <v>2</v>
      </c>
      <c r="H3190">
        <v>2.0099999999999998</v>
      </c>
      <c r="I3190" t="s">
        <v>5991</v>
      </c>
      <c r="J3190">
        <v>0.89</v>
      </c>
      <c r="K3190">
        <v>0.89</v>
      </c>
      <c r="L3190">
        <v>1.99</v>
      </c>
      <c r="M3190">
        <v>2.0099999999999998</v>
      </c>
      <c r="N3190">
        <v>1.96</v>
      </c>
    </row>
    <row r="3191" spans="1:14" x14ac:dyDescent="0.5">
      <c r="A3191" t="str">
        <f>"603078"</f>
        <v>603078</v>
      </c>
      <c r="B3191" t="s">
        <v>5992</v>
      </c>
      <c r="C3191">
        <v>2.2599999999999998</v>
      </c>
      <c r="D3191">
        <v>66.67</v>
      </c>
      <c r="E3191">
        <v>32.11</v>
      </c>
      <c r="F3191">
        <v>0.71</v>
      </c>
      <c r="G3191">
        <v>32.11</v>
      </c>
      <c r="H3191">
        <v>32.15</v>
      </c>
      <c r="I3191" t="s">
        <v>5993</v>
      </c>
      <c r="J3191">
        <v>3.76</v>
      </c>
      <c r="K3191">
        <v>3.76</v>
      </c>
      <c r="L3191">
        <v>32.200000000000003</v>
      </c>
      <c r="M3191">
        <v>32.25</v>
      </c>
      <c r="N3191">
        <v>31.1</v>
      </c>
    </row>
    <row r="3192" spans="1:14" x14ac:dyDescent="0.5">
      <c r="A3192" t="str">
        <f>"603079"</f>
        <v>603079</v>
      </c>
      <c r="B3192" t="s">
        <v>5994</v>
      </c>
      <c r="C3192">
        <v>0.99</v>
      </c>
      <c r="D3192">
        <v>35.369999999999997</v>
      </c>
      <c r="E3192">
        <v>21.45</v>
      </c>
      <c r="F3192">
        <v>0.21</v>
      </c>
      <c r="G3192">
        <v>21.44</v>
      </c>
      <c r="H3192">
        <v>21.45</v>
      </c>
      <c r="I3192" t="s">
        <v>3363</v>
      </c>
      <c r="J3192">
        <v>6.7</v>
      </c>
      <c r="K3192">
        <v>6.7</v>
      </c>
      <c r="L3192">
        <v>21.08</v>
      </c>
      <c r="M3192">
        <v>21.49</v>
      </c>
      <c r="N3192">
        <v>20.7</v>
      </c>
    </row>
    <row r="3193" spans="1:14" x14ac:dyDescent="0.5">
      <c r="A3193" t="str">
        <f>"603080"</f>
        <v>603080</v>
      </c>
      <c r="B3193" t="s">
        <v>5995</v>
      </c>
      <c r="C3193">
        <v>-0.41</v>
      </c>
      <c r="D3193">
        <v>31.81</v>
      </c>
      <c r="E3193">
        <v>21.89</v>
      </c>
      <c r="F3193">
        <v>-0.09</v>
      </c>
      <c r="G3193">
        <v>21.89</v>
      </c>
      <c r="H3193">
        <v>21.9</v>
      </c>
      <c r="I3193" t="s">
        <v>3865</v>
      </c>
      <c r="J3193">
        <v>5.71</v>
      </c>
      <c r="K3193">
        <v>5.71</v>
      </c>
      <c r="L3193">
        <v>21.6</v>
      </c>
      <c r="M3193">
        <v>21.91</v>
      </c>
      <c r="N3193">
        <v>21.48</v>
      </c>
    </row>
    <row r="3194" spans="1:14" x14ac:dyDescent="0.5">
      <c r="A3194" t="str">
        <f>"603081"</f>
        <v>603081</v>
      </c>
      <c r="B3194" t="s">
        <v>5996</v>
      </c>
      <c r="C3194">
        <v>6.38</v>
      </c>
      <c r="D3194">
        <v>27.03</v>
      </c>
      <c r="E3194">
        <v>17.18</v>
      </c>
      <c r="F3194">
        <v>1.03</v>
      </c>
      <c r="G3194">
        <v>17.18</v>
      </c>
      <c r="H3194">
        <v>17.190000000000001</v>
      </c>
      <c r="I3194" t="s">
        <v>5997</v>
      </c>
      <c r="J3194">
        <v>34.979999999999997</v>
      </c>
      <c r="K3194">
        <v>34.979999999999997</v>
      </c>
      <c r="L3194">
        <v>15.78</v>
      </c>
      <c r="M3194">
        <v>17.18</v>
      </c>
      <c r="N3194">
        <v>15.75</v>
      </c>
    </row>
    <row r="3195" spans="1:14" x14ac:dyDescent="0.5">
      <c r="A3195" t="str">
        <f>"603083"</f>
        <v>603083</v>
      </c>
      <c r="B3195" t="s">
        <v>5998</v>
      </c>
      <c r="C3195">
        <v>10.01</v>
      </c>
      <c r="D3195">
        <v>53.49</v>
      </c>
      <c r="E3195">
        <v>29.02</v>
      </c>
      <c r="F3195">
        <v>2.64</v>
      </c>
      <c r="G3195">
        <v>29.02</v>
      </c>
      <c r="H3195" t="s">
        <v>24</v>
      </c>
      <c r="I3195" t="s">
        <v>5999</v>
      </c>
      <c r="J3195">
        <v>4.12</v>
      </c>
      <c r="K3195">
        <v>4.12</v>
      </c>
      <c r="L3195">
        <v>29.02</v>
      </c>
      <c r="M3195">
        <v>29.02</v>
      </c>
      <c r="N3195">
        <v>29.02</v>
      </c>
    </row>
    <row r="3196" spans="1:14" x14ac:dyDescent="0.5">
      <c r="A3196" t="str">
        <f>"603085"</f>
        <v>603085</v>
      </c>
      <c r="B3196" t="s">
        <v>6000</v>
      </c>
      <c r="C3196">
        <v>6.48</v>
      </c>
      <c r="D3196">
        <v>47.77</v>
      </c>
      <c r="E3196">
        <v>10.84</v>
      </c>
      <c r="F3196">
        <v>0.66</v>
      </c>
      <c r="G3196">
        <v>10.83</v>
      </c>
      <c r="H3196">
        <v>10.84</v>
      </c>
      <c r="I3196" t="s">
        <v>3739</v>
      </c>
      <c r="J3196">
        <v>17.920000000000002</v>
      </c>
      <c r="K3196">
        <v>17.920000000000002</v>
      </c>
      <c r="L3196">
        <v>10.19</v>
      </c>
      <c r="M3196">
        <v>10.97</v>
      </c>
      <c r="N3196">
        <v>10.02</v>
      </c>
    </row>
    <row r="3197" spans="1:14" x14ac:dyDescent="0.5">
      <c r="A3197" t="str">
        <f>"603086"</f>
        <v>603086</v>
      </c>
      <c r="B3197" t="s">
        <v>6001</v>
      </c>
      <c r="C3197">
        <v>0.54</v>
      </c>
      <c r="D3197">
        <v>14.67</v>
      </c>
      <c r="E3197">
        <v>27.8</v>
      </c>
      <c r="F3197">
        <v>0.15</v>
      </c>
      <c r="G3197">
        <v>27.78</v>
      </c>
      <c r="H3197">
        <v>27.8</v>
      </c>
      <c r="I3197" t="s">
        <v>6002</v>
      </c>
      <c r="J3197">
        <v>2.41</v>
      </c>
      <c r="K3197">
        <v>2.41</v>
      </c>
      <c r="L3197">
        <v>27.8</v>
      </c>
      <c r="M3197">
        <v>27.94</v>
      </c>
      <c r="N3197">
        <v>27.45</v>
      </c>
    </row>
    <row r="3198" spans="1:14" x14ac:dyDescent="0.5">
      <c r="A3198" t="str">
        <f>"603088"</f>
        <v>603088</v>
      </c>
      <c r="B3198" t="s">
        <v>6003</v>
      </c>
      <c r="C3198">
        <v>0.9</v>
      </c>
      <c r="D3198">
        <v>36.61</v>
      </c>
      <c r="E3198">
        <v>13.45</v>
      </c>
      <c r="F3198">
        <v>0.12</v>
      </c>
      <c r="G3198">
        <v>13.44</v>
      </c>
      <c r="H3198">
        <v>13.45</v>
      </c>
      <c r="I3198" t="s">
        <v>6004</v>
      </c>
      <c r="J3198">
        <v>2.61</v>
      </c>
      <c r="K3198">
        <v>2.61</v>
      </c>
      <c r="L3198">
        <v>13.3</v>
      </c>
      <c r="M3198">
        <v>13.49</v>
      </c>
      <c r="N3198">
        <v>13.14</v>
      </c>
    </row>
    <row r="3199" spans="1:14" x14ac:dyDescent="0.5">
      <c r="A3199" t="str">
        <f>"603089"</f>
        <v>603089</v>
      </c>
      <c r="B3199" t="s">
        <v>6005</v>
      </c>
      <c r="C3199">
        <v>2.66</v>
      </c>
      <c r="D3199">
        <v>27.99</v>
      </c>
      <c r="E3199">
        <v>20.05</v>
      </c>
      <c r="F3199">
        <v>0.52</v>
      </c>
      <c r="G3199">
        <v>20.04</v>
      </c>
      <c r="H3199">
        <v>20.05</v>
      </c>
      <c r="I3199" t="s">
        <v>6006</v>
      </c>
      <c r="J3199">
        <v>6.7</v>
      </c>
      <c r="K3199">
        <v>6.7</v>
      </c>
      <c r="L3199">
        <v>19.71</v>
      </c>
      <c r="M3199">
        <v>20.11</v>
      </c>
      <c r="N3199">
        <v>19.55</v>
      </c>
    </row>
    <row r="3200" spans="1:14" x14ac:dyDescent="0.5">
      <c r="A3200" t="str">
        <f>"603090"</f>
        <v>603090</v>
      </c>
      <c r="B3200" t="s">
        <v>6007</v>
      </c>
      <c r="C3200">
        <v>1.73</v>
      </c>
      <c r="D3200">
        <v>51.22</v>
      </c>
      <c r="E3200">
        <v>14.71</v>
      </c>
      <c r="F3200">
        <v>0.25</v>
      </c>
      <c r="G3200">
        <v>14.71</v>
      </c>
      <c r="H3200">
        <v>14.72</v>
      </c>
      <c r="I3200" t="s">
        <v>6008</v>
      </c>
      <c r="J3200">
        <v>2.29</v>
      </c>
      <c r="K3200">
        <v>2.29</v>
      </c>
      <c r="L3200">
        <v>14.42</v>
      </c>
      <c r="M3200">
        <v>14.79</v>
      </c>
      <c r="N3200">
        <v>14.42</v>
      </c>
    </row>
    <row r="3201" spans="1:14" x14ac:dyDescent="0.5">
      <c r="A3201" t="str">
        <f>"603096"</f>
        <v>603096</v>
      </c>
      <c r="B3201" t="s">
        <v>6009</v>
      </c>
      <c r="C3201">
        <v>-0.32</v>
      </c>
      <c r="D3201">
        <v>35.72</v>
      </c>
      <c r="E3201">
        <v>64.989999999999995</v>
      </c>
      <c r="F3201">
        <v>-0.21</v>
      </c>
      <c r="G3201">
        <v>64.98</v>
      </c>
      <c r="H3201">
        <v>64.989999999999995</v>
      </c>
      <c r="I3201" t="s">
        <v>6010</v>
      </c>
      <c r="J3201">
        <v>0.7</v>
      </c>
      <c r="K3201">
        <v>0.7</v>
      </c>
      <c r="L3201">
        <v>65.150000000000006</v>
      </c>
      <c r="M3201">
        <v>65.239999999999995</v>
      </c>
      <c r="N3201">
        <v>63.98</v>
      </c>
    </row>
    <row r="3202" spans="1:14" x14ac:dyDescent="0.5">
      <c r="A3202" t="str">
        <f>"603098"</f>
        <v>603098</v>
      </c>
      <c r="B3202" t="s">
        <v>6011</v>
      </c>
      <c r="C3202">
        <v>0.33</v>
      </c>
      <c r="D3202">
        <v>33.18</v>
      </c>
      <c r="E3202">
        <v>15.15</v>
      </c>
      <c r="F3202">
        <v>0.05</v>
      </c>
      <c r="G3202">
        <v>15.14</v>
      </c>
      <c r="H3202">
        <v>15.15</v>
      </c>
      <c r="I3202" t="s">
        <v>6012</v>
      </c>
      <c r="J3202">
        <v>7.58</v>
      </c>
      <c r="K3202">
        <v>7.58</v>
      </c>
      <c r="L3202">
        <v>15.07</v>
      </c>
      <c r="M3202">
        <v>15.15</v>
      </c>
      <c r="N3202">
        <v>14.91</v>
      </c>
    </row>
    <row r="3203" spans="1:14" x14ac:dyDescent="0.5">
      <c r="A3203" t="str">
        <f>"603099"</f>
        <v>603099</v>
      </c>
      <c r="B3203" t="s">
        <v>6013</v>
      </c>
      <c r="C3203">
        <v>1.39</v>
      </c>
      <c r="D3203">
        <v>35.799999999999997</v>
      </c>
      <c r="E3203">
        <v>10.23</v>
      </c>
      <c r="F3203">
        <v>0.14000000000000001</v>
      </c>
      <c r="G3203">
        <v>10.23</v>
      </c>
      <c r="H3203">
        <v>10.24</v>
      </c>
      <c r="I3203" t="s">
        <v>4461</v>
      </c>
      <c r="J3203">
        <v>1.56</v>
      </c>
      <c r="K3203">
        <v>1.56</v>
      </c>
      <c r="L3203">
        <v>10.11</v>
      </c>
      <c r="M3203">
        <v>10.23</v>
      </c>
      <c r="N3203">
        <v>9.99</v>
      </c>
    </row>
    <row r="3204" spans="1:14" x14ac:dyDescent="0.5">
      <c r="A3204" t="str">
        <f>"603100"</f>
        <v>603100</v>
      </c>
      <c r="B3204" t="s">
        <v>6014</v>
      </c>
      <c r="C3204">
        <v>5.71</v>
      </c>
      <c r="D3204">
        <v>19.100000000000001</v>
      </c>
      <c r="E3204">
        <v>10.55</v>
      </c>
      <c r="F3204">
        <v>0.56999999999999995</v>
      </c>
      <c r="G3204">
        <v>10.53</v>
      </c>
      <c r="H3204">
        <v>10.55</v>
      </c>
      <c r="I3204" t="s">
        <v>4461</v>
      </c>
      <c r="J3204">
        <v>3.56</v>
      </c>
      <c r="K3204">
        <v>3.56</v>
      </c>
      <c r="L3204">
        <v>9.9700000000000006</v>
      </c>
      <c r="M3204">
        <v>10.7</v>
      </c>
      <c r="N3204">
        <v>9.91</v>
      </c>
    </row>
    <row r="3205" spans="1:14" x14ac:dyDescent="0.5">
      <c r="A3205" t="str">
        <f>"603101"</f>
        <v>603101</v>
      </c>
      <c r="B3205" t="s">
        <v>6015</v>
      </c>
      <c r="C3205">
        <v>0.44</v>
      </c>
      <c r="D3205">
        <v>30.67</v>
      </c>
      <c r="E3205">
        <v>13.56</v>
      </c>
      <c r="F3205">
        <v>0.06</v>
      </c>
      <c r="G3205">
        <v>13.56</v>
      </c>
      <c r="H3205">
        <v>13.57</v>
      </c>
      <c r="I3205" t="s">
        <v>2643</v>
      </c>
      <c r="J3205">
        <v>5.2</v>
      </c>
      <c r="K3205">
        <v>5.2</v>
      </c>
      <c r="L3205">
        <v>13.57</v>
      </c>
      <c r="M3205">
        <v>13.58</v>
      </c>
      <c r="N3205">
        <v>13.33</v>
      </c>
    </row>
    <row r="3206" spans="1:14" x14ac:dyDescent="0.5">
      <c r="A3206" t="str">
        <f>"603103"</f>
        <v>603103</v>
      </c>
      <c r="B3206" t="s">
        <v>6016</v>
      </c>
      <c r="C3206">
        <v>1.5</v>
      </c>
      <c r="D3206">
        <v>31.19</v>
      </c>
      <c r="E3206">
        <v>24.43</v>
      </c>
      <c r="F3206">
        <v>0.36</v>
      </c>
      <c r="G3206">
        <v>24.42</v>
      </c>
      <c r="H3206">
        <v>24.43</v>
      </c>
      <c r="I3206" t="s">
        <v>6017</v>
      </c>
      <c r="J3206">
        <v>6.08</v>
      </c>
      <c r="K3206">
        <v>6.08</v>
      </c>
      <c r="L3206">
        <v>24.06</v>
      </c>
      <c r="M3206">
        <v>24.46</v>
      </c>
      <c r="N3206">
        <v>23.77</v>
      </c>
    </row>
    <row r="3207" spans="1:14" x14ac:dyDescent="0.5">
      <c r="A3207" t="str">
        <f>"603105"</f>
        <v>603105</v>
      </c>
      <c r="B3207" t="s">
        <v>6018</v>
      </c>
      <c r="C3207">
        <v>1.4</v>
      </c>
      <c r="D3207">
        <v>62.12</v>
      </c>
      <c r="E3207">
        <v>16.649999999999999</v>
      </c>
      <c r="F3207">
        <v>0.23</v>
      </c>
      <c r="G3207">
        <v>16.649999999999999</v>
      </c>
      <c r="H3207">
        <v>16.66</v>
      </c>
      <c r="I3207" t="s">
        <v>6019</v>
      </c>
      <c r="J3207">
        <v>16.3</v>
      </c>
      <c r="K3207">
        <v>16.3</v>
      </c>
      <c r="L3207">
        <v>16.329999999999998</v>
      </c>
      <c r="M3207">
        <v>16.66</v>
      </c>
      <c r="N3207">
        <v>16.260000000000002</v>
      </c>
    </row>
    <row r="3208" spans="1:14" x14ac:dyDescent="0.5">
      <c r="A3208" t="str">
        <f>"603106"</f>
        <v>603106</v>
      </c>
      <c r="B3208" t="s">
        <v>6020</v>
      </c>
      <c r="C3208">
        <v>3.61</v>
      </c>
      <c r="D3208">
        <v>51.15</v>
      </c>
      <c r="E3208">
        <v>13.19</v>
      </c>
      <c r="F3208">
        <v>0.46</v>
      </c>
      <c r="G3208">
        <v>13.18</v>
      </c>
      <c r="H3208">
        <v>13.19</v>
      </c>
      <c r="I3208" t="s">
        <v>3490</v>
      </c>
      <c r="J3208">
        <v>11.91</v>
      </c>
      <c r="K3208">
        <v>11.91</v>
      </c>
      <c r="L3208">
        <v>12.45</v>
      </c>
      <c r="M3208">
        <v>13.19</v>
      </c>
      <c r="N3208">
        <v>12.36</v>
      </c>
    </row>
    <row r="3209" spans="1:14" x14ac:dyDescent="0.5">
      <c r="A3209" t="str">
        <f>"603108"</f>
        <v>603108</v>
      </c>
      <c r="B3209" t="s">
        <v>6021</v>
      </c>
      <c r="C3209">
        <v>2.54</v>
      </c>
      <c r="D3209">
        <v>17.670000000000002</v>
      </c>
      <c r="E3209">
        <v>9.2799999999999994</v>
      </c>
      <c r="F3209">
        <v>0.23</v>
      </c>
      <c r="G3209">
        <v>9.27</v>
      </c>
      <c r="H3209">
        <v>9.2799999999999994</v>
      </c>
      <c r="I3209" t="s">
        <v>1068</v>
      </c>
      <c r="J3209">
        <v>1.64</v>
      </c>
      <c r="K3209">
        <v>1.64</v>
      </c>
      <c r="L3209">
        <v>9.0500000000000007</v>
      </c>
      <c r="M3209">
        <v>9.2799999999999994</v>
      </c>
      <c r="N3209">
        <v>8.9700000000000006</v>
      </c>
    </row>
    <row r="3210" spans="1:14" x14ac:dyDescent="0.5">
      <c r="A3210" t="str">
        <f>"603110"</f>
        <v>603110</v>
      </c>
      <c r="B3210" t="s">
        <v>6022</v>
      </c>
      <c r="C3210">
        <v>2.62</v>
      </c>
      <c r="D3210">
        <v>47.81</v>
      </c>
      <c r="E3210">
        <v>13.31</v>
      </c>
      <c r="F3210">
        <v>0.34</v>
      </c>
      <c r="G3210">
        <v>13.31</v>
      </c>
      <c r="H3210">
        <v>13.32</v>
      </c>
      <c r="I3210" t="s">
        <v>6023</v>
      </c>
      <c r="J3210">
        <v>9.69</v>
      </c>
      <c r="K3210">
        <v>9.69</v>
      </c>
      <c r="L3210">
        <v>12.9</v>
      </c>
      <c r="M3210">
        <v>13.39</v>
      </c>
      <c r="N3210">
        <v>12.79</v>
      </c>
    </row>
    <row r="3211" spans="1:14" x14ac:dyDescent="0.5">
      <c r="A3211" t="str">
        <f>"603111"</f>
        <v>603111</v>
      </c>
      <c r="B3211" t="s">
        <v>6024</v>
      </c>
      <c r="C3211">
        <v>2.34</v>
      </c>
      <c r="D3211" t="s">
        <v>24</v>
      </c>
      <c r="E3211">
        <v>5.24</v>
      </c>
      <c r="F3211">
        <v>0.12</v>
      </c>
      <c r="G3211">
        <v>5.24</v>
      </c>
      <c r="H3211">
        <v>5.25</v>
      </c>
      <c r="I3211" t="s">
        <v>6025</v>
      </c>
      <c r="J3211">
        <v>2.59</v>
      </c>
      <c r="K3211">
        <v>2.59</v>
      </c>
      <c r="L3211">
        <v>5.0999999999999996</v>
      </c>
      <c r="M3211">
        <v>5.24</v>
      </c>
      <c r="N3211">
        <v>5.03</v>
      </c>
    </row>
    <row r="3212" spans="1:14" x14ac:dyDescent="0.5">
      <c r="A3212" t="str">
        <f>"603113"</f>
        <v>603113</v>
      </c>
      <c r="B3212" t="s">
        <v>6026</v>
      </c>
      <c r="C3212">
        <v>0.98</v>
      </c>
      <c r="D3212">
        <v>8.85</v>
      </c>
      <c r="E3212">
        <v>13.41</v>
      </c>
      <c r="F3212">
        <v>0.13</v>
      </c>
      <c r="G3212">
        <v>13.4</v>
      </c>
      <c r="H3212">
        <v>13.41</v>
      </c>
      <c r="I3212" t="s">
        <v>6027</v>
      </c>
      <c r="J3212">
        <v>3.86</v>
      </c>
      <c r="K3212">
        <v>3.86</v>
      </c>
      <c r="L3212">
        <v>13.19</v>
      </c>
      <c r="M3212">
        <v>13.42</v>
      </c>
      <c r="N3212">
        <v>13.1</v>
      </c>
    </row>
    <row r="3213" spans="1:14" x14ac:dyDescent="0.5">
      <c r="A3213" t="str">
        <f>"603116"</f>
        <v>603116</v>
      </c>
      <c r="B3213" t="s">
        <v>6028</v>
      </c>
      <c r="C3213">
        <v>1.07</v>
      </c>
      <c r="D3213">
        <v>13.87</v>
      </c>
      <c r="E3213">
        <v>8.51</v>
      </c>
      <c r="F3213">
        <v>0.09</v>
      </c>
      <c r="G3213">
        <v>8.5</v>
      </c>
      <c r="H3213">
        <v>8.51</v>
      </c>
      <c r="I3213" t="s">
        <v>2902</v>
      </c>
      <c r="J3213">
        <v>0.63</v>
      </c>
      <c r="K3213">
        <v>0.63</v>
      </c>
      <c r="L3213">
        <v>8.41</v>
      </c>
      <c r="M3213">
        <v>8.51</v>
      </c>
      <c r="N3213">
        <v>8.34</v>
      </c>
    </row>
    <row r="3214" spans="1:14" x14ac:dyDescent="0.5">
      <c r="A3214" t="str">
        <f>"603117"</f>
        <v>603117</v>
      </c>
      <c r="B3214" t="s">
        <v>6029</v>
      </c>
      <c r="C3214">
        <v>0.94</v>
      </c>
      <c r="D3214">
        <v>25.69</v>
      </c>
      <c r="E3214">
        <v>4.3</v>
      </c>
      <c r="F3214">
        <v>0.04</v>
      </c>
      <c r="G3214">
        <v>4.29</v>
      </c>
      <c r="H3214">
        <v>4.3</v>
      </c>
      <c r="I3214" t="s">
        <v>6030</v>
      </c>
      <c r="J3214">
        <v>2.83</v>
      </c>
      <c r="K3214">
        <v>2.83</v>
      </c>
      <c r="L3214">
        <v>4.24</v>
      </c>
      <c r="M3214">
        <v>4.3</v>
      </c>
      <c r="N3214">
        <v>4.1900000000000004</v>
      </c>
    </row>
    <row r="3215" spans="1:14" x14ac:dyDescent="0.5">
      <c r="A3215" t="str">
        <f>"603118"</f>
        <v>603118</v>
      </c>
      <c r="B3215" t="s">
        <v>6031</v>
      </c>
      <c r="C3215">
        <v>3.75</v>
      </c>
      <c r="D3215">
        <v>77.010000000000005</v>
      </c>
      <c r="E3215">
        <v>8.31</v>
      </c>
      <c r="F3215">
        <v>0.3</v>
      </c>
      <c r="G3215">
        <v>8.31</v>
      </c>
      <c r="H3215">
        <v>8.32</v>
      </c>
      <c r="I3215" t="s">
        <v>6032</v>
      </c>
      <c r="J3215">
        <v>2.9</v>
      </c>
      <c r="K3215">
        <v>2.9</v>
      </c>
      <c r="L3215">
        <v>7.93</v>
      </c>
      <c r="M3215">
        <v>8.31</v>
      </c>
      <c r="N3215">
        <v>7.87</v>
      </c>
    </row>
    <row r="3216" spans="1:14" x14ac:dyDescent="0.5">
      <c r="A3216" t="str">
        <f>"603121"</f>
        <v>603121</v>
      </c>
      <c r="B3216" t="s">
        <v>6033</v>
      </c>
      <c r="C3216">
        <v>-0.87</v>
      </c>
      <c r="D3216">
        <v>57.66</v>
      </c>
      <c r="E3216">
        <v>31.97</v>
      </c>
      <c r="F3216">
        <v>-0.28000000000000003</v>
      </c>
      <c r="G3216">
        <v>31.97</v>
      </c>
      <c r="H3216">
        <v>31.98</v>
      </c>
      <c r="I3216" t="s">
        <v>2062</v>
      </c>
      <c r="J3216">
        <v>21.9</v>
      </c>
      <c r="K3216">
        <v>21.9</v>
      </c>
      <c r="L3216">
        <v>31.6</v>
      </c>
      <c r="M3216">
        <v>32.44</v>
      </c>
      <c r="N3216">
        <v>31.5</v>
      </c>
    </row>
    <row r="3217" spans="1:14" x14ac:dyDescent="0.5">
      <c r="A3217" t="str">
        <f>"603123"</f>
        <v>603123</v>
      </c>
      <c r="B3217" t="s">
        <v>6034</v>
      </c>
      <c r="C3217">
        <v>1.57</v>
      </c>
      <c r="D3217">
        <v>20.51</v>
      </c>
      <c r="E3217">
        <v>6.47</v>
      </c>
      <c r="F3217">
        <v>0.1</v>
      </c>
      <c r="G3217">
        <v>6.46</v>
      </c>
      <c r="H3217">
        <v>6.47</v>
      </c>
      <c r="I3217" t="s">
        <v>6035</v>
      </c>
      <c r="J3217">
        <v>0.51</v>
      </c>
      <c r="K3217">
        <v>0.51</v>
      </c>
      <c r="L3217">
        <v>6.35</v>
      </c>
      <c r="M3217">
        <v>6.47</v>
      </c>
      <c r="N3217">
        <v>6.33</v>
      </c>
    </row>
    <row r="3218" spans="1:14" x14ac:dyDescent="0.5">
      <c r="A3218" t="str">
        <f>"603126"</f>
        <v>603126</v>
      </c>
      <c r="B3218" t="s">
        <v>6036</v>
      </c>
      <c r="C3218">
        <v>1.91</v>
      </c>
      <c r="D3218">
        <v>29.63</v>
      </c>
      <c r="E3218">
        <v>6.39</v>
      </c>
      <c r="F3218">
        <v>0.12</v>
      </c>
      <c r="G3218">
        <v>6.38</v>
      </c>
      <c r="H3218">
        <v>6.39</v>
      </c>
      <c r="I3218" t="s">
        <v>1030</v>
      </c>
      <c r="J3218">
        <v>1.6</v>
      </c>
      <c r="K3218">
        <v>1.6</v>
      </c>
      <c r="L3218">
        <v>6.29</v>
      </c>
      <c r="M3218">
        <v>6.39</v>
      </c>
      <c r="N3218">
        <v>6.23</v>
      </c>
    </row>
    <row r="3219" spans="1:14" x14ac:dyDescent="0.5">
      <c r="A3219" t="str">
        <f>"603127"</f>
        <v>603127</v>
      </c>
      <c r="B3219" t="s">
        <v>6037</v>
      </c>
      <c r="C3219">
        <v>4.82</v>
      </c>
      <c r="D3219">
        <v>74.45</v>
      </c>
      <c r="E3219">
        <v>70.239999999999995</v>
      </c>
      <c r="F3219">
        <v>3.23</v>
      </c>
      <c r="G3219">
        <v>70.239999999999995</v>
      </c>
      <c r="H3219">
        <v>70.319999999999993</v>
      </c>
      <c r="I3219" t="s">
        <v>1985</v>
      </c>
      <c r="J3219">
        <v>3.49</v>
      </c>
      <c r="K3219">
        <v>3.49</v>
      </c>
      <c r="L3219">
        <v>66.06</v>
      </c>
      <c r="M3219">
        <v>72.63</v>
      </c>
      <c r="N3219">
        <v>65.209999999999994</v>
      </c>
    </row>
    <row r="3220" spans="1:14" x14ac:dyDescent="0.5">
      <c r="A3220" t="str">
        <f>"603128"</f>
        <v>603128</v>
      </c>
      <c r="B3220" t="s">
        <v>6038</v>
      </c>
      <c r="C3220">
        <v>2.57</v>
      </c>
      <c r="D3220">
        <v>19.100000000000001</v>
      </c>
      <c r="E3220">
        <v>6.38</v>
      </c>
      <c r="F3220">
        <v>0.16</v>
      </c>
      <c r="G3220">
        <v>6.38</v>
      </c>
      <c r="H3220">
        <v>6.39</v>
      </c>
      <c r="I3220" t="s">
        <v>6039</v>
      </c>
      <c r="J3220">
        <v>3.53</v>
      </c>
      <c r="K3220">
        <v>3.53</v>
      </c>
      <c r="L3220">
        <v>6.21</v>
      </c>
      <c r="M3220">
        <v>6.49</v>
      </c>
      <c r="N3220">
        <v>6.12</v>
      </c>
    </row>
    <row r="3221" spans="1:14" x14ac:dyDescent="0.5">
      <c r="A3221" t="str">
        <f>"603129"</f>
        <v>603129</v>
      </c>
      <c r="B3221" t="s">
        <v>6040</v>
      </c>
      <c r="C3221">
        <v>1.33</v>
      </c>
      <c r="D3221">
        <v>23.42</v>
      </c>
      <c r="E3221">
        <v>19.79</v>
      </c>
      <c r="F3221">
        <v>0.26</v>
      </c>
      <c r="G3221">
        <v>19.79</v>
      </c>
      <c r="H3221">
        <v>19.8</v>
      </c>
      <c r="I3221" t="s">
        <v>2360</v>
      </c>
      <c r="J3221">
        <v>2.99</v>
      </c>
      <c r="K3221">
        <v>2.99</v>
      </c>
      <c r="L3221">
        <v>19.53</v>
      </c>
      <c r="M3221">
        <v>19.84</v>
      </c>
      <c r="N3221">
        <v>19.350000000000001</v>
      </c>
    </row>
    <row r="3222" spans="1:14" x14ac:dyDescent="0.5">
      <c r="A3222" t="str">
        <f>"603131"</f>
        <v>603131</v>
      </c>
      <c r="B3222" t="s">
        <v>6041</v>
      </c>
      <c r="C3222">
        <v>1.1100000000000001</v>
      </c>
      <c r="D3222">
        <v>87.91</v>
      </c>
      <c r="E3222">
        <v>20.95</v>
      </c>
      <c r="F3222">
        <v>0.23</v>
      </c>
      <c r="G3222">
        <v>20.94</v>
      </c>
      <c r="H3222">
        <v>20.95</v>
      </c>
      <c r="I3222" t="s">
        <v>6042</v>
      </c>
      <c r="J3222">
        <v>7.28</v>
      </c>
      <c r="K3222">
        <v>7.28</v>
      </c>
      <c r="L3222">
        <v>20.7</v>
      </c>
      <c r="M3222">
        <v>21.14</v>
      </c>
      <c r="N3222">
        <v>20.54</v>
      </c>
    </row>
    <row r="3223" spans="1:14" x14ac:dyDescent="0.5">
      <c r="A3223" t="str">
        <f>"603133"</f>
        <v>603133</v>
      </c>
      <c r="B3223" t="s">
        <v>6043</v>
      </c>
      <c r="C3223">
        <v>3.38</v>
      </c>
      <c r="D3223">
        <v>73.19</v>
      </c>
      <c r="E3223">
        <v>19.87</v>
      </c>
      <c r="F3223">
        <v>0.65</v>
      </c>
      <c r="G3223">
        <v>19.87</v>
      </c>
      <c r="H3223">
        <v>19.88</v>
      </c>
      <c r="I3223" t="s">
        <v>3320</v>
      </c>
      <c r="J3223">
        <v>8.49</v>
      </c>
      <c r="K3223">
        <v>8.49</v>
      </c>
      <c r="L3223">
        <v>19.010000000000002</v>
      </c>
      <c r="M3223">
        <v>19.95</v>
      </c>
      <c r="N3223">
        <v>18.97</v>
      </c>
    </row>
    <row r="3224" spans="1:14" x14ac:dyDescent="0.5">
      <c r="A3224" t="str">
        <f>"603136"</f>
        <v>603136</v>
      </c>
      <c r="B3224" t="s">
        <v>6044</v>
      </c>
      <c r="C3224">
        <v>5.86</v>
      </c>
      <c r="D3224">
        <v>27.55</v>
      </c>
      <c r="E3224">
        <v>37.4</v>
      </c>
      <c r="F3224">
        <v>2.0699999999999998</v>
      </c>
      <c r="G3224">
        <v>37.39</v>
      </c>
      <c r="H3224">
        <v>37.4</v>
      </c>
      <c r="I3224" t="s">
        <v>6045</v>
      </c>
      <c r="J3224">
        <v>7.58</v>
      </c>
      <c r="K3224">
        <v>7.58</v>
      </c>
      <c r="L3224">
        <v>35.9</v>
      </c>
      <c r="M3224">
        <v>37.58</v>
      </c>
      <c r="N3224">
        <v>35.61</v>
      </c>
    </row>
    <row r="3225" spans="1:14" x14ac:dyDescent="0.5">
      <c r="A3225" t="str">
        <f>"603138"</f>
        <v>603138</v>
      </c>
      <c r="B3225" t="s">
        <v>6046</v>
      </c>
      <c r="C3225">
        <v>6.13</v>
      </c>
      <c r="D3225">
        <v>59.31</v>
      </c>
      <c r="E3225">
        <v>23.19</v>
      </c>
      <c r="F3225">
        <v>1.34</v>
      </c>
      <c r="G3225">
        <v>23.19</v>
      </c>
      <c r="H3225">
        <v>23.2</v>
      </c>
      <c r="I3225" t="s">
        <v>6047</v>
      </c>
      <c r="J3225">
        <v>18.13</v>
      </c>
      <c r="K3225">
        <v>18.13</v>
      </c>
      <c r="L3225">
        <v>21.65</v>
      </c>
      <c r="M3225">
        <v>23.38</v>
      </c>
      <c r="N3225">
        <v>21.65</v>
      </c>
    </row>
    <row r="3226" spans="1:14" x14ac:dyDescent="0.5">
      <c r="A3226" t="str">
        <f>"603139"</f>
        <v>603139</v>
      </c>
      <c r="B3226" t="s">
        <v>6048</v>
      </c>
      <c r="C3226">
        <v>2.44</v>
      </c>
      <c r="D3226">
        <v>28.8</v>
      </c>
      <c r="E3226">
        <v>17.649999999999999</v>
      </c>
      <c r="F3226">
        <v>0.42</v>
      </c>
      <c r="G3226">
        <v>17.649999999999999</v>
      </c>
      <c r="H3226">
        <v>17.66</v>
      </c>
      <c r="I3226" t="s">
        <v>2399</v>
      </c>
      <c r="J3226">
        <v>2.57</v>
      </c>
      <c r="K3226">
        <v>2.57</v>
      </c>
      <c r="L3226">
        <v>17.2</v>
      </c>
      <c r="M3226">
        <v>17.68</v>
      </c>
      <c r="N3226">
        <v>17.149999999999999</v>
      </c>
    </row>
    <row r="3227" spans="1:14" x14ac:dyDescent="0.5">
      <c r="A3227" t="str">
        <f>"603156"</f>
        <v>603156</v>
      </c>
      <c r="B3227" t="s">
        <v>6049</v>
      </c>
      <c r="C3227">
        <v>-0.41</v>
      </c>
      <c r="D3227">
        <v>13.92</v>
      </c>
      <c r="E3227">
        <v>45.96</v>
      </c>
      <c r="F3227">
        <v>-0.19</v>
      </c>
      <c r="G3227">
        <v>45.95</v>
      </c>
      <c r="H3227">
        <v>45.96</v>
      </c>
      <c r="I3227" t="s">
        <v>6050</v>
      </c>
      <c r="J3227">
        <v>0.78</v>
      </c>
      <c r="K3227">
        <v>0.78</v>
      </c>
      <c r="L3227">
        <v>45.9</v>
      </c>
      <c r="M3227">
        <v>46.09</v>
      </c>
      <c r="N3227">
        <v>45.35</v>
      </c>
    </row>
    <row r="3228" spans="1:14" x14ac:dyDescent="0.5">
      <c r="A3228" t="str">
        <f>"603157"</f>
        <v>603157</v>
      </c>
      <c r="B3228" t="s">
        <v>6051</v>
      </c>
      <c r="C3228">
        <v>3.34</v>
      </c>
      <c r="D3228">
        <v>11.86</v>
      </c>
      <c r="E3228">
        <v>8.98</v>
      </c>
      <c r="F3228">
        <v>0.28999999999999998</v>
      </c>
      <c r="G3228">
        <v>8.9700000000000006</v>
      </c>
      <c r="H3228">
        <v>8.98</v>
      </c>
      <c r="I3228" t="s">
        <v>6052</v>
      </c>
      <c r="J3228">
        <v>6.8</v>
      </c>
      <c r="K3228">
        <v>6.8</v>
      </c>
      <c r="L3228">
        <v>8.66</v>
      </c>
      <c r="M3228">
        <v>9.1</v>
      </c>
      <c r="N3228">
        <v>8.61</v>
      </c>
    </row>
    <row r="3229" spans="1:14" x14ac:dyDescent="0.5">
      <c r="A3229" t="str">
        <f>"603158"</f>
        <v>603158</v>
      </c>
      <c r="B3229" t="s">
        <v>6053</v>
      </c>
      <c r="C3229">
        <v>-0.13</v>
      </c>
      <c r="D3229">
        <v>28.55</v>
      </c>
      <c r="E3229">
        <v>15.83</v>
      </c>
      <c r="F3229">
        <v>-0.02</v>
      </c>
      <c r="G3229">
        <v>15.82</v>
      </c>
      <c r="H3229">
        <v>15.83</v>
      </c>
      <c r="I3229" t="s">
        <v>6054</v>
      </c>
      <c r="J3229">
        <v>0.59</v>
      </c>
      <c r="K3229">
        <v>0.59</v>
      </c>
      <c r="L3229">
        <v>15.87</v>
      </c>
      <c r="M3229">
        <v>15.98</v>
      </c>
      <c r="N3229">
        <v>15.73</v>
      </c>
    </row>
    <row r="3230" spans="1:14" x14ac:dyDescent="0.5">
      <c r="A3230" t="str">
        <f>"603159"</f>
        <v>603159</v>
      </c>
      <c r="B3230" t="s">
        <v>6055</v>
      </c>
      <c r="C3230">
        <v>4.34</v>
      </c>
      <c r="D3230">
        <v>47.33</v>
      </c>
      <c r="E3230">
        <v>21.4</v>
      </c>
      <c r="F3230">
        <v>0.89</v>
      </c>
      <c r="G3230">
        <v>21.39</v>
      </c>
      <c r="H3230">
        <v>21.4</v>
      </c>
      <c r="I3230" t="s">
        <v>6056</v>
      </c>
      <c r="J3230">
        <v>11.95</v>
      </c>
      <c r="K3230">
        <v>11.95</v>
      </c>
      <c r="L3230">
        <v>20.3</v>
      </c>
      <c r="M3230">
        <v>21.48</v>
      </c>
      <c r="N3230">
        <v>20.22</v>
      </c>
    </row>
    <row r="3231" spans="1:14" x14ac:dyDescent="0.5">
      <c r="A3231" t="str">
        <f>"603160"</f>
        <v>603160</v>
      </c>
      <c r="B3231" t="s">
        <v>6057</v>
      </c>
      <c r="C3231">
        <v>5.68</v>
      </c>
      <c r="D3231">
        <v>88.96</v>
      </c>
      <c r="E3231">
        <v>93.95</v>
      </c>
      <c r="F3231">
        <v>5.05</v>
      </c>
      <c r="G3231">
        <v>93.91</v>
      </c>
      <c r="H3231">
        <v>93.95</v>
      </c>
      <c r="I3231" t="s">
        <v>6058</v>
      </c>
      <c r="J3231">
        <v>1.23</v>
      </c>
      <c r="K3231">
        <v>1.23</v>
      </c>
      <c r="L3231">
        <v>88.9</v>
      </c>
      <c r="M3231">
        <v>94.7</v>
      </c>
      <c r="N3231">
        <v>88.53</v>
      </c>
    </row>
    <row r="3232" spans="1:14" x14ac:dyDescent="0.5">
      <c r="A3232" t="str">
        <f>"603161"</f>
        <v>603161</v>
      </c>
      <c r="B3232" t="s">
        <v>6059</v>
      </c>
      <c r="C3232">
        <v>1.62</v>
      </c>
      <c r="D3232">
        <v>20.14</v>
      </c>
      <c r="E3232">
        <v>15.67</v>
      </c>
      <c r="F3232">
        <v>0.25</v>
      </c>
      <c r="G3232">
        <v>15.67</v>
      </c>
      <c r="H3232">
        <v>15.68</v>
      </c>
      <c r="I3232" t="s">
        <v>3972</v>
      </c>
      <c r="J3232">
        <v>2.64</v>
      </c>
      <c r="K3232">
        <v>2.64</v>
      </c>
      <c r="L3232">
        <v>15.4</v>
      </c>
      <c r="M3232">
        <v>15.68</v>
      </c>
      <c r="N3232">
        <v>15.32</v>
      </c>
    </row>
    <row r="3233" spans="1:14" x14ac:dyDescent="0.5">
      <c r="A3233" t="str">
        <f>"603165"</f>
        <v>603165</v>
      </c>
      <c r="B3233" t="s">
        <v>6060</v>
      </c>
      <c r="C3233">
        <v>6.93</v>
      </c>
      <c r="D3233">
        <v>13.63</v>
      </c>
      <c r="E3233">
        <v>21.75</v>
      </c>
      <c r="F3233">
        <v>1.41</v>
      </c>
      <c r="G3233">
        <v>21.75</v>
      </c>
      <c r="H3233">
        <v>21.76</v>
      </c>
      <c r="I3233" t="s">
        <v>6061</v>
      </c>
      <c r="J3233">
        <v>20.14</v>
      </c>
      <c r="K3233">
        <v>20.14</v>
      </c>
      <c r="L3233">
        <v>20.329999999999998</v>
      </c>
      <c r="M3233">
        <v>21.86</v>
      </c>
      <c r="N3233">
        <v>20.18</v>
      </c>
    </row>
    <row r="3234" spans="1:14" x14ac:dyDescent="0.5">
      <c r="A3234" t="str">
        <f>"603166"</f>
        <v>603166</v>
      </c>
      <c r="B3234" t="s">
        <v>6062</v>
      </c>
      <c r="C3234">
        <v>1.44</v>
      </c>
      <c r="D3234">
        <v>33.450000000000003</v>
      </c>
      <c r="E3234">
        <v>6.33</v>
      </c>
      <c r="F3234">
        <v>0.09</v>
      </c>
      <c r="G3234">
        <v>6.33</v>
      </c>
      <c r="H3234">
        <v>6.34</v>
      </c>
      <c r="I3234" t="s">
        <v>6063</v>
      </c>
      <c r="J3234">
        <v>0.49</v>
      </c>
      <c r="K3234">
        <v>0.49</v>
      </c>
      <c r="L3234">
        <v>6.22</v>
      </c>
      <c r="M3234">
        <v>6.35</v>
      </c>
      <c r="N3234">
        <v>6.16</v>
      </c>
    </row>
    <row r="3235" spans="1:14" x14ac:dyDescent="0.5">
      <c r="A3235" t="str">
        <f>"603167"</f>
        <v>603167</v>
      </c>
      <c r="B3235" t="s">
        <v>6064</v>
      </c>
      <c r="C3235">
        <v>0.53</v>
      </c>
      <c r="D3235">
        <v>14.07</v>
      </c>
      <c r="E3235">
        <v>9.4499999999999993</v>
      </c>
      <c r="F3235">
        <v>0.05</v>
      </c>
      <c r="G3235">
        <v>9.4499999999999993</v>
      </c>
      <c r="H3235">
        <v>9.4600000000000009</v>
      </c>
      <c r="I3235" t="s">
        <v>6065</v>
      </c>
      <c r="J3235">
        <v>1.07</v>
      </c>
      <c r="K3235">
        <v>1.07</v>
      </c>
      <c r="L3235">
        <v>9.39</v>
      </c>
      <c r="M3235">
        <v>9.4499999999999993</v>
      </c>
      <c r="N3235">
        <v>9.31</v>
      </c>
    </row>
    <row r="3236" spans="1:14" x14ac:dyDescent="0.5">
      <c r="A3236" t="str">
        <f>"603168"</f>
        <v>603168</v>
      </c>
      <c r="B3236" t="s">
        <v>6066</v>
      </c>
      <c r="C3236">
        <v>2.27</v>
      </c>
      <c r="D3236">
        <v>31.52</v>
      </c>
      <c r="E3236">
        <v>7.67</v>
      </c>
      <c r="F3236">
        <v>0.17</v>
      </c>
      <c r="G3236">
        <v>7.67</v>
      </c>
      <c r="H3236">
        <v>7.68</v>
      </c>
      <c r="I3236" t="s">
        <v>6067</v>
      </c>
      <c r="J3236">
        <v>2.17</v>
      </c>
      <c r="K3236">
        <v>2.17</v>
      </c>
      <c r="L3236">
        <v>7.5</v>
      </c>
      <c r="M3236">
        <v>7.68</v>
      </c>
      <c r="N3236">
        <v>7.46</v>
      </c>
    </row>
    <row r="3237" spans="1:14" x14ac:dyDescent="0.5">
      <c r="A3237" t="str">
        <f>"603169"</f>
        <v>603169</v>
      </c>
      <c r="B3237" t="s">
        <v>6068</v>
      </c>
      <c r="C3237">
        <v>4.55</v>
      </c>
      <c r="D3237" t="s">
        <v>24</v>
      </c>
      <c r="E3237">
        <v>5.75</v>
      </c>
      <c r="F3237">
        <v>0.25</v>
      </c>
      <c r="G3237">
        <v>5.74</v>
      </c>
      <c r="H3237">
        <v>5.75</v>
      </c>
      <c r="I3237" t="s">
        <v>542</v>
      </c>
      <c r="J3237">
        <v>3.11</v>
      </c>
      <c r="K3237">
        <v>3.11</v>
      </c>
      <c r="L3237">
        <v>5.5</v>
      </c>
      <c r="M3237">
        <v>5.85</v>
      </c>
      <c r="N3237">
        <v>5.41</v>
      </c>
    </row>
    <row r="3238" spans="1:14" x14ac:dyDescent="0.5">
      <c r="A3238" t="str">
        <f>"603177"</f>
        <v>603177</v>
      </c>
      <c r="B3238" t="s">
        <v>6069</v>
      </c>
      <c r="C3238">
        <v>0.46</v>
      </c>
      <c r="D3238">
        <v>125.93</v>
      </c>
      <c r="E3238">
        <v>10.97</v>
      </c>
      <c r="F3238">
        <v>0.05</v>
      </c>
      <c r="G3238">
        <v>10.97</v>
      </c>
      <c r="H3238">
        <v>10.98</v>
      </c>
      <c r="I3238" t="s">
        <v>3947</v>
      </c>
      <c r="J3238">
        <v>7.06</v>
      </c>
      <c r="K3238">
        <v>7.06</v>
      </c>
      <c r="L3238">
        <v>10.87</v>
      </c>
      <c r="M3238">
        <v>11</v>
      </c>
      <c r="N3238">
        <v>10.66</v>
      </c>
    </row>
    <row r="3239" spans="1:14" x14ac:dyDescent="0.5">
      <c r="A3239" t="str">
        <f>"603178"</f>
        <v>603178</v>
      </c>
      <c r="B3239" t="s">
        <v>6070</v>
      </c>
      <c r="C3239">
        <v>3.09</v>
      </c>
      <c r="D3239">
        <v>29.03</v>
      </c>
      <c r="E3239">
        <v>11.02</v>
      </c>
      <c r="F3239">
        <v>0.33</v>
      </c>
      <c r="G3239">
        <v>11.02</v>
      </c>
      <c r="H3239">
        <v>11.03</v>
      </c>
      <c r="I3239" t="s">
        <v>6071</v>
      </c>
      <c r="J3239">
        <v>4.9800000000000004</v>
      </c>
      <c r="K3239">
        <v>4.9800000000000004</v>
      </c>
      <c r="L3239">
        <v>10.69</v>
      </c>
      <c r="M3239">
        <v>11.06</v>
      </c>
      <c r="N3239">
        <v>10.69</v>
      </c>
    </row>
    <row r="3240" spans="1:14" x14ac:dyDescent="0.5">
      <c r="A3240" t="str">
        <f>"603179"</f>
        <v>603179</v>
      </c>
      <c r="B3240" t="s">
        <v>6072</v>
      </c>
      <c r="C3240">
        <v>1.08</v>
      </c>
      <c r="D3240">
        <v>14.07</v>
      </c>
      <c r="E3240">
        <v>17.739999999999998</v>
      </c>
      <c r="F3240">
        <v>0.19</v>
      </c>
      <c r="G3240">
        <v>17.739999999999998</v>
      </c>
      <c r="H3240">
        <v>17.75</v>
      </c>
      <c r="I3240" t="s">
        <v>6073</v>
      </c>
      <c r="J3240">
        <v>5.99</v>
      </c>
      <c r="K3240">
        <v>5.99</v>
      </c>
      <c r="L3240">
        <v>17.48</v>
      </c>
      <c r="M3240">
        <v>17.739999999999998</v>
      </c>
      <c r="N3240">
        <v>17.329999999999998</v>
      </c>
    </row>
    <row r="3241" spans="1:14" x14ac:dyDescent="0.5">
      <c r="A3241" t="str">
        <f>"603180"</f>
        <v>603180</v>
      </c>
      <c r="B3241" t="s">
        <v>6074</v>
      </c>
      <c r="C3241">
        <v>2.06</v>
      </c>
      <c r="D3241">
        <v>24.46</v>
      </c>
      <c r="E3241">
        <v>72.2</v>
      </c>
      <c r="F3241">
        <v>1.46</v>
      </c>
      <c r="G3241">
        <v>72.19</v>
      </c>
      <c r="H3241">
        <v>72.2</v>
      </c>
      <c r="I3241" t="s">
        <v>6075</v>
      </c>
      <c r="J3241">
        <v>9.9700000000000006</v>
      </c>
      <c r="K3241">
        <v>9.9700000000000006</v>
      </c>
      <c r="L3241">
        <v>70.03</v>
      </c>
      <c r="M3241">
        <v>72.77</v>
      </c>
      <c r="N3241">
        <v>70.03</v>
      </c>
    </row>
    <row r="3242" spans="1:14" x14ac:dyDescent="0.5">
      <c r="A3242" t="str">
        <f>"603181"</f>
        <v>603181</v>
      </c>
      <c r="B3242" t="s">
        <v>6076</v>
      </c>
      <c r="C3242">
        <v>0.2</v>
      </c>
      <c r="D3242">
        <v>21.16</v>
      </c>
      <c r="E3242">
        <v>19.64</v>
      </c>
      <c r="F3242">
        <v>0.04</v>
      </c>
      <c r="G3242">
        <v>19.63</v>
      </c>
      <c r="H3242">
        <v>19.64</v>
      </c>
      <c r="I3242" t="s">
        <v>6077</v>
      </c>
      <c r="J3242">
        <v>4.3099999999999996</v>
      </c>
      <c r="K3242">
        <v>4.3099999999999996</v>
      </c>
      <c r="L3242">
        <v>19.510000000000002</v>
      </c>
      <c r="M3242">
        <v>19.77</v>
      </c>
      <c r="N3242">
        <v>19.16</v>
      </c>
    </row>
    <row r="3243" spans="1:14" x14ac:dyDescent="0.5">
      <c r="A3243" t="str">
        <f>"603183"</f>
        <v>603183</v>
      </c>
      <c r="B3243" t="s">
        <v>6078</v>
      </c>
      <c r="C3243">
        <v>2.0499999999999998</v>
      </c>
      <c r="D3243">
        <v>32.090000000000003</v>
      </c>
      <c r="E3243">
        <v>17.920000000000002</v>
      </c>
      <c r="F3243">
        <v>0.36</v>
      </c>
      <c r="G3243">
        <v>17.91</v>
      </c>
      <c r="H3243">
        <v>17.920000000000002</v>
      </c>
      <c r="I3243" t="s">
        <v>6079</v>
      </c>
      <c r="J3243">
        <v>8.24</v>
      </c>
      <c r="K3243">
        <v>8.24</v>
      </c>
      <c r="L3243">
        <v>17.47</v>
      </c>
      <c r="M3243">
        <v>17.98</v>
      </c>
      <c r="N3243">
        <v>17.21</v>
      </c>
    </row>
    <row r="3244" spans="1:14" x14ac:dyDescent="0.5">
      <c r="A3244" t="str">
        <f>"603185"</f>
        <v>603185</v>
      </c>
      <c r="B3244" t="s">
        <v>6080</v>
      </c>
      <c r="C3244">
        <v>-0.48</v>
      </c>
      <c r="D3244">
        <v>26.11</v>
      </c>
      <c r="E3244">
        <v>58.4</v>
      </c>
      <c r="F3244">
        <v>-0.28000000000000003</v>
      </c>
      <c r="G3244">
        <v>58.39</v>
      </c>
      <c r="H3244">
        <v>58.4</v>
      </c>
      <c r="I3244" t="s">
        <v>3023</v>
      </c>
      <c r="J3244">
        <v>17.170000000000002</v>
      </c>
      <c r="K3244">
        <v>17.170000000000002</v>
      </c>
      <c r="L3244">
        <v>57.99</v>
      </c>
      <c r="M3244">
        <v>58.8</v>
      </c>
      <c r="N3244">
        <v>57.6</v>
      </c>
    </row>
    <row r="3245" spans="1:14" x14ac:dyDescent="0.5">
      <c r="A3245" t="str">
        <f>"603186"</f>
        <v>603186</v>
      </c>
      <c r="B3245" t="s">
        <v>6081</v>
      </c>
      <c r="C3245">
        <v>3.12</v>
      </c>
      <c r="D3245">
        <v>42.06</v>
      </c>
      <c r="E3245">
        <v>28.74</v>
      </c>
      <c r="F3245">
        <v>0.87</v>
      </c>
      <c r="G3245">
        <v>28.73</v>
      </c>
      <c r="H3245">
        <v>28.74</v>
      </c>
      <c r="I3245" t="s">
        <v>4434</v>
      </c>
      <c r="J3245">
        <v>8.4</v>
      </c>
      <c r="K3245">
        <v>8.4</v>
      </c>
      <c r="L3245">
        <v>27.7</v>
      </c>
      <c r="M3245">
        <v>29.4</v>
      </c>
      <c r="N3245">
        <v>27.22</v>
      </c>
    </row>
    <row r="3246" spans="1:14" x14ac:dyDescent="0.5">
      <c r="A3246" t="str">
        <f>"603187"</f>
        <v>603187</v>
      </c>
      <c r="B3246" t="s">
        <v>6082</v>
      </c>
      <c r="C3246">
        <v>0.17</v>
      </c>
      <c r="D3246">
        <v>26.82</v>
      </c>
      <c r="E3246">
        <v>48.1</v>
      </c>
      <c r="F3246">
        <v>0.08</v>
      </c>
      <c r="G3246">
        <v>48.09</v>
      </c>
      <c r="H3246">
        <v>48.1</v>
      </c>
      <c r="I3246" t="s">
        <v>6083</v>
      </c>
      <c r="J3246">
        <v>13.08</v>
      </c>
      <c r="K3246">
        <v>13.08</v>
      </c>
      <c r="L3246">
        <v>47.53</v>
      </c>
      <c r="M3246">
        <v>48.15</v>
      </c>
      <c r="N3246">
        <v>47.36</v>
      </c>
    </row>
    <row r="3247" spans="1:14" x14ac:dyDescent="0.5">
      <c r="A3247" t="str">
        <f>"603188"</f>
        <v>603188</v>
      </c>
      <c r="B3247" t="s">
        <v>6084</v>
      </c>
      <c r="C3247">
        <v>1.85</v>
      </c>
      <c r="D3247">
        <v>17</v>
      </c>
      <c r="E3247">
        <v>8.7899999999999991</v>
      </c>
      <c r="F3247">
        <v>0.16</v>
      </c>
      <c r="G3247">
        <v>8.7899999999999991</v>
      </c>
      <c r="H3247">
        <v>8.8000000000000007</v>
      </c>
      <c r="I3247" t="s">
        <v>6085</v>
      </c>
      <c r="J3247">
        <v>1.28</v>
      </c>
      <c r="K3247">
        <v>1.28</v>
      </c>
      <c r="L3247">
        <v>8.61</v>
      </c>
      <c r="M3247">
        <v>8.7899999999999991</v>
      </c>
      <c r="N3247">
        <v>8.59</v>
      </c>
    </row>
    <row r="3248" spans="1:14" x14ac:dyDescent="0.5">
      <c r="A3248" t="str">
        <f>"603189"</f>
        <v>603189</v>
      </c>
      <c r="B3248" t="s">
        <v>6086</v>
      </c>
      <c r="C3248">
        <v>5.16</v>
      </c>
      <c r="D3248">
        <v>109.8</v>
      </c>
      <c r="E3248">
        <v>13.05</v>
      </c>
      <c r="F3248">
        <v>0.64</v>
      </c>
      <c r="G3248">
        <v>13.04</v>
      </c>
      <c r="H3248">
        <v>13.05</v>
      </c>
      <c r="I3248" t="s">
        <v>6087</v>
      </c>
      <c r="J3248">
        <v>8.18</v>
      </c>
      <c r="K3248">
        <v>8.18</v>
      </c>
      <c r="L3248">
        <v>11.62</v>
      </c>
      <c r="M3248">
        <v>13.13</v>
      </c>
      <c r="N3248">
        <v>11.62</v>
      </c>
    </row>
    <row r="3249" spans="1:14" x14ac:dyDescent="0.5">
      <c r="A3249" t="str">
        <f>"603192"</f>
        <v>603192</v>
      </c>
      <c r="B3249" t="s">
        <v>6088</v>
      </c>
      <c r="C3249">
        <v>0</v>
      </c>
      <c r="D3249">
        <v>30.36</v>
      </c>
      <c r="E3249">
        <v>33.42</v>
      </c>
      <c r="F3249">
        <v>0</v>
      </c>
      <c r="G3249">
        <v>33.409999999999997</v>
      </c>
      <c r="H3249">
        <v>33.42</v>
      </c>
      <c r="I3249" t="s">
        <v>6089</v>
      </c>
      <c r="J3249">
        <v>12.87</v>
      </c>
      <c r="K3249">
        <v>12.87</v>
      </c>
      <c r="L3249">
        <v>33.01</v>
      </c>
      <c r="M3249">
        <v>33.5</v>
      </c>
      <c r="N3249">
        <v>32.9</v>
      </c>
    </row>
    <row r="3250" spans="1:14" x14ac:dyDescent="0.5">
      <c r="A3250" t="str">
        <f>"603196"</f>
        <v>603196</v>
      </c>
      <c r="B3250" t="s">
        <v>6090</v>
      </c>
      <c r="C3250">
        <v>3.6</v>
      </c>
      <c r="D3250">
        <v>37.74</v>
      </c>
      <c r="E3250">
        <v>9.7799999999999994</v>
      </c>
      <c r="F3250">
        <v>0.34</v>
      </c>
      <c r="G3250">
        <v>9.7799999999999994</v>
      </c>
      <c r="H3250">
        <v>9.7899999999999991</v>
      </c>
      <c r="I3250" t="s">
        <v>6091</v>
      </c>
      <c r="J3250">
        <v>16.61</v>
      </c>
      <c r="K3250">
        <v>16.61</v>
      </c>
      <c r="L3250">
        <v>9.42</v>
      </c>
      <c r="M3250">
        <v>9.9700000000000006</v>
      </c>
      <c r="N3250">
        <v>9.3699999999999992</v>
      </c>
    </row>
    <row r="3251" spans="1:14" x14ac:dyDescent="0.5">
      <c r="A3251" t="str">
        <f>"603197"</f>
        <v>603197</v>
      </c>
      <c r="B3251" t="s">
        <v>6092</v>
      </c>
      <c r="C3251">
        <v>9.93</v>
      </c>
      <c r="D3251">
        <v>25.52</v>
      </c>
      <c r="E3251">
        <v>26.91</v>
      </c>
      <c r="F3251">
        <v>2.4300000000000002</v>
      </c>
      <c r="G3251">
        <v>26.91</v>
      </c>
      <c r="H3251">
        <v>26.92</v>
      </c>
      <c r="I3251" t="s">
        <v>1185</v>
      </c>
      <c r="J3251">
        <v>3.84</v>
      </c>
      <c r="K3251">
        <v>3.84</v>
      </c>
      <c r="L3251">
        <v>24.99</v>
      </c>
      <c r="M3251">
        <v>26.93</v>
      </c>
      <c r="N3251">
        <v>24.58</v>
      </c>
    </row>
    <row r="3252" spans="1:14" x14ac:dyDescent="0.5">
      <c r="A3252" t="str">
        <f>"603198"</f>
        <v>603198</v>
      </c>
      <c r="B3252" t="s">
        <v>6093</v>
      </c>
      <c r="C3252">
        <v>0</v>
      </c>
      <c r="D3252">
        <v>17.78</v>
      </c>
      <c r="E3252">
        <v>16.41</v>
      </c>
      <c r="F3252">
        <v>0</v>
      </c>
      <c r="G3252">
        <v>16.399999999999999</v>
      </c>
      <c r="H3252">
        <v>16.41</v>
      </c>
      <c r="I3252" t="s">
        <v>6094</v>
      </c>
      <c r="J3252">
        <v>0.75</v>
      </c>
      <c r="K3252">
        <v>0.75</v>
      </c>
      <c r="L3252">
        <v>16.32</v>
      </c>
      <c r="M3252">
        <v>16.5</v>
      </c>
      <c r="N3252">
        <v>16.100000000000001</v>
      </c>
    </row>
    <row r="3253" spans="1:14" x14ac:dyDescent="0.5">
      <c r="A3253" t="str">
        <f>"603199"</f>
        <v>603199</v>
      </c>
      <c r="B3253" t="s">
        <v>6095</v>
      </c>
      <c r="C3253">
        <v>0.53</v>
      </c>
      <c r="D3253">
        <v>26.09</v>
      </c>
      <c r="E3253">
        <v>20.92</v>
      </c>
      <c r="F3253">
        <v>0.11</v>
      </c>
      <c r="G3253">
        <v>20.91</v>
      </c>
      <c r="H3253">
        <v>20.92</v>
      </c>
      <c r="I3253" t="s">
        <v>4358</v>
      </c>
      <c r="J3253">
        <v>0.79</v>
      </c>
      <c r="K3253">
        <v>0.79</v>
      </c>
      <c r="L3253">
        <v>20.66</v>
      </c>
      <c r="M3253">
        <v>20.95</v>
      </c>
      <c r="N3253">
        <v>20.53</v>
      </c>
    </row>
    <row r="3254" spans="1:14" x14ac:dyDescent="0.5">
      <c r="A3254" t="str">
        <f>"603200"</f>
        <v>603200</v>
      </c>
      <c r="B3254" t="s">
        <v>6096</v>
      </c>
      <c r="C3254">
        <v>0.23</v>
      </c>
      <c r="D3254">
        <v>39.43</v>
      </c>
      <c r="E3254">
        <v>39.479999999999997</v>
      </c>
      <c r="F3254">
        <v>0.09</v>
      </c>
      <c r="G3254">
        <v>39.47</v>
      </c>
      <c r="H3254">
        <v>39.479999999999997</v>
      </c>
      <c r="I3254" t="s">
        <v>6097</v>
      </c>
      <c r="J3254">
        <v>4.74</v>
      </c>
      <c r="K3254">
        <v>4.74</v>
      </c>
      <c r="L3254">
        <v>39.479999999999997</v>
      </c>
      <c r="M3254">
        <v>39.99</v>
      </c>
      <c r="N3254">
        <v>38.380000000000003</v>
      </c>
    </row>
    <row r="3255" spans="1:14" x14ac:dyDescent="0.5">
      <c r="A3255" t="str">
        <f>"603203"</f>
        <v>603203</v>
      </c>
      <c r="B3255" t="s">
        <v>6098</v>
      </c>
      <c r="C3255">
        <v>2.16</v>
      </c>
      <c r="D3255">
        <v>26.12</v>
      </c>
      <c r="E3255">
        <v>26</v>
      </c>
      <c r="F3255">
        <v>0.55000000000000004</v>
      </c>
      <c r="G3255">
        <v>25.99</v>
      </c>
      <c r="H3255">
        <v>26</v>
      </c>
      <c r="I3255" t="s">
        <v>6099</v>
      </c>
      <c r="J3255">
        <v>2.69</v>
      </c>
      <c r="K3255">
        <v>2.69</v>
      </c>
      <c r="L3255">
        <v>25.45</v>
      </c>
      <c r="M3255">
        <v>26.1</v>
      </c>
      <c r="N3255">
        <v>25.33</v>
      </c>
    </row>
    <row r="3256" spans="1:14" x14ac:dyDescent="0.5">
      <c r="A3256" t="str">
        <f>"603208"</f>
        <v>603208</v>
      </c>
      <c r="B3256" t="s">
        <v>6100</v>
      </c>
      <c r="C3256">
        <v>1.1000000000000001</v>
      </c>
      <c r="D3256">
        <v>15.91</v>
      </c>
      <c r="E3256">
        <v>31.33</v>
      </c>
      <c r="F3256">
        <v>0.34</v>
      </c>
      <c r="G3256">
        <v>31.33</v>
      </c>
      <c r="H3256">
        <v>31.34</v>
      </c>
      <c r="I3256" t="s">
        <v>6061</v>
      </c>
      <c r="J3256">
        <v>3.75</v>
      </c>
      <c r="K3256">
        <v>3.75</v>
      </c>
      <c r="L3256">
        <v>30.65</v>
      </c>
      <c r="M3256">
        <v>31.5</v>
      </c>
      <c r="N3256">
        <v>30.52</v>
      </c>
    </row>
    <row r="3257" spans="1:14" x14ac:dyDescent="0.5">
      <c r="A3257" t="str">
        <f>"603214"</f>
        <v>603214</v>
      </c>
      <c r="B3257" t="s">
        <v>6101</v>
      </c>
      <c r="C3257">
        <v>-1.19</v>
      </c>
      <c r="D3257">
        <v>39.39</v>
      </c>
      <c r="E3257">
        <v>43.2</v>
      </c>
      <c r="F3257">
        <v>-0.52</v>
      </c>
      <c r="G3257">
        <v>43.2</v>
      </c>
      <c r="H3257">
        <v>43.21</v>
      </c>
      <c r="I3257" t="s">
        <v>3151</v>
      </c>
      <c r="J3257">
        <v>13.91</v>
      </c>
      <c r="K3257">
        <v>13.91</v>
      </c>
      <c r="L3257">
        <v>43.4</v>
      </c>
      <c r="M3257">
        <v>43.4</v>
      </c>
      <c r="N3257">
        <v>42.3</v>
      </c>
    </row>
    <row r="3258" spans="1:14" x14ac:dyDescent="0.5">
      <c r="A3258" t="str">
        <f>"603218"</f>
        <v>603218</v>
      </c>
      <c r="B3258" t="s">
        <v>6102</v>
      </c>
      <c r="C3258">
        <v>7.8</v>
      </c>
      <c r="D3258">
        <v>34.31</v>
      </c>
      <c r="E3258">
        <v>21.98</v>
      </c>
      <c r="F3258">
        <v>1.59</v>
      </c>
      <c r="G3258">
        <v>21.98</v>
      </c>
      <c r="H3258">
        <v>21.99</v>
      </c>
      <c r="I3258" t="s">
        <v>6103</v>
      </c>
      <c r="J3258">
        <v>3.41</v>
      </c>
      <c r="K3258">
        <v>3.41</v>
      </c>
      <c r="L3258">
        <v>20.45</v>
      </c>
      <c r="M3258">
        <v>22.2</v>
      </c>
      <c r="N3258">
        <v>20.329999999999998</v>
      </c>
    </row>
    <row r="3259" spans="1:14" x14ac:dyDescent="0.5">
      <c r="A3259" t="str">
        <f>"603220"</f>
        <v>603220</v>
      </c>
      <c r="B3259" t="s">
        <v>6104</v>
      </c>
      <c r="C3259">
        <v>1.7</v>
      </c>
      <c r="D3259">
        <v>66.489999999999995</v>
      </c>
      <c r="E3259">
        <v>38.19</v>
      </c>
      <c r="F3259">
        <v>0.64</v>
      </c>
      <c r="G3259">
        <v>38.19</v>
      </c>
      <c r="H3259">
        <v>38.200000000000003</v>
      </c>
      <c r="I3259" t="s">
        <v>6105</v>
      </c>
      <c r="J3259">
        <v>29.98</v>
      </c>
      <c r="K3259">
        <v>29.98</v>
      </c>
      <c r="L3259">
        <v>37.130000000000003</v>
      </c>
      <c r="M3259">
        <v>38.5</v>
      </c>
      <c r="N3259">
        <v>36.5</v>
      </c>
    </row>
    <row r="3260" spans="1:14" x14ac:dyDescent="0.5">
      <c r="A3260" t="str">
        <f>"603222"</f>
        <v>603222</v>
      </c>
      <c r="B3260" t="s">
        <v>6106</v>
      </c>
      <c r="C3260">
        <v>-1.1499999999999999</v>
      </c>
      <c r="D3260">
        <v>106.96</v>
      </c>
      <c r="E3260">
        <v>16.399999999999999</v>
      </c>
      <c r="F3260">
        <v>-0.19</v>
      </c>
      <c r="G3260">
        <v>16.399999999999999</v>
      </c>
      <c r="H3260">
        <v>16.41</v>
      </c>
      <c r="I3260" t="s">
        <v>1935</v>
      </c>
      <c r="J3260">
        <v>0.52</v>
      </c>
      <c r="K3260">
        <v>0.52</v>
      </c>
      <c r="L3260">
        <v>16.62</v>
      </c>
      <c r="M3260">
        <v>16.690000000000001</v>
      </c>
      <c r="N3260">
        <v>16.29</v>
      </c>
    </row>
    <row r="3261" spans="1:14" x14ac:dyDescent="0.5">
      <c r="A3261" t="str">
        <f>"603223"</f>
        <v>603223</v>
      </c>
      <c r="B3261" t="s">
        <v>6107</v>
      </c>
      <c r="C3261">
        <v>2.58</v>
      </c>
      <c r="D3261">
        <v>29.66</v>
      </c>
      <c r="E3261">
        <v>11.53</v>
      </c>
      <c r="F3261">
        <v>0.28999999999999998</v>
      </c>
      <c r="G3261">
        <v>11.52</v>
      </c>
      <c r="H3261">
        <v>11.53</v>
      </c>
      <c r="I3261" t="s">
        <v>6108</v>
      </c>
      <c r="J3261">
        <v>1.93</v>
      </c>
      <c r="K3261">
        <v>1.93</v>
      </c>
      <c r="L3261">
        <v>11.24</v>
      </c>
      <c r="M3261">
        <v>11.57</v>
      </c>
      <c r="N3261">
        <v>11.18</v>
      </c>
    </row>
    <row r="3262" spans="1:14" x14ac:dyDescent="0.5">
      <c r="A3262" t="str">
        <f>"603225"</f>
        <v>603225</v>
      </c>
      <c r="B3262" t="s">
        <v>6109</v>
      </c>
      <c r="C3262">
        <v>0.59</v>
      </c>
      <c r="D3262">
        <v>11.09</v>
      </c>
      <c r="E3262">
        <v>18.89</v>
      </c>
      <c r="F3262">
        <v>0.11</v>
      </c>
      <c r="G3262">
        <v>18.89</v>
      </c>
      <c r="H3262">
        <v>18.899999999999999</v>
      </c>
      <c r="I3262" t="s">
        <v>6110</v>
      </c>
      <c r="J3262">
        <v>5.41</v>
      </c>
      <c r="K3262">
        <v>5.41</v>
      </c>
      <c r="L3262">
        <v>18.7</v>
      </c>
      <c r="M3262">
        <v>18.920000000000002</v>
      </c>
      <c r="N3262">
        <v>18.579999999999998</v>
      </c>
    </row>
    <row r="3263" spans="1:14" x14ac:dyDescent="0.5">
      <c r="A3263" t="str">
        <f>"603226"</f>
        <v>603226</v>
      </c>
      <c r="B3263" t="s">
        <v>6111</v>
      </c>
      <c r="C3263">
        <v>-0.32</v>
      </c>
      <c r="D3263">
        <v>22.55</v>
      </c>
      <c r="E3263">
        <v>18.77</v>
      </c>
      <c r="F3263">
        <v>-0.06</v>
      </c>
      <c r="G3263">
        <v>18.760000000000002</v>
      </c>
      <c r="H3263">
        <v>18.77</v>
      </c>
      <c r="I3263" t="s">
        <v>6112</v>
      </c>
      <c r="J3263">
        <v>4.8499999999999996</v>
      </c>
      <c r="K3263">
        <v>4.8499999999999996</v>
      </c>
      <c r="L3263">
        <v>18.7</v>
      </c>
      <c r="M3263">
        <v>18.8</v>
      </c>
      <c r="N3263">
        <v>18.600000000000001</v>
      </c>
    </row>
    <row r="3264" spans="1:14" x14ac:dyDescent="0.5">
      <c r="A3264" t="str">
        <f>"603227"</f>
        <v>603227</v>
      </c>
      <c r="B3264" t="s">
        <v>6113</v>
      </c>
      <c r="C3264">
        <v>1.34</v>
      </c>
      <c r="D3264">
        <v>90.38</v>
      </c>
      <c r="E3264">
        <v>4.55</v>
      </c>
      <c r="F3264">
        <v>0.06</v>
      </c>
      <c r="G3264">
        <v>4.54</v>
      </c>
      <c r="H3264">
        <v>4.55</v>
      </c>
      <c r="I3264" t="s">
        <v>6114</v>
      </c>
      <c r="J3264">
        <v>1.53</v>
      </c>
      <c r="K3264">
        <v>1.53</v>
      </c>
      <c r="L3264">
        <v>4.5</v>
      </c>
      <c r="M3264">
        <v>4.55</v>
      </c>
      <c r="N3264">
        <v>4.4400000000000004</v>
      </c>
    </row>
    <row r="3265" spans="1:14" x14ac:dyDescent="0.5">
      <c r="A3265" t="str">
        <f>"603228"</f>
        <v>603228</v>
      </c>
      <c r="B3265" t="s">
        <v>6115</v>
      </c>
      <c r="C3265">
        <v>-0.34</v>
      </c>
      <c r="D3265">
        <v>33.85</v>
      </c>
      <c r="E3265">
        <v>65.319999999999993</v>
      </c>
      <c r="F3265">
        <v>-0.22</v>
      </c>
      <c r="G3265">
        <v>65.319999999999993</v>
      </c>
      <c r="H3265">
        <v>65.33</v>
      </c>
      <c r="I3265" t="s">
        <v>6116</v>
      </c>
      <c r="J3265">
        <v>2.65</v>
      </c>
      <c r="K3265">
        <v>2.65</v>
      </c>
      <c r="L3265">
        <v>64.989999999999995</v>
      </c>
      <c r="M3265">
        <v>65.37</v>
      </c>
      <c r="N3265">
        <v>63.61</v>
      </c>
    </row>
    <row r="3266" spans="1:14" x14ac:dyDescent="0.5">
      <c r="A3266" t="str">
        <f>"603229"</f>
        <v>603229</v>
      </c>
      <c r="B3266" t="s">
        <v>6117</v>
      </c>
      <c r="C3266">
        <v>1.24</v>
      </c>
      <c r="D3266">
        <v>38.28</v>
      </c>
      <c r="E3266">
        <v>13.1</v>
      </c>
      <c r="F3266">
        <v>0.16</v>
      </c>
      <c r="G3266">
        <v>13.1</v>
      </c>
      <c r="H3266">
        <v>13.11</v>
      </c>
      <c r="I3266" t="s">
        <v>3471</v>
      </c>
      <c r="J3266">
        <v>2.2799999999999998</v>
      </c>
      <c r="K3266">
        <v>2.2799999999999998</v>
      </c>
      <c r="L3266">
        <v>12.98</v>
      </c>
      <c r="M3266">
        <v>13.12</v>
      </c>
      <c r="N3266">
        <v>12.91</v>
      </c>
    </row>
    <row r="3267" spans="1:14" x14ac:dyDescent="0.5">
      <c r="A3267" t="str">
        <f>"603232"</f>
        <v>603232</v>
      </c>
      <c r="B3267" t="s">
        <v>6118</v>
      </c>
      <c r="C3267">
        <v>3.41</v>
      </c>
      <c r="D3267">
        <v>37.6</v>
      </c>
      <c r="E3267">
        <v>33.369999999999997</v>
      </c>
      <c r="F3267">
        <v>1.1000000000000001</v>
      </c>
      <c r="G3267">
        <v>33.35</v>
      </c>
      <c r="H3267">
        <v>33.369999999999997</v>
      </c>
      <c r="I3267" t="s">
        <v>1803</v>
      </c>
      <c r="J3267">
        <v>3.38</v>
      </c>
      <c r="K3267">
        <v>3.38</v>
      </c>
      <c r="L3267">
        <v>32.270000000000003</v>
      </c>
      <c r="M3267">
        <v>33.450000000000003</v>
      </c>
      <c r="N3267">
        <v>31.69</v>
      </c>
    </row>
    <row r="3268" spans="1:14" x14ac:dyDescent="0.5">
      <c r="A3268" t="str">
        <f>"603233"</f>
        <v>603233</v>
      </c>
      <c r="B3268" t="s">
        <v>6119</v>
      </c>
      <c r="C3268">
        <v>0.77</v>
      </c>
      <c r="D3268">
        <v>33.36</v>
      </c>
      <c r="E3268">
        <v>44.26</v>
      </c>
      <c r="F3268">
        <v>0.34</v>
      </c>
      <c r="G3268">
        <v>44.26</v>
      </c>
      <c r="H3268">
        <v>44.27</v>
      </c>
      <c r="I3268" t="s">
        <v>6120</v>
      </c>
      <c r="J3268">
        <v>3.05</v>
      </c>
      <c r="K3268">
        <v>3.05</v>
      </c>
      <c r="L3268">
        <v>44</v>
      </c>
      <c r="M3268">
        <v>44.35</v>
      </c>
      <c r="N3268">
        <v>43.43</v>
      </c>
    </row>
    <row r="3269" spans="1:14" x14ac:dyDescent="0.5">
      <c r="A3269" t="str">
        <f>"603238"</f>
        <v>603238</v>
      </c>
      <c r="B3269" t="s">
        <v>6121</v>
      </c>
      <c r="C3269">
        <v>3.97</v>
      </c>
      <c r="D3269">
        <v>39.869999999999997</v>
      </c>
      <c r="E3269">
        <v>19.920000000000002</v>
      </c>
      <c r="F3269">
        <v>0.76</v>
      </c>
      <c r="G3269">
        <v>19.920000000000002</v>
      </c>
      <c r="H3269">
        <v>19.93</v>
      </c>
      <c r="I3269" t="s">
        <v>6008</v>
      </c>
      <c r="J3269">
        <v>11.06</v>
      </c>
      <c r="K3269">
        <v>11.06</v>
      </c>
      <c r="L3269">
        <v>19.09</v>
      </c>
      <c r="M3269">
        <v>19.920000000000002</v>
      </c>
      <c r="N3269">
        <v>19.079999999999998</v>
      </c>
    </row>
    <row r="3270" spans="1:14" x14ac:dyDescent="0.5">
      <c r="A3270" t="str">
        <f>"603239"</f>
        <v>603239</v>
      </c>
      <c r="B3270" t="s">
        <v>6122</v>
      </c>
      <c r="C3270">
        <v>9.98</v>
      </c>
      <c r="D3270">
        <v>19.440000000000001</v>
      </c>
      <c r="E3270">
        <v>14.11</v>
      </c>
      <c r="F3270">
        <v>1.28</v>
      </c>
      <c r="G3270">
        <v>14.11</v>
      </c>
      <c r="H3270" t="s">
        <v>24</v>
      </c>
      <c r="I3270" t="s">
        <v>6123</v>
      </c>
      <c r="J3270">
        <v>11.9</v>
      </c>
      <c r="K3270">
        <v>11.9</v>
      </c>
      <c r="L3270">
        <v>13.01</v>
      </c>
      <c r="M3270">
        <v>14.11</v>
      </c>
      <c r="N3270">
        <v>13.01</v>
      </c>
    </row>
    <row r="3271" spans="1:14" x14ac:dyDescent="0.5">
      <c r="A3271" t="str">
        <f>"603258"</f>
        <v>603258</v>
      </c>
      <c r="B3271" t="s">
        <v>6124</v>
      </c>
      <c r="C3271">
        <v>2.08</v>
      </c>
      <c r="D3271">
        <v>39.090000000000003</v>
      </c>
      <c r="E3271">
        <v>18.190000000000001</v>
      </c>
      <c r="F3271">
        <v>0.37</v>
      </c>
      <c r="G3271">
        <v>18.18</v>
      </c>
      <c r="H3271">
        <v>18.190000000000001</v>
      </c>
      <c r="I3271" t="s">
        <v>6125</v>
      </c>
      <c r="J3271">
        <v>1.82</v>
      </c>
      <c r="K3271">
        <v>1.82</v>
      </c>
      <c r="L3271">
        <v>17.78</v>
      </c>
      <c r="M3271">
        <v>18.329999999999998</v>
      </c>
      <c r="N3271">
        <v>17.78</v>
      </c>
    </row>
    <row r="3272" spans="1:14" x14ac:dyDescent="0.5">
      <c r="A3272" t="str">
        <f>"603259"</f>
        <v>603259</v>
      </c>
      <c r="B3272" t="s">
        <v>6126</v>
      </c>
      <c r="C3272">
        <v>2.77</v>
      </c>
      <c r="D3272">
        <v>50.27</v>
      </c>
      <c r="E3272">
        <v>99.34</v>
      </c>
      <c r="F3272">
        <v>2.68</v>
      </c>
      <c r="G3272">
        <v>99.33</v>
      </c>
      <c r="H3272">
        <v>99.34</v>
      </c>
      <c r="I3272" t="s">
        <v>6127</v>
      </c>
      <c r="J3272">
        <v>7.28</v>
      </c>
      <c r="K3272">
        <v>7.28</v>
      </c>
      <c r="L3272">
        <v>94.98</v>
      </c>
      <c r="M3272">
        <v>99.98</v>
      </c>
      <c r="N3272">
        <v>94.68</v>
      </c>
    </row>
    <row r="3273" spans="1:14" x14ac:dyDescent="0.5">
      <c r="A3273" t="str">
        <f>"603260"</f>
        <v>603260</v>
      </c>
      <c r="B3273" t="s">
        <v>6128</v>
      </c>
      <c r="C3273">
        <v>-0.44</v>
      </c>
      <c r="D3273">
        <v>13.52</v>
      </c>
      <c r="E3273">
        <v>56.2</v>
      </c>
      <c r="F3273">
        <v>-0.25</v>
      </c>
      <c r="G3273">
        <v>56.19</v>
      </c>
      <c r="H3273">
        <v>56.2</v>
      </c>
      <c r="I3273" t="s">
        <v>145</v>
      </c>
      <c r="J3273">
        <v>1.76</v>
      </c>
      <c r="K3273">
        <v>1.76</v>
      </c>
      <c r="L3273">
        <v>55.88</v>
      </c>
      <c r="M3273">
        <v>56.33</v>
      </c>
      <c r="N3273">
        <v>55.06</v>
      </c>
    </row>
    <row r="3274" spans="1:14" x14ac:dyDescent="0.5">
      <c r="A3274" t="str">
        <f>"603266"</f>
        <v>603266</v>
      </c>
      <c r="B3274" t="s">
        <v>6129</v>
      </c>
      <c r="C3274">
        <v>4.9800000000000004</v>
      </c>
      <c r="D3274">
        <v>32.75</v>
      </c>
      <c r="E3274">
        <v>17.48</v>
      </c>
      <c r="F3274">
        <v>0.83</v>
      </c>
      <c r="G3274">
        <v>17.46</v>
      </c>
      <c r="H3274">
        <v>17.48</v>
      </c>
      <c r="I3274" t="s">
        <v>3693</v>
      </c>
      <c r="J3274">
        <v>20.82</v>
      </c>
      <c r="K3274">
        <v>20.82</v>
      </c>
      <c r="L3274">
        <v>16.54</v>
      </c>
      <c r="M3274">
        <v>17.84</v>
      </c>
      <c r="N3274">
        <v>16.38</v>
      </c>
    </row>
    <row r="3275" spans="1:14" x14ac:dyDescent="0.5">
      <c r="A3275" t="str">
        <f>"603268"</f>
        <v>603268</v>
      </c>
      <c r="B3275" t="s">
        <v>6130</v>
      </c>
      <c r="C3275">
        <v>-0.55000000000000004</v>
      </c>
      <c r="D3275">
        <v>49.87</v>
      </c>
      <c r="E3275">
        <v>19.920000000000002</v>
      </c>
      <c r="F3275">
        <v>-0.11</v>
      </c>
      <c r="G3275">
        <v>19.920000000000002</v>
      </c>
      <c r="H3275">
        <v>19.93</v>
      </c>
      <c r="I3275" t="s">
        <v>6131</v>
      </c>
      <c r="J3275">
        <v>2.21</v>
      </c>
      <c r="K3275">
        <v>2.21</v>
      </c>
      <c r="L3275">
        <v>19.809999999999999</v>
      </c>
      <c r="M3275">
        <v>20.03</v>
      </c>
      <c r="N3275">
        <v>19.600000000000001</v>
      </c>
    </row>
    <row r="3276" spans="1:14" x14ac:dyDescent="0.5">
      <c r="A3276" t="str">
        <f>"603269"</f>
        <v>603269</v>
      </c>
      <c r="B3276" t="s">
        <v>6132</v>
      </c>
      <c r="C3276">
        <v>1.32</v>
      </c>
      <c r="D3276">
        <v>37.869999999999997</v>
      </c>
      <c r="E3276">
        <v>16.079999999999998</v>
      </c>
      <c r="F3276">
        <v>0.21</v>
      </c>
      <c r="G3276">
        <v>16.07</v>
      </c>
      <c r="H3276">
        <v>16.079999999999998</v>
      </c>
      <c r="I3276" t="s">
        <v>6133</v>
      </c>
      <c r="J3276">
        <v>5.09</v>
      </c>
      <c r="K3276">
        <v>5.09</v>
      </c>
      <c r="L3276">
        <v>15.73</v>
      </c>
      <c r="M3276">
        <v>16.09</v>
      </c>
      <c r="N3276">
        <v>15.71</v>
      </c>
    </row>
    <row r="3277" spans="1:14" x14ac:dyDescent="0.5">
      <c r="A3277" t="str">
        <f>"603277"</f>
        <v>603277</v>
      </c>
      <c r="B3277" t="s">
        <v>6134</v>
      </c>
      <c r="C3277">
        <v>0.59</v>
      </c>
      <c r="D3277">
        <v>19.62</v>
      </c>
      <c r="E3277">
        <v>10.31</v>
      </c>
      <c r="F3277">
        <v>0.06</v>
      </c>
      <c r="G3277">
        <v>10.3</v>
      </c>
      <c r="H3277">
        <v>10.31</v>
      </c>
      <c r="I3277" t="s">
        <v>6135</v>
      </c>
      <c r="J3277">
        <v>1.42</v>
      </c>
      <c r="K3277">
        <v>1.42</v>
      </c>
      <c r="L3277">
        <v>10.23</v>
      </c>
      <c r="M3277">
        <v>10.32</v>
      </c>
      <c r="N3277">
        <v>10.18</v>
      </c>
    </row>
    <row r="3278" spans="1:14" x14ac:dyDescent="0.5">
      <c r="A3278" t="str">
        <f>"603278"</f>
        <v>603278</v>
      </c>
      <c r="B3278" t="s">
        <v>6136</v>
      </c>
      <c r="C3278">
        <v>0.71</v>
      </c>
      <c r="D3278">
        <v>17.07</v>
      </c>
      <c r="E3278">
        <v>17.03</v>
      </c>
      <c r="F3278">
        <v>0.12</v>
      </c>
      <c r="G3278">
        <v>17.03</v>
      </c>
      <c r="H3278">
        <v>17.04</v>
      </c>
      <c r="I3278" t="s">
        <v>6137</v>
      </c>
      <c r="J3278">
        <v>2.98</v>
      </c>
      <c r="K3278">
        <v>2.98</v>
      </c>
      <c r="L3278">
        <v>16.809999999999999</v>
      </c>
      <c r="M3278">
        <v>17.05</v>
      </c>
      <c r="N3278">
        <v>16.8</v>
      </c>
    </row>
    <row r="3279" spans="1:14" x14ac:dyDescent="0.5">
      <c r="A3279" t="str">
        <f>"603283"</f>
        <v>603283</v>
      </c>
      <c r="B3279" t="s">
        <v>6138</v>
      </c>
      <c r="C3279">
        <v>4.5199999999999996</v>
      </c>
      <c r="D3279">
        <v>35.119999999999997</v>
      </c>
      <c r="E3279">
        <v>20.12</v>
      </c>
      <c r="F3279">
        <v>0.87</v>
      </c>
      <c r="G3279">
        <v>20.12</v>
      </c>
      <c r="H3279">
        <v>20.13</v>
      </c>
      <c r="I3279" t="s">
        <v>6139</v>
      </c>
      <c r="J3279">
        <v>18.61</v>
      </c>
      <c r="K3279">
        <v>18.61</v>
      </c>
      <c r="L3279">
        <v>19.34</v>
      </c>
      <c r="M3279">
        <v>20.37</v>
      </c>
      <c r="N3279">
        <v>19.03</v>
      </c>
    </row>
    <row r="3280" spans="1:14" x14ac:dyDescent="0.5">
      <c r="A3280" t="str">
        <f>"603286"</f>
        <v>603286</v>
      </c>
      <c r="B3280" t="s">
        <v>6140</v>
      </c>
      <c r="C3280">
        <v>1.59</v>
      </c>
      <c r="D3280">
        <v>46.27</v>
      </c>
      <c r="E3280">
        <v>15.93</v>
      </c>
      <c r="F3280">
        <v>0.25</v>
      </c>
      <c r="G3280">
        <v>15.93</v>
      </c>
      <c r="H3280">
        <v>15.94</v>
      </c>
      <c r="I3280" t="s">
        <v>6141</v>
      </c>
      <c r="J3280">
        <v>7.02</v>
      </c>
      <c r="K3280">
        <v>7.02</v>
      </c>
      <c r="L3280">
        <v>15.53</v>
      </c>
      <c r="M3280">
        <v>15.95</v>
      </c>
      <c r="N3280">
        <v>15.41</v>
      </c>
    </row>
    <row r="3281" spans="1:14" x14ac:dyDescent="0.5">
      <c r="A3281" t="str">
        <f>"603288"</f>
        <v>603288</v>
      </c>
      <c r="B3281" t="s">
        <v>6142</v>
      </c>
      <c r="C3281">
        <v>-0.76</v>
      </c>
      <c r="D3281">
        <v>50.79</v>
      </c>
      <c r="E3281">
        <v>78</v>
      </c>
      <c r="F3281">
        <v>-0.6</v>
      </c>
      <c r="G3281">
        <v>78</v>
      </c>
      <c r="H3281">
        <v>78.02</v>
      </c>
      <c r="I3281" t="s">
        <v>6143</v>
      </c>
      <c r="J3281">
        <v>0.16</v>
      </c>
      <c r="K3281">
        <v>0.16</v>
      </c>
      <c r="L3281">
        <v>79</v>
      </c>
      <c r="M3281">
        <v>79.510000000000005</v>
      </c>
      <c r="N3281">
        <v>77.599999999999994</v>
      </c>
    </row>
    <row r="3282" spans="1:14" x14ac:dyDescent="0.5">
      <c r="A3282" t="str">
        <f>"603289"</f>
        <v>603289</v>
      </c>
      <c r="B3282" t="s">
        <v>6144</v>
      </c>
      <c r="C3282">
        <v>3.08</v>
      </c>
      <c r="D3282">
        <v>28.63</v>
      </c>
      <c r="E3282">
        <v>11.06</v>
      </c>
      <c r="F3282">
        <v>0.33</v>
      </c>
      <c r="G3282">
        <v>11.05</v>
      </c>
      <c r="H3282">
        <v>11.06</v>
      </c>
      <c r="I3282" t="s">
        <v>6145</v>
      </c>
      <c r="J3282">
        <v>10.24</v>
      </c>
      <c r="K3282">
        <v>10.24</v>
      </c>
      <c r="L3282">
        <v>10.77</v>
      </c>
      <c r="M3282">
        <v>11.38</v>
      </c>
      <c r="N3282">
        <v>10.45</v>
      </c>
    </row>
    <row r="3283" spans="1:14" x14ac:dyDescent="0.5">
      <c r="A3283" t="str">
        <f>"603297"</f>
        <v>603297</v>
      </c>
      <c r="B3283" t="s">
        <v>6146</v>
      </c>
      <c r="C3283">
        <v>2.0699999999999998</v>
      </c>
      <c r="D3283">
        <v>36.770000000000003</v>
      </c>
      <c r="E3283">
        <v>52.78</v>
      </c>
      <c r="F3283">
        <v>1.07</v>
      </c>
      <c r="G3283">
        <v>52.77</v>
      </c>
      <c r="H3283">
        <v>52.78</v>
      </c>
      <c r="I3283" t="s">
        <v>6147</v>
      </c>
      <c r="J3283">
        <v>14.93</v>
      </c>
      <c r="K3283">
        <v>14.93</v>
      </c>
      <c r="L3283">
        <v>51.5</v>
      </c>
      <c r="M3283">
        <v>52.79</v>
      </c>
      <c r="N3283">
        <v>51.22</v>
      </c>
    </row>
    <row r="3284" spans="1:14" x14ac:dyDescent="0.5">
      <c r="A3284" t="str">
        <f>"603298"</f>
        <v>603298</v>
      </c>
      <c r="B3284" t="s">
        <v>6148</v>
      </c>
      <c r="C3284">
        <v>1.36</v>
      </c>
      <c r="D3284">
        <v>16.14</v>
      </c>
      <c r="E3284">
        <v>14.14</v>
      </c>
      <c r="F3284">
        <v>0.19</v>
      </c>
      <c r="G3284">
        <v>14.14</v>
      </c>
      <c r="H3284">
        <v>14.15</v>
      </c>
      <c r="I3284" t="s">
        <v>6149</v>
      </c>
      <c r="J3284">
        <v>1.79</v>
      </c>
      <c r="K3284">
        <v>1.79</v>
      </c>
      <c r="L3284">
        <v>13.91</v>
      </c>
      <c r="M3284">
        <v>14.19</v>
      </c>
      <c r="N3284">
        <v>13.86</v>
      </c>
    </row>
    <row r="3285" spans="1:14" x14ac:dyDescent="0.5">
      <c r="A3285" t="str">
        <f>"603299"</f>
        <v>603299</v>
      </c>
      <c r="B3285" t="s">
        <v>6150</v>
      </c>
      <c r="C3285">
        <v>0.47</v>
      </c>
      <c r="D3285">
        <v>28.06</v>
      </c>
      <c r="E3285">
        <v>6.39</v>
      </c>
      <c r="F3285">
        <v>0.03</v>
      </c>
      <c r="G3285">
        <v>6.38</v>
      </c>
      <c r="H3285">
        <v>6.39</v>
      </c>
      <c r="I3285" t="s">
        <v>5522</v>
      </c>
      <c r="J3285">
        <v>1.77</v>
      </c>
      <c r="K3285">
        <v>1.77</v>
      </c>
      <c r="L3285">
        <v>6.29</v>
      </c>
      <c r="M3285">
        <v>6.4</v>
      </c>
      <c r="N3285">
        <v>6.26</v>
      </c>
    </row>
    <row r="3286" spans="1:14" x14ac:dyDescent="0.5">
      <c r="A3286" t="str">
        <f>"603300"</f>
        <v>603300</v>
      </c>
      <c r="B3286" t="s">
        <v>6151</v>
      </c>
      <c r="C3286">
        <v>1.42</v>
      </c>
      <c r="D3286">
        <v>36.36</v>
      </c>
      <c r="E3286">
        <v>5.7</v>
      </c>
      <c r="F3286">
        <v>0.08</v>
      </c>
      <c r="G3286">
        <v>5.69</v>
      </c>
      <c r="H3286">
        <v>5.7</v>
      </c>
      <c r="I3286" t="s">
        <v>1425</v>
      </c>
      <c r="J3286">
        <v>3.13</v>
      </c>
      <c r="K3286">
        <v>3.13</v>
      </c>
      <c r="L3286">
        <v>5.62</v>
      </c>
      <c r="M3286">
        <v>5.7</v>
      </c>
      <c r="N3286">
        <v>5.52</v>
      </c>
    </row>
    <row r="3287" spans="1:14" x14ac:dyDescent="0.5">
      <c r="A3287" t="str">
        <f>"603301"</f>
        <v>603301</v>
      </c>
      <c r="B3287" t="s">
        <v>6152</v>
      </c>
      <c r="C3287">
        <v>0.51</v>
      </c>
      <c r="D3287">
        <v>26.21</v>
      </c>
      <c r="E3287">
        <v>35.44</v>
      </c>
      <c r="F3287">
        <v>0.18</v>
      </c>
      <c r="G3287">
        <v>35.44</v>
      </c>
      <c r="H3287">
        <v>35.46</v>
      </c>
      <c r="I3287" t="s">
        <v>6153</v>
      </c>
      <c r="J3287">
        <v>8.65</v>
      </c>
      <c r="K3287">
        <v>8.65</v>
      </c>
      <c r="L3287">
        <v>35.01</v>
      </c>
      <c r="M3287">
        <v>35.5</v>
      </c>
      <c r="N3287">
        <v>34.799999999999997</v>
      </c>
    </row>
    <row r="3288" spans="1:14" x14ac:dyDescent="0.5">
      <c r="A3288" t="str">
        <f>"603303"</f>
        <v>603303</v>
      </c>
      <c r="B3288" t="s">
        <v>6154</v>
      </c>
      <c r="C3288">
        <v>1.93</v>
      </c>
      <c r="D3288">
        <v>21.69</v>
      </c>
      <c r="E3288">
        <v>13.71</v>
      </c>
      <c r="F3288">
        <v>0.26</v>
      </c>
      <c r="G3288">
        <v>13.71</v>
      </c>
      <c r="H3288">
        <v>13.72</v>
      </c>
      <c r="I3288" t="s">
        <v>6155</v>
      </c>
      <c r="J3288">
        <v>2.77</v>
      </c>
      <c r="K3288">
        <v>2.77</v>
      </c>
      <c r="L3288">
        <v>13.54</v>
      </c>
      <c r="M3288">
        <v>13.75</v>
      </c>
      <c r="N3288">
        <v>13.36</v>
      </c>
    </row>
    <row r="3289" spans="1:14" x14ac:dyDescent="0.5">
      <c r="A3289" t="str">
        <f>"603305"</f>
        <v>603305</v>
      </c>
      <c r="B3289" t="s">
        <v>6156</v>
      </c>
      <c r="C3289">
        <v>0.57999999999999996</v>
      </c>
      <c r="D3289">
        <v>46.74</v>
      </c>
      <c r="E3289">
        <v>34.75</v>
      </c>
      <c r="F3289">
        <v>0.2</v>
      </c>
      <c r="G3289">
        <v>34.74</v>
      </c>
      <c r="H3289">
        <v>34.75</v>
      </c>
      <c r="I3289" t="s">
        <v>6157</v>
      </c>
      <c r="J3289">
        <v>5.67</v>
      </c>
      <c r="K3289">
        <v>5.67</v>
      </c>
      <c r="L3289">
        <v>34.49</v>
      </c>
      <c r="M3289">
        <v>35.979999999999997</v>
      </c>
      <c r="N3289">
        <v>33.99</v>
      </c>
    </row>
    <row r="3290" spans="1:14" x14ac:dyDescent="0.5">
      <c r="A3290" t="str">
        <f>"603306"</f>
        <v>603306</v>
      </c>
      <c r="B3290" t="s">
        <v>6158</v>
      </c>
      <c r="C3290">
        <v>1.86</v>
      </c>
      <c r="D3290">
        <v>16.36</v>
      </c>
      <c r="E3290">
        <v>16.399999999999999</v>
      </c>
      <c r="F3290">
        <v>0.3</v>
      </c>
      <c r="G3290">
        <v>16.39</v>
      </c>
      <c r="H3290">
        <v>16.399999999999999</v>
      </c>
      <c r="I3290" t="s">
        <v>1560</v>
      </c>
      <c r="J3290">
        <v>0.8</v>
      </c>
      <c r="K3290">
        <v>0.8</v>
      </c>
      <c r="L3290">
        <v>16.100000000000001</v>
      </c>
      <c r="M3290">
        <v>16.66</v>
      </c>
      <c r="N3290">
        <v>15.9</v>
      </c>
    </row>
    <row r="3291" spans="1:14" x14ac:dyDescent="0.5">
      <c r="A3291" t="str">
        <f>"603308"</f>
        <v>603308</v>
      </c>
      <c r="B3291" t="s">
        <v>6159</v>
      </c>
      <c r="C3291">
        <v>0.76</v>
      </c>
      <c r="D3291">
        <v>72.959999999999994</v>
      </c>
      <c r="E3291">
        <v>10.64</v>
      </c>
      <c r="F3291">
        <v>0.08</v>
      </c>
      <c r="G3291">
        <v>10.63</v>
      </c>
      <c r="H3291">
        <v>10.64</v>
      </c>
      <c r="I3291" t="s">
        <v>265</v>
      </c>
      <c r="J3291">
        <v>1.74</v>
      </c>
      <c r="K3291">
        <v>1.74</v>
      </c>
      <c r="L3291">
        <v>10.57</v>
      </c>
      <c r="M3291">
        <v>10.65</v>
      </c>
      <c r="N3291">
        <v>10.42</v>
      </c>
    </row>
    <row r="3292" spans="1:14" x14ac:dyDescent="0.5">
      <c r="A3292" t="str">
        <f>"603309"</f>
        <v>603309</v>
      </c>
      <c r="B3292" t="s">
        <v>6160</v>
      </c>
      <c r="C3292">
        <v>2.65</v>
      </c>
      <c r="D3292">
        <v>41.25</v>
      </c>
      <c r="E3292">
        <v>11.62</v>
      </c>
      <c r="F3292">
        <v>0.3</v>
      </c>
      <c r="G3292">
        <v>11.62</v>
      </c>
      <c r="H3292">
        <v>11.63</v>
      </c>
      <c r="I3292" t="s">
        <v>6161</v>
      </c>
      <c r="J3292">
        <v>1.42</v>
      </c>
      <c r="K3292">
        <v>1.42</v>
      </c>
      <c r="L3292">
        <v>11.28</v>
      </c>
      <c r="M3292">
        <v>11.65</v>
      </c>
      <c r="N3292">
        <v>11.14</v>
      </c>
    </row>
    <row r="3293" spans="1:14" x14ac:dyDescent="0.5">
      <c r="A3293" t="str">
        <f>"603311"</f>
        <v>603311</v>
      </c>
      <c r="B3293" t="s">
        <v>6162</v>
      </c>
      <c r="C3293">
        <v>0.41</v>
      </c>
      <c r="D3293">
        <v>36.76</v>
      </c>
      <c r="E3293">
        <v>12.28</v>
      </c>
      <c r="F3293">
        <v>0.05</v>
      </c>
      <c r="G3293">
        <v>12.28</v>
      </c>
      <c r="H3293">
        <v>12.29</v>
      </c>
      <c r="I3293" t="s">
        <v>6163</v>
      </c>
      <c r="J3293">
        <v>3.64</v>
      </c>
      <c r="K3293">
        <v>3.64</v>
      </c>
      <c r="L3293">
        <v>11.98</v>
      </c>
      <c r="M3293">
        <v>12.37</v>
      </c>
      <c r="N3293">
        <v>11.82</v>
      </c>
    </row>
    <row r="3294" spans="1:14" x14ac:dyDescent="0.5">
      <c r="A3294" t="str">
        <f>"603313"</f>
        <v>603313</v>
      </c>
      <c r="B3294" t="s">
        <v>6164</v>
      </c>
      <c r="C3294">
        <v>0.96</v>
      </c>
      <c r="D3294">
        <v>47.37</v>
      </c>
      <c r="E3294">
        <v>23.2</v>
      </c>
      <c r="F3294">
        <v>0.22</v>
      </c>
      <c r="G3294">
        <v>23.19</v>
      </c>
      <c r="H3294">
        <v>23.2</v>
      </c>
      <c r="I3294" t="s">
        <v>3865</v>
      </c>
      <c r="J3294">
        <v>4.76</v>
      </c>
      <c r="K3294">
        <v>4.76</v>
      </c>
      <c r="L3294">
        <v>23.1</v>
      </c>
      <c r="M3294">
        <v>23.65</v>
      </c>
      <c r="N3294">
        <v>22.86</v>
      </c>
    </row>
    <row r="3295" spans="1:14" x14ac:dyDescent="0.5">
      <c r="A3295" t="str">
        <f>"603315"</f>
        <v>603315</v>
      </c>
      <c r="B3295" t="s">
        <v>6165</v>
      </c>
      <c r="C3295">
        <v>0.14000000000000001</v>
      </c>
      <c r="D3295" t="s">
        <v>24</v>
      </c>
      <c r="E3295">
        <v>14.17</v>
      </c>
      <c r="F3295">
        <v>0.02</v>
      </c>
      <c r="G3295">
        <v>14.16</v>
      </c>
      <c r="H3295">
        <v>14.17</v>
      </c>
      <c r="I3295" t="s">
        <v>6166</v>
      </c>
      <c r="J3295">
        <v>4.08</v>
      </c>
      <c r="K3295">
        <v>4.08</v>
      </c>
      <c r="L3295">
        <v>14.55</v>
      </c>
      <c r="M3295">
        <v>14.58</v>
      </c>
      <c r="N3295">
        <v>13.73</v>
      </c>
    </row>
    <row r="3296" spans="1:14" x14ac:dyDescent="0.5">
      <c r="A3296" t="str">
        <f>"603316"</f>
        <v>603316</v>
      </c>
      <c r="B3296" t="s">
        <v>6167</v>
      </c>
      <c r="C3296">
        <v>2.06</v>
      </c>
      <c r="D3296">
        <v>25.62</v>
      </c>
      <c r="E3296">
        <v>8.41</v>
      </c>
      <c r="F3296">
        <v>0.17</v>
      </c>
      <c r="G3296">
        <v>8.41</v>
      </c>
      <c r="H3296">
        <v>8.42</v>
      </c>
      <c r="I3296" t="s">
        <v>6168</v>
      </c>
      <c r="J3296">
        <v>2.68</v>
      </c>
      <c r="K3296">
        <v>2.68</v>
      </c>
      <c r="L3296">
        <v>8.27</v>
      </c>
      <c r="M3296">
        <v>8.41</v>
      </c>
      <c r="N3296">
        <v>8.23</v>
      </c>
    </row>
    <row r="3297" spans="1:14" x14ac:dyDescent="0.5">
      <c r="A3297" t="str">
        <f>"603318"</f>
        <v>603318</v>
      </c>
      <c r="B3297" t="s">
        <v>6169</v>
      </c>
      <c r="C3297">
        <v>2.95</v>
      </c>
      <c r="D3297">
        <v>397.18</v>
      </c>
      <c r="E3297">
        <v>13.63</v>
      </c>
      <c r="F3297">
        <v>0.39</v>
      </c>
      <c r="G3297">
        <v>13.63</v>
      </c>
      <c r="H3297">
        <v>13.64</v>
      </c>
      <c r="I3297" t="s">
        <v>6170</v>
      </c>
      <c r="J3297">
        <v>2.48</v>
      </c>
      <c r="K3297">
        <v>2.48</v>
      </c>
      <c r="L3297">
        <v>13.15</v>
      </c>
      <c r="M3297">
        <v>13.68</v>
      </c>
      <c r="N3297">
        <v>12.91</v>
      </c>
    </row>
    <row r="3298" spans="1:14" x14ac:dyDescent="0.5">
      <c r="A3298" t="str">
        <f>"603319"</f>
        <v>603319</v>
      </c>
      <c r="B3298" t="s">
        <v>6171</v>
      </c>
      <c r="C3298">
        <v>1.08</v>
      </c>
      <c r="D3298">
        <v>19.309999999999999</v>
      </c>
      <c r="E3298">
        <v>23.45</v>
      </c>
      <c r="F3298">
        <v>0.25</v>
      </c>
      <c r="G3298">
        <v>23.45</v>
      </c>
      <c r="H3298">
        <v>23.46</v>
      </c>
      <c r="I3298" t="s">
        <v>3889</v>
      </c>
      <c r="J3298">
        <v>3</v>
      </c>
      <c r="K3298">
        <v>3</v>
      </c>
      <c r="L3298">
        <v>23.2</v>
      </c>
      <c r="M3298">
        <v>23.46</v>
      </c>
      <c r="N3298">
        <v>23.03</v>
      </c>
    </row>
    <row r="3299" spans="1:14" x14ac:dyDescent="0.5">
      <c r="A3299" t="str">
        <f>"603320"</f>
        <v>603320</v>
      </c>
      <c r="B3299" t="s">
        <v>6172</v>
      </c>
      <c r="C3299">
        <v>2.48</v>
      </c>
      <c r="D3299">
        <v>40.29</v>
      </c>
      <c r="E3299">
        <v>19.04</v>
      </c>
      <c r="F3299">
        <v>0.46</v>
      </c>
      <c r="G3299">
        <v>19.03</v>
      </c>
      <c r="H3299">
        <v>19.04</v>
      </c>
      <c r="I3299" t="s">
        <v>6173</v>
      </c>
      <c r="J3299">
        <v>6.69</v>
      </c>
      <c r="K3299">
        <v>6.69</v>
      </c>
      <c r="L3299">
        <v>18.600000000000001</v>
      </c>
      <c r="M3299">
        <v>19.149999999999999</v>
      </c>
      <c r="N3299">
        <v>18.5</v>
      </c>
    </row>
    <row r="3300" spans="1:14" x14ac:dyDescent="0.5">
      <c r="A3300" t="str">
        <f>"603321"</f>
        <v>603321</v>
      </c>
      <c r="B3300" t="s">
        <v>6174</v>
      </c>
      <c r="C3300">
        <v>3.23</v>
      </c>
      <c r="D3300">
        <v>46.78</v>
      </c>
      <c r="E3300">
        <v>9.2799999999999994</v>
      </c>
      <c r="F3300">
        <v>0.28999999999999998</v>
      </c>
      <c r="G3300">
        <v>9.2799999999999994</v>
      </c>
      <c r="H3300">
        <v>9.2899999999999991</v>
      </c>
      <c r="I3300" t="s">
        <v>6175</v>
      </c>
      <c r="J3300">
        <v>9.91</v>
      </c>
      <c r="K3300">
        <v>9.91</v>
      </c>
      <c r="L3300">
        <v>8.93</v>
      </c>
      <c r="M3300">
        <v>9.3800000000000008</v>
      </c>
      <c r="N3300">
        <v>8.84</v>
      </c>
    </row>
    <row r="3301" spans="1:14" x14ac:dyDescent="0.5">
      <c r="A3301" t="str">
        <f>"603322"</f>
        <v>603322</v>
      </c>
      <c r="B3301" t="s">
        <v>6176</v>
      </c>
      <c r="C3301">
        <v>10</v>
      </c>
      <c r="D3301">
        <v>159.83000000000001</v>
      </c>
      <c r="E3301">
        <v>37.18</v>
      </c>
      <c r="F3301">
        <v>3.38</v>
      </c>
      <c r="G3301">
        <v>37.18</v>
      </c>
      <c r="H3301" t="s">
        <v>24</v>
      </c>
      <c r="I3301" t="s">
        <v>6177</v>
      </c>
      <c r="J3301">
        <v>20.28</v>
      </c>
      <c r="K3301">
        <v>20.28</v>
      </c>
      <c r="L3301">
        <v>34.49</v>
      </c>
      <c r="M3301">
        <v>37.18</v>
      </c>
      <c r="N3301">
        <v>34.130000000000003</v>
      </c>
    </row>
    <row r="3302" spans="1:14" x14ac:dyDescent="0.5">
      <c r="A3302" t="str">
        <f>"603323"</f>
        <v>603323</v>
      </c>
      <c r="B3302" t="s">
        <v>6178</v>
      </c>
      <c r="C3302">
        <v>-1.68</v>
      </c>
      <c r="D3302">
        <v>14.23</v>
      </c>
      <c r="E3302">
        <v>8.17</v>
      </c>
      <c r="F3302">
        <v>-0.14000000000000001</v>
      </c>
      <c r="G3302">
        <v>8.17</v>
      </c>
      <c r="H3302">
        <v>8.18</v>
      </c>
      <c r="I3302" t="s">
        <v>6179</v>
      </c>
      <c r="J3302">
        <v>7.66</v>
      </c>
      <c r="K3302">
        <v>7.66</v>
      </c>
      <c r="L3302">
        <v>8.1300000000000008</v>
      </c>
      <c r="M3302">
        <v>8.25</v>
      </c>
      <c r="N3302">
        <v>8</v>
      </c>
    </row>
    <row r="3303" spans="1:14" x14ac:dyDescent="0.5">
      <c r="A3303" t="str">
        <f>"603326"</f>
        <v>603326</v>
      </c>
      <c r="B3303" t="s">
        <v>6180</v>
      </c>
      <c r="C3303">
        <v>0.79</v>
      </c>
      <c r="D3303">
        <v>23.13</v>
      </c>
      <c r="E3303">
        <v>11.47</v>
      </c>
      <c r="F3303">
        <v>0.09</v>
      </c>
      <c r="G3303">
        <v>11.46</v>
      </c>
      <c r="H3303">
        <v>11.47</v>
      </c>
      <c r="I3303" t="s">
        <v>5952</v>
      </c>
      <c r="J3303">
        <v>5.9</v>
      </c>
      <c r="K3303">
        <v>5.9</v>
      </c>
      <c r="L3303">
        <v>11.39</v>
      </c>
      <c r="M3303">
        <v>11.49</v>
      </c>
      <c r="N3303">
        <v>11.33</v>
      </c>
    </row>
    <row r="3304" spans="1:14" x14ac:dyDescent="0.5">
      <c r="A3304" t="str">
        <f>"603328"</f>
        <v>603328</v>
      </c>
      <c r="B3304" t="s">
        <v>6181</v>
      </c>
      <c r="C3304">
        <v>3.42</v>
      </c>
      <c r="D3304">
        <v>17.96</v>
      </c>
      <c r="E3304">
        <v>11.49</v>
      </c>
      <c r="F3304">
        <v>0.38</v>
      </c>
      <c r="G3304">
        <v>11.48</v>
      </c>
      <c r="H3304">
        <v>11.49</v>
      </c>
      <c r="I3304" t="s">
        <v>6182</v>
      </c>
      <c r="J3304">
        <v>1.37</v>
      </c>
      <c r="K3304">
        <v>1.37</v>
      </c>
      <c r="L3304">
        <v>11.05</v>
      </c>
      <c r="M3304">
        <v>11.52</v>
      </c>
      <c r="N3304">
        <v>10.99</v>
      </c>
    </row>
    <row r="3305" spans="1:14" x14ac:dyDescent="0.5">
      <c r="A3305" t="str">
        <f>"603329"</f>
        <v>603329</v>
      </c>
      <c r="B3305" t="s">
        <v>6183</v>
      </c>
      <c r="C3305">
        <v>4.25</v>
      </c>
      <c r="D3305">
        <v>29.84</v>
      </c>
      <c r="E3305">
        <v>17.91</v>
      </c>
      <c r="F3305">
        <v>0.73</v>
      </c>
      <c r="G3305">
        <v>17.91</v>
      </c>
      <c r="H3305">
        <v>17.920000000000002</v>
      </c>
      <c r="I3305" t="s">
        <v>3637</v>
      </c>
      <c r="J3305">
        <v>11.01</v>
      </c>
      <c r="K3305">
        <v>11.01</v>
      </c>
      <c r="L3305">
        <v>17.18</v>
      </c>
      <c r="M3305">
        <v>17.95</v>
      </c>
      <c r="N3305">
        <v>16.96</v>
      </c>
    </row>
    <row r="3306" spans="1:14" x14ac:dyDescent="0.5">
      <c r="A3306" t="str">
        <f>"603330"</f>
        <v>603330</v>
      </c>
      <c r="B3306" t="s">
        <v>6184</v>
      </c>
      <c r="C3306">
        <v>2.08</v>
      </c>
      <c r="D3306">
        <v>38.4</v>
      </c>
      <c r="E3306">
        <v>23.02</v>
      </c>
      <c r="F3306">
        <v>0.47</v>
      </c>
      <c r="G3306">
        <v>23</v>
      </c>
      <c r="H3306">
        <v>23.02</v>
      </c>
      <c r="I3306" t="s">
        <v>6185</v>
      </c>
      <c r="J3306">
        <v>5.5</v>
      </c>
      <c r="K3306">
        <v>5.5</v>
      </c>
      <c r="L3306">
        <v>22.51</v>
      </c>
      <c r="M3306">
        <v>23.11</v>
      </c>
      <c r="N3306">
        <v>22.33</v>
      </c>
    </row>
    <row r="3307" spans="1:14" x14ac:dyDescent="0.5">
      <c r="A3307" t="str">
        <f>"603331"</f>
        <v>603331</v>
      </c>
      <c r="B3307" t="s">
        <v>6186</v>
      </c>
      <c r="C3307">
        <v>2.5299999999999998</v>
      </c>
      <c r="D3307">
        <v>29.49</v>
      </c>
      <c r="E3307">
        <v>16.62</v>
      </c>
      <c r="F3307">
        <v>0.41</v>
      </c>
      <c r="G3307">
        <v>16.61</v>
      </c>
      <c r="H3307">
        <v>16.62</v>
      </c>
      <c r="I3307" t="s">
        <v>6187</v>
      </c>
      <c r="J3307">
        <v>5.93</v>
      </c>
      <c r="K3307">
        <v>5.93</v>
      </c>
      <c r="L3307">
        <v>16.079999999999998</v>
      </c>
      <c r="M3307">
        <v>16.66</v>
      </c>
      <c r="N3307">
        <v>16.079999999999998</v>
      </c>
    </row>
    <row r="3308" spans="1:14" x14ac:dyDescent="0.5">
      <c r="A3308" t="str">
        <f>"603332"</f>
        <v>603332</v>
      </c>
      <c r="B3308" t="s">
        <v>6188</v>
      </c>
      <c r="C3308">
        <v>-0.65</v>
      </c>
      <c r="D3308">
        <v>28.65</v>
      </c>
      <c r="E3308">
        <v>39.92</v>
      </c>
      <c r="F3308">
        <v>-0.26</v>
      </c>
      <c r="G3308">
        <v>39.92</v>
      </c>
      <c r="H3308">
        <v>39.93</v>
      </c>
      <c r="I3308" t="s">
        <v>6189</v>
      </c>
      <c r="J3308">
        <v>20.72</v>
      </c>
      <c r="K3308">
        <v>20.72</v>
      </c>
      <c r="L3308">
        <v>39.6</v>
      </c>
      <c r="M3308">
        <v>39.96</v>
      </c>
      <c r="N3308">
        <v>39.409999999999997</v>
      </c>
    </row>
    <row r="3309" spans="1:14" x14ac:dyDescent="0.5">
      <c r="A3309" t="str">
        <f>"603333"</f>
        <v>603333</v>
      </c>
      <c r="B3309" t="s">
        <v>6190</v>
      </c>
      <c r="C3309">
        <v>-0.57999999999999996</v>
      </c>
      <c r="D3309">
        <v>60.9</v>
      </c>
      <c r="E3309">
        <v>6.81</v>
      </c>
      <c r="F3309">
        <v>-0.04</v>
      </c>
      <c r="G3309">
        <v>6.8</v>
      </c>
      <c r="H3309">
        <v>6.81</v>
      </c>
      <c r="I3309" t="s">
        <v>6191</v>
      </c>
      <c r="J3309">
        <v>0.69</v>
      </c>
      <c r="K3309">
        <v>0.69</v>
      </c>
      <c r="L3309">
        <v>6.8</v>
      </c>
      <c r="M3309">
        <v>6.85</v>
      </c>
      <c r="N3309">
        <v>6.7</v>
      </c>
    </row>
    <row r="3310" spans="1:14" x14ac:dyDescent="0.5">
      <c r="A3310" t="str">
        <f>"603335"</f>
        <v>603335</v>
      </c>
      <c r="B3310" t="s">
        <v>6192</v>
      </c>
      <c r="C3310">
        <v>2.82</v>
      </c>
      <c r="D3310">
        <v>948.36</v>
      </c>
      <c r="E3310">
        <v>6.57</v>
      </c>
      <c r="F3310">
        <v>0.18</v>
      </c>
      <c r="G3310">
        <v>6.56</v>
      </c>
      <c r="H3310">
        <v>6.57</v>
      </c>
      <c r="I3310" t="s">
        <v>6193</v>
      </c>
      <c r="J3310">
        <v>6.32</v>
      </c>
      <c r="K3310">
        <v>6.32</v>
      </c>
      <c r="L3310">
        <v>6.33</v>
      </c>
      <c r="M3310">
        <v>6.57</v>
      </c>
      <c r="N3310">
        <v>6.26</v>
      </c>
    </row>
    <row r="3311" spans="1:14" x14ac:dyDescent="0.5">
      <c r="A3311" t="str">
        <f>"603336"</f>
        <v>603336</v>
      </c>
      <c r="B3311" t="s">
        <v>6194</v>
      </c>
      <c r="C3311">
        <v>0.51</v>
      </c>
      <c r="D3311">
        <v>44.89</v>
      </c>
      <c r="E3311">
        <v>17.73</v>
      </c>
      <c r="F3311">
        <v>0.09</v>
      </c>
      <c r="G3311">
        <v>17.72</v>
      </c>
      <c r="H3311">
        <v>17.73</v>
      </c>
      <c r="I3311" t="s">
        <v>6195</v>
      </c>
      <c r="J3311">
        <v>12.75</v>
      </c>
      <c r="K3311">
        <v>12.75</v>
      </c>
      <c r="L3311">
        <v>17.62</v>
      </c>
      <c r="M3311">
        <v>17.77</v>
      </c>
      <c r="N3311">
        <v>17.420000000000002</v>
      </c>
    </row>
    <row r="3312" spans="1:14" x14ac:dyDescent="0.5">
      <c r="A3312" t="str">
        <f>"603337"</f>
        <v>603337</v>
      </c>
      <c r="B3312" t="s">
        <v>6196</v>
      </c>
      <c r="C3312">
        <v>6.58</v>
      </c>
      <c r="D3312">
        <v>27.05</v>
      </c>
      <c r="E3312">
        <v>42.9</v>
      </c>
      <c r="F3312">
        <v>2.65</v>
      </c>
      <c r="G3312">
        <v>42.88</v>
      </c>
      <c r="H3312">
        <v>42.9</v>
      </c>
      <c r="I3312" t="s">
        <v>6197</v>
      </c>
      <c r="J3312">
        <v>2.4500000000000002</v>
      </c>
      <c r="K3312">
        <v>2.4500000000000002</v>
      </c>
      <c r="L3312">
        <v>40.19</v>
      </c>
      <c r="M3312">
        <v>42.95</v>
      </c>
      <c r="N3312">
        <v>40.19</v>
      </c>
    </row>
    <row r="3313" spans="1:14" x14ac:dyDescent="0.5">
      <c r="A3313" t="str">
        <f>"603338"</f>
        <v>603338</v>
      </c>
      <c r="B3313" t="s">
        <v>6198</v>
      </c>
      <c r="C3313">
        <v>-0.11</v>
      </c>
      <c r="D3313">
        <v>38.49</v>
      </c>
      <c r="E3313">
        <v>72.400000000000006</v>
      </c>
      <c r="F3313">
        <v>-0.08</v>
      </c>
      <c r="G3313">
        <v>72.38</v>
      </c>
      <c r="H3313">
        <v>72.400000000000006</v>
      </c>
      <c r="I3313" t="s">
        <v>6199</v>
      </c>
      <c r="J3313">
        <v>0.53</v>
      </c>
      <c r="K3313">
        <v>0.53</v>
      </c>
      <c r="L3313">
        <v>72.37</v>
      </c>
      <c r="M3313">
        <v>72.989999999999995</v>
      </c>
      <c r="N3313">
        <v>71.5</v>
      </c>
    </row>
    <row r="3314" spans="1:14" x14ac:dyDescent="0.5">
      <c r="A3314" t="str">
        <f>"603339"</f>
        <v>603339</v>
      </c>
      <c r="B3314" t="s">
        <v>6200</v>
      </c>
      <c r="C3314">
        <v>1.17</v>
      </c>
      <c r="D3314">
        <v>19.23</v>
      </c>
      <c r="E3314">
        <v>18.23</v>
      </c>
      <c r="F3314">
        <v>0.21</v>
      </c>
      <c r="G3314">
        <v>18.23</v>
      </c>
      <c r="H3314">
        <v>18.239999999999998</v>
      </c>
      <c r="I3314" t="s">
        <v>6201</v>
      </c>
      <c r="J3314">
        <v>3.98</v>
      </c>
      <c r="K3314">
        <v>3.98</v>
      </c>
      <c r="L3314">
        <v>17.98</v>
      </c>
      <c r="M3314">
        <v>18.29</v>
      </c>
      <c r="N3314">
        <v>17.79</v>
      </c>
    </row>
    <row r="3315" spans="1:14" x14ac:dyDescent="0.5">
      <c r="A3315" t="str">
        <f>"603345"</f>
        <v>603345</v>
      </c>
      <c r="B3315" t="s">
        <v>6202</v>
      </c>
      <c r="C3315">
        <v>-1.1599999999999999</v>
      </c>
      <c r="D3315">
        <v>28.97</v>
      </c>
      <c r="E3315">
        <v>35.700000000000003</v>
      </c>
      <c r="F3315">
        <v>-0.42</v>
      </c>
      <c r="G3315">
        <v>35.69</v>
      </c>
      <c r="H3315">
        <v>35.700000000000003</v>
      </c>
      <c r="I3315" t="s">
        <v>6203</v>
      </c>
      <c r="J3315">
        <v>3.25</v>
      </c>
      <c r="K3315">
        <v>3.25</v>
      </c>
      <c r="L3315">
        <v>36</v>
      </c>
      <c r="M3315">
        <v>36</v>
      </c>
      <c r="N3315">
        <v>35.08</v>
      </c>
    </row>
    <row r="3316" spans="1:14" x14ac:dyDescent="0.5">
      <c r="A3316" t="str">
        <f>"603348"</f>
        <v>603348</v>
      </c>
      <c r="B3316" t="s">
        <v>6204</v>
      </c>
      <c r="C3316">
        <v>0.46</v>
      </c>
      <c r="D3316">
        <v>31.7</v>
      </c>
      <c r="E3316">
        <v>23.9</v>
      </c>
      <c r="F3316">
        <v>0.11</v>
      </c>
      <c r="G3316">
        <v>23.9</v>
      </c>
      <c r="H3316">
        <v>23.91</v>
      </c>
      <c r="I3316" t="s">
        <v>6205</v>
      </c>
      <c r="J3316">
        <v>10.82</v>
      </c>
      <c r="K3316">
        <v>10.82</v>
      </c>
      <c r="L3316">
        <v>23.51</v>
      </c>
      <c r="M3316">
        <v>23.94</v>
      </c>
      <c r="N3316">
        <v>23.47</v>
      </c>
    </row>
    <row r="3317" spans="1:14" x14ac:dyDescent="0.5">
      <c r="A3317" t="str">
        <f>"603351"</f>
        <v>603351</v>
      </c>
      <c r="B3317" t="s">
        <v>6206</v>
      </c>
      <c r="C3317">
        <v>-0.31</v>
      </c>
      <c r="D3317">
        <v>37.75</v>
      </c>
      <c r="E3317">
        <v>61.56</v>
      </c>
      <c r="F3317">
        <v>-0.19</v>
      </c>
      <c r="G3317">
        <v>61.56</v>
      </c>
      <c r="H3317">
        <v>61.57</v>
      </c>
      <c r="I3317" t="s">
        <v>6207</v>
      </c>
      <c r="J3317">
        <v>16.32</v>
      </c>
      <c r="K3317">
        <v>16.32</v>
      </c>
      <c r="L3317">
        <v>61.6</v>
      </c>
      <c r="M3317">
        <v>61.6</v>
      </c>
      <c r="N3317">
        <v>60.77</v>
      </c>
    </row>
    <row r="3318" spans="1:14" x14ac:dyDescent="0.5">
      <c r="A3318" t="str">
        <f>"603355"</f>
        <v>603355</v>
      </c>
      <c r="B3318" t="s">
        <v>6208</v>
      </c>
      <c r="C3318">
        <v>1.34</v>
      </c>
      <c r="D3318">
        <v>22.8</v>
      </c>
      <c r="E3318">
        <v>24.97</v>
      </c>
      <c r="F3318">
        <v>0.33</v>
      </c>
      <c r="G3318">
        <v>24.97</v>
      </c>
      <c r="H3318">
        <v>24.98</v>
      </c>
      <c r="I3318" t="s">
        <v>6209</v>
      </c>
      <c r="J3318">
        <v>0.48</v>
      </c>
      <c r="K3318">
        <v>0.48</v>
      </c>
      <c r="L3318">
        <v>24.47</v>
      </c>
      <c r="M3318">
        <v>25</v>
      </c>
      <c r="N3318">
        <v>24.36</v>
      </c>
    </row>
    <row r="3319" spans="1:14" x14ac:dyDescent="0.5">
      <c r="A3319" t="str">
        <f>"603356"</f>
        <v>603356</v>
      </c>
      <c r="B3319" t="s">
        <v>6210</v>
      </c>
      <c r="C3319">
        <v>2.62</v>
      </c>
      <c r="D3319">
        <v>30.43</v>
      </c>
      <c r="E3319">
        <v>14.49</v>
      </c>
      <c r="F3319">
        <v>0.37</v>
      </c>
      <c r="G3319">
        <v>14.48</v>
      </c>
      <c r="H3319">
        <v>14.49</v>
      </c>
      <c r="I3319" t="s">
        <v>3819</v>
      </c>
      <c r="J3319">
        <v>5.38</v>
      </c>
      <c r="K3319">
        <v>5.38</v>
      </c>
      <c r="L3319">
        <v>14.06</v>
      </c>
      <c r="M3319">
        <v>14.49</v>
      </c>
      <c r="N3319">
        <v>13.95</v>
      </c>
    </row>
    <row r="3320" spans="1:14" x14ac:dyDescent="0.5">
      <c r="A3320" t="str">
        <f>"603357"</f>
        <v>603357</v>
      </c>
      <c r="B3320" t="s">
        <v>6211</v>
      </c>
      <c r="C3320">
        <v>0.69</v>
      </c>
      <c r="D3320">
        <v>14.02</v>
      </c>
      <c r="E3320">
        <v>20.399999999999999</v>
      </c>
      <c r="F3320">
        <v>0.14000000000000001</v>
      </c>
      <c r="G3320">
        <v>20.399999999999999</v>
      </c>
      <c r="H3320">
        <v>20.41</v>
      </c>
      <c r="I3320" t="s">
        <v>6212</v>
      </c>
      <c r="J3320">
        <v>4.09</v>
      </c>
      <c r="K3320">
        <v>4.09</v>
      </c>
      <c r="L3320">
        <v>20.170000000000002</v>
      </c>
      <c r="M3320">
        <v>20.420000000000002</v>
      </c>
      <c r="N3320">
        <v>20.05</v>
      </c>
    </row>
    <row r="3321" spans="1:14" x14ac:dyDescent="0.5">
      <c r="A3321" t="str">
        <f>"603358"</f>
        <v>603358</v>
      </c>
      <c r="B3321" t="s">
        <v>6213</v>
      </c>
      <c r="C3321">
        <v>3.98</v>
      </c>
      <c r="D3321">
        <v>17.97</v>
      </c>
      <c r="E3321">
        <v>13.83</v>
      </c>
      <c r="F3321">
        <v>0.53</v>
      </c>
      <c r="G3321">
        <v>13.83</v>
      </c>
      <c r="H3321">
        <v>13.84</v>
      </c>
      <c r="I3321" t="s">
        <v>6214</v>
      </c>
      <c r="J3321">
        <v>4.2699999999999996</v>
      </c>
      <c r="K3321">
        <v>4.2699999999999996</v>
      </c>
      <c r="L3321">
        <v>13.29</v>
      </c>
      <c r="M3321">
        <v>13.86</v>
      </c>
      <c r="N3321">
        <v>13.12</v>
      </c>
    </row>
    <row r="3322" spans="1:14" x14ac:dyDescent="0.5">
      <c r="A3322" t="str">
        <f>"603359"</f>
        <v>603359</v>
      </c>
      <c r="B3322" t="s">
        <v>6215</v>
      </c>
      <c r="C3322">
        <v>3.04</v>
      </c>
      <c r="D3322">
        <v>18.63</v>
      </c>
      <c r="E3322">
        <v>19.32</v>
      </c>
      <c r="F3322">
        <v>0.56999999999999995</v>
      </c>
      <c r="G3322">
        <v>19.309999999999999</v>
      </c>
      <c r="H3322">
        <v>19.32</v>
      </c>
      <c r="I3322" t="s">
        <v>6216</v>
      </c>
      <c r="J3322">
        <v>3.15</v>
      </c>
      <c r="K3322">
        <v>3.15</v>
      </c>
      <c r="L3322">
        <v>18.63</v>
      </c>
      <c r="M3322">
        <v>19.600000000000001</v>
      </c>
      <c r="N3322">
        <v>18.46</v>
      </c>
    </row>
    <row r="3323" spans="1:14" x14ac:dyDescent="0.5">
      <c r="A3323" t="str">
        <f>"603360"</f>
        <v>603360</v>
      </c>
      <c r="B3323" t="s">
        <v>6217</v>
      </c>
      <c r="C3323">
        <v>0</v>
      </c>
      <c r="D3323">
        <v>26.2</v>
      </c>
      <c r="E3323">
        <v>18.13</v>
      </c>
      <c r="F3323">
        <v>0</v>
      </c>
      <c r="G3323">
        <v>18.13</v>
      </c>
      <c r="H3323">
        <v>18.149999999999999</v>
      </c>
      <c r="I3323" t="s">
        <v>3276</v>
      </c>
      <c r="J3323">
        <v>2.95</v>
      </c>
      <c r="K3323">
        <v>2.95</v>
      </c>
      <c r="L3323">
        <v>18</v>
      </c>
      <c r="M3323">
        <v>18.13</v>
      </c>
      <c r="N3323">
        <v>17.579999999999998</v>
      </c>
    </row>
    <row r="3324" spans="1:14" x14ac:dyDescent="0.5">
      <c r="A3324" t="str">
        <f>"603363"</f>
        <v>603363</v>
      </c>
      <c r="B3324" t="s">
        <v>6218</v>
      </c>
      <c r="C3324">
        <v>2.09</v>
      </c>
      <c r="D3324">
        <v>99.61</v>
      </c>
      <c r="E3324">
        <v>12.21</v>
      </c>
      <c r="F3324">
        <v>0.25</v>
      </c>
      <c r="G3324">
        <v>12.21</v>
      </c>
      <c r="H3324">
        <v>12.22</v>
      </c>
      <c r="I3324" t="s">
        <v>6219</v>
      </c>
      <c r="J3324">
        <v>10.37</v>
      </c>
      <c r="K3324">
        <v>10.37</v>
      </c>
      <c r="L3324">
        <v>12.23</v>
      </c>
      <c r="M3324">
        <v>12.6</v>
      </c>
      <c r="N3324">
        <v>11.97</v>
      </c>
    </row>
    <row r="3325" spans="1:14" x14ac:dyDescent="0.5">
      <c r="A3325" t="str">
        <f>"603365"</f>
        <v>603365</v>
      </c>
      <c r="B3325" t="s">
        <v>6220</v>
      </c>
      <c r="C3325">
        <v>1.89</v>
      </c>
      <c r="D3325">
        <v>15.28</v>
      </c>
      <c r="E3325">
        <v>16.71</v>
      </c>
      <c r="F3325">
        <v>0.31</v>
      </c>
      <c r="G3325">
        <v>16.7</v>
      </c>
      <c r="H3325">
        <v>16.71</v>
      </c>
      <c r="I3325" t="s">
        <v>2411</v>
      </c>
      <c r="J3325">
        <v>7.3</v>
      </c>
      <c r="K3325">
        <v>7.3</v>
      </c>
      <c r="L3325">
        <v>16.489999999999998</v>
      </c>
      <c r="M3325">
        <v>16.72</v>
      </c>
      <c r="N3325">
        <v>16.22</v>
      </c>
    </row>
    <row r="3326" spans="1:14" x14ac:dyDescent="0.5">
      <c r="A3326" t="str">
        <f>"603366"</f>
        <v>603366</v>
      </c>
      <c r="B3326" t="s">
        <v>6221</v>
      </c>
      <c r="C3326">
        <v>3.7</v>
      </c>
      <c r="D3326" t="s">
        <v>24</v>
      </c>
      <c r="E3326">
        <v>5.05</v>
      </c>
      <c r="F3326">
        <v>0.18</v>
      </c>
      <c r="G3326">
        <v>5.05</v>
      </c>
      <c r="H3326">
        <v>5.0599999999999996</v>
      </c>
      <c r="I3326" t="s">
        <v>6222</v>
      </c>
      <c r="J3326">
        <v>3.69</v>
      </c>
      <c r="K3326">
        <v>3.69</v>
      </c>
      <c r="L3326">
        <v>4.87</v>
      </c>
      <c r="M3326">
        <v>5.13</v>
      </c>
      <c r="N3326">
        <v>4.79</v>
      </c>
    </row>
    <row r="3327" spans="1:14" x14ac:dyDescent="0.5">
      <c r="A3327" t="str">
        <f>"603367"</f>
        <v>603367</v>
      </c>
      <c r="B3327" t="s">
        <v>6223</v>
      </c>
      <c r="C3327">
        <v>0.82</v>
      </c>
      <c r="D3327">
        <v>14.13</v>
      </c>
      <c r="E3327">
        <v>17.18</v>
      </c>
      <c r="F3327">
        <v>0.14000000000000001</v>
      </c>
      <c r="G3327">
        <v>17.170000000000002</v>
      </c>
      <c r="H3327">
        <v>17.18</v>
      </c>
      <c r="I3327" t="s">
        <v>1815</v>
      </c>
      <c r="J3327">
        <v>2.4700000000000002</v>
      </c>
      <c r="K3327">
        <v>2.4700000000000002</v>
      </c>
      <c r="L3327">
        <v>17</v>
      </c>
      <c r="M3327">
        <v>17.18</v>
      </c>
      <c r="N3327">
        <v>16.71</v>
      </c>
    </row>
    <row r="3328" spans="1:14" x14ac:dyDescent="0.5">
      <c r="A3328" t="str">
        <f>"603368"</f>
        <v>603368</v>
      </c>
      <c r="B3328" t="s">
        <v>6224</v>
      </c>
      <c r="C3328">
        <v>0.45</v>
      </c>
      <c r="D3328">
        <v>14.86</v>
      </c>
      <c r="E3328">
        <v>29.06</v>
      </c>
      <c r="F3328">
        <v>0.13</v>
      </c>
      <c r="G3328">
        <v>29.06</v>
      </c>
      <c r="H3328">
        <v>29.07</v>
      </c>
      <c r="I3328" t="s">
        <v>6225</v>
      </c>
      <c r="J3328">
        <v>1.0900000000000001</v>
      </c>
      <c r="K3328">
        <v>1.0900000000000001</v>
      </c>
      <c r="L3328">
        <v>29.05</v>
      </c>
      <c r="M3328">
        <v>29.08</v>
      </c>
      <c r="N3328">
        <v>28.75</v>
      </c>
    </row>
    <row r="3329" spans="1:14" x14ac:dyDescent="0.5">
      <c r="A3329" t="str">
        <f>"603369"</f>
        <v>603369</v>
      </c>
      <c r="B3329" t="s">
        <v>6226</v>
      </c>
      <c r="C3329">
        <v>-0.18</v>
      </c>
      <c r="D3329">
        <v>23.94</v>
      </c>
      <c r="E3329">
        <v>22.09</v>
      </c>
      <c r="F3329">
        <v>-0.04</v>
      </c>
      <c r="G3329">
        <v>22.08</v>
      </c>
      <c r="H3329">
        <v>22.09</v>
      </c>
      <c r="I3329" t="s">
        <v>6227</v>
      </c>
      <c r="J3329">
        <v>1.03</v>
      </c>
      <c r="K3329">
        <v>1.03</v>
      </c>
      <c r="L3329">
        <v>21.9</v>
      </c>
      <c r="M3329">
        <v>22.46</v>
      </c>
      <c r="N3329">
        <v>21.76</v>
      </c>
    </row>
    <row r="3330" spans="1:14" x14ac:dyDescent="0.5">
      <c r="A3330" t="str">
        <f>"603377"</f>
        <v>603377</v>
      </c>
      <c r="B3330" t="s">
        <v>6228</v>
      </c>
      <c r="C3330">
        <v>-0.4</v>
      </c>
      <c r="D3330">
        <v>40.83</v>
      </c>
      <c r="E3330">
        <v>15.06</v>
      </c>
      <c r="F3330">
        <v>-0.06</v>
      </c>
      <c r="G3330">
        <v>15.05</v>
      </c>
      <c r="H3330">
        <v>15.06</v>
      </c>
      <c r="I3330" t="s">
        <v>6229</v>
      </c>
      <c r="J3330">
        <v>0.93</v>
      </c>
      <c r="K3330">
        <v>0.93</v>
      </c>
      <c r="L3330">
        <v>15.1</v>
      </c>
      <c r="M3330">
        <v>15.1</v>
      </c>
      <c r="N3330">
        <v>14.85</v>
      </c>
    </row>
    <row r="3331" spans="1:14" x14ac:dyDescent="0.5">
      <c r="A3331" t="str">
        <f>"603378"</f>
        <v>603378</v>
      </c>
      <c r="B3331" t="s">
        <v>6230</v>
      </c>
      <c r="C3331">
        <v>-0.76</v>
      </c>
      <c r="D3331">
        <v>34.229999999999997</v>
      </c>
      <c r="E3331">
        <v>15.72</v>
      </c>
      <c r="F3331">
        <v>-0.12</v>
      </c>
      <c r="G3331">
        <v>15.72</v>
      </c>
      <c r="H3331">
        <v>15.75</v>
      </c>
      <c r="I3331" t="s">
        <v>2699</v>
      </c>
      <c r="J3331">
        <v>5.17</v>
      </c>
      <c r="K3331">
        <v>5.17</v>
      </c>
      <c r="L3331">
        <v>15.86</v>
      </c>
      <c r="M3331">
        <v>15.95</v>
      </c>
      <c r="N3331">
        <v>15.49</v>
      </c>
    </row>
    <row r="3332" spans="1:14" x14ac:dyDescent="0.5">
      <c r="A3332" t="str">
        <f>"603380"</f>
        <v>603380</v>
      </c>
      <c r="B3332" t="s">
        <v>6231</v>
      </c>
      <c r="C3332">
        <v>4.28</v>
      </c>
      <c r="D3332">
        <v>25.73</v>
      </c>
      <c r="E3332">
        <v>17.059999999999999</v>
      </c>
      <c r="F3332">
        <v>0.7</v>
      </c>
      <c r="G3332">
        <v>17.03</v>
      </c>
      <c r="H3332">
        <v>17.059999999999999</v>
      </c>
      <c r="I3332" t="s">
        <v>6232</v>
      </c>
      <c r="J3332">
        <v>8.2200000000000006</v>
      </c>
      <c r="K3332">
        <v>8.2200000000000006</v>
      </c>
      <c r="L3332">
        <v>16.350000000000001</v>
      </c>
      <c r="M3332">
        <v>17.079999999999998</v>
      </c>
      <c r="N3332">
        <v>16.27</v>
      </c>
    </row>
    <row r="3333" spans="1:14" x14ac:dyDescent="0.5">
      <c r="A3333" t="str">
        <f>"603383"</f>
        <v>603383</v>
      </c>
      <c r="B3333" t="s">
        <v>6233</v>
      </c>
      <c r="C3333">
        <v>6.25</v>
      </c>
      <c r="D3333">
        <v>60.89</v>
      </c>
      <c r="E3333">
        <v>71.180000000000007</v>
      </c>
      <c r="F3333">
        <v>4.1900000000000004</v>
      </c>
      <c r="G3333">
        <v>71.17</v>
      </c>
      <c r="H3333">
        <v>71.180000000000007</v>
      </c>
      <c r="I3333" t="s">
        <v>6234</v>
      </c>
      <c r="J3333">
        <v>13.8</v>
      </c>
      <c r="K3333">
        <v>13.8</v>
      </c>
      <c r="L3333">
        <v>70</v>
      </c>
      <c r="M3333">
        <v>73.5</v>
      </c>
      <c r="N3333">
        <v>68.22</v>
      </c>
    </row>
    <row r="3334" spans="1:14" x14ac:dyDescent="0.5">
      <c r="A3334" t="str">
        <f>"603385"</f>
        <v>603385</v>
      </c>
      <c r="B3334" t="s">
        <v>6235</v>
      </c>
      <c r="C3334">
        <v>0.5</v>
      </c>
      <c r="D3334">
        <v>15.07</v>
      </c>
      <c r="E3334">
        <v>10.15</v>
      </c>
      <c r="F3334">
        <v>0.05</v>
      </c>
      <c r="G3334">
        <v>10.14</v>
      </c>
      <c r="H3334">
        <v>10.15</v>
      </c>
      <c r="I3334" t="s">
        <v>6236</v>
      </c>
      <c r="J3334">
        <v>1.52</v>
      </c>
      <c r="K3334">
        <v>1.52</v>
      </c>
      <c r="L3334">
        <v>10.1</v>
      </c>
      <c r="M3334">
        <v>10.17</v>
      </c>
      <c r="N3334">
        <v>10</v>
      </c>
    </row>
    <row r="3335" spans="1:14" x14ac:dyDescent="0.5">
      <c r="A3335" t="str">
        <f>"603386"</f>
        <v>603386</v>
      </c>
      <c r="B3335" t="s">
        <v>6237</v>
      </c>
      <c r="C3335">
        <v>1.22</v>
      </c>
      <c r="D3335">
        <v>43.83</v>
      </c>
      <c r="E3335">
        <v>18.239999999999998</v>
      </c>
      <c r="F3335">
        <v>0.22</v>
      </c>
      <c r="G3335">
        <v>18.239999999999998</v>
      </c>
      <c r="H3335">
        <v>18.25</v>
      </c>
      <c r="I3335" t="s">
        <v>6238</v>
      </c>
      <c r="J3335">
        <v>16.170000000000002</v>
      </c>
      <c r="K3335">
        <v>16.170000000000002</v>
      </c>
      <c r="L3335">
        <v>17.920000000000002</v>
      </c>
      <c r="M3335">
        <v>18.25</v>
      </c>
      <c r="N3335">
        <v>17.72</v>
      </c>
    </row>
    <row r="3336" spans="1:14" x14ac:dyDescent="0.5">
      <c r="A3336" t="str">
        <f>"603387"</f>
        <v>603387</v>
      </c>
      <c r="B3336" t="s">
        <v>6239</v>
      </c>
      <c r="C3336">
        <v>1.01</v>
      </c>
      <c r="D3336">
        <v>24.46</v>
      </c>
      <c r="E3336">
        <v>32.06</v>
      </c>
      <c r="F3336">
        <v>0.32</v>
      </c>
      <c r="G3336">
        <v>32.049999999999997</v>
      </c>
      <c r="H3336">
        <v>32.06</v>
      </c>
      <c r="I3336" t="s">
        <v>6240</v>
      </c>
      <c r="J3336">
        <v>3.95</v>
      </c>
      <c r="K3336">
        <v>3.95</v>
      </c>
      <c r="L3336">
        <v>31.39</v>
      </c>
      <c r="M3336">
        <v>32.1</v>
      </c>
      <c r="N3336">
        <v>31.21</v>
      </c>
    </row>
    <row r="3337" spans="1:14" x14ac:dyDescent="0.5">
      <c r="A3337" t="str">
        <f>"603388"</f>
        <v>603388</v>
      </c>
      <c r="B3337" t="s">
        <v>6241</v>
      </c>
      <c r="C3337">
        <v>1.82</v>
      </c>
      <c r="D3337">
        <v>19.39</v>
      </c>
      <c r="E3337">
        <v>11.78</v>
      </c>
      <c r="F3337">
        <v>0.21</v>
      </c>
      <c r="G3337">
        <v>11.78</v>
      </c>
      <c r="H3337">
        <v>11.79</v>
      </c>
      <c r="I3337" t="s">
        <v>6242</v>
      </c>
      <c r="J3337">
        <v>2.44</v>
      </c>
      <c r="K3337">
        <v>2.44</v>
      </c>
      <c r="L3337">
        <v>11.59</v>
      </c>
      <c r="M3337">
        <v>11.82</v>
      </c>
      <c r="N3337">
        <v>11.47</v>
      </c>
    </row>
    <row r="3338" spans="1:14" x14ac:dyDescent="0.5">
      <c r="A3338" t="str">
        <f>"603389"</f>
        <v>603389</v>
      </c>
      <c r="B3338" t="s">
        <v>6243</v>
      </c>
      <c r="C3338">
        <v>1.69</v>
      </c>
      <c r="D3338" t="s">
        <v>24</v>
      </c>
      <c r="E3338">
        <v>10.86</v>
      </c>
      <c r="F3338">
        <v>0.18</v>
      </c>
      <c r="G3338">
        <v>10.86</v>
      </c>
      <c r="H3338">
        <v>10.87</v>
      </c>
      <c r="I3338" t="s">
        <v>6244</v>
      </c>
      <c r="J3338">
        <v>19.510000000000002</v>
      </c>
      <c r="K3338">
        <v>19.510000000000002</v>
      </c>
      <c r="L3338">
        <v>10.55</v>
      </c>
      <c r="M3338">
        <v>10.9</v>
      </c>
      <c r="N3338">
        <v>10.45</v>
      </c>
    </row>
    <row r="3339" spans="1:14" x14ac:dyDescent="0.5">
      <c r="A3339" t="str">
        <f>"603393"</f>
        <v>603393</v>
      </c>
      <c r="B3339" t="s">
        <v>6245</v>
      </c>
      <c r="C3339">
        <v>0.8</v>
      </c>
      <c r="D3339">
        <v>22.88</v>
      </c>
      <c r="E3339">
        <v>33.82</v>
      </c>
      <c r="F3339">
        <v>0.27</v>
      </c>
      <c r="G3339">
        <v>33.82</v>
      </c>
      <c r="H3339">
        <v>33.83</v>
      </c>
      <c r="I3339" t="s">
        <v>6246</v>
      </c>
      <c r="J3339">
        <v>1.4</v>
      </c>
      <c r="K3339">
        <v>1.4</v>
      </c>
      <c r="L3339">
        <v>33.56</v>
      </c>
      <c r="M3339">
        <v>34.1</v>
      </c>
      <c r="N3339">
        <v>33.520000000000003</v>
      </c>
    </row>
    <row r="3340" spans="1:14" x14ac:dyDescent="0.5">
      <c r="A3340" t="str">
        <f>"603396"</f>
        <v>603396</v>
      </c>
      <c r="B3340" t="s">
        <v>6247</v>
      </c>
      <c r="C3340">
        <v>1.49</v>
      </c>
      <c r="D3340">
        <v>36.67</v>
      </c>
      <c r="E3340">
        <v>42.93</v>
      </c>
      <c r="F3340">
        <v>0.63</v>
      </c>
      <c r="G3340">
        <v>42.93</v>
      </c>
      <c r="H3340">
        <v>43</v>
      </c>
      <c r="I3340" t="s">
        <v>3974</v>
      </c>
      <c r="J3340">
        <v>3.49</v>
      </c>
      <c r="K3340">
        <v>3.49</v>
      </c>
      <c r="L3340">
        <v>43</v>
      </c>
      <c r="M3340">
        <v>43.66</v>
      </c>
      <c r="N3340">
        <v>42</v>
      </c>
    </row>
    <row r="3341" spans="1:14" x14ac:dyDescent="0.5">
      <c r="A3341" t="str">
        <f>"603398"</f>
        <v>603398</v>
      </c>
      <c r="B3341" t="s">
        <v>6248</v>
      </c>
      <c r="C3341">
        <v>0.22</v>
      </c>
      <c r="D3341">
        <v>61.22</v>
      </c>
      <c r="E3341">
        <v>13.46</v>
      </c>
      <c r="F3341">
        <v>0.03</v>
      </c>
      <c r="G3341">
        <v>13.46</v>
      </c>
      <c r="H3341">
        <v>13.47</v>
      </c>
      <c r="I3341" t="s">
        <v>6249</v>
      </c>
      <c r="J3341">
        <v>2.8</v>
      </c>
      <c r="K3341">
        <v>2.8</v>
      </c>
      <c r="L3341">
        <v>13.28</v>
      </c>
      <c r="M3341">
        <v>13.5</v>
      </c>
      <c r="N3341">
        <v>13.09</v>
      </c>
    </row>
    <row r="3342" spans="1:14" x14ac:dyDescent="0.5">
      <c r="A3342" t="str">
        <f>"603399"</f>
        <v>603399</v>
      </c>
      <c r="B3342" t="s">
        <v>6250</v>
      </c>
      <c r="C3342">
        <v>1.38</v>
      </c>
      <c r="D3342">
        <v>17.53</v>
      </c>
      <c r="E3342">
        <v>11.73</v>
      </c>
      <c r="F3342">
        <v>0.16</v>
      </c>
      <c r="G3342">
        <v>11.73</v>
      </c>
      <c r="H3342">
        <v>11.74</v>
      </c>
      <c r="I3342" t="s">
        <v>6251</v>
      </c>
      <c r="J3342">
        <v>1.59</v>
      </c>
      <c r="K3342">
        <v>1.59</v>
      </c>
      <c r="L3342">
        <v>11.55</v>
      </c>
      <c r="M3342">
        <v>11.86</v>
      </c>
      <c r="N3342">
        <v>11.42</v>
      </c>
    </row>
    <row r="3343" spans="1:14" x14ac:dyDescent="0.5">
      <c r="A3343" t="str">
        <f>"603416"</f>
        <v>603416</v>
      </c>
      <c r="B3343" t="s">
        <v>6252</v>
      </c>
      <c r="C3343">
        <v>-1.01</v>
      </c>
      <c r="D3343">
        <v>33.6</v>
      </c>
      <c r="E3343">
        <v>29.3</v>
      </c>
      <c r="F3343">
        <v>-0.3</v>
      </c>
      <c r="G3343">
        <v>29.29</v>
      </c>
      <c r="H3343">
        <v>29.3</v>
      </c>
      <c r="I3343" t="s">
        <v>6253</v>
      </c>
      <c r="J3343">
        <v>7.49</v>
      </c>
      <c r="K3343">
        <v>7.49</v>
      </c>
      <c r="L3343">
        <v>29.45</v>
      </c>
      <c r="M3343">
        <v>29.45</v>
      </c>
      <c r="N3343">
        <v>28.56</v>
      </c>
    </row>
    <row r="3344" spans="1:14" x14ac:dyDescent="0.5">
      <c r="A3344" t="str">
        <f>"603421"</f>
        <v>603421</v>
      </c>
      <c r="B3344" t="s">
        <v>6254</v>
      </c>
      <c r="C3344">
        <v>0.16</v>
      </c>
      <c r="D3344">
        <v>39.75</v>
      </c>
      <c r="E3344">
        <v>24.39</v>
      </c>
      <c r="F3344">
        <v>0.04</v>
      </c>
      <c r="G3344">
        <v>24.38</v>
      </c>
      <c r="H3344">
        <v>24.39</v>
      </c>
      <c r="I3344" t="s">
        <v>6255</v>
      </c>
      <c r="J3344">
        <v>11.51</v>
      </c>
      <c r="K3344">
        <v>11.51</v>
      </c>
      <c r="L3344">
        <v>24.51</v>
      </c>
      <c r="M3344">
        <v>24.53</v>
      </c>
      <c r="N3344">
        <v>24.04</v>
      </c>
    </row>
    <row r="3345" spans="1:14" x14ac:dyDescent="0.5">
      <c r="A3345" t="str">
        <f>"603429"</f>
        <v>603429</v>
      </c>
      <c r="B3345" t="s">
        <v>6256</v>
      </c>
      <c r="C3345">
        <v>0</v>
      </c>
      <c r="D3345">
        <v>52.09</v>
      </c>
      <c r="E3345">
        <v>28.45</v>
      </c>
      <c r="F3345">
        <v>0</v>
      </c>
      <c r="G3345">
        <v>28.45</v>
      </c>
      <c r="H3345">
        <v>28.46</v>
      </c>
      <c r="I3345" t="s">
        <v>6257</v>
      </c>
      <c r="J3345">
        <v>0.89</v>
      </c>
      <c r="K3345">
        <v>0.89</v>
      </c>
      <c r="L3345">
        <v>28.45</v>
      </c>
      <c r="M3345">
        <v>28.82</v>
      </c>
      <c r="N3345">
        <v>28.18</v>
      </c>
    </row>
    <row r="3346" spans="1:14" x14ac:dyDescent="0.5">
      <c r="A3346" t="str">
        <f>"603444"</f>
        <v>603444</v>
      </c>
      <c r="B3346" t="s">
        <v>6258</v>
      </c>
      <c r="C3346">
        <v>0.34</v>
      </c>
      <c r="D3346">
        <v>18.37</v>
      </c>
      <c r="E3346">
        <v>171.45</v>
      </c>
      <c r="F3346">
        <v>0.57999999999999996</v>
      </c>
      <c r="G3346">
        <v>171.43</v>
      </c>
      <c r="H3346">
        <v>171.45</v>
      </c>
      <c r="I3346" t="s">
        <v>6259</v>
      </c>
      <c r="J3346">
        <v>2.4</v>
      </c>
      <c r="K3346">
        <v>2.4</v>
      </c>
      <c r="L3346">
        <v>170.6</v>
      </c>
      <c r="M3346">
        <v>171.49</v>
      </c>
      <c r="N3346">
        <v>167.38</v>
      </c>
    </row>
    <row r="3347" spans="1:14" x14ac:dyDescent="0.5">
      <c r="A3347" t="str">
        <f>"603456"</f>
        <v>603456</v>
      </c>
      <c r="B3347" t="s">
        <v>6260</v>
      </c>
      <c r="C3347">
        <v>0.25</v>
      </c>
      <c r="D3347">
        <v>49.64</v>
      </c>
      <c r="E3347">
        <v>7.95</v>
      </c>
      <c r="F3347">
        <v>0.02</v>
      </c>
      <c r="G3347">
        <v>7.95</v>
      </c>
      <c r="H3347">
        <v>7.96</v>
      </c>
      <c r="I3347" t="s">
        <v>6261</v>
      </c>
      <c r="J3347">
        <v>0.56000000000000005</v>
      </c>
      <c r="K3347">
        <v>0.56000000000000005</v>
      </c>
      <c r="L3347">
        <v>7.93</v>
      </c>
      <c r="M3347">
        <v>7.97</v>
      </c>
      <c r="N3347">
        <v>7.85</v>
      </c>
    </row>
    <row r="3348" spans="1:14" x14ac:dyDescent="0.5">
      <c r="A3348" t="str">
        <f>"603458"</f>
        <v>603458</v>
      </c>
      <c r="B3348" t="s">
        <v>6262</v>
      </c>
      <c r="C3348">
        <v>0.9</v>
      </c>
      <c r="D3348">
        <v>14.34</v>
      </c>
      <c r="E3348">
        <v>33.75</v>
      </c>
      <c r="F3348">
        <v>0.3</v>
      </c>
      <c r="G3348">
        <v>33.74</v>
      </c>
      <c r="H3348">
        <v>33.75</v>
      </c>
      <c r="I3348" t="s">
        <v>6263</v>
      </c>
      <c r="J3348">
        <v>3.81</v>
      </c>
      <c r="K3348">
        <v>3.81</v>
      </c>
      <c r="L3348">
        <v>33.29</v>
      </c>
      <c r="M3348">
        <v>33.89</v>
      </c>
      <c r="N3348">
        <v>33.04</v>
      </c>
    </row>
    <row r="3349" spans="1:14" x14ac:dyDescent="0.5">
      <c r="A3349" t="str">
        <f>"603466"</f>
        <v>603466</v>
      </c>
      <c r="B3349" t="s">
        <v>6264</v>
      </c>
      <c r="C3349">
        <v>0</v>
      </c>
      <c r="D3349">
        <v>27.6</v>
      </c>
      <c r="E3349">
        <v>18.05</v>
      </c>
      <c r="F3349">
        <v>0</v>
      </c>
      <c r="G3349">
        <v>18.05</v>
      </c>
      <c r="H3349">
        <v>18.059999999999999</v>
      </c>
      <c r="I3349" t="s">
        <v>2595</v>
      </c>
      <c r="J3349">
        <v>8.98</v>
      </c>
      <c r="K3349">
        <v>8.98</v>
      </c>
      <c r="L3349">
        <v>18</v>
      </c>
      <c r="M3349">
        <v>18.13</v>
      </c>
      <c r="N3349">
        <v>17.55</v>
      </c>
    </row>
    <row r="3350" spans="1:14" x14ac:dyDescent="0.5">
      <c r="A3350" t="str">
        <f>"603477"</f>
        <v>603477</v>
      </c>
      <c r="B3350" t="s">
        <v>6265</v>
      </c>
      <c r="C3350">
        <v>1.75</v>
      </c>
      <c r="D3350">
        <v>31.59</v>
      </c>
      <c r="E3350">
        <v>8.7200000000000006</v>
      </c>
      <c r="F3350">
        <v>0.15</v>
      </c>
      <c r="G3350">
        <v>8.7100000000000009</v>
      </c>
      <c r="H3350">
        <v>8.7200000000000006</v>
      </c>
      <c r="I3350" t="s">
        <v>3603</v>
      </c>
      <c r="J3350">
        <v>9.6</v>
      </c>
      <c r="K3350">
        <v>9.6</v>
      </c>
      <c r="L3350">
        <v>8.8000000000000007</v>
      </c>
      <c r="M3350">
        <v>8.8000000000000007</v>
      </c>
      <c r="N3350">
        <v>8.6</v>
      </c>
    </row>
    <row r="3351" spans="1:14" x14ac:dyDescent="0.5">
      <c r="A3351" t="str">
        <f>"603486"</f>
        <v>603486</v>
      </c>
      <c r="B3351" t="s">
        <v>6266</v>
      </c>
      <c r="C3351">
        <v>1.68</v>
      </c>
      <c r="D3351">
        <v>50.59</v>
      </c>
      <c r="E3351">
        <v>58.74</v>
      </c>
      <c r="F3351">
        <v>0.97</v>
      </c>
      <c r="G3351">
        <v>58.74</v>
      </c>
      <c r="H3351">
        <v>58.75</v>
      </c>
      <c r="I3351" t="s">
        <v>6267</v>
      </c>
      <c r="J3351">
        <v>3.63</v>
      </c>
      <c r="K3351">
        <v>3.63</v>
      </c>
      <c r="L3351">
        <v>57.2</v>
      </c>
      <c r="M3351">
        <v>58.8</v>
      </c>
      <c r="N3351">
        <v>56.81</v>
      </c>
    </row>
    <row r="3352" spans="1:14" x14ac:dyDescent="0.5">
      <c r="A3352" t="str">
        <f>"603488"</f>
        <v>603488</v>
      </c>
      <c r="B3352" t="s">
        <v>6268</v>
      </c>
      <c r="C3352">
        <v>2.21</v>
      </c>
      <c r="D3352">
        <v>25.67</v>
      </c>
      <c r="E3352">
        <v>8.7799999999999994</v>
      </c>
      <c r="F3352">
        <v>0.19</v>
      </c>
      <c r="G3352">
        <v>8.7799999999999994</v>
      </c>
      <c r="H3352">
        <v>8.7899999999999991</v>
      </c>
      <c r="I3352" t="s">
        <v>6269</v>
      </c>
      <c r="J3352">
        <v>3.2</v>
      </c>
      <c r="K3352">
        <v>3.2</v>
      </c>
      <c r="L3352">
        <v>8.61</v>
      </c>
      <c r="M3352">
        <v>8.7799999999999994</v>
      </c>
      <c r="N3352">
        <v>8.51</v>
      </c>
    </row>
    <row r="3353" spans="1:14" x14ac:dyDescent="0.5">
      <c r="A3353" t="str">
        <f>"603496"</f>
        <v>603496</v>
      </c>
      <c r="B3353" t="s">
        <v>6270</v>
      </c>
      <c r="C3353">
        <v>-0.55000000000000004</v>
      </c>
      <c r="D3353">
        <v>38.04</v>
      </c>
      <c r="E3353">
        <v>28.85</v>
      </c>
      <c r="F3353">
        <v>-0.16</v>
      </c>
      <c r="G3353">
        <v>28.82</v>
      </c>
      <c r="H3353">
        <v>28.85</v>
      </c>
      <c r="I3353" t="s">
        <v>3135</v>
      </c>
      <c r="J3353">
        <v>4.66</v>
      </c>
      <c r="K3353">
        <v>4.66</v>
      </c>
      <c r="L3353">
        <v>28.65</v>
      </c>
      <c r="M3353">
        <v>29.05</v>
      </c>
      <c r="N3353">
        <v>28.46</v>
      </c>
    </row>
    <row r="3354" spans="1:14" x14ac:dyDescent="0.5">
      <c r="A3354" t="str">
        <f>"603499"</f>
        <v>603499</v>
      </c>
      <c r="B3354" t="s">
        <v>6271</v>
      </c>
      <c r="C3354">
        <v>1.51</v>
      </c>
      <c r="D3354">
        <v>47.06</v>
      </c>
      <c r="E3354">
        <v>23.54</v>
      </c>
      <c r="F3354">
        <v>0.35</v>
      </c>
      <c r="G3354">
        <v>23.53</v>
      </c>
      <c r="H3354">
        <v>23.54</v>
      </c>
      <c r="I3354" t="s">
        <v>6272</v>
      </c>
      <c r="J3354">
        <v>14.95</v>
      </c>
      <c r="K3354">
        <v>14.95</v>
      </c>
      <c r="L3354">
        <v>23.23</v>
      </c>
      <c r="M3354">
        <v>23.69</v>
      </c>
      <c r="N3354">
        <v>22.81</v>
      </c>
    </row>
    <row r="3355" spans="1:14" x14ac:dyDescent="0.5">
      <c r="A3355" t="str">
        <f>"603500"</f>
        <v>603500</v>
      </c>
      <c r="B3355" t="s">
        <v>6273</v>
      </c>
      <c r="C3355">
        <v>1</v>
      </c>
      <c r="D3355">
        <v>33.43</v>
      </c>
      <c r="E3355">
        <v>13.13</v>
      </c>
      <c r="F3355">
        <v>0.13</v>
      </c>
      <c r="G3355">
        <v>13.13</v>
      </c>
      <c r="H3355">
        <v>13.14</v>
      </c>
      <c r="I3355" t="s">
        <v>6274</v>
      </c>
      <c r="J3355">
        <v>10.15</v>
      </c>
      <c r="K3355">
        <v>10.15</v>
      </c>
      <c r="L3355">
        <v>12.87</v>
      </c>
      <c r="M3355">
        <v>13.15</v>
      </c>
      <c r="N3355">
        <v>12.72</v>
      </c>
    </row>
    <row r="3356" spans="1:14" x14ac:dyDescent="0.5">
      <c r="A3356" t="str">
        <f>"603501"</f>
        <v>603501</v>
      </c>
      <c r="B3356" t="s">
        <v>6275</v>
      </c>
      <c r="C3356">
        <v>9.9499999999999993</v>
      </c>
      <c r="D3356">
        <v>66.83</v>
      </c>
      <c r="E3356">
        <v>46.75</v>
      </c>
      <c r="F3356">
        <v>4.2300000000000004</v>
      </c>
      <c r="G3356">
        <v>46.75</v>
      </c>
      <c r="H3356">
        <v>46.76</v>
      </c>
      <c r="I3356" t="s">
        <v>3439</v>
      </c>
      <c r="J3356">
        <v>4.91</v>
      </c>
      <c r="K3356">
        <v>4.91</v>
      </c>
      <c r="L3356">
        <v>42.52</v>
      </c>
      <c r="M3356">
        <v>46.77</v>
      </c>
      <c r="N3356">
        <v>42.21</v>
      </c>
    </row>
    <row r="3357" spans="1:14" x14ac:dyDescent="0.5">
      <c r="A3357" t="str">
        <f>"603505"</f>
        <v>603505</v>
      </c>
      <c r="B3357" t="s">
        <v>6276</v>
      </c>
      <c r="C3357">
        <v>0.28999999999999998</v>
      </c>
      <c r="D3357">
        <v>41.23</v>
      </c>
      <c r="E3357">
        <v>17.059999999999999</v>
      </c>
      <c r="F3357">
        <v>0.05</v>
      </c>
      <c r="G3357">
        <v>17.05</v>
      </c>
      <c r="H3357">
        <v>17.059999999999999</v>
      </c>
      <c r="I3357" t="s">
        <v>6277</v>
      </c>
      <c r="J3357">
        <v>6.53</v>
      </c>
      <c r="K3357">
        <v>6.53</v>
      </c>
      <c r="L3357">
        <v>16.989999999999998</v>
      </c>
      <c r="M3357">
        <v>17.27</v>
      </c>
      <c r="N3357">
        <v>16.86</v>
      </c>
    </row>
    <row r="3358" spans="1:14" x14ac:dyDescent="0.5">
      <c r="A3358" t="str">
        <f>"603506"</f>
        <v>603506</v>
      </c>
      <c r="B3358" t="s">
        <v>6278</v>
      </c>
      <c r="C3358">
        <v>4.71</v>
      </c>
      <c r="D3358">
        <v>28.47</v>
      </c>
      <c r="E3358">
        <v>27.77</v>
      </c>
      <c r="F3358">
        <v>1.25</v>
      </c>
      <c r="G3358">
        <v>27.75</v>
      </c>
      <c r="H3358">
        <v>27.77</v>
      </c>
      <c r="I3358" t="s">
        <v>6279</v>
      </c>
      <c r="J3358">
        <v>13.63</v>
      </c>
      <c r="K3358">
        <v>13.63</v>
      </c>
      <c r="L3358">
        <v>26.49</v>
      </c>
      <c r="M3358">
        <v>27.79</v>
      </c>
      <c r="N3358">
        <v>26.22</v>
      </c>
    </row>
    <row r="3359" spans="1:14" x14ac:dyDescent="0.5">
      <c r="A3359" t="str">
        <f>"603507"</f>
        <v>603507</v>
      </c>
      <c r="B3359" t="s">
        <v>6280</v>
      </c>
      <c r="C3359">
        <v>-1.7</v>
      </c>
      <c r="D3359">
        <v>47.04</v>
      </c>
      <c r="E3359">
        <v>27.15</v>
      </c>
      <c r="F3359">
        <v>-0.47</v>
      </c>
      <c r="G3359">
        <v>27.15</v>
      </c>
      <c r="H3359">
        <v>27.16</v>
      </c>
      <c r="I3359" t="s">
        <v>341</v>
      </c>
      <c r="J3359">
        <v>2.37</v>
      </c>
      <c r="K3359">
        <v>2.37</v>
      </c>
      <c r="L3359">
        <v>27.4</v>
      </c>
      <c r="M3359">
        <v>27.4</v>
      </c>
      <c r="N3359">
        <v>26.7</v>
      </c>
    </row>
    <row r="3360" spans="1:14" x14ac:dyDescent="0.5">
      <c r="A3360" t="str">
        <f>"603508"</f>
        <v>603508</v>
      </c>
      <c r="B3360" t="s">
        <v>6281</v>
      </c>
      <c r="C3360">
        <v>-1.1399999999999999</v>
      </c>
      <c r="D3360">
        <v>52.37</v>
      </c>
      <c r="E3360">
        <v>45.76</v>
      </c>
      <c r="F3360">
        <v>-0.53</v>
      </c>
      <c r="G3360">
        <v>45.76</v>
      </c>
      <c r="H3360">
        <v>45.78</v>
      </c>
      <c r="I3360" t="s">
        <v>6282</v>
      </c>
      <c r="J3360">
        <v>1.39</v>
      </c>
      <c r="K3360">
        <v>1.39</v>
      </c>
      <c r="L3360">
        <v>46.13</v>
      </c>
      <c r="M3360">
        <v>46.13</v>
      </c>
      <c r="N3360">
        <v>44.91</v>
      </c>
    </row>
    <row r="3361" spans="1:14" x14ac:dyDescent="0.5">
      <c r="A3361" t="str">
        <f>"603515"</f>
        <v>603515</v>
      </c>
      <c r="B3361" t="s">
        <v>6283</v>
      </c>
      <c r="C3361">
        <v>5.78</v>
      </c>
      <c r="D3361">
        <v>27.84</v>
      </c>
      <c r="E3361">
        <v>34.380000000000003</v>
      </c>
      <c r="F3361">
        <v>1.88</v>
      </c>
      <c r="G3361">
        <v>34.36</v>
      </c>
      <c r="H3361">
        <v>34.380000000000003</v>
      </c>
      <c r="I3361" t="s">
        <v>6284</v>
      </c>
      <c r="J3361">
        <v>3.81</v>
      </c>
      <c r="K3361">
        <v>3.81</v>
      </c>
      <c r="L3361">
        <v>32.44</v>
      </c>
      <c r="M3361">
        <v>34.590000000000003</v>
      </c>
      <c r="N3361">
        <v>32.020000000000003</v>
      </c>
    </row>
    <row r="3362" spans="1:14" x14ac:dyDescent="0.5">
      <c r="A3362" t="str">
        <f>"603516"</f>
        <v>603516</v>
      </c>
      <c r="B3362" t="s">
        <v>6285</v>
      </c>
      <c r="C3362">
        <v>7.44</v>
      </c>
      <c r="D3362">
        <v>37.130000000000003</v>
      </c>
      <c r="E3362">
        <v>27.29</v>
      </c>
      <c r="F3362">
        <v>1.89</v>
      </c>
      <c r="G3362">
        <v>27.28</v>
      </c>
      <c r="H3362">
        <v>27.29</v>
      </c>
      <c r="I3362" t="s">
        <v>6286</v>
      </c>
      <c r="J3362">
        <v>7.07</v>
      </c>
      <c r="K3362">
        <v>7.07</v>
      </c>
      <c r="L3362">
        <v>25.43</v>
      </c>
      <c r="M3362">
        <v>27.51</v>
      </c>
      <c r="N3362">
        <v>25.43</v>
      </c>
    </row>
    <row r="3363" spans="1:14" x14ac:dyDescent="0.5">
      <c r="A3363" t="str">
        <f>"603517"</f>
        <v>603517</v>
      </c>
      <c r="B3363" t="s">
        <v>6287</v>
      </c>
      <c r="C3363">
        <v>-1.56</v>
      </c>
      <c r="D3363">
        <v>27.95</v>
      </c>
      <c r="E3363">
        <v>40.35</v>
      </c>
      <c r="F3363">
        <v>-0.64</v>
      </c>
      <c r="G3363">
        <v>40.340000000000003</v>
      </c>
      <c r="H3363">
        <v>40.35</v>
      </c>
      <c r="I3363" t="s">
        <v>6288</v>
      </c>
      <c r="J3363">
        <v>2.58</v>
      </c>
      <c r="K3363">
        <v>2.58</v>
      </c>
      <c r="L3363">
        <v>40.950000000000003</v>
      </c>
      <c r="M3363">
        <v>41</v>
      </c>
      <c r="N3363">
        <v>39.6</v>
      </c>
    </row>
    <row r="3364" spans="1:14" x14ac:dyDescent="0.5">
      <c r="A3364" t="str">
        <f>"603518"</f>
        <v>603518</v>
      </c>
      <c r="B3364" t="s">
        <v>6289</v>
      </c>
      <c r="C3364">
        <v>2.12</v>
      </c>
      <c r="D3364">
        <v>10.16</v>
      </c>
      <c r="E3364">
        <v>15.87</v>
      </c>
      <c r="F3364">
        <v>0.33</v>
      </c>
      <c r="G3364">
        <v>15.86</v>
      </c>
      <c r="H3364">
        <v>15.87</v>
      </c>
      <c r="I3364" t="s">
        <v>5153</v>
      </c>
      <c r="J3364">
        <v>2.4300000000000002</v>
      </c>
      <c r="K3364">
        <v>2.4300000000000002</v>
      </c>
      <c r="L3364">
        <v>15.54</v>
      </c>
      <c r="M3364">
        <v>15.98</v>
      </c>
      <c r="N3364">
        <v>15.42</v>
      </c>
    </row>
    <row r="3365" spans="1:14" x14ac:dyDescent="0.5">
      <c r="A3365" t="str">
        <f>"603519"</f>
        <v>603519</v>
      </c>
      <c r="B3365" t="s">
        <v>6290</v>
      </c>
      <c r="C3365">
        <v>0.75</v>
      </c>
      <c r="D3365">
        <v>24.34</v>
      </c>
      <c r="E3365">
        <v>9.44</v>
      </c>
      <c r="F3365">
        <v>7.0000000000000007E-2</v>
      </c>
      <c r="G3365">
        <v>9.44</v>
      </c>
      <c r="H3365">
        <v>9.4499999999999993</v>
      </c>
      <c r="I3365" t="s">
        <v>6291</v>
      </c>
      <c r="J3365">
        <v>1.1100000000000001</v>
      </c>
      <c r="K3365">
        <v>1.1100000000000001</v>
      </c>
      <c r="L3365">
        <v>9.41</v>
      </c>
      <c r="M3365">
        <v>9.4700000000000006</v>
      </c>
      <c r="N3365">
        <v>9.27</v>
      </c>
    </row>
    <row r="3366" spans="1:14" x14ac:dyDescent="0.5">
      <c r="A3366" t="str">
        <f>"603520"</f>
        <v>603520</v>
      </c>
      <c r="B3366" t="s">
        <v>6292</v>
      </c>
      <c r="C3366">
        <v>5.49</v>
      </c>
      <c r="D3366">
        <v>34.43</v>
      </c>
      <c r="E3366">
        <v>31.9</v>
      </c>
      <c r="F3366">
        <v>1.66</v>
      </c>
      <c r="G3366">
        <v>31.88</v>
      </c>
      <c r="H3366">
        <v>31.9</v>
      </c>
      <c r="I3366" t="s">
        <v>4459</v>
      </c>
      <c r="J3366">
        <v>8.01</v>
      </c>
      <c r="K3366">
        <v>8.01</v>
      </c>
      <c r="L3366">
        <v>30</v>
      </c>
      <c r="M3366">
        <v>32.29</v>
      </c>
      <c r="N3366">
        <v>29.58</v>
      </c>
    </row>
    <row r="3367" spans="1:14" x14ac:dyDescent="0.5">
      <c r="A3367" t="str">
        <f>"603527"</f>
        <v>603527</v>
      </c>
      <c r="B3367" t="s">
        <v>6293</v>
      </c>
      <c r="C3367">
        <v>1.05</v>
      </c>
      <c r="D3367">
        <v>22.15</v>
      </c>
      <c r="E3367">
        <v>12.48</v>
      </c>
      <c r="F3367">
        <v>0.13</v>
      </c>
      <c r="G3367">
        <v>12.47</v>
      </c>
      <c r="H3367">
        <v>12.48</v>
      </c>
      <c r="I3367" t="s">
        <v>6294</v>
      </c>
      <c r="J3367">
        <v>3.66</v>
      </c>
      <c r="K3367">
        <v>3.66</v>
      </c>
      <c r="L3367">
        <v>12.29</v>
      </c>
      <c r="M3367">
        <v>12.53</v>
      </c>
      <c r="N3367">
        <v>12.17</v>
      </c>
    </row>
    <row r="3368" spans="1:14" x14ac:dyDescent="0.5">
      <c r="A3368" t="str">
        <f>"603528"</f>
        <v>603528</v>
      </c>
      <c r="B3368" t="s">
        <v>6295</v>
      </c>
      <c r="C3368">
        <v>4.91</v>
      </c>
      <c r="D3368">
        <v>34.43</v>
      </c>
      <c r="E3368">
        <v>7.27</v>
      </c>
      <c r="F3368">
        <v>0.34</v>
      </c>
      <c r="G3368">
        <v>7.27</v>
      </c>
      <c r="H3368">
        <v>7.28</v>
      </c>
      <c r="I3368" t="s">
        <v>2909</v>
      </c>
      <c r="J3368">
        <v>6.9</v>
      </c>
      <c r="K3368">
        <v>6.9</v>
      </c>
      <c r="L3368">
        <v>6.93</v>
      </c>
      <c r="M3368">
        <v>7.27</v>
      </c>
      <c r="N3368">
        <v>6.86</v>
      </c>
    </row>
    <row r="3369" spans="1:14" x14ac:dyDescent="0.5">
      <c r="A3369" t="str">
        <f>"603533"</f>
        <v>603533</v>
      </c>
      <c r="B3369" t="s">
        <v>6296</v>
      </c>
      <c r="C3369">
        <v>0.55000000000000004</v>
      </c>
      <c r="D3369">
        <v>62.16</v>
      </c>
      <c r="E3369">
        <v>22.05</v>
      </c>
      <c r="F3369">
        <v>0.12</v>
      </c>
      <c r="G3369">
        <v>22.05</v>
      </c>
      <c r="H3369">
        <v>22.07</v>
      </c>
      <c r="I3369" t="s">
        <v>923</v>
      </c>
      <c r="J3369">
        <v>2.64</v>
      </c>
      <c r="K3369">
        <v>2.64</v>
      </c>
      <c r="L3369">
        <v>21.46</v>
      </c>
      <c r="M3369">
        <v>22.05</v>
      </c>
      <c r="N3369">
        <v>21.37</v>
      </c>
    </row>
    <row r="3370" spans="1:14" x14ac:dyDescent="0.5">
      <c r="A3370" t="str">
        <f>"603535"</f>
        <v>603535</v>
      </c>
      <c r="B3370" t="s">
        <v>6297</v>
      </c>
      <c r="C3370">
        <v>0.57999999999999996</v>
      </c>
      <c r="D3370">
        <v>22.32</v>
      </c>
      <c r="E3370">
        <v>20.9</v>
      </c>
      <c r="F3370">
        <v>0.12</v>
      </c>
      <c r="G3370">
        <v>20.9</v>
      </c>
      <c r="H3370">
        <v>20.91</v>
      </c>
      <c r="I3370" t="s">
        <v>2407</v>
      </c>
      <c r="J3370">
        <v>5.69</v>
      </c>
      <c r="K3370">
        <v>5.69</v>
      </c>
      <c r="L3370">
        <v>20.75</v>
      </c>
      <c r="M3370">
        <v>20.91</v>
      </c>
      <c r="N3370">
        <v>20.51</v>
      </c>
    </row>
    <row r="3371" spans="1:14" x14ac:dyDescent="0.5">
      <c r="A3371" t="str">
        <f>"603536"</f>
        <v>603536</v>
      </c>
      <c r="B3371" t="s">
        <v>6298</v>
      </c>
      <c r="C3371">
        <v>1.32</v>
      </c>
      <c r="D3371">
        <v>30.07</v>
      </c>
      <c r="E3371">
        <v>9.2100000000000009</v>
      </c>
      <c r="F3371">
        <v>0.12</v>
      </c>
      <c r="G3371">
        <v>9.2100000000000009</v>
      </c>
      <c r="H3371">
        <v>9.2200000000000006</v>
      </c>
      <c r="I3371" t="s">
        <v>6299</v>
      </c>
      <c r="J3371">
        <v>5.08</v>
      </c>
      <c r="K3371">
        <v>5.08</v>
      </c>
      <c r="L3371">
        <v>9.11</v>
      </c>
      <c r="M3371">
        <v>9.23</v>
      </c>
      <c r="N3371">
        <v>9.08</v>
      </c>
    </row>
    <row r="3372" spans="1:14" x14ac:dyDescent="0.5">
      <c r="A3372" t="str">
        <f>"603538"</f>
        <v>603538</v>
      </c>
      <c r="B3372" t="s">
        <v>6300</v>
      </c>
      <c r="C3372">
        <v>3.39</v>
      </c>
      <c r="D3372">
        <v>38.75</v>
      </c>
      <c r="E3372">
        <v>20.76</v>
      </c>
      <c r="F3372">
        <v>0.68</v>
      </c>
      <c r="G3372">
        <v>20.75</v>
      </c>
      <c r="H3372">
        <v>20.76</v>
      </c>
      <c r="I3372" t="s">
        <v>6301</v>
      </c>
      <c r="J3372">
        <v>7.97</v>
      </c>
      <c r="K3372">
        <v>7.97</v>
      </c>
      <c r="L3372">
        <v>20.23</v>
      </c>
      <c r="M3372">
        <v>20.9</v>
      </c>
      <c r="N3372">
        <v>20.149999999999999</v>
      </c>
    </row>
    <row r="3373" spans="1:14" x14ac:dyDescent="0.5">
      <c r="A3373" t="str">
        <f>"603555"</f>
        <v>603555</v>
      </c>
      <c r="B3373" t="s">
        <v>6302</v>
      </c>
      <c r="C3373">
        <v>2.06</v>
      </c>
      <c r="D3373">
        <v>160.91999999999999</v>
      </c>
      <c r="E3373">
        <v>6.93</v>
      </c>
      <c r="F3373">
        <v>0.14000000000000001</v>
      </c>
      <c r="G3373">
        <v>6.93</v>
      </c>
      <c r="H3373">
        <v>6.94</v>
      </c>
      <c r="I3373" t="s">
        <v>6303</v>
      </c>
      <c r="J3373">
        <v>1.85</v>
      </c>
      <c r="K3373">
        <v>1.85</v>
      </c>
      <c r="L3373">
        <v>7.05</v>
      </c>
      <c r="M3373">
        <v>7.05</v>
      </c>
      <c r="N3373">
        <v>6.73</v>
      </c>
    </row>
    <row r="3374" spans="1:14" x14ac:dyDescent="0.5">
      <c r="A3374" t="str">
        <f>"603556"</f>
        <v>603556</v>
      </c>
      <c r="B3374" t="s">
        <v>6304</v>
      </c>
      <c r="C3374">
        <v>4.67</v>
      </c>
      <c r="D3374">
        <v>17.850000000000001</v>
      </c>
      <c r="E3374">
        <v>16.350000000000001</v>
      </c>
      <c r="F3374">
        <v>0.73</v>
      </c>
      <c r="G3374">
        <v>16.34</v>
      </c>
      <c r="H3374">
        <v>16.350000000000001</v>
      </c>
      <c r="I3374" t="s">
        <v>2251</v>
      </c>
      <c r="J3374">
        <v>2.39</v>
      </c>
      <c r="K3374">
        <v>2.39</v>
      </c>
      <c r="L3374">
        <v>15.48</v>
      </c>
      <c r="M3374">
        <v>16.350000000000001</v>
      </c>
      <c r="N3374">
        <v>15.48</v>
      </c>
    </row>
    <row r="3375" spans="1:14" x14ac:dyDescent="0.5">
      <c r="A3375" t="str">
        <f>"603557"</f>
        <v>603557</v>
      </c>
      <c r="B3375" t="s">
        <v>6305</v>
      </c>
      <c r="C3375">
        <v>1.35</v>
      </c>
      <c r="D3375">
        <v>19.690000000000001</v>
      </c>
      <c r="E3375">
        <v>9.0299999999999994</v>
      </c>
      <c r="F3375">
        <v>0.12</v>
      </c>
      <c r="G3375">
        <v>9.02</v>
      </c>
      <c r="H3375">
        <v>9.0299999999999994</v>
      </c>
      <c r="I3375" t="s">
        <v>209</v>
      </c>
      <c r="J3375">
        <v>7.93</v>
      </c>
      <c r="K3375">
        <v>7.93</v>
      </c>
      <c r="L3375">
        <v>8.84</v>
      </c>
      <c r="M3375">
        <v>9.07</v>
      </c>
      <c r="N3375">
        <v>8.68</v>
      </c>
    </row>
    <row r="3376" spans="1:14" x14ac:dyDescent="0.5">
      <c r="A3376" t="str">
        <f>"603558"</f>
        <v>603558</v>
      </c>
      <c r="B3376" t="s">
        <v>6306</v>
      </c>
      <c r="C3376">
        <v>0</v>
      </c>
      <c r="D3376">
        <v>21.48</v>
      </c>
      <c r="E3376">
        <v>10.36</v>
      </c>
      <c r="F3376">
        <v>0</v>
      </c>
      <c r="G3376">
        <v>10.35</v>
      </c>
      <c r="H3376">
        <v>10.36</v>
      </c>
      <c r="I3376" t="s">
        <v>6307</v>
      </c>
      <c r="J3376">
        <v>1.42</v>
      </c>
      <c r="K3376">
        <v>1.42</v>
      </c>
      <c r="L3376">
        <v>10.36</v>
      </c>
      <c r="M3376">
        <v>10.43</v>
      </c>
      <c r="N3376">
        <v>10.3</v>
      </c>
    </row>
    <row r="3377" spans="1:14" x14ac:dyDescent="0.5">
      <c r="A3377" t="str">
        <f>"603559"</f>
        <v>603559</v>
      </c>
      <c r="B3377" t="s">
        <v>6308</v>
      </c>
      <c r="C3377">
        <v>5.22</v>
      </c>
      <c r="D3377">
        <v>117.52</v>
      </c>
      <c r="E3377">
        <v>25.19</v>
      </c>
      <c r="F3377">
        <v>1.25</v>
      </c>
      <c r="G3377">
        <v>25.19</v>
      </c>
      <c r="H3377">
        <v>25.2</v>
      </c>
      <c r="I3377" t="s">
        <v>6309</v>
      </c>
      <c r="J3377">
        <v>18.96</v>
      </c>
      <c r="K3377">
        <v>18.96</v>
      </c>
      <c r="L3377">
        <v>23.87</v>
      </c>
      <c r="M3377">
        <v>25.66</v>
      </c>
      <c r="N3377">
        <v>23.68</v>
      </c>
    </row>
    <row r="3378" spans="1:14" x14ac:dyDescent="0.5">
      <c r="A3378" t="str">
        <f>"603566"</f>
        <v>603566</v>
      </c>
      <c r="B3378" t="s">
        <v>6310</v>
      </c>
      <c r="C3378">
        <v>0.34</v>
      </c>
      <c r="D3378">
        <v>31.21</v>
      </c>
      <c r="E3378">
        <v>14.8</v>
      </c>
      <c r="F3378">
        <v>0.05</v>
      </c>
      <c r="G3378">
        <v>14.79</v>
      </c>
      <c r="H3378">
        <v>14.8</v>
      </c>
      <c r="I3378" t="s">
        <v>6311</v>
      </c>
      <c r="J3378">
        <v>1.75</v>
      </c>
      <c r="K3378">
        <v>1.75</v>
      </c>
      <c r="L3378">
        <v>14.5</v>
      </c>
      <c r="M3378">
        <v>15.28</v>
      </c>
      <c r="N3378">
        <v>14.41</v>
      </c>
    </row>
    <row r="3379" spans="1:14" x14ac:dyDescent="0.5">
      <c r="A3379" t="str">
        <f>"603567"</f>
        <v>603567</v>
      </c>
      <c r="B3379" t="s">
        <v>6312</v>
      </c>
      <c r="C3379">
        <v>0.78</v>
      </c>
      <c r="D3379">
        <v>20.059999999999999</v>
      </c>
      <c r="E3379">
        <v>12.94</v>
      </c>
      <c r="F3379">
        <v>0.1</v>
      </c>
      <c r="G3379">
        <v>12.93</v>
      </c>
      <c r="H3379">
        <v>12.94</v>
      </c>
      <c r="I3379" t="s">
        <v>6313</v>
      </c>
      <c r="J3379">
        <v>0.28000000000000003</v>
      </c>
      <c r="K3379">
        <v>0.28000000000000003</v>
      </c>
      <c r="L3379">
        <v>12.84</v>
      </c>
      <c r="M3379">
        <v>12.96</v>
      </c>
      <c r="N3379">
        <v>12.75</v>
      </c>
    </row>
    <row r="3380" spans="1:14" x14ac:dyDescent="0.5">
      <c r="A3380" t="str">
        <f>"603568"</f>
        <v>603568</v>
      </c>
      <c r="B3380" t="s">
        <v>6314</v>
      </c>
      <c r="C3380">
        <v>1.05</v>
      </c>
      <c r="D3380">
        <v>24.09</v>
      </c>
      <c r="E3380">
        <v>25.06</v>
      </c>
      <c r="F3380">
        <v>0.26</v>
      </c>
      <c r="G3380">
        <v>25.03</v>
      </c>
      <c r="H3380">
        <v>25.06</v>
      </c>
      <c r="I3380" t="s">
        <v>6315</v>
      </c>
      <c r="J3380">
        <v>0.39</v>
      </c>
      <c r="K3380">
        <v>0.39</v>
      </c>
      <c r="L3380">
        <v>24.86</v>
      </c>
      <c r="M3380">
        <v>25.14</v>
      </c>
      <c r="N3380">
        <v>24.73</v>
      </c>
    </row>
    <row r="3381" spans="1:14" x14ac:dyDescent="0.5">
      <c r="A3381" t="str">
        <f>"603569"</f>
        <v>603569</v>
      </c>
      <c r="B3381" t="s">
        <v>6316</v>
      </c>
      <c r="C3381">
        <v>-1.23</v>
      </c>
      <c r="D3381">
        <v>19.75</v>
      </c>
      <c r="E3381">
        <v>12.81</v>
      </c>
      <c r="F3381">
        <v>-0.16</v>
      </c>
      <c r="G3381">
        <v>12.81</v>
      </c>
      <c r="H3381">
        <v>12.83</v>
      </c>
      <c r="I3381" t="s">
        <v>2611</v>
      </c>
      <c r="J3381">
        <v>3.85</v>
      </c>
      <c r="K3381">
        <v>3.85</v>
      </c>
      <c r="L3381">
        <v>12.93</v>
      </c>
      <c r="M3381">
        <v>12.97</v>
      </c>
      <c r="N3381">
        <v>12.57</v>
      </c>
    </row>
    <row r="3382" spans="1:14" x14ac:dyDescent="0.5">
      <c r="A3382" t="str">
        <f>"603577"</f>
        <v>603577</v>
      </c>
      <c r="B3382" t="s">
        <v>6317</v>
      </c>
      <c r="C3382">
        <v>3.53</v>
      </c>
      <c r="D3382">
        <v>49.74</v>
      </c>
      <c r="E3382">
        <v>11.15</v>
      </c>
      <c r="F3382">
        <v>0.38</v>
      </c>
      <c r="G3382">
        <v>11.15</v>
      </c>
      <c r="H3382">
        <v>11.16</v>
      </c>
      <c r="I3382" t="s">
        <v>6318</v>
      </c>
      <c r="J3382">
        <v>7.4</v>
      </c>
      <c r="K3382">
        <v>7.4</v>
      </c>
      <c r="L3382">
        <v>10.77</v>
      </c>
      <c r="M3382">
        <v>11.15</v>
      </c>
      <c r="N3382">
        <v>10.46</v>
      </c>
    </row>
    <row r="3383" spans="1:14" x14ac:dyDescent="0.5">
      <c r="A3383" t="str">
        <f>"603578"</f>
        <v>603578</v>
      </c>
      <c r="B3383" t="s">
        <v>6319</v>
      </c>
      <c r="C3383">
        <v>1.28</v>
      </c>
      <c r="D3383">
        <v>29.86</v>
      </c>
      <c r="E3383">
        <v>21.35</v>
      </c>
      <c r="F3383">
        <v>0.27</v>
      </c>
      <c r="G3383">
        <v>21.35</v>
      </c>
      <c r="H3383">
        <v>21.36</v>
      </c>
      <c r="I3383" t="s">
        <v>6320</v>
      </c>
      <c r="J3383">
        <v>3.89</v>
      </c>
      <c r="K3383">
        <v>3.89</v>
      </c>
      <c r="L3383">
        <v>20.91</v>
      </c>
      <c r="M3383">
        <v>21.46</v>
      </c>
      <c r="N3383">
        <v>20.88</v>
      </c>
    </row>
    <row r="3384" spans="1:14" x14ac:dyDescent="0.5">
      <c r="A3384" t="str">
        <f>"603579"</f>
        <v>603579</v>
      </c>
      <c r="B3384" t="s">
        <v>6321</v>
      </c>
      <c r="C3384">
        <v>1.68</v>
      </c>
      <c r="D3384">
        <v>18.73</v>
      </c>
      <c r="E3384">
        <v>34.57</v>
      </c>
      <c r="F3384">
        <v>0.56999999999999995</v>
      </c>
      <c r="G3384">
        <v>34.57</v>
      </c>
      <c r="H3384">
        <v>34.58</v>
      </c>
      <c r="I3384" t="s">
        <v>6322</v>
      </c>
      <c r="J3384">
        <v>4.75</v>
      </c>
      <c r="K3384">
        <v>4.75</v>
      </c>
      <c r="L3384">
        <v>34.24</v>
      </c>
      <c r="M3384">
        <v>35.1</v>
      </c>
      <c r="N3384">
        <v>33.85</v>
      </c>
    </row>
    <row r="3385" spans="1:14" x14ac:dyDescent="0.5">
      <c r="A3385" t="str">
        <f>"603580"</f>
        <v>603580</v>
      </c>
      <c r="B3385" t="s">
        <v>6323</v>
      </c>
      <c r="C3385">
        <v>3.5</v>
      </c>
      <c r="D3385">
        <v>42.21</v>
      </c>
      <c r="E3385">
        <v>18.03</v>
      </c>
      <c r="F3385">
        <v>0.61</v>
      </c>
      <c r="G3385">
        <v>18.03</v>
      </c>
      <c r="H3385">
        <v>18.04</v>
      </c>
      <c r="I3385" t="s">
        <v>6324</v>
      </c>
      <c r="J3385">
        <v>12.81</v>
      </c>
      <c r="K3385">
        <v>12.81</v>
      </c>
      <c r="L3385">
        <v>17.420000000000002</v>
      </c>
      <c r="M3385">
        <v>18.100000000000001</v>
      </c>
      <c r="N3385">
        <v>17.05</v>
      </c>
    </row>
    <row r="3386" spans="1:14" x14ac:dyDescent="0.5">
      <c r="A3386" t="str">
        <f>"603583"</f>
        <v>603583</v>
      </c>
      <c r="B3386" t="s">
        <v>6325</v>
      </c>
      <c r="C3386">
        <v>-0.3</v>
      </c>
      <c r="D3386">
        <v>42.36</v>
      </c>
      <c r="E3386">
        <v>70.349999999999994</v>
      </c>
      <c r="F3386">
        <v>-0.21</v>
      </c>
      <c r="G3386">
        <v>70.319999999999993</v>
      </c>
      <c r="H3386">
        <v>70.349999999999994</v>
      </c>
      <c r="I3386" t="s">
        <v>2117</v>
      </c>
      <c r="J3386">
        <v>4.1500000000000004</v>
      </c>
      <c r="K3386">
        <v>4.1500000000000004</v>
      </c>
      <c r="L3386">
        <v>70</v>
      </c>
      <c r="M3386">
        <v>70.39</v>
      </c>
      <c r="N3386">
        <v>69.099999999999994</v>
      </c>
    </row>
    <row r="3387" spans="1:14" x14ac:dyDescent="0.5">
      <c r="A3387" t="str">
        <f>"603585"</f>
        <v>603585</v>
      </c>
      <c r="B3387" t="s">
        <v>6326</v>
      </c>
      <c r="C3387">
        <v>0.3</v>
      </c>
      <c r="D3387">
        <v>14.66</v>
      </c>
      <c r="E3387">
        <v>23.57</v>
      </c>
      <c r="F3387">
        <v>7.0000000000000007E-2</v>
      </c>
      <c r="G3387">
        <v>23.57</v>
      </c>
      <c r="H3387">
        <v>23.58</v>
      </c>
      <c r="I3387" t="s">
        <v>6327</v>
      </c>
      <c r="J3387">
        <v>2.63</v>
      </c>
      <c r="K3387">
        <v>2.63</v>
      </c>
      <c r="L3387">
        <v>23.5</v>
      </c>
      <c r="M3387">
        <v>23.58</v>
      </c>
      <c r="N3387">
        <v>23.23</v>
      </c>
    </row>
    <row r="3388" spans="1:14" x14ac:dyDescent="0.5">
      <c r="A3388" t="str">
        <f>"603586"</f>
        <v>603586</v>
      </c>
      <c r="B3388" t="s">
        <v>6328</v>
      </c>
      <c r="C3388">
        <v>1.48</v>
      </c>
      <c r="D3388">
        <v>29.27</v>
      </c>
      <c r="E3388">
        <v>15.04</v>
      </c>
      <c r="F3388">
        <v>0.22</v>
      </c>
      <c r="G3388">
        <v>15.03</v>
      </c>
      <c r="H3388">
        <v>15.04</v>
      </c>
      <c r="I3388" t="s">
        <v>6004</v>
      </c>
      <c r="J3388">
        <v>1.88</v>
      </c>
      <c r="K3388">
        <v>1.88</v>
      </c>
      <c r="L3388">
        <v>14.84</v>
      </c>
      <c r="M3388">
        <v>15.06</v>
      </c>
      <c r="N3388">
        <v>14.64</v>
      </c>
    </row>
    <row r="3389" spans="1:14" x14ac:dyDescent="0.5">
      <c r="A3389" t="str">
        <f>"603587"</f>
        <v>603587</v>
      </c>
      <c r="B3389" t="s">
        <v>6329</v>
      </c>
      <c r="C3389">
        <v>4.25</v>
      </c>
      <c r="D3389">
        <v>16.989999999999998</v>
      </c>
      <c r="E3389">
        <v>25.26</v>
      </c>
      <c r="F3389">
        <v>1.03</v>
      </c>
      <c r="G3389">
        <v>25.26</v>
      </c>
      <c r="H3389">
        <v>25.27</v>
      </c>
      <c r="I3389" t="s">
        <v>2492</v>
      </c>
      <c r="J3389">
        <v>13.97</v>
      </c>
      <c r="K3389">
        <v>13.97</v>
      </c>
      <c r="L3389">
        <v>24.1</v>
      </c>
      <c r="M3389">
        <v>25.54</v>
      </c>
      <c r="N3389">
        <v>24.03</v>
      </c>
    </row>
    <row r="3390" spans="1:14" x14ac:dyDescent="0.5">
      <c r="A3390" t="str">
        <f>"603588"</f>
        <v>603588</v>
      </c>
      <c r="B3390" t="s">
        <v>6330</v>
      </c>
      <c r="C3390">
        <v>0.97</v>
      </c>
      <c r="D3390">
        <v>20.95</v>
      </c>
      <c r="E3390">
        <v>10.4</v>
      </c>
      <c r="F3390">
        <v>0.1</v>
      </c>
      <c r="G3390">
        <v>10.39</v>
      </c>
      <c r="H3390">
        <v>10.4</v>
      </c>
      <c r="I3390" t="s">
        <v>6331</v>
      </c>
      <c r="J3390">
        <v>1.81</v>
      </c>
      <c r="K3390">
        <v>1.81</v>
      </c>
      <c r="L3390">
        <v>10.35</v>
      </c>
      <c r="M3390">
        <v>10.44</v>
      </c>
      <c r="N3390">
        <v>10.199999999999999</v>
      </c>
    </row>
    <row r="3391" spans="1:14" x14ac:dyDescent="0.5">
      <c r="A3391" t="str">
        <f>"603589"</f>
        <v>603589</v>
      </c>
      <c r="B3391" t="s">
        <v>6332</v>
      </c>
      <c r="C3391">
        <v>-0.84</v>
      </c>
      <c r="D3391">
        <v>20.66</v>
      </c>
      <c r="E3391">
        <v>47.4</v>
      </c>
      <c r="F3391">
        <v>-0.4</v>
      </c>
      <c r="G3391">
        <v>47.4</v>
      </c>
      <c r="H3391">
        <v>47.42</v>
      </c>
      <c r="I3391" t="s">
        <v>6333</v>
      </c>
      <c r="J3391">
        <v>0.59</v>
      </c>
      <c r="K3391">
        <v>0.59</v>
      </c>
      <c r="L3391">
        <v>47.9</v>
      </c>
      <c r="M3391">
        <v>48.38</v>
      </c>
      <c r="N3391">
        <v>47</v>
      </c>
    </row>
    <row r="3392" spans="1:14" x14ac:dyDescent="0.5">
      <c r="A3392" t="str">
        <f>"603590"</f>
        <v>603590</v>
      </c>
      <c r="B3392" t="s">
        <v>6334</v>
      </c>
      <c r="C3392">
        <v>1.1499999999999999</v>
      </c>
      <c r="D3392">
        <v>26.13</v>
      </c>
      <c r="E3392">
        <v>35.92</v>
      </c>
      <c r="F3392">
        <v>0.41</v>
      </c>
      <c r="G3392">
        <v>35.92</v>
      </c>
      <c r="H3392">
        <v>35.93</v>
      </c>
      <c r="I3392" t="s">
        <v>6087</v>
      </c>
      <c r="J3392">
        <v>6.26</v>
      </c>
      <c r="K3392">
        <v>6.26</v>
      </c>
      <c r="L3392">
        <v>35.18</v>
      </c>
      <c r="M3392">
        <v>36.090000000000003</v>
      </c>
      <c r="N3392">
        <v>35.17</v>
      </c>
    </row>
    <row r="3393" spans="1:14" x14ac:dyDescent="0.5">
      <c r="A3393" t="str">
        <f>"603595"</f>
        <v>603595</v>
      </c>
      <c r="B3393" t="s">
        <v>6335</v>
      </c>
      <c r="C3393">
        <v>0.71</v>
      </c>
      <c r="D3393">
        <v>30.65</v>
      </c>
      <c r="E3393">
        <v>42.3</v>
      </c>
      <c r="F3393">
        <v>0.3</v>
      </c>
      <c r="G3393">
        <v>42.29</v>
      </c>
      <c r="H3393">
        <v>42.3</v>
      </c>
      <c r="I3393" t="s">
        <v>6336</v>
      </c>
      <c r="J3393">
        <v>2.75</v>
      </c>
      <c r="K3393">
        <v>2.75</v>
      </c>
      <c r="L3393">
        <v>41.99</v>
      </c>
      <c r="M3393">
        <v>42.5</v>
      </c>
      <c r="N3393">
        <v>41.64</v>
      </c>
    </row>
    <row r="3394" spans="1:14" x14ac:dyDescent="0.5">
      <c r="A3394" t="str">
        <f>"603596"</f>
        <v>603596</v>
      </c>
      <c r="B3394" t="s">
        <v>6337</v>
      </c>
      <c r="C3394">
        <v>2.75</v>
      </c>
      <c r="D3394">
        <v>27.72</v>
      </c>
      <c r="E3394">
        <v>22.45</v>
      </c>
      <c r="F3394">
        <v>0.6</v>
      </c>
      <c r="G3394">
        <v>22.45</v>
      </c>
      <c r="H3394">
        <v>22.46</v>
      </c>
      <c r="I3394" t="s">
        <v>2578</v>
      </c>
      <c r="J3394">
        <v>14.54</v>
      </c>
      <c r="K3394">
        <v>14.54</v>
      </c>
      <c r="L3394">
        <v>21.65</v>
      </c>
      <c r="M3394">
        <v>22.45</v>
      </c>
      <c r="N3394">
        <v>21.65</v>
      </c>
    </row>
    <row r="3395" spans="1:14" x14ac:dyDescent="0.5">
      <c r="A3395" t="str">
        <f>"603598"</f>
        <v>603598</v>
      </c>
      <c r="B3395" t="s">
        <v>6338</v>
      </c>
      <c r="C3395">
        <v>1.88</v>
      </c>
      <c r="D3395">
        <v>33.229999999999997</v>
      </c>
      <c r="E3395">
        <v>11.41</v>
      </c>
      <c r="F3395">
        <v>0.21</v>
      </c>
      <c r="G3395">
        <v>11.4</v>
      </c>
      <c r="H3395">
        <v>11.41</v>
      </c>
      <c r="I3395" t="s">
        <v>6339</v>
      </c>
      <c r="J3395">
        <v>6.62</v>
      </c>
      <c r="K3395">
        <v>6.62</v>
      </c>
      <c r="L3395">
        <v>10.86</v>
      </c>
      <c r="M3395">
        <v>11.89</v>
      </c>
      <c r="N3395">
        <v>10.85</v>
      </c>
    </row>
    <row r="3396" spans="1:14" x14ac:dyDescent="0.5">
      <c r="A3396" t="str">
        <f>"603599"</f>
        <v>603599</v>
      </c>
      <c r="B3396" t="s">
        <v>6340</v>
      </c>
      <c r="C3396">
        <v>-0.48</v>
      </c>
      <c r="D3396">
        <v>15.44</v>
      </c>
      <c r="E3396">
        <v>14.53</v>
      </c>
      <c r="F3396">
        <v>-7.0000000000000007E-2</v>
      </c>
      <c r="G3396">
        <v>14.53</v>
      </c>
      <c r="H3396">
        <v>14.54</v>
      </c>
      <c r="I3396" t="s">
        <v>6341</v>
      </c>
      <c r="J3396">
        <v>0.97</v>
      </c>
      <c r="K3396">
        <v>0.97</v>
      </c>
      <c r="L3396">
        <v>14.55</v>
      </c>
      <c r="M3396">
        <v>14.7</v>
      </c>
      <c r="N3396">
        <v>14.33</v>
      </c>
    </row>
    <row r="3397" spans="1:14" x14ac:dyDescent="0.5">
      <c r="A3397" t="str">
        <f>"603600"</f>
        <v>603600</v>
      </c>
      <c r="B3397" t="s">
        <v>6342</v>
      </c>
      <c r="C3397">
        <v>1.04</v>
      </c>
      <c r="D3397">
        <v>34.14</v>
      </c>
      <c r="E3397">
        <v>9.73</v>
      </c>
      <c r="F3397">
        <v>0.1</v>
      </c>
      <c r="G3397">
        <v>9.73</v>
      </c>
      <c r="H3397">
        <v>9.74</v>
      </c>
      <c r="I3397" t="s">
        <v>6343</v>
      </c>
      <c r="J3397">
        <v>1.1399999999999999</v>
      </c>
      <c r="K3397">
        <v>1.1399999999999999</v>
      </c>
      <c r="L3397">
        <v>9.4499999999999993</v>
      </c>
      <c r="M3397">
        <v>9.7799999999999994</v>
      </c>
      <c r="N3397">
        <v>9.44</v>
      </c>
    </row>
    <row r="3398" spans="1:14" x14ac:dyDescent="0.5">
      <c r="A3398" t="str">
        <f>"603601"</f>
        <v>603601</v>
      </c>
      <c r="B3398" t="s">
        <v>6344</v>
      </c>
      <c r="C3398">
        <v>3.64</v>
      </c>
      <c r="D3398">
        <v>29.74</v>
      </c>
      <c r="E3398">
        <v>8.83</v>
      </c>
      <c r="F3398">
        <v>0.31</v>
      </c>
      <c r="G3398">
        <v>8.82</v>
      </c>
      <c r="H3398">
        <v>8.83</v>
      </c>
      <c r="I3398" t="s">
        <v>6345</v>
      </c>
      <c r="J3398">
        <v>0.77</v>
      </c>
      <c r="K3398">
        <v>0.77</v>
      </c>
      <c r="L3398">
        <v>8.59</v>
      </c>
      <c r="M3398">
        <v>8.84</v>
      </c>
      <c r="N3398">
        <v>8.44</v>
      </c>
    </row>
    <row r="3399" spans="1:14" x14ac:dyDescent="0.5">
      <c r="A3399" t="str">
        <f>"603602"</f>
        <v>603602</v>
      </c>
      <c r="B3399" t="s">
        <v>6346</v>
      </c>
      <c r="C3399">
        <v>3.41</v>
      </c>
      <c r="D3399">
        <v>58.92</v>
      </c>
      <c r="E3399">
        <v>30.61</v>
      </c>
      <c r="F3399">
        <v>1.01</v>
      </c>
      <c r="G3399">
        <v>30.61</v>
      </c>
      <c r="H3399">
        <v>30.62</v>
      </c>
      <c r="I3399" t="s">
        <v>6347</v>
      </c>
      <c r="J3399">
        <v>14.49</v>
      </c>
      <c r="K3399">
        <v>14.49</v>
      </c>
      <c r="L3399">
        <v>29.62</v>
      </c>
      <c r="M3399">
        <v>30.67</v>
      </c>
      <c r="N3399">
        <v>29.35</v>
      </c>
    </row>
    <row r="3400" spans="1:14" x14ac:dyDescent="0.5">
      <c r="A3400" t="str">
        <f>"603603"</f>
        <v>603603</v>
      </c>
      <c r="B3400" t="s">
        <v>6348</v>
      </c>
      <c r="C3400">
        <v>-0.38</v>
      </c>
      <c r="D3400">
        <v>37.590000000000003</v>
      </c>
      <c r="E3400">
        <v>20.85</v>
      </c>
      <c r="F3400">
        <v>-0.08</v>
      </c>
      <c r="G3400">
        <v>20.85</v>
      </c>
      <c r="H3400">
        <v>20.86</v>
      </c>
      <c r="I3400" t="s">
        <v>6349</v>
      </c>
      <c r="J3400">
        <v>2.81</v>
      </c>
      <c r="K3400">
        <v>2.81</v>
      </c>
      <c r="L3400">
        <v>20.68</v>
      </c>
      <c r="M3400">
        <v>20.88</v>
      </c>
      <c r="N3400">
        <v>20.41</v>
      </c>
    </row>
    <row r="3401" spans="1:14" x14ac:dyDescent="0.5">
      <c r="A3401" t="str">
        <f>"603605"</f>
        <v>603605</v>
      </c>
      <c r="B3401" t="s">
        <v>6350</v>
      </c>
      <c r="C3401">
        <v>-0.42</v>
      </c>
      <c r="D3401">
        <v>40.19</v>
      </c>
      <c r="E3401">
        <v>52.03</v>
      </c>
      <c r="F3401">
        <v>-0.22</v>
      </c>
      <c r="G3401">
        <v>52.03</v>
      </c>
      <c r="H3401">
        <v>52.05</v>
      </c>
      <c r="I3401" t="s">
        <v>6351</v>
      </c>
      <c r="J3401">
        <v>2.63</v>
      </c>
      <c r="K3401">
        <v>2.63</v>
      </c>
      <c r="L3401">
        <v>51.4</v>
      </c>
      <c r="M3401">
        <v>52.4</v>
      </c>
      <c r="N3401">
        <v>51</v>
      </c>
    </row>
    <row r="3402" spans="1:14" x14ac:dyDescent="0.5">
      <c r="A3402" t="str">
        <f>"603606"</f>
        <v>603606</v>
      </c>
      <c r="B3402" t="s">
        <v>6352</v>
      </c>
      <c r="C3402">
        <v>3.83</v>
      </c>
      <c r="D3402">
        <v>40.840000000000003</v>
      </c>
      <c r="E3402">
        <v>10.85</v>
      </c>
      <c r="F3402">
        <v>0.4</v>
      </c>
      <c r="G3402">
        <v>10.84</v>
      </c>
      <c r="H3402">
        <v>10.85</v>
      </c>
      <c r="I3402" t="s">
        <v>6353</v>
      </c>
      <c r="J3402">
        <v>2.46</v>
      </c>
      <c r="K3402">
        <v>2.46</v>
      </c>
      <c r="L3402">
        <v>10.45</v>
      </c>
      <c r="M3402">
        <v>10.85</v>
      </c>
      <c r="N3402">
        <v>10.37</v>
      </c>
    </row>
    <row r="3403" spans="1:14" x14ac:dyDescent="0.5">
      <c r="A3403" t="str">
        <f>"603607"</f>
        <v>603607</v>
      </c>
      <c r="B3403" t="s">
        <v>6354</v>
      </c>
      <c r="C3403">
        <v>2.11</v>
      </c>
      <c r="D3403">
        <v>29.26</v>
      </c>
      <c r="E3403">
        <v>19.84</v>
      </c>
      <c r="F3403">
        <v>0.41</v>
      </c>
      <c r="G3403">
        <v>19.84</v>
      </c>
      <c r="H3403">
        <v>19.850000000000001</v>
      </c>
      <c r="I3403" t="s">
        <v>3987</v>
      </c>
      <c r="J3403">
        <v>5.55</v>
      </c>
      <c r="K3403">
        <v>5.55</v>
      </c>
      <c r="L3403">
        <v>19.43</v>
      </c>
      <c r="M3403">
        <v>19.88</v>
      </c>
      <c r="N3403">
        <v>19.16</v>
      </c>
    </row>
    <row r="3404" spans="1:14" x14ac:dyDescent="0.5">
      <c r="A3404" t="str">
        <f>"603608"</f>
        <v>603608</v>
      </c>
      <c r="B3404" t="s">
        <v>6355</v>
      </c>
      <c r="C3404">
        <v>0.18</v>
      </c>
      <c r="D3404">
        <v>20.27</v>
      </c>
      <c r="E3404">
        <v>10.99</v>
      </c>
      <c r="F3404">
        <v>0.02</v>
      </c>
      <c r="G3404">
        <v>10.98</v>
      </c>
      <c r="H3404">
        <v>10.99</v>
      </c>
      <c r="I3404" t="s">
        <v>6356</v>
      </c>
      <c r="J3404">
        <v>6.12</v>
      </c>
      <c r="K3404">
        <v>6.12</v>
      </c>
      <c r="L3404">
        <v>10.95</v>
      </c>
      <c r="M3404">
        <v>10.99</v>
      </c>
      <c r="N3404">
        <v>10.8</v>
      </c>
    </row>
    <row r="3405" spans="1:14" x14ac:dyDescent="0.5">
      <c r="A3405" t="str">
        <f>"603609"</f>
        <v>603609</v>
      </c>
      <c r="B3405" t="s">
        <v>6357</v>
      </c>
      <c r="C3405">
        <v>4.54</v>
      </c>
      <c r="D3405">
        <v>15.13</v>
      </c>
      <c r="E3405">
        <v>11.97</v>
      </c>
      <c r="F3405">
        <v>0.52</v>
      </c>
      <c r="G3405">
        <v>11.96</v>
      </c>
      <c r="H3405">
        <v>11.97</v>
      </c>
      <c r="I3405" t="s">
        <v>5297</v>
      </c>
      <c r="J3405">
        <v>1.77</v>
      </c>
      <c r="K3405">
        <v>1.77</v>
      </c>
      <c r="L3405">
        <v>11.4</v>
      </c>
      <c r="M3405">
        <v>12.06</v>
      </c>
      <c r="N3405">
        <v>11.3</v>
      </c>
    </row>
    <row r="3406" spans="1:14" x14ac:dyDescent="0.5">
      <c r="A3406" t="str">
        <f>"603611"</f>
        <v>603611</v>
      </c>
      <c r="B3406" t="s">
        <v>6358</v>
      </c>
      <c r="C3406">
        <v>-1.41</v>
      </c>
      <c r="D3406">
        <v>24.42</v>
      </c>
      <c r="E3406">
        <v>17.43</v>
      </c>
      <c r="F3406">
        <v>-0.25</v>
      </c>
      <c r="G3406">
        <v>17.420000000000002</v>
      </c>
      <c r="H3406">
        <v>17.43</v>
      </c>
      <c r="I3406" t="s">
        <v>1612</v>
      </c>
      <c r="J3406">
        <v>3.64</v>
      </c>
      <c r="K3406">
        <v>3.64</v>
      </c>
      <c r="L3406">
        <v>17.16</v>
      </c>
      <c r="M3406">
        <v>17.46</v>
      </c>
      <c r="N3406">
        <v>16.54</v>
      </c>
    </row>
    <row r="3407" spans="1:14" x14ac:dyDescent="0.5">
      <c r="A3407" t="str">
        <f>"603612"</f>
        <v>603612</v>
      </c>
      <c r="B3407" t="s">
        <v>6359</v>
      </c>
      <c r="C3407">
        <v>3.21</v>
      </c>
      <c r="D3407">
        <v>14.35</v>
      </c>
      <c r="E3407">
        <v>16.07</v>
      </c>
      <c r="F3407">
        <v>0.5</v>
      </c>
      <c r="G3407">
        <v>16.07</v>
      </c>
      <c r="H3407">
        <v>16.079999999999998</v>
      </c>
      <c r="I3407" t="s">
        <v>6360</v>
      </c>
      <c r="J3407">
        <v>5.81</v>
      </c>
      <c r="K3407">
        <v>5.81</v>
      </c>
      <c r="L3407">
        <v>15.45</v>
      </c>
      <c r="M3407">
        <v>16.48</v>
      </c>
      <c r="N3407">
        <v>15.3</v>
      </c>
    </row>
    <row r="3408" spans="1:14" x14ac:dyDescent="0.5">
      <c r="A3408" t="str">
        <f>"603615"</f>
        <v>603615</v>
      </c>
      <c r="B3408" t="s">
        <v>6361</v>
      </c>
      <c r="C3408">
        <v>0.82</v>
      </c>
      <c r="D3408">
        <v>28.65</v>
      </c>
      <c r="E3408">
        <v>9.8800000000000008</v>
      </c>
      <c r="F3408">
        <v>0.08</v>
      </c>
      <c r="G3408">
        <v>9.8800000000000008</v>
      </c>
      <c r="H3408">
        <v>9.89</v>
      </c>
      <c r="I3408" t="s">
        <v>5971</v>
      </c>
      <c r="J3408">
        <v>4.5</v>
      </c>
      <c r="K3408">
        <v>4.5</v>
      </c>
      <c r="L3408">
        <v>9.77</v>
      </c>
      <c r="M3408">
        <v>9.8800000000000008</v>
      </c>
      <c r="N3408">
        <v>9.69</v>
      </c>
    </row>
    <row r="3409" spans="1:14" x14ac:dyDescent="0.5">
      <c r="A3409" t="str">
        <f>"603616"</f>
        <v>603616</v>
      </c>
      <c r="B3409" t="s">
        <v>6362</v>
      </c>
      <c r="C3409">
        <v>1.83</v>
      </c>
      <c r="D3409" t="s">
        <v>24</v>
      </c>
      <c r="E3409">
        <v>12.21</v>
      </c>
      <c r="F3409">
        <v>0.22</v>
      </c>
      <c r="G3409">
        <v>12.2</v>
      </c>
      <c r="H3409">
        <v>12.21</v>
      </c>
      <c r="I3409" t="s">
        <v>5914</v>
      </c>
      <c r="J3409">
        <v>3.79</v>
      </c>
      <c r="K3409">
        <v>3.79</v>
      </c>
      <c r="L3409">
        <v>12.15</v>
      </c>
      <c r="M3409">
        <v>12.35</v>
      </c>
      <c r="N3409">
        <v>12.03</v>
      </c>
    </row>
    <row r="3410" spans="1:14" x14ac:dyDescent="0.5">
      <c r="A3410" t="str">
        <f>"603617"</f>
        <v>603617</v>
      </c>
      <c r="B3410" t="s">
        <v>6363</v>
      </c>
      <c r="C3410">
        <v>1.08</v>
      </c>
      <c r="D3410">
        <v>26.64</v>
      </c>
      <c r="E3410">
        <v>18.649999999999999</v>
      </c>
      <c r="F3410">
        <v>0.2</v>
      </c>
      <c r="G3410">
        <v>18.649999999999999</v>
      </c>
      <c r="H3410">
        <v>18.66</v>
      </c>
      <c r="I3410" t="s">
        <v>6364</v>
      </c>
      <c r="J3410">
        <v>6.11</v>
      </c>
      <c r="K3410">
        <v>6.11</v>
      </c>
      <c r="L3410">
        <v>18.27</v>
      </c>
      <c r="M3410">
        <v>18.670000000000002</v>
      </c>
      <c r="N3410">
        <v>18.27</v>
      </c>
    </row>
    <row r="3411" spans="1:14" x14ac:dyDescent="0.5">
      <c r="A3411" t="str">
        <f>"603618"</f>
        <v>603618</v>
      </c>
      <c r="B3411" t="s">
        <v>6365</v>
      </c>
      <c r="C3411">
        <v>2.41</v>
      </c>
      <c r="D3411">
        <v>56.38</v>
      </c>
      <c r="E3411">
        <v>6.8</v>
      </c>
      <c r="F3411">
        <v>0.16</v>
      </c>
      <c r="G3411">
        <v>6.8</v>
      </c>
      <c r="H3411">
        <v>6.81</v>
      </c>
      <c r="I3411" t="s">
        <v>6366</v>
      </c>
      <c r="J3411">
        <v>3.03</v>
      </c>
      <c r="K3411">
        <v>3.03</v>
      </c>
      <c r="L3411">
        <v>6.5</v>
      </c>
      <c r="M3411">
        <v>6.81</v>
      </c>
      <c r="N3411">
        <v>6.46</v>
      </c>
    </row>
    <row r="3412" spans="1:14" x14ac:dyDescent="0.5">
      <c r="A3412" t="str">
        <f>"603619"</f>
        <v>603619</v>
      </c>
      <c r="B3412" t="s">
        <v>6367</v>
      </c>
      <c r="C3412">
        <v>2.2200000000000002</v>
      </c>
      <c r="D3412">
        <v>47.71</v>
      </c>
      <c r="E3412">
        <v>16.579999999999998</v>
      </c>
      <c r="F3412">
        <v>0.36</v>
      </c>
      <c r="G3412">
        <v>16.57</v>
      </c>
      <c r="H3412">
        <v>16.579999999999998</v>
      </c>
      <c r="I3412" t="s">
        <v>6368</v>
      </c>
      <c r="J3412">
        <v>6.32</v>
      </c>
      <c r="K3412">
        <v>6.32</v>
      </c>
      <c r="L3412">
        <v>16.399999999999999</v>
      </c>
      <c r="M3412">
        <v>16.88</v>
      </c>
      <c r="N3412">
        <v>16.28</v>
      </c>
    </row>
    <row r="3413" spans="1:14" x14ac:dyDescent="0.5">
      <c r="A3413" t="str">
        <f>"603626"</f>
        <v>603626</v>
      </c>
      <c r="B3413" t="s">
        <v>6369</v>
      </c>
      <c r="C3413">
        <v>6.67</v>
      </c>
      <c r="D3413">
        <v>22.98</v>
      </c>
      <c r="E3413">
        <v>10.24</v>
      </c>
      <c r="F3413">
        <v>0.64</v>
      </c>
      <c r="G3413">
        <v>10.24</v>
      </c>
      <c r="H3413">
        <v>10.25</v>
      </c>
      <c r="I3413" t="s">
        <v>1990</v>
      </c>
      <c r="J3413">
        <v>9.0299999999999994</v>
      </c>
      <c r="K3413">
        <v>9.0299999999999994</v>
      </c>
      <c r="L3413">
        <v>9.5500000000000007</v>
      </c>
      <c r="M3413">
        <v>10.24</v>
      </c>
      <c r="N3413">
        <v>9.44</v>
      </c>
    </row>
    <row r="3414" spans="1:14" x14ac:dyDescent="0.5">
      <c r="A3414" t="str">
        <f>"603628"</f>
        <v>603628</v>
      </c>
      <c r="B3414" t="s">
        <v>6370</v>
      </c>
      <c r="C3414">
        <v>2.35</v>
      </c>
      <c r="D3414">
        <v>161.68</v>
      </c>
      <c r="E3414">
        <v>8.7200000000000006</v>
      </c>
      <c r="F3414">
        <v>0.2</v>
      </c>
      <c r="G3414">
        <v>8.7200000000000006</v>
      </c>
      <c r="H3414">
        <v>8.73</v>
      </c>
      <c r="I3414" t="s">
        <v>4001</v>
      </c>
      <c r="J3414">
        <v>5.54</v>
      </c>
      <c r="K3414">
        <v>5.54</v>
      </c>
      <c r="L3414">
        <v>8.5</v>
      </c>
      <c r="M3414">
        <v>8.74</v>
      </c>
      <c r="N3414">
        <v>8.4600000000000009</v>
      </c>
    </row>
    <row r="3415" spans="1:14" x14ac:dyDescent="0.5">
      <c r="A3415" t="str">
        <f>"603629"</f>
        <v>603629</v>
      </c>
      <c r="B3415" t="s">
        <v>6371</v>
      </c>
      <c r="C3415">
        <v>10</v>
      </c>
      <c r="D3415">
        <v>36.869999999999997</v>
      </c>
      <c r="E3415">
        <v>41.8</v>
      </c>
      <c r="F3415">
        <v>3.8</v>
      </c>
      <c r="G3415">
        <v>41.8</v>
      </c>
      <c r="H3415" t="s">
        <v>24</v>
      </c>
      <c r="I3415" t="s">
        <v>6372</v>
      </c>
      <c r="J3415">
        <v>50.96</v>
      </c>
      <c r="K3415">
        <v>50.96</v>
      </c>
      <c r="L3415">
        <v>38</v>
      </c>
      <c r="M3415">
        <v>41.8</v>
      </c>
      <c r="N3415">
        <v>37.9</v>
      </c>
    </row>
    <row r="3416" spans="1:14" x14ac:dyDescent="0.5">
      <c r="A3416" t="str">
        <f>"603630"</f>
        <v>603630</v>
      </c>
      <c r="B3416" t="s">
        <v>6373</v>
      </c>
      <c r="C3416">
        <v>1.37</v>
      </c>
      <c r="D3416">
        <v>20.09</v>
      </c>
      <c r="E3416">
        <v>15.5</v>
      </c>
      <c r="F3416">
        <v>0.21</v>
      </c>
      <c r="G3416">
        <v>15.5</v>
      </c>
      <c r="H3416">
        <v>15.51</v>
      </c>
      <c r="I3416" t="s">
        <v>6374</v>
      </c>
      <c r="J3416">
        <v>5.44</v>
      </c>
      <c r="K3416">
        <v>5.44</v>
      </c>
      <c r="L3416">
        <v>15.25</v>
      </c>
      <c r="M3416">
        <v>15.5</v>
      </c>
      <c r="N3416">
        <v>15.1</v>
      </c>
    </row>
    <row r="3417" spans="1:14" x14ac:dyDescent="0.5">
      <c r="A3417" t="str">
        <f>"603633"</f>
        <v>603633</v>
      </c>
      <c r="B3417" t="s">
        <v>6375</v>
      </c>
      <c r="C3417">
        <v>0.71</v>
      </c>
      <c r="D3417">
        <v>40.409999999999997</v>
      </c>
      <c r="E3417">
        <v>12.81</v>
      </c>
      <c r="F3417">
        <v>0.09</v>
      </c>
      <c r="G3417">
        <v>12.8</v>
      </c>
      <c r="H3417">
        <v>12.81</v>
      </c>
      <c r="I3417" t="s">
        <v>6376</v>
      </c>
      <c r="J3417">
        <v>3.25</v>
      </c>
      <c r="K3417">
        <v>3.25</v>
      </c>
      <c r="L3417">
        <v>12.55</v>
      </c>
      <c r="M3417">
        <v>12.99</v>
      </c>
      <c r="N3417">
        <v>12.36</v>
      </c>
    </row>
    <row r="3418" spans="1:14" x14ac:dyDescent="0.5">
      <c r="A3418" t="str">
        <f>"603636"</f>
        <v>603636</v>
      </c>
      <c r="B3418" t="s">
        <v>6377</v>
      </c>
      <c r="C3418">
        <v>4.34</v>
      </c>
      <c r="D3418">
        <v>30.2</v>
      </c>
      <c r="E3418">
        <v>11.55</v>
      </c>
      <c r="F3418">
        <v>0.48</v>
      </c>
      <c r="G3418">
        <v>11.54</v>
      </c>
      <c r="H3418">
        <v>11.55</v>
      </c>
      <c r="I3418" t="s">
        <v>6378</v>
      </c>
      <c r="J3418">
        <v>3.9</v>
      </c>
      <c r="K3418">
        <v>3.9</v>
      </c>
      <c r="L3418">
        <v>11.08</v>
      </c>
      <c r="M3418">
        <v>11.58</v>
      </c>
      <c r="N3418">
        <v>11.01</v>
      </c>
    </row>
    <row r="3419" spans="1:14" x14ac:dyDescent="0.5">
      <c r="A3419" t="str">
        <f>"603637"</f>
        <v>603637</v>
      </c>
      <c r="B3419" t="s">
        <v>6379</v>
      </c>
      <c r="C3419">
        <v>0.69</v>
      </c>
      <c r="D3419">
        <v>55.29</v>
      </c>
      <c r="E3419">
        <v>15.96</v>
      </c>
      <c r="F3419">
        <v>0.11</v>
      </c>
      <c r="G3419">
        <v>15.96</v>
      </c>
      <c r="H3419">
        <v>15.97</v>
      </c>
      <c r="I3419" t="s">
        <v>6380</v>
      </c>
      <c r="J3419">
        <v>5.52</v>
      </c>
      <c r="K3419">
        <v>5.52</v>
      </c>
      <c r="L3419">
        <v>15.8</v>
      </c>
      <c r="M3419">
        <v>16.100000000000001</v>
      </c>
      <c r="N3419">
        <v>15.69</v>
      </c>
    </row>
    <row r="3420" spans="1:14" x14ac:dyDescent="0.5">
      <c r="A3420" t="str">
        <f>"603638"</f>
        <v>603638</v>
      </c>
      <c r="B3420" t="s">
        <v>6381</v>
      </c>
      <c r="C3420">
        <v>3.56</v>
      </c>
      <c r="D3420">
        <v>31.85</v>
      </c>
      <c r="E3420">
        <v>28.78</v>
      </c>
      <c r="F3420">
        <v>0.99</v>
      </c>
      <c r="G3420">
        <v>28.78</v>
      </c>
      <c r="H3420">
        <v>28.79</v>
      </c>
      <c r="I3420" t="s">
        <v>6382</v>
      </c>
      <c r="J3420">
        <v>2.91</v>
      </c>
      <c r="K3420">
        <v>2.91</v>
      </c>
      <c r="L3420">
        <v>27.71</v>
      </c>
      <c r="M3420">
        <v>28.89</v>
      </c>
      <c r="N3420">
        <v>27.27</v>
      </c>
    </row>
    <row r="3421" spans="1:14" x14ac:dyDescent="0.5">
      <c r="A3421" t="str">
        <f>"603639"</f>
        <v>603639</v>
      </c>
      <c r="B3421" t="s">
        <v>6383</v>
      </c>
      <c r="C3421">
        <v>0.89</v>
      </c>
      <c r="D3421">
        <v>12.49</v>
      </c>
      <c r="E3421">
        <v>30.65</v>
      </c>
      <c r="F3421">
        <v>0.27</v>
      </c>
      <c r="G3421">
        <v>30.65</v>
      </c>
      <c r="H3421">
        <v>30.66</v>
      </c>
      <c r="I3421" t="s">
        <v>1946</v>
      </c>
      <c r="J3421">
        <v>2.78</v>
      </c>
      <c r="K3421">
        <v>2.78</v>
      </c>
      <c r="L3421">
        <v>30.22</v>
      </c>
      <c r="M3421">
        <v>30.65</v>
      </c>
      <c r="N3421">
        <v>30.11</v>
      </c>
    </row>
    <row r="3422" spans="1:14" x14ac:dyDescent="0.5">
      <c r="A3422" t="str">
        <f>"603648"</f>
        <v>603648</v>
      </c>
      <c r="B3422" t="s">
        <v>6384</v>
      </c>
      <c r="C3422">
        <v>2.13</v>
      </c>
      <c r="D3422">
        <v>28.96</v>
      </c>
      <c r="E3422">
        <v>12</v>
      </c>
      <c r="F3422">
        <v>0.25</v>
      </c>
      <c r="G3422">
        <v>11.99</v>
      </c>
      <c r="H3422">
        <v>12</v>
      </c>
      <c r="I3422" t="s">
        <v>169</v>
      </c>
      <c r="J3422">
        <v>4.42</v>
      </c>
      <c r="K3422">
        <v>4.42</v>
      </c>
      <c r="L3422">
        <v>11.56</v>
      </c>
      <c r="M3422">
        <v>12.08</v>
      </c>
      <c r="N3422">
        <v>11.45</v>
      </c>
    </row>
    <row r="3423" spans="1:14" x14ac:dyDescent="0.5">
      <c r="A3423" t="str">
        <f>"603650"</f>
        <v>603650</v>
      </c>
      <c r="B3423" t="s">
        <v>6385</v>
      </c>
      <c r="C3423">
        <v>3.48</v>
      </c>
      <c r="D3423">
        <v>31.04</v>
      </c>
      <c r="E3423">
        <v>23.2</v>
      </c>
      <c r="F3423">
        <v>0.78</v>
      </c>
      <c r="G3423">
        <v>23.2</v>
      </c>
      <c r="H3423">
        <v>23.21</v>
      </c>
      <c r="I3423" t="s">
        <v>2909</v>
      </c>
      <c r="J3423">
        <v>16.5</v>
      </c>
      <c r="K3423">
        <v>16.5</v>
      </c>
      <c r="L3423">
        <v>22.4</v>
      </c>
      <c r="M3423">
        <v>23.2</v>
      </c>
      <c r="N3423">
        <v>22.2</v>
      </c>
    </row>
    <row r="3424" spans="1:14" x14ac:dyDescent="0.5">
      <c r="A3424" t="str">
        <f>"603655"</f>
        <v>603655</v>
      </c>
      <c r="B3424" t="s">
        <v>6386</v>
      </c>
      <c r="C3424">
        <v>-0.55000000000000004</v>
      </c>
      <c r="D3424">
        <v>49.24</v>
      </c>
      <c r="E3424">
        <v>16.21</v>
      </c>
      <c r="F3424">
        <v>-0.09</v>
      </c>
      <c r="G3424">
        <v>16.21</v>
      </c>
      <c r="H3424">
        <v>16.239999999999998</v>
      </c>
      <c r="I3424" t="s">
        <v>3895</v>
      </c>
      <c r="J3424">
        <v>11.05</v>
      </c>
      <c r="K3424">
        <v>11.05</v>
      </c>
      <c r="L3424">
        <v>16.18</v>
      </c>
      <c r="M3424">
        <v>16.5</v>
      </c>
      <c r="N3424">
        <v>15.91</v>
      </c>
    </row>
    <row r="3425" spans="1:14" x14ac:dyDescent="0.5">
      <c r="A3425" t="str">
        <f>"603656"</f>
        <v>603656</v>
      </c>
      <c r="B3425" t="s">
        <v>6387</v>
      </c>
      <c r="C3425">
        <v>6.23</v>
      </c>
      <c r="D3425">
        <v>26.83</v>
      </c>
      <c r="E3425">
        <v>19.260000000000002</v>
      </c>
      <c r="F3425">
        <v>1.1299999999999999</v>
      </c>
      <c r="G3425">
        <v>19.260000000000002</v>
      </c>
      <c r="H3425">
        <v>19.28</v>
      </c>
      <c r="I3425" t="s">
        <v>6388</v>
      </c>
      <c r="J3425">
        <v>12.63</v>
      </c>
      <c r="K3425">
        <v>12.63</v>
      </c>
      <c r="L3425">
        <v>18.5</v>
      </c>
      <c r="M3425">
        <v>19.78</v>
      </c>
      <c r="N3425">
        <v>18.2</v>
      </c>
    </row>
    <row r="3426" spans="1:14" x14ac:dyDescent="0.5">
      <c r="A3426" t="str">
        <f>"603657"</f>
        <v>603657</v>
      </c>
      <c r="B3426" t="s">
        <v>6389</v>
      </c>
      <c r="C3426">
        <v>0.91</v>
      </c>
      <c r="D3426">
        <v>31.52</v>
      </c>
      <c r="E3426">
        <v>32.270000000000003</v>
      </c>
      <c r="F3426">
        <v>0.28999999999999998</v>
      </c>
      <c r="G3426">
        <v>32.26</v>
      </c>
      <c r="H3426">
        <v>32.270000000000003</v>
      </c>
      <c r="I3426" t="s">
        <v>4001</v>
      </c>
      <c r="J3426">
        <v>14.25</v>
      </c>
      <c r="K3426">
        <v>14.25</v>
      </c>
      <c r="L3426">
        <v>31.7</v>
      </c>
      <c r="M3426">
        <v>32.29</v>
      </c>
      <c r="N3426">
        <v>31.7</v>
      </c>
    </row>
    <row r="3427" spans="1:14" x14ac:dyDescent="0.5">
      <c r="A3427" t="str">
        <f>"603658"</f>
        <v>603658</v>
      </c>
      <c r="B3427" t="s">
        <v>6390</v>
      </c>
      <c r="C3427">
        <v>0.63</v>
      </c>
      <c r="D3427">
        <v>46.62</v>
      </c>
      <c r="E3427">
        <v>60.88</v>
      </c>
      <c r="F3427">
        <v>0.38</v>
      </c>
      <c r="G3427">
        <v>60.76</v>
      </c>
      <c r="H3427">
        <v>60.88</v>
      </c>
      <c r="I3427" t="s">
        <v>6391</v>
      </c>
      <c r="J3427">
        <v>1.3</v>
      </c>
      <c r="K3427">
        <v>1.3</v>
      </c>
      <c r="L3427">
        <v>60.5</v>
      </c>
      <c r="M3427">
        <v>61.05</v>
      </c>
      <c r="N3427">
        <v>59.3</v>
      </c>
    </row>
    <row r="3428" spans="1:14" x14ac:dyDescent="0.5">
      <c r="A3428" t="str">
        <f>"603659"</f>
        <v>603659</v>
      </c>
      <c r="B3428" t="s">
        <v>6392</v>
      </c>
      <c r="C3428">
        <v>0.83</v>
      </c>
      <c r="D3428">
        <v>39.11</v>
      </c>
      <c r="E3428">
        <v>51.2</v>
      </c>
      <c r="F3428">
        <v>0.42</v>
      </c>
      <c r="G3428">
        <v>51.19</v>
      </c>
      <c r="H3428">
        <v>51.2</v>
      </c>
      <c r="I3428" t="s">
        <v>6393</v>
      </c>
      <c r="J3428">
        <v>0.72</v>
      </c>
      <c r="K3428">
        <v>0.72</v>
      </c>
      <c r="L3428">
        <v>50</v>
      </c>
      <c r="M3428">
        <v>51.39</v>
      </c>
      <c r="N3428">
        <v>49.93</v>
      </c>
    </row>
    <row r="3429" spans="1:14" x14ac:dyDescent="0.5">
      <c r="A3429" t="str">
        <f>"603660"</f>
        <v>603660</v>
      </c>
      <c r="B3429" t="s">
        <v>6394</v>
      </c>
      <c r="C3429">
        <v>3.6</v>
      </c>
      <c r="D3429">
        <v>27.67</v>
      </c>
      <c r="E3429">
        <v>24.45</v>
      </c>
      <c r="F3429">
        <v>0.85</v>
      </c>
      <c r="G3429">
        <v>24.45</v>
      </c>
      <c r="H3429">
        <v>24.46</v>
      </c>
      <c r="I3429" t="s">
        <v>6395</v>
      </c>
      <c r="J3429">
        <v>2.77</v>
      </c>
      <c r="K3429">
        <v>2.77</v>
      </c>
      <c r="L3429">
        <v>23.95</v>
      </c>
      <c r="M3429">
        <v>24.58</v>
      </c>
      <c r="N3429">
        <v>23.69</v>
      </c>
    </row>
    <row r="3430" spans="1:14" x14ac:dyDescent="0.5">
      <c r="A3430" t="str">
        <f>"603661"</f>
        <v>603661</v>
      </c>
      <c r="B3430" t="s">
        <v>6396</v>
      </c>
      <c r="C3430">
        <v>0.79</v>
      </c>
      <c r="D3430">
        <v>25.88</v>
      </c>
      <c r="E3430">
        <v>34.520000000000003</v>
      </c>
      <c r="F3430">
        <v>0.27</v>
      </c>
      <c r="G3430">
        <v>34.51</v>
      </c>
      <c r="H3430">
        <v>34.520000000000003</v>
      </c>
      <c r="I3430" t="s">
        <v>6397</v>
      </c>
      <c r="J3430">
        <v>4.12</v>
      </c>
      <c r="K3430">
        <v>4.12</v>
      </c>
      <c r="L3430">
        <v>34.630000000000003</v>
      </c>
      <c r="M3430">
        <v>34.64</v>
      </c>
      <c r="N3430">
        <v>34.049999999999997</v>
      </c>
    </row>
    <row r="3431" spans="1:14" x14ac:dyDescent="0.5">
      <c r="A3431" t="str">
        <f>"603663"</f>
        <v>603663</v>
      </c>
      <c r="B3431" t="s">
        <v>6398</v>
      </c>
      <c r="C3431">
        <v>-0.1</v>
      </c>
      <c r="D3431">
        <v>33.79</v>
      </c>
      <c r="E3431">
        <v>19.579999999999998</v>
      </c>
      <c r="F3431">
        <v>-0.02</v>
      </c>
      <c r="G3431">
        <v>19.579999999999998</v>
      </c>
      <c r="H3431">
        <v>19.59</v>
      </c>
      <c r="I3431" t="s">
        <v>6399</v>
      </c>
      <c r="J3431">
        <v>2.98</v>
      </c>
      <c r="K3431">
        <v>2.98</v>
      </c>
      <c r="L3431">
        <v>19.55</v>
      </c>
      <c r="M3431">
        <v>19.600000000000001</v>
      </c>
      <c r="N3431">
        <v>19.329999999999998</v>
      </c>
    </row>
    <row r="3432" spans="1:14" x14ac:dyDescent="0.5">
      <c r="A3432" t="str">
        <f>"603665"</f>
        <v>603665</v>
      </c>
      <c r="B3432" t="s">
        <v>6400</v>
      </c>
      <c r="C3432">
        <v>0.44</v>
      </c>
      <c r="D3432">
        <v>30.72</v>
      </c>
      <c r="E3432">
        <v>25.18</v>
      </c>
      <c r="F3432">
        <v>0.11</v>
      </c>
      <c r="G3432">
        <v>25.18</v>
      </c>
      <c r="H3432">
        <v>25.19</v>
      </c>
      <c r="I3432" t="s">
        <v>6401</v>
      </c>
      <c r="J3432">
        <v>3.34</v>
      </c>
      <c r="K3432">
        <v>3.34</v>
      </c>
      <c r="L3432">
        <v>25.07</v>
      </c>
      <c r="M3432">
        <v>25.58</v>
      </c>
      <c r="N3432">
        <v>24.89</v>
      </c>
    </row>
    <row r="3433" spans="1:14" x14ac:dyDescent="0.5">
      <c r="A3433" t="str">
        <f>"603666"</f>
        <v>603666</v>
      </c>
      <c r="B3433" t="s">
        <v>6402</v>
      </c>
      <c r="C3433">
        <v>4.93</v>
      </c>
      <c r="D3433">
        <v>32.32</v>
      </c>
      <c r="E3433">
        <v>57.08</v>
      </c>
      <c r="F3433">
        <v>2.68</v>
      </c>
      <c r="G3433">
        <v>57.08</v>
      </c>
      <c r="H3433">
        <v>57.09</v>
      </c>
      <c r="I3433" t="s">
        <v>6099</v>
      </c>
      <c r="J3433">
        <v>15.09</v>
      </c>
      <c r="K3433">
        <v>15.09</v>
      </c>
      <c r="L3433">
        <v>54.5</v>
      </c>
      <c r="M3433">
        <v>57.1</v>
      </c>
      <c r="N3433">
        <v>54.2</v>
      </c>
    </row>
    <row r="3434" spans="1:14" x14ac:dyDescent="0.5">
      <c r="A3434" t="str">
        <f>"603667"</f>
        <v>603667</v>
      </c>
      <c r="B3434" t="s">
        <v>6403</v>
      </c>
      <c r="C3434">
        <v>2.2400000000000002</v>
      </c>
      <c r="D3434">
        <v>23.32</v>
      </c>
      <c r="E3434">
        <v>9.58</v>
      </c>
      <c r="F3434">
        <v>0.21</v>
      </c>
      <c r="G3434">
        <v>9.58</v>
      </c>
      <c r="H3434">
        <v>9.59</v>
      </c>
      <c r="I3434" t="s">
        <v>3972</v>
      </c>
      <c r="J3434">
        <v>3.22</v>
      </c>
      <c r="K3434">
        <v>3.22</v>
      </c>
      <c r="L3434">
        <v>9.36</v>
      </c>
      <c r="M3434">
        <v>9.59</v>
      </c>
      <c r="N3434">
        <v>9.35</v>
      </c>
    </row>
    <row r="3435" spans="1:14" x14ac:dyDescent="0.5">
      <c r="A3435" t="str">
        <f>"603668"</f>
        <v>603668</v>
      </c>
      <c r="B3435" t="s">
        <v>6404</v>
      </c>
      <c r="C3435">
        <v>4.3600000000000003</v>
      </c>
      <c r="D3435">
        <v>26.93</v>
      </c>
      <c r="E3435">
        <v>8.6199999999999992</v>
      </c>
      <c r="F3435">
        <v>0.36</v>
      </c>
      <c r="G3435">
        <v>8.6199999999999992</v>
      </c>
      <c r="H3435">
        <v>8.6300000000000008</v>
      </c>
      <c r="I3435" t="s">
        <v>5999</v>
      </c>
      <c r="J3435">
        <v>4.62</v>
      </c>
      <c r="K3435">
        <v>4.62</v>
      </c>
      <c r="L3435">
        <v>8.26</v>
      </c>
      <c r="M3435">
        <v>8.69</v>
      </c>
      <c r="N3435">
        <v>8.23</v>
      </c>
    </row>
    <row r="3436" spans="1:14" x14ac:dyDescent="0.5">
      <c r="A3436" t="str">
        <f>"603669"</f>
        <v>603669</v>
      </c>
      <c r="B3436" t="s">
        <v>6405</v>
      </c>
      <c r="C3436">
        <v>0.5</v>
      </c>
      <c r="D3436">
        <v>18.579999999999998</v>
      </c>
      <c r="E3436">
        <v>11.96</v>
      </c>
      <c r="F3436">
        <v>0.06</v>
      </c>
      <c r="G3436">
        <v>11.95</v>
      </c>
      <c r="H3436">
        <v>11.96</v>
      </c>
      <c r="I3436" t="s">
        <v>2740</v>
      </c>
      <c r="J3436">
        <v>0.54</v>
      </c>
      <c r="K3436">
        <v>0.54</v>
      </c>
      <c r="L3436">
        <v>11.81</v>
      </c>
      <c r="M3436">
        <v>11.98</v>
      </c>
      <c r="N3436">
        <v>11.78</v>
      </c>
    </row>
    <row r="3437" spans="1:14" x14ac:dyDescent="0.5">
      <c r="A3437" t="str">
        <f>"603676"</f>
        <v>603676</v>
      </c>
      <c r="B3437" t="s">
        <v>6406</v>
      </c>
      <c r="C3437">
        <v>2.39</v>
      </c>
      <c r="D3437">
        <v>56.72</v>
      </c>
      <c r="E3437">
        <v>12.4</v>
      </c>
      <c r="F3437">
        <v>0.28999999999999998</v>
      </c>
      <c r="G3437">
        <v>12.39</v>
      </c>
      <c r="H3437">
        <v>12.4</v>
      </c>
      <c r="I3437" t="s">
        <v>6407</v>
      </c>
      <c r="J3437">
        <v>9.2200000000000006</v>
      </c>
      <c r="K3437">
        <v>9.2200000000000006</v>
      </c>
      <c r="L3437">
        <v>12.13</v>
      </c>
      <c r="M3437">
        <v>12.45</v>
      </c>
      <c r="N3437">
        <v>12.05</v>
      </c>
    </row>
    <row r="3438" spans="1:14" x14ac:dyDescent="0.5">
      <c r="A3438" t="str">
        <f>"603677"</f>
        <v>603677</v>
      </c>
      <c r="B3438" t="s">
        <v>6408</v>
      </c>
      <c r="C3438">
        <v>1.1599999999999999</v>
      </c>
      <c r="D3438">
        <v>34.22</v>
      </c>
      <c r="E3438">
        <v>14.77</v>
      </c>
      <c r="F3438">
        <v>0.17</v>
      </c>
      <c r="G3438">
        <v>14.76</v>
      </c>
      <c r="H3438">
        <v>14.77</v>
      </c>
      <c r="I3438" t="s">
        <v>2582</v>
      </c>
      <c r="J3438">
        <v>6.5</v>
      </c>
      <c r="K3438">
        <v>6.5</v>
      </c>
      <c r="L3438">
        <v>14.41</v>
      </c>
      <c r="M3438">
        <v>14.92</v>
      </c>
      <c r="N3438">
        <v>14.3</v>
      </c>
    </row>
    <row r="3439" spans="1:14" x14ac:dyDescent="0.5">
      <c r="A3439" t="str">
        <f>"603678"</f>
        <v>603678</v>
      </c>
      <c r="B3439" t="s">
        <v>6409</v>
      </c>
      <c r="C3439">
        <v>1.94</v>
      </c>
      <c r="D3439">
        <v>26.82</v>
      </c>
      <c r="E3439">
        <v>19.41</v>
      </c>
      <c r="F3439">
        <v>0.37</v>
      </c>
      <c r="G3439">
        <v>19.41</v>
      </c>
      <c r="H3439">
        <v>19.420000000000002</v>
      </c>
      <c r="I3439" t="s">
        <v>6410</v>
      </c>
      <c r="J3439">
        <v>2.06</v>
      </c>
      <c r="K3439">
        <v>2.06</v>
      </c>
      <c r="L3439">
        <v>19.079999999999998</v>
      </c>
      <c r="M3439">
        <v>19.47</v>
      </c>
      <c r="N3439">
        <v>18.79</v>
      </c>
    </row>
    <row r="3440" spans="1:14" x14ac:dyDescent="0.5">
      <c r="A3440" t="str">
        <f>"603679"</f>
        <v>603679</v>
      </c>
      <c r="B3440" t="s">
        <v>6411</v>
      </c>
      <c r="C3440">
        <v>9.99</v>
      </c>
      <c r="D3440">
        <v>36.32</v>
      </c>
      <c r="E3440">
        <v>29.28</v>
      </c>
      <c r="F3440">
        <v>2.66</v>
      </c>
      <c r="G3440">
        <v>29.28</v>
      </c>
      <c r="H3440" t="s">
        <v>24</v>
      </c>
      <c r="I3440" t="s">
        <v>6412</v>
      </c>
      <c r="J3440">
        <v>7.17</v>
      </c>
      <c r="K3440">
        <v>7.17</v>
      </c>
      <c r="L3440">
        <v>26.6</v>
      </c>
      <c r="M3440">
        <v>29.28</v>
      </c>
      <c r="N3440">
        <v>26.31</v>
      </c>
    </row>
    <row r="3441" spans="1:14" x14ac:dyDescent="0.5">
      <c r="A3441" t="str">
        <f>"603680"</f>
        <v>603680</v>
      </c>
      <c r="B3441" t="s">
        <v>6413</v>
      </c>
      <c r="C3441">
        <v>1.66</v>
      </c>
      <c r="D3441">
        <v>19.02</v>
      </c>
      <c r="E3441">
        <v>17.11</v>
      </c>
      <c r="F3441">
        <v>0.28000000000000003</v>
      </c>
      <c r="G3441">
        <v>17.11</v>
      </c>
      <c r="H3441">
        <v>17.12</v>
      </c>
      <c r="I3441" t="s">
        <v>6414</v>
      </c>
      <c r="J3441">
        <v>2.59</v>
      </c>
      <c r="K3441">
        <v>2.59</v>
      </c>
      <c r="L3441">
        <v>16.95</v>
      </c>
      <c r="M3441">
        <v>17.149999999999999</v>
      </c>
      <c r="N3441">
        <v>16.739999999999998</v>
      </c>
    </row>
    <row r="3442" spans="1:14" x14ac:dyDescent="0.5">
      <c r="A3442" t="str">
        <f>"603683"</f>
        <v>603683</v>
      </c>
      <c r="B3442" t="s">
        <v>6415</v>
      </c>
      <c r="C3442">
        <v>2.2000000000000002</v>
      </c>
      <c r="D3442">
        <v>66.989999999999995</v>
      </c>
      <c r="E3442">
        <v>15.35</v>
      </c>
      <c r="F3442">
        <v>0.33</v>
      </c>
      <c r="G3442">
        <v>15.34</v>
      </c>
      <c r="H3442">
        <v>15.35</v>
      </c>
      <c r="I3442" t="s">
        <v>2572</v>
      </c>
      <c r="J3442">
        <v>7.75</v>
      </c>
      <c r="K3442">
        <v>7.75</v>
      </c>
      <c r="L3442">
        <v>15.01</v>
      </c>
      <c r="M3442">
        <v>15.35</v>
      </c>
      <c r="N3442">
        <v>14.82</v>
      </c>
    </row>
    <row r="3443" spans="1:14" x14ac:dyDescent="0.5">
      <c r="A3443" t="str">
        <f>"603685"</f>
        <v>603685</v>
      </c>
      <c r="B3443" t="s">
        <v>6416</v>
      </c>
      <c r="C3443">
        <v>1.59</v>
      </c>
      <c r="D3443">
        <v>21.56</v>
      </c>
      <c r="E3443">
        <v>15.94</v>
      </c>
      <c r="F3443">
        <v>0.25</v>
      </c>
      <c r="G3443">
        <v>15.94</v>
      </c>
      <c r="H3443">
        <v>15.95</v>
      </c>
      <c r="I3443" t="s">
        <v>6417</v>
      </c>
      <c r="J3443">
        <v>3.78</v>
      </c>
      <c r="K3443">
        <v>3.78</v>
      </c>
      <c r="L3443">
        <v>15.65</v>
      </c>
      <c r="M3443">
        <v>15.98</v>
      </c>
      <c r="N3443">
        <v>15.54</v>
      </c>
    </row>
    <row r="3444" spans="1:14" x14ac:dyDescent="0.5">
      <c r="A3444" t="str">
        <f>"603686"</f>
        <v>603686</v>
      </c>
      <c r="B3444" t="s">
        <v>6418</v>
      </c>
      <c r="C3444">
        <v>1.0900000000000001</v>
      </c>
      <c r="D3444">
        <v>15.01</v>
      </c>
      <c r="E3444">
        <v>13.87</v>
      </c>
      <c r="F3444">
        <v>0.15</v>
      </c>
      <c r="G3444">
        <v>13.86</v>
      </c>
      <c r="H3444">
        <v>13.87</v>
      </c>
      <c r="I3444" t="s">
        <v>6419</v>
      </c>
      <c r="J3444">
        <v>2.11</v>
      </c>
      <c r="K3444">
        <v>2.11</v>
      </c>
      <c r="L3444">
        <v>13.78</v>
      </c>
      <c r="M3444">
        <v>13.94</v>
      </c>
      <c r="N3444">
        <v>13.6</v>
      </c>
    </row>
    <row r="3445" spans="1:14" x14ac:dyDescent="0.5">
      <c r="A3445" t="str">
        <f>"603688"</f>
        <v>603688</v>
      </c>
      <c r="B3445" t="s">
        <v>6420</v>
      </c>
      <c r="C3445">
        <v>2.91</v>
      </c>
      <c r="D3445">
        <v>37.46</v>
      </c>
      <c r="E3445">
        <v>15.58</v>
      </c>
      <c r="F3445">
        <v>0.44</v>
      </c>
      <c r="G3445">
        <v>15.57</v>
      </c>
      <c r="H3445">
        <v>15.58</v>
      </c>
      <c r="I3445" t="s">
        <v>1935</v>
      </c>
      <c r="J3445">
        <v>1.1200000000000001</v>
      </c>
      <c r="K3445">
        <v>1.1200000000000001</v>
      </c>
      <c r="L3445">
        <v>15.09</v>
      </c>
      <c r="M3445">
        <v>15.7</v>
      </c>
      <c r="N3445">
        <v>14.88</v>
      </c>
    </row>
    <row r="3446" spans="1:14" x14ac:dyDescent="0.5">
      <c r="A3446" t="str">
        <f>"603689"</f>
        <v>603689</v>
      </c>
      <c r="B3446" t="s">
        <v>6421</v>
      </c>
      <c r="C3446">
        <v>1.49</v>
      </c>
      <c r="D3446">
        <v>25.13</v>
      </c>
      <c r="E3446">
        <v>12.24</v>
      </c>
      <c r="F3446">
        <v>0.18</v>
      </c>
      <c r="G3446">
        <v>12.24</v>
      </c>
      <c r="H3446">
        <v>12.25</v>
      </c>
      <c r="I3446" t="s">
        <v>5157</v>
      </c>
      <c r="J3446">
        <v>4.78</v>
      </c>
      <c r="K3446">
        <v>4.78</v>
      </c>
      <c r="L3446">
        <v>12.06</v>
      </c>
      <c r="M3446">
        <v>12.33</v>
      </c>
      <c r="N3446">
        <v>11.96</v>
      </c>
    </row>
    <row r="3447" spans="1:14" x14ac:dyDescent="0.5">
      <c r="A3447" t="str">
        <f>"603690"</f>
        <v>603690</v>
      </c>
      <c r="B3447" t="s">
        <v>6422</v>
      </c>
      <c r="C3447">
        <v>5.46</v>
      </c>
      <c r="D3447">
        <v>110.26</v>
      </c>
      <c r="E3447">
        <v>24.15</v>
      </c>
      <c r="F3447">
        <v>1.25</v>
      </c>
      <c r="G3447">
        <v>24.15</v>
      </c>
      <c r="H3447">
        <v>24.19</v>
      </c>
      <c r="I3447" t="s">
        <v>6423</v>
      </c>
      <c r="J3447">
        <v>5.04</v>
      </c>
      <c r="K3447">
        <v>5.04</v>
      </c>
      <c r="L3447">
        <v>22.49</v>
      </c>
      <c r="M3447">
        <v>25</v>
      </c>
      <c r="N3447">
        <v>22.3</v>
      </c>
    </row>
    <row r="3448" spans="1:14" x14ac:dyDescent="0.5">
      <c r="A3448" t="str">
        <f>"603693"</f>
        <v>603693</v>
      </c>
      <c r="B3448" t="s">
        <v>6424</v>
      </c>
      <c r="C3448">
        <v>1.52</v>
      </c>
      <c r="D3448">
        <v>26.19</v>
      </c>
      <c r="E3448">
        <v>16.02</v>
      </c>
      <c r="F3448">
        <v>0.24</v>
      </c>
      <c r="G3448">
        <v>16.02</v>
      </c>
      <c r="H3448">
        <v>16.03</v>
      </c>
      <c r="I3448" t="s">
        <v>6425</v>
      </c>
      <c r="J3448">
        <v>12.39</v>
      </c>
      <c r="K3448">
        <v>12.39</v>
      </c>
      <c r="L3448">
        <v>15.68</v>
      </c>
      <c r="M3448">
        <v>16.079999999999998</v>
      </c>
      <c r="N3448">
        <v>15.64</v>
      </c>
    </row>
    <row r="3449" spans="1:14" x14ac:dyDescent="0.5">
      <c r="A3449" t="str">
        <f>"603696"</f>
        <v>603696</v>
      </c>
      <c r="B3449" t="s">
        <v>6426</v>
      </c>
      <c r="C3449">
        <v>1.65</v>
      </c>
      <c r="D3449">
        <v>44.77</v>
      </c>
      <c r="E3449">
        <v>12.97</v>
      </c>
      <c r="F3449">
        <v>0.21</v>
      </c>
      <c r="G3449">
        <v>12.94</v>
      </c>
      <c r="H3449">
        <v>12.97</v>
      </c>
      <c r="I3449" t="s">
        <v>6427</v>
      </c>
      <c r="J3449">
        <v>1.36</v>
      </c>
      <c r="K3449">
        <v>1.36</v>
      </c>
      <c r="L3449">
        <v>12.7</v>
      </c>
      <c r="M3449">
        <v>13.03</v>
      </c>
      <c r="N3449">
        <v>12.46</v>
      </c>
    </row>
    <row r="3450" spans="1:14" x14ac:dyDescent="0.5">
      <c r="A3450" t="str">
        <f>"603698"</f>
        <v>603698</v>
      </c>
      <c r="B3450" t="s">
        <v>6428</v>
      </c>
      <c r="C3450">
        <v>4.01</v>
      </c>
      <c r="D3450">
        <v>33.97</v>
      </c>
      <c r="E3450">
        <v>17.11</v>
      </c>
      <c r="F3450">
        <v>0.66</v>
      </c>
      <c r="G3450">
        <v>17.11</v>
      </c>
      <c r="H3450">
        <v>17.12</v>
      </c>
      <c r="I3450" t="s">
        <v>6429</v>
      </c>
      <c r="J3450">
        <v>0.82</v>
      </c>
      <c r="K3450">
        <v>0.82</v>
      </c>
      <c r="L3450">
        <v>16.46</v>
      </c>
      <c r="M3450">
        <v>17.329999999999998</v>
      </c>
      <c r="N3450">
        <v>16.46</v>
      </c>
    </row>
    <row r="3451" spans="1:14" x14ac:dyDescent="0.5">
      <c r="A3451" t="str">
        <f>"603699"</f>
        <v>603699</v>
      </c>
      <c r="B3451" t="s">
        <v>6430</v>
      </c>
      <c r="C3451">
        <v>2.0299999999999998</v>
      </c>
      <c r="D3451">
        <v>34.409999999999997</v>
      </c>
      <c r="E3451">
        <v>12.09</v>
      </c>
      <c r="F3451">
        <v>0.24</v>
      </c>
      <c r="G3451">
        <v>12.09</v>
      </c>
      <c r="H3451">
        <v>12.1</v>
      </c>
      <c r="I3451" t="s">
        <v>6431</v>
      </c>
      <c r="J3451">
        <v>0.44</v>
      </c>
      <c r="K3451">
        <v>0.44</v>
      </c>
      <c r="L3451">
        <v>11.85</v>
      </c>
      <c r="M3451">
        <v>12.13</v>
      </c>
      <c r="N3451">
        <v>11.77</v>
      </c>
    </row>
    <row r="3452" spans="1:14" x14ac:dyDescent="0.5">
      <c r="A3452" t="str">
        <f>"603700"</f>
        <v>603700</v>
      </c>
      <c r="B3452" t="s">
        <v>6432</v>
      </c>
      <c r="C3452">
        <v>0.73</v>
      </c>
      <c r="D3452">
        <v>36.68</v>
      </c>
      <c r="E3452">
        <v>31.9</v>
      </c>
      <c r="F3452">
        <v>0.23</v>
      </c>
      <c r="G3452">
        <v>31.89</v>
      </c>
      <c r="H3452">
        <v>31.9</v>
      </c>
      <c r="I3452" t="s">
        <v>6433</v>
      </c>
      <c r="J3452">
        <v>26.14</v>
      </c>
      <c r="K3452">
        <v>26.14</v>
      </c>
      <c r="L3452">
        <v>31.3</v>
      </c>
      <c r="M3452">
        <v>32.130000000000003</v>
      </c>
      <c r="N3452">
        <v>31.03</v>
      </c>
    </row>
    <row r="3453" spans="1:14" x14ac:dyDescent="0.5">
      <c r="A3453" t="str">
        <f>"603701"</f>
        <v>603701</v>
      </c>
      <c r="B3453" t="s">
        <v>6434</v>
      </c>
      <c r="C3453">
        <v>2.2599999999999998</v>
      </c>
      <c r="D3453">
        <v>15.25</v>
      </c>
      <c r="E3453">
        <v>13.15</v>
      </c>
      <c r="F3453">
        <v>0.28999999999999998</v>
      </c>
      <c r="G3453">
        <v>13.15</v>
      </c>
      <c r="H3453">
        <v>13.16</v>
      </c>
      <c r="I3453" t="s">
        <v>6435</v>
      </c>
      <c r="J3453">
        <v>3.05</v>
      </c>
      <c r="K3453">
        <v>3.05</v>
      </c>
      <c r="L3453">
        <v>12.97</v>
      </c>
      <c r="M3453">
        <v>13.16</v>
      </c>
      <c r="N3453">
        <v>12.78</v>
      </c>
    </row>
    <row r="3454" spans="1:14" x14ac:dyDescent="0.5">
      <c r="A3454" t="str">
        <f>"603703"</f>
        <v>603703</v>
      </c>
      <c r="B3454" t="s">
        <v>6436</v>
      </c>
      <c r="C3454">
        <v>1.38</v>
      </c>
      <c r="D3454" t="s">
        <v>24</v>
      </c>
      <c r="E3454">
        <v>11.05</v>
      </c>
      <c r="F3454">
        <v>0.15</v>
      </c>
      <c r="G3454">
        <v>11.05</v>
      </c>
      <c r="H3454">
        <v>11.06</v>
      </c>
      <c r="I3454" t="s">
        <v>6437</v>
      </c>
      <c r="J3454">
        <v>3.62</v>
      </c>
      <c r="K3454">
        <v>3.62</v>
      </c>
      <c r="L3454">
        <v>10.77</v>
      </c>
      <c r="M3454">
        <v>11.14</v>
      </c>
      <c r="N3454">
        <v>10.77</v>
      </c>
    </row>
    <row r="3455" spans="1:14" x14ac:dyDescent="0.5">
      <c r="A3455" t="str">
        <f>"603706"</f>
        <v>603706</v>
      </c>
      <c r="B3455" t="s">
        <v>6438</v>
      </c>
      <c r="C3455">
        <v>-0.59</v>
      </c>
      <c r="D3455">
        <v>54.08</v>
      </c>
      <c r="E3455">
        <v>27.18</v>
      </c>
      <c r="F3455">
        <v>-0.16</v>
      </c>
      <c r="G3455">
        <v>27.17</v>
      </c>
      <c r="H3455">
        <v>27.18</v>
      </c>
      <c r="I3455" t="s">
        <v>3972</v>
      </c>
      <c r="J3455">
        <v>16.48</v>
      </c>
      <c r="K3455">
        <v>16.48</v>
      </c>
      <c r="L3455">
        <v>26.98</v>
      </c>
      <c r="M3455">
        <v>27.24</v>
      </c>
      <c r="N3455">
        <v>26.83</v>
      </c>
    </row>
    <row r="3456" spans="1:14" x14ac:dyDescent="0.5">
      <c r="A3456" t="str">
        <f>"603707"</f>
        <v>603707</v>
      </c>
      <c r="B3456" t="s">
        <v>6439</v>
      </c>
      <c r="C3456">
        <v>0.54</v>
      </c>
      <c r="D3456">
        <v>34.33</v>
      </c>
      <c r="E3456">
        <v>27.9</v>
      </c>
      <c r="F3456">
        <v>0.15</v>
      </c>
      <c r="G3456">
        <v>27.9</v>
      </c>
      <c r="H3456">
        <v>28.05</v>
      </c>
      <c r="I3456" t="s">
        <v>6440</v>
      </c>
      <c r="J3456">
        <v>1.2</v>
      </c>
      <c r="K3456">
        <v>1.2</v>
      </c>
      <c r="L3456">
        <v>28</v>
      </c>
      <c r="M3456">
        <v>28.5</v>
      </c>
      <c r="N3456">
        <v>27.18</v>
      </c>
    </row>
    <row r="3457" spans="1:14" x14ac:dyDescent="0.5">
      <c r="A3457" t="str">
        <f>"603708"</f>
        <v>603708</v>
      </c>
      <c r="B3457" t="s">
        <v>6441</v>
      </c>
      <c r="C3457">
        <v>1.41</v>
      </c>
      <c r="D3457">
        <v>27.8</v>
      </c>
      <c r="E3457">
        <v>23.75</v>
      </c>
      <c r="F3457">
        <v>0.33</v>
      </c>
      <c r="G3457">
        <v>23.75</v>
      </c>
      <c r="H3457">
        <v>23.78</v>
      </c>
      <c r="I3457" t="s">
        <v>6442</v>
      </c>
      <c r="J3457">
        <v>2.93</v>
      </c>
      <c r="K3457">
        <v>2.93</v>
      </c>
      <c r="L3457">
        <v>23.38</v>
      </c>
      <c r="M3457">
        <v>24.24</v>
      </c>
      <c r="N3457">
        <v>23.31</v>
      </c>
    </row>
    <row r="3458" spans="1:14" x14ac:dyDescent="0.5">
      <c r="A3458" t="str">
        <f>"603709"</f>
        <v>603709</v>
      </c>
      <c r="B3458" t="s">
        <v>6443</v>
      </c>
      <c r="C3458">
        <v>2.04</v>
      </c>
      <c r="D3458">
        <v>30.27</v>
      </c>
      <c r="E3458">
        <v>28.99</v>
      </c>
      <c r="F3458">
        <v>0.57999999999999996</v>
      </c>
      <c r="G3458">
        <v>28.99</v>
      </c>
      <c r="H3458">
        <v>29</v>
      </c>
      <c r="I3458" t="s">
        <v>6444</v>
      </c>
      <c r="J3458">
        <v>8.02</v>
      </c>
      <c r="K3458">
        <v>8.02</v>
      </c>
      <c r="L3458">
        <v>28.37</v>
      </c>
      <c r="M3458">
        <v>29.2</v>
      </c>
      <c r="N3458">
        <v>28.35</v>
      </c>
    </row>
    <row r="3459" spans="1:14" x14ac:dyDescent="0.5">
      <c r="A3459" t="str">
        <f>"603711"</f>
        <v>603711</v>
      </c>
      <c r="B3459" t="s">
        <v>6445</v>
      </c>
      <c r="C3459">
        <v>-1.0900000000000001</v>
      </c>
      <c r="D3459">
        <v>35.08</v>
      </c>
      <c r="E3459">
        <v>23.64</v>
      </c>
      <c r="F3459">
        <v>-0.26</v>
      </c>
      <c r="G3459">
        <v>23.63</v>
      </c>
      <c r="H3459">
        <v>23.64</v>
      </c>
      <c r="I3459" t="s">
        <v>6446</v>
      </c>
      <c r="J3459">
        <v>6.37</v>
      </c>
      <c r="K3459">
        <v>6.37</v>
      </c>
      <c r="L3459">
        <v>23.55</v>
      </c>
      <c r="M3459">
        <v>24</v>
      </c>
      <c r="N3459">
        <v>23.2</v>
      </c>
    </row>
    <row r="3460" spans="1:14" x14ac:dyDescent="0.5">
      <c r="A3460" t="str">
        <f>"603712"</f>
        <v>603712</v>
      </c>
      <c r="B3460" t="s">
        <v>6447</v>
      </c>
      <c r="C3460">
        <v>2.87</v>
      </c>
      <c r="D3460">
        <v>73.209999999999994</v>
      </c>
      <c r="E3460">
        <v>19.329999999999998</v>
      </c>
      <c r="F3460">
        <v>0.54</v>
      </c>
      <c r="G3460">
        <v>19.329999999999998</v>
      </c>
      <c r="H3460">
        <v>19.34</v>
      </c>
      <c r="I3460" t="s">
        <v>6448</v>
      </c>
      <c r="J3460">
        <v>5.18</v>
      </c>
      <c r="K3460">
        <v>5.18</v>
      </c>
      <c r="L3460">
        <v>18.600000000000001</v>
      </c>
      <c r="M3460">
        <v>19.350000000000001</v>
      </c>
      <c r="N3460">
        <v>18.420000000000002</v>
      </c>
    </row>
    <row r="3461" spans="1:14" x14ac:dyDescent="0.5">
      <c r="A3461" t="str">
        <f>"603713"</f>
        <v>603713</v>
      </c>
      <c r="B3461" t="s">
        <v>6449</v>
      </c>
      <c r="C3461">
        <v>1.1499999999999999</v>
      </c>
      <c r="D3461">
        <v>43.08</v>
      </c>
      <c r="E3461">
        <v>37.049999999999997</v>
      </c>
      <c r="F3461">
        <v>0.42</v>
      </c>
      <c r="G3461">
        <v>37.049999999999997</v>
      </c>
      <c r="H3461">
        <v>37.06</v>
      </c>
      <c r="I3461" t="s">
        <v>6450</v>
      </c>
      <c r="J3461">
        <v>10.220000000000001</v>
      </c>
      <c r="K3461">
        <v>10.220000000000001</v>
      </c>
      <c r="L3461">
        <v>36.68</v>
      </c>
      <c r="M3461">
        <v>37.08</v>
      </c>
      <c r="N3461">
        <v>35.97</v>
      </c>
    </row>
    <row r="3462" spans="1:14" x14ac:dyDescent="0.5">
      <c r="A3462" t="str">
        <f>"603716"</f>
        <v>603716</v>
      </c>
      <c r="B3462" t="s">
        <v>6451</v>
      </c>
      <c r="C3462">
        <v>1.78</v>
      </c>
      <c r="D3462">
        <v>33.520000000000003</v>
      </c>
      <c r="E3462">
        <v>18.28</v>
      </c>
      <c r="F3462">
        <v>0.32</v>
      </c>
      <c r="G3462">
        <v>18.28</v>
      </c>
      <c r="H3462">
        <v>18.29</v>
      </c>
      <c r="I3462" t="s">
        <v>6452</v>
      </c>
      <c r="J3462">
        <v>2.0099999999999998</v>
      </c>
      <c r="K3462">
        <v>2.0099999999999998</v>
      </c>
      <c r="L3462">
        <v>18.09</v>
      </c>
      <c r="M3462">
        <v>18.29</v>
      </c>
      <c r="N3462">
        <v>17.899999999999999</v>
      </c>
    </row>
    <row r="3463" spans="1:14" x14ac:dyDescent="0.5">
      <c r="A3463" t="str">
        <f>"603717"</f>
        <v>603717</v>
      </c>
      <c r="B3463" t="s">
        <v>6453</v>
      </c>
      <c r="C3463">
        <v>1.3</v>
      </c>
      <c r="D3463">
        <v>19.27</v>
      </c>
      <c r="E3463">
        <v>10.14</v>
      </c>
      <c r="F3463">
        <v>0.13</v>
      </c>
      <c r="G3463">
        <v>10.14</v>
      </c>
      <c r="H3463">
        <v>10.15</v>
      </c>
      <c r="I3463" t="s">
        <v>2498</v>
      </c>
      <c r="J3463">
        <v>4.59</v>
      </c>
      <c r="K3463">
        <v>4.59</v>
      </c>
      <c r="L3463">
        <v>10</v>
      </c>
      <c r="M3463">
        <v>10.15</v>
      </c>
      <c r="N3463">
        <v>9.92</v>
      </c>
    </row>
    <row r="3464" spans="1:14" x14ac:dyDescent="0.5">
      <c r="A3464" t="str">
        <f>"603718"</f>
        <v>603718</v>
      </c>
      <c r="B3464" t="s">
        <v>6454</v>
      </c>
      <c r="C3464">
        <v>5.35</v>
      </c>
      <c r="D3464">
        <v>107.42</v>
      </c>
      <c r="E3464">
        <v>14.76</v>
      </c>
      <c r="F3464">
        <v>0.75</v>
      </c>
      <c r="G3464">
        <v>14.76</v>
      </c>
      <c r="H3464">
        <v>14.77</v>
      </c>
      <c r="I3464" t="s">
        <v>6455</v>
      </c>
      <c r="J3464">
        <v>2.0699999999999998</v>
      </c>
      <c r="K3464">
        <v>2.0699999999999998</v>
      </c>
      <c r="L3464">
        <v>14.08</v>
      </c>
      <c r="M3464">
        <v>15.38</v>
      </c>
      <c r="N3464">
        <v>13.87</v>
      </c>
    </row>
    <row r="3465" spans="1:14" x14ac:dyDescent="0.5">
      <c r="A3465" t="str">
        <f>"603721"</f>
        <v>603721</v>
      </c>
      <c r="B3465" t="s">
        <v>6456</v>
      </c>
      <c r="C3465">
        <v>2.31</v>
      </c>
      <c r="D3465">
        <v>70.87</v>
      </c>
      <c r="E3465">
        <v>20.39</v>
      </c>
      <c r="F3465">
        <v>0.46</v>
      </c>
      <c r="G3465">
        <v>20.39</v>
      </c>
      <c r="H3465">
        <v>20.399999999999999</v>
      </c>
      <c r="I3465" t="s">
        <v>6061</v>
      </c>
      <c r="J3465">
        <v>5.0199999999999996</v>
      </c>
      <c r="K3465">
        <v>5.0199999999999996</v>
      </c>
      <c r="L3465">
        <v>19.899999999999999</v>
      </c>
      <c r="M3465">
        <v>20.6</v>
      </c>
      <c r="N3465">
        <v>19.62</v>
      </c>
    </row>
    <row r="3466" spans="1:14" x14ac:dyDescent="0.5">
      <c r="A3466" t="str">
        <f>"603722"</f>
        <v>603722</v>
      </c>
      <c r="B3466" t="s">
        <v>6457</v>
      </c>
      <c r="C3466">
        <v>1.97</v>
      </c>
      <c r="D3466">
        <v>49.96</v>
      </c>
      <c r="E3466">
        <v>24.36</v>
      </c>
      <c r="F3466">
        <v>0.47</v>
      </c>
      <c r="G3466">
        <v>24.36</v>
      </c>
      <c r="H3466">
        <v>24.37</v>
      </c>
      <c r="I3466" t="s">
        <v>6397</v>
      </c>
      <c r="J3466">
        <v>5.68</v>
      </c>
      <c r="K3466">
        <v>5.68</v>
      </c>
      <c r="L3466">
        <v>23.78</v>
      </c>
      <c r="M3466">
        <v>24.49</v>
      </c>
      <c r="N3466">
        <v>23.73</v>
      </c>
    </row>
    <row r="3467" spans="1:14" x14ac:dyDescent="0.5">
      <c r="A3467" t="str">
        <f>"603725"</f>
        <v>603725</v>
      </c>
      <c r="B3467" t="s">
        <v>6458</v>
      </c>
      <c r="C3467">
        <v>1.38</v>
      </c>
      <c r="D3467">
        <v>28.33</v>
      </c>
      <c r="E3467">
        <v>12.52</v>
      </c>
      <c r="F3467">
        <v>0.17</v>
      </c>
      <c r="G3467">
        <v>12.51</v>
      </c>
      <c r="H3467">
        <v>12.52</v>
      </c>
      <c r="I3467" t="s">
        <v>6412</v>
      </c>
      <c r="J3467">
        <v>2.76</v>
      </c>
      <c r="K3467">
        <v>2.76</v>
      </c>
      <c r="L3467">
        <v>12.3</v>
      </c>
      <c r="M3467">
        <v>12.55</v>
      </c>
      <c r="N3467">
        <v>12.14</v>
      </c>
    </row>
    <row r="3468" spans="1:14" x14ac:dyDescent="0.5">
      <c r="A3468" t="str">
        <f>"603726"</f>
        <v>603726</v>
      </c>
      <c r="B3468" t="s">
        <v>6459</v>
      </c>
      <c r="C3468">
        <v>0.46</v>
      </c>
      <c r="D3468">
        <v>21.46</v>
      </c>
      <c r="E3468">
        <v>19.8</v>
      </c>
      <c r="F3468">
        <v>0.09</v>
      </c>
      <c r="G3468">
        <v>19.8</v>
      </c>
      <c r="H3468">
        <v>19.809999999999999</v>
      </c>
      <c r="I3468" t="s">
        <v>6460</v>
      </c>
      <c r="J3468">
        <v>10.43</v>
      </c>
      <c r="K3468">
        <v>10.43</v>
      </c>
      <c r="L3468">
        <v>19.48</v>
      </c>
      <c r="M3468">
        <v>19.87</v>
      </c>
      <c r="N3468">
        <v>19.38</v>
      </c>
    </row>
    <row r="3469" spans="1:14" x14ac:dyDescent="0.5">
      <c r="A3469" t="str">
        <f>"603727"</f>
        <v>603727</v>
      </c>
      <c r="B3469" t="s">
        <v>6461</v>
      </c>
      <c r="C3469">
        <v>0.86</v>
      </c>
      <c r="D3469">
        <v>882.38</v>
      </c>
      <c r="E3469">
        <v>14.1</v>
      </c>
      <c r="F3469">
        <v>0.12</v>
      </c>
      <c r="G3469">
        <v>14.1</v>
      </c>
      <c r="H3469">
        <v>14.11</v>
      </c>
      <c r="I3469" t="s">
        <v>3015</v>
      </c>
      <c r="J3469">
        <v>2.54</v>
      </c>
      <c r="K3469">
        <v>2.54</v>
      </c>
      <c r="L3469">
        <v>13.99</v>
      </c>
      <c r="M3469">
        <v>14.1</v>
      </c>
      <c r="N3469">
        <v>13.85</v>
      </c>
    </row>
    <row r="3470" spans="1:14" x14ac:dyDescent="0.5">
      <c r="A3470" t="str">
        <f>"603728"</f>
        <v>603728</v>
      </c>
      <c r="B3470" t="s">
        <v>6462</v>
      </c>
      <c r="C3470">
        <v>1.07</v>
      </c>
      <c r="D3470">
        <v>33.19</v>
      </c>
      <c r="E3470">
        <v>14.19</v>
      </c>
      <c r="F3470">
        <v>0.15</v>
      </c>
      <c r="G3470">
        <v>14.18</v>
      </c>
      <c r="H3470">
        <v>14.19</v>
      </c>
      <c r="I3470" t="s">
        <v>4416</v>
      </c>
      <c r="J3470">
        <v>3.08</v>
      </c>
      <c r="K3470">
        <v>3.08</v>
      </c>
      <c r="L3470">
        <v>13.99</v>
      </c>
      <c r="M3470">
        <v>14.19</v>
      </c>
      <c r="N3470">
        <v>13.87</v>
      </c>
    </row>
    <row r="3471" spans="1:14" x14ac:dyDescent="0.5">
      <c r="A3471" t="str">
        <f>"603729"</f>
        <v>603729</v>
      </c>
      <c r="B3471" t="s">
        <v>6463</v>
      </c>
      <c r="C3471">
        <v>3.28</v>
      </c>
      <c r="D3471">
        <v>33.950000000000003</v>
      </c>
      <c r="E3471">
        <v>17.64</v>
      </c>
      <c r="F3471">
        <v>0.56000000000000005</v>
      </c>
      <c r="G3471">
        <v>17.64</v>
      </c>
      <c r="H3471">
        <v>17.649999999999999</v>
      </c>
      <c r="I3471" t="s">
        <v>6464</v>
      </c>
      <c r="J3471">
        <v>3.5</v>
      </c>
      <c r="K3471">
        <v>3.5</v>
      </c>
      <c r="L3471">
        <v>17.059999999999999</v>
      </c>
      <c r="M3471">
        <v>17.649999999999999</v>
      </c>
      <c r="N3471">
        <v>16.91</v>
      </c>
    </row>
    <row r="3472" spans="1:14" x14ac:dyDescent="0.5">
      <c r="A3472" t="str">
        <f>"603730"</f>
        <v>603730</v>
      </c>
      <c r="B3472" t="s">
        <v>6465</v>
      </c>
      <c r="C3472">
        <v>1.83</v>
      </c>
      <c r="D3472">
        <v>16.100000000000001</v>
      </c>
      <c r="E3472">
        <v>24.49</v>
      </c>
      <c r="F3472">
        <v>0.44</v>
      </c>
      <c r="G3472">
        <v>24.48</v>
      </c>
      <c r="H3472">
        <v>24.49</v>
      </c>
      <c r="I3472" t="s">
        <v>6466</v>
      </c>
      <c r="J3472">
        <v>1.61</v>
      </c>
      <c r="K3472">
        <v>1.61</v>
      </c>
      <c r="L3472">
        <v>23.95</v>
      </c>
      <c r="M3472">
        <v>24.6</v>
      </c>
      <c r="N3472">
        <v>23.95</v>
      </c>
    </row>
    <row r="3473" spans="1:14" x14ac:dyDescent="0.5">
      <c r="A3473" t="str">
        <f>"603733"</f>
        <v>603733</v>
      </c>
      <c r="B3473" t="s">
        <v>6467</v>
      </c>
      <c r="C3473">
        <v>0.06</v>
      </c>
      <c r="D3473">
        <v>28.47</v>
      </c>
      <c r="E3473">
        <v>17.239999999999998</v>
      </c>
      <c r="F3473">
        <v>0.01</v>
      </c>
      <c r="G3473">
        <v>17.239999999999998</v>
      </c>
      <c r="H3473">
        <v>17.25</v>
      </c>
      <c r="I3473" t="s">
        <v>2443</v>
      </c>
      <c r="J3473">
        <v>10.46</v>
      </c>
      <c r="K3473">
        <v>10.46</v>
      </c>
      <c r="L3473">
        <v>17.010000000000002</v>
      </c>
      <c r="M3473">
        <v>17.28</v>
      </c>
      <c r="N3473">
        <v>16.88</v>
      </c>
    </row>
    <row r="3474" spans="1:14" x14ac:dyDescent="0.5">
      <c r="A3474" t="str">
        <f>"603737"</f>
        <v>603737</v>
      </c>
      <c r="B3474" t="s">
        <v>6468</v>
      </c>
      <c r="C3474">
        <v>9.99</v>
      </c>
      <c r="D3474">
        <v>29.7</v>
      </c>
      <c r="E3474">
        <v>52.94</v>
      </c>
      <c r="F3474">
        <v>4.8099999999999996</v>
      </c>
      <c r="G3474">
        <v>52.94</v>
      </c>
      <c r="H3474" t="s">
        <v>24</v>
      </c>
      <c r="I3474" t="s">
        <v>2358</v>
      </c>
      <c r="J3474">
        <v>1.79</v>
      </c>
      <c r="K3474">
        <v>1.79</v>
      </c>
      <c r="L3474">
        <v>48.01</v>
      </c>
      <c r="M3474">
        <v>52.94</v>
      </c>
      <c r="N3474">
        <v>48.01</v>
      </c>
    </row>
    <row r="3475" spans="1:14" x14ac:dyDescent="0.5">
      <c r="A3475" t="str">
        <f>"603738"</f>
        <v>603738</v>
      </c>
      <c r="B3475" t="s">
        <v>6469</v>
      </c>
      <c r="C3475">
        <v>1.63</v>
      </c>
      <c r="D3475">
        <v>40.96</v>
      </c>
      <c r="E3475">
        <v>16.18</v>
      </c>
      <c r="F3475">
        <v>0.26</v>
      </c>
      <c r="G3475">
        <v>16.18</v>
      </c>
      <c r="H3475">
        <v>16.190000000000001</v>
      </c>
      <c r="I3475" t="s">
        <v>3785</v>
      </c>
      <c r="J3475">
        <v>9.7899999999999991</v>
      </c>
      <c r="K3475">
        <v>9.7899999999999991</v>
      </c>
      <c r="L3475">
        <v>15.52</v>
      </c>
      <c r="M3475">
        <v>16.29</v>
      </c>
      <c r="N3475">
        <v>15.4</v>
      </c>
    </row>
    <row r="3476" spans="1:14" x14ac:dyDescent="0.5">
      <c r="A3476" t="str">
        <f>"603739"</f>
        <v>603739</v>
      </c>
      <c r="B3476" t="s">
        <v>6470</v>
      </c>
      <c r="C3476">
        <v>-1.03</v>
      </c>
      <c r="D3476">
        <v>63.64</v>
      </c>
      <c r="E3476">
        <v>35.43</v>
      </c>
      <c r="F3476">
        <v>-0.37</v>
      </c>
      <c r="G3476">
        <v>35.42</v>
      </c>
      <c r="H3476">
        <v>35.43</v>
      </c>
      <c r="I3476" t="s">
        <v>6471</v>
      </c>
      <c r="J3476">
        <v>27.21</v>
      </c>
      <c r="K3476">
        <v>27.21</v>
      </c>
      <c r="L3476">
        <v>34.85</v>
      </c>
      <c r="M3476">
        <v>35.5</v>
      </c>
      <c r="N3476">
        <v>34.6</v>
      </c>
    </row>
    <row r="3477" spans="1:14" x14ac:dyDescent="0.5">
      <c r="A3477" t="str">
        <f>"603757"</f>
        <v>603757</v>
      </c>
      <c r="B3477" t="s">
        <v>6472</v>
      </c>
      <c r="C3477">
        <v>2.92</v>
      </c>
      <c r="D3477">
        <v>13.14</v>
      </c>
      <c r="E3477">
        <v>23.27</v>
      </c>
      <c r="F3477">
        <v>0.66</v>
      </c>
      <c r="G3477">
        <v>23.27</v>
      </c>
      <c r="H3477">
        <v>23.28</v>
      </c>
      <c r="I3477" t="s">
        <v>2468</v>
      </c>
      <c r="J3477">
        <v>5.95</v>
      </c>
      <c r="K3477">
        <v>5.95</v>
      </c>
      <c r="L3477">
        <v>22.49</v>
      </c>
      <c r="M3477">
        <v>23.28</v>
      </c>
      <c r="N3477">
        <v>22.35</v>
      </c>
    </row>
    <row r="3478" spans="1:14" x14ac:dyDescent="0.5">
      <c r="A3478" t="str">
        <f>"603758"</f>
        <v>603758</v>
      </c>
      <c r="B3478" t="s">
        <v>6473</v>
      </c>
      <c r="C3478">
        <v>1.65</v>
      </c>
      <c r="D3478">
        <v>176.36</v>
      </c>
      <c r="E3478">
        <v>6.76</v>
      </c>
      <c r="F3478">
        <v>0.11</v>
      </c>
      <c r="G3478">
        <v>6.75</v>
      </c>
      <c r="H3478">
        <v>6.76</v>
      </c>
      <c r="I3478" t="s">
        <v>6474</v>
      </c>
      <c r="J3478">
        <v>2.6</v>
      </c>
      <c r="K3478">
        <v>2.6</v>
      </c>
      <c r="L3478">
        <v>6.64</v>
      </c>
      <c r="M3478">
        <v>6.76</v>
      </c>
      <c r="N3478">
        <v>6.58</v>
      </c>
    </row>
    <row r="3479" spans="1:14" x14ac:dyDescent="0.5">
      <c r="A3479" t="str">
        <f>"603766"</f>
        <v>603766</v>
      </c>
      <c r="B3479" t="s">
        <v>6475</v>
      </c>
      <c r="C3479">
        <v>1.39</v>
      </c>
      <c r="D3479">
        <v>11.62</v>
      </c>
      <c r="E3479">
        <v>5.09</v>
      </c>
      <c r="F3479">
        <v>7.0000000000000007E-2</v>
      </c>
      <c r="G3479">
        <v>5.08</v>
      </c>
      <c r="H3479">
        <v>5.09</v>
      </c>
      <c r="I3479" t="s">
        <v>6476</v>
      </c>
      <c r="J3479">
        <v>1.2</v>
      </c>
      <c r="K3479">
        <v>1.2</v>
      </c>
      <c r="L3479">
        <v>5.03</v>
      </c>
      <c r="M3479">
        <v>5.09</v>
      </c>
      <c r="N3479">
        <v>4.97</v>
      </c>
    </row>
    <row r="3480" spans="1:14" x14ac:dyDescent="0.5">
      <c r="A3480" t="str">
        <f>"603767"</f>
        <v>603767</v>
      </c>
      <c r="B3480" t="s">
        <v>6477</v>
      </c>
      <c r="C3480">
        <v>1.06</v>
      </c>
      <c r="D3480">
        <v>31.21</v>
      </c>
      <c r="E3480">
        <v>7.63</v>
      </c>
      <c r="F3480">
        <v>0.08</v>
      </c>
      <c r="G3480">
        <v>7.63</v>
      </c>
      <c r="H3480">
        <v>7.64</v>
      </c>
      <c r="I3480" t="s">
        <v>6023</v>
      </c>
      <c r="J3480">
        <v>5.24</v>
      </c>
      <c r="K3480">
        <v>5.24</v>
      </c>
      <c r="L3480">
        <v>7.51</v>
      </c>
      <c r="M3480">
        <v>7.63</v>
      </c>
      <c r="N3480">
        <v>7.45</v>
      </c>
    </row>
    <row r="3481" spans="1:14" x14ac:dyDescent="0.5">
      <c r="A3481" t="str">
        <f>"603768"</f>
        <v>603768</v>
      </c>
      <c r="B3481" t="s">
        <v>6478</v>
      </c>
      <c r="C3481">
        <v>0.45</v>
      </c>
      <c r="D3481">
        <v>25.16</v>
      </c>
      <c r="E3481">
        <v>13.4</v>
      </c>
      <c r="F3481">
        <v>0.06</v>
      </c>
      <c r="G3481">
        <v>13.4</v>
      </c>
      <c r="H3481">
        <v>13.41</v>
      </c>
      <c r="I3481" t="s">
        <v>6479</v>
      </c>
      <c r="J3481">
        <v>4.4000000000000004</v>
      </c>
      <c r="K3481">
        <v>4.4000000000000004</v>
      </c>
      <c r="L3481">
        <v>13.37</v>
      </c>
      <c r="M3481">
        <v>13.41</v>
      </c>
      <c r="N3481">
        <v>13.16</v>
      </c>
    </row>
    <row r="3482" spans="1:14" x14ac:dyDescent="0.5">
      <c r="A3482" t="str">
        <f>"603773"</f>
        <v>603773</v>
      </c>
      <c r="B3482" t="s">
        <v>6480</v>
      </c>
      <c r="C3482">
        <v>1.49</v>
      </c>
      <c r="D3482">
        <v>21.18</v>
      </c>
      <c r="E3482">
        <v>51.11</v>
      </c>
      <c r="F3482">
        <v>0.75</v>
      </c>
      <c r="G3482">
        <v>51.11</v>
      </c>
      <c r="H3482">
        <v>51.12</v>
      </c>
      <c r="I3482" t="s">
        <v>6481</v>
      </c>
      <c r="J3482">
        <v>10.19</v>
      </c>
      <c r="K3482">
        <v>10.19</v>
      </c>
      <c r="L3482">
        <v>50.36</v>
      </c>
      <c r="M3482">
        <v>51.2</v>
      </c>
      <c r="N3482">
        <v>49.86</v>
      </c>
    </row>
    <row r="3483" spans="1:14" x14ac:dyDescent="0.5">
      <c r="A3483" t="str">
        <f>"603776"</f>
        <v>603776</v>
      </c>
      <c r="B3483" t="s">
        <v>6482</v>
      </c>
      <c r="C3483">
        <v>0.27</v>
      </c>
      <c r="D3483">
        <v>6.65</v>
      </c>
      <c r="E3483">
        <v>26.03</v>
      </c>
      <c r="F3483">
        <v>7.0000000000000007E-2</v>
      </c>
      <c r="G3483">
        <v>26.03</v>
      </c>
      <c r="H3483">
        <v>26.04</v>
      </c>
      <c r="I3483" t="s">
        <v>2934</v>
      </c>
      <c r="J3483">
        <v>3.48</v>
      </c>
      <c r="K3483">
        <v>3.48</v>
      </c>
      <c r="L3483">
        <v>25.66</v>
      </c>
      <c r="M3483">
        <v>26.03</v>
      </c>
      <c r="N3483">
        <v>25.35</v>
      </c>
    </row>
    <row r="3484" spans="1:14" x14ac:dyDescent="0.5">
      <c r="A3484" t="str">
        <f>"603777"</f>
        <v>603777</v>
      </c>
      <c r="B3484" t="s">
        <v>6483</v>
      </c>
      <c r="C3484">
        <v>1.77</v>
      </c>
      <c r="D3484">
        <v>261.8</v>
      </c>
      <c r="E3484">
        <v>11.5</v>
      </c>
      <c r="F3484">
        <v>0.2</v>
      </c>
      <c r="G3484">
        <v>11.49</v>
      </c>
      <c r="H3484">
        <v>11.5</v>
      </c>
      <c r="I3484" t="s">
        <v>6484</v>
      </c>
      <c r="J3484">
        <v>6.13</v>
      </c>
      <c r="K3484">
        <v>6.13</v>
      </c>
      <c r="L3484">
        <v>11.25</v>
      </c>
      <c r="M3484">
        <v>11.55</v>
      </c>
      <c r="N3484">
        <v>11.23</v>
      </c>
    </row>
    <row r="3485" spans="1:14" x14ac:dyDescent="0.5">
      <c r="A3485" t="str">
        <f>"603778"</f>
        <v>603778</v>
      </c>
      <c r="B3485" t="s">
        <v>6485</v>
      </c>
      <c r="C3485">
        <v>0.8</v>
      </c>
      <c r="D3485">
        <v>32.14</v>
      </c>
      <c r="E3485">
        <v>5.01</v>
      </c>
      <c r="F3485">
        <v>0.04</v>
      </c>
      <c r="G3485">
        <v>5</v>
      </c>
      <c r="H3485">
        <v>5.01</v>
      </c>
      <c r="I3485" t="s">
        <v>6486</v>
      </c>
      <c r="J3485">
        <v>1.23</v>
      </c>
      <c r="K3485">
        <v>1.23</v>
      </c>
      <c r="L3485">
        <v>4.9400000000000004</v>
      </c>
      <c r="M3485">
        <v>5.0199999999999996</v>
      </c>
      <c r="N3485">
        <v>4.88</v>
      </c>
    </row>
    <row r="3486" spans="1:14" x14ac:dyDescent="0.5">
      <c r="A3486" t="str">
        <f>"603779"</f>
        <v>603779</v>
      </c>
      <c r="B3486" t="s">
        <v>6487</v>
      </c>
      <c r="C3486">
        <v>4.26</v>
      </c>
      <c r="D3486">
        <v>48.61</v>
      </c>
      <c r="E3486">
        <v>14.19</v>
      </c>
      <c r="F3486">
        <v>0.57999999999999996</v>
      </c>
      <c r="G3486">
        <v>14.18</v>
      </c>
      <c r="H3486">
        <v>14.19</v>
      </c>
      <c r="I3486" t="s">
        <v>6019</v>
      </c>
      <c r="J3486">
        <v>2.86</v>
      </c>
      <c r="K3486">
        <v>2.86</v>
      </c>
      <c r="L3486">
        <v>13.66</v>
      </c>
      <c r="M3486">
        <v>14.5</v>
      </c>
      <c r="N3486">
        <v>13.61</v>
      </c>
    </row>
    <row r="3487" spans="1:14" x14ac:dyDescent="0.5">
      <c r="A3487" t="str">
        <f>"603787"</f>
        <v>603787</v>
      </c>
      <c r="B3487" t="s">
        <v>6488</v>
      </c>
      <c r="C3487">
        <v>2.0299999999999998</v>
      </c>
      <c r="D3487">
        <v>24.89</v>
      </c>
      <c r="E3487">
        <v>11.08</v>
      </c>
      <c r="F3487">
        <v>0.22</v>
      </c>
      <c r="G3487">
        <v>11.07</v>
      </c>
      <c r="H3487">
        <v>11.08</v>
      </c>
      <c r="I3487" t="s">
        <v>6489</v>
      </c>
      <c r="J3487">
        <v>6.01</v>
      </c>
      <c r="K3487">
        <v>6.01</v>
      </c>
      <c r="L3487">
        <v>10.82</v>
      </c>
      <c r="M3487">
        <v>11.09</v>
      </c>
      <c r="N3487">
        <v>10.76</v>
      </c>
    </row>
    <row r="3488" spans="1:14" x14ac:dyDescent="0.5">
      <c r="A3488" t="str">
        <f>"603788"</f>
        <v>603788</v>
      </c>
      <c r="B3488" t="s">
        <v>6490</v>
      </c>
      <c r="C3488">
        <v>1.87</v>
      </c>
      <c r="D3488">
        <v>14</v>
      </c>
      <c r="E3488">
        <v>16.91</v>
      </c>
      <c r="F3488">
        <v>0.31</v>
      </c>
      <c r="G3488">
        <v>16.91</v>
      </c>
      <c r="H3488">
        <v>16.920000000000002</v>
      </c>
      <c r="I3488" t="s">
        <v>1844</v>
      </c>
      <c r="J3488">
        <v>1.55</v>
      </c>
      <c r="K3488">
        <v>1.55</v>
      </c>
      <c r="L3488">
        <v>16.79</v>
      </c>
      <c r="M3488">
        <v>17.12</v>
      </c>
      <c r="N3488">
        <v>16.690000000000001</v>
      </c>
    </row>
    <row r="3489" spans="1:14" x14ac:dyDescent="0.5">
      <c r="A3489" t="str">
        <f>"603789"</f>
        <v>603789</v>
      </c>
      <c r="B3489" t="s">
        <v>6491</v>
      </c>
      <c r="C3489">
        <v>0.22</v>
      </c>
      <c r="D3489" t="s">
        <v>24</v>
      </c>
      <c r="E3489">
        <v>13.46</v>
      </c>
      <c r="F3489">
        <v>0.03</v>
      </c>
      <c r="G3489">
        <v>13.44</v>
      </c>
      <c r="H3489">
        <v>13.46</v>
      </c>
      <c r="I3489" t="s">
        <v>6492</v>
      </c>
      <c r="J3489">
        <v>1.38</v>
      </c>
      <c r="K3489">
        <v>1.38</v>
      </c>
      <c r="L3489">
        <v>13.4</v>
      </c>
      <c r="M3489">
        <v>13.48</v>
      </c>
      <c r="N3489">
        <v>13.3</v>
      </c>
    </row>
    <row r="3490" spans="1:14" x14ac:dyDescent="0.5">
      <c r="A3490" t="str">
        <f>"603790"</f>
        <v>603790</v>
      </c>
      <c r="B3490" t="s">
        <v>6493</v>
      </c>
      <c r="C3490">
        <v>-0.09</v>
      </c>
      <c r="D3490">
        <v>26.74</v>
      </c>
      <c r="E3490">
        <v>23.27</v>
      </c>
      <c r="F3490">
        <v>-0.02</v>
      </c>
      <c r="G3490">
        <v>23.26</v>
      </c>
      <c r="H3490">
        <v>23.27</v>
      </c>
      <c r="I3490" t="s">
        <v>6494</v>
      </c>
      <c r="J3490">
        <v>14.72</v>
      </c>
      <c r="K3490">
        <v>14.72</v>
      </c>
      <c r="L3490">
        <v>23.11</v>
      </c>
      <c r="M3490">
        <v>23.3</v>
      </c>
      <c r="N3490">
        <v>22.91</v>
      </c>
    </row>
    <row r="3491" spans="1:14" x14ac:dyDescent="0.5">
      <c r="A3491" t="str">
        <f>"603797"</f>
        <v>603797</v>
      </c>
      <c r="B3491" t="s">
        <v>6495</v>
      </c>
      <c r="C3491">
        <v>0.15</v>
      </c>
      <c r="D3491">
        <v>38.18</v>
      </c>
      <c r="E3491">
        <v>13.79</v>
      </c>
      <c r="F3491">
        <v>0.02</v>
      </c>
      <c r="G3491">
        <v>13.78</v>
      </c>
      <c r="H3491">
        <v>13.79</v>
      </c>
      <c r="I3491" t="s">
        <v>6496</v>
      </c>
      <c r="J3491">
        <v>4.51</v>
      </c>
      <c r="K3491">
        <v>4.51</v>
      </c>
      <c r="L3491">
        <v>13.81</v>
      </c>
      <c r="M3491">
        <v>13.81</v>
      </c>
      <c r="N3491">
        <v>13.46</v>
      </c>
    </row>
    <row r="3492" spans="1:14" x14ac:dyDescent="0.5">
      <c r="A3492" t="str">
        <f>"603798"</f>
        <v>603798</v>
      </c>
      <c r="B3492" t="s">
        <v>6497</v>
      </c>
      <c r="C3492">
        <v>0.53</v>
      </c>
      <c r="D3492">
        <v>26.16</v>
      </c>
      <c r="E3492">
        <v>11.41</v>
      </c>
      <c r="F3492">
        <v>0.06</v>
      </c>
      <c r="G3492">
        <v>11.41</v>
      </c>
      <c r="H3492">
        <v>11.42</v>
      </c>
      <c r="I3492" t="s">
        <v>2664</v>
      </c>
      <c r="J3492">
        <v>4.0999999999999996</v>
      </c>
      <c r="K3492">
        <v>4.0999999999999996</v>
      </c>
      <c r="L3492">
        <v>11.25</v>
      </c>
      <c r="M3492">
        <v>11.42</v>
      </c>
      <c r="N3492">
        <v>11.18</v>
      </c>
    </row>
    <row r="3493" spans="1:14" x14ac:dyDescent="0.5">
      <c r="A3493" t="str">
        <f>"603799"</f>
        <v>603799</v>
      </c>
      <c r="B3493" t="s">
        <v>6498</v>
      </c>
      <c r="C3493">
        <v>-0.18</v>
      </c>
      <c r="D3493">
        <v>11.79</v>
      </c>
      <c r="E3493">
        <v>38.450000000000003</v>
      </c>
      <c r="F3493">
        <v>-7.0000000000000007E-2</v>
      </c>
      <c r="G3493">
        <v>38.450000000000003</v>
      </c>
      <c r="H3493">
        <v>38.46</v>
      </c>
      <c r="I3493" t="s">
        <v>6499</v>
      </c>
      <c r="J3493">
        <v>5.44</v>
      </c>
      <c r="K3493">
        <v>5.44</v>
      </c>
      <c r="L3493">
        <v>37.97</v>
      </c>
      <c r="M3493">
        <v>38.479999999999997</v>
      </c>
      <c r="N3493">
        <v>37.39</v>
      </c>
    </row>
    <row r="3494" spans="1:14" x14ac:dyDescent="0.5">
      <c r="A3494" t="str">
        <f>"603800"</f>
        <v>603800</v>
      </c>
      <c r="B3494" t="s">
        <v>6500</v>
      </c>
      <c r="C3494">
        <v>1.93</v>
      </c>
      <c r="D3494">
        <v>38.049999999999997</v>
      </c>
      <c r="E3494">
        <v>13.18</v>
      </c>
      <c r="F3494">
        <v>0.25</v>
      </c>
      <c r="G3494">
        <v>13.18</v>
      </c>
      <c r="H3494">
        <v>13.19</v>
      </c>
      <c r="I3494" t="s">
        <v>6501</v>
      </c>
      <c r="J3494">
        <v>2.78</v>
      </c>
      <c r="K3494">
        <v>2.78</v>
      </c>
      <c r="L3494">
        <v>12.84</v>
      </c>
      <c r="M3494">
        <v>13.2</v>
      </c>
      <c r="N3494">
        <v>12.7</v>
      </c>
    </row>
    <row r="3495" spans="1:14" x14ac:dyDescent="0.5">
      <c r="A3495" t="str">
        <f>"603801"</f>
        <v>603801</v>
      </c>
      <c r="B3495" t="s">
        <v>6502</v>
      </c>
      <c r="C3495">
        <v>7</v>
      </c>
      <c r="D3495">
        <v>15.58</v>
      </c>
      <c r="E3495">
        <v>29.8</v>
      </c>
      <c r="F3495">
        <v>1.95</v>
      </c>
      <c r="G3495">
        <v>29.79</v>
      </c>
      <c r="H3495">
        <v>29.8</v>
      </c>
      <c r="I3495" t="s">
        <v>594</v>
      </c>
      <c r="J3495">
        <v>5.24</v>
      </c>
      <c r="K3495">
        <v>5.24</v>
      </c>
      <c r="L3495">
        <v>27.87</v>
      </c>
      <c r="M3495">
        <v>30.03</v>
      </c>
      <c r="N3495">
        <v>27.72</v>
      </c>
    </row>
    <row r="3496" spans="1:14" x14ac:dyDescent="0.5">
      <c r="A3496" t="str">
        <f>"603803"</f>
        <v>603803</v>
      </c>
      <c r="B3496" t="s">
        <v>6503</v>
      </c>
      <c r="C3496">
        <v>6.28</v>
      </c>
      <c r="D3496">
        <v>31.81</v>
      </c>
      <c r="E3496">
        <v>13.37</v>
      </c>
      <c r="F3496">
        <v>0.79</v>
      </c>
      <c r="G3496">
        <v>13.36</v>
      </c>
      <c r="H3496">
        <v>13.37</v>
      </c>
      <c r="I3496" t="s">
        <v>3160</v>
      </c>
      <c r="J3496">
        <v>18.920000000000002</v>
      </c>
      <c r="K3496">
        <v>18.920000000000002</v>
      </c>
      <c r="L3496">
        <v>12.58</v>
      </c>
      <c r="M3496">
        <v>13.67</v>
      </c>
      <c r="N3496">
        <v>12.47</v>
      </c>
    </row>
    <row r="3497" spans="1:14" x14ac:dyDescent="0.5">
      <c r="A3497" t="str">
        <f>"603806"</f>
        <v>603806</v>
      </c>
      <c r="B3497" t="s">
        <v>6504</v>
      </c>
      <c r="C3497">
        <v>-1.07</v>
      </c>
      <c r="D3497">
        <v>24.33</v>
      </c>
      <c r="E3497">
        <v>34.97</v>
      </c>
      <c r="F3497">
        <v>-0.38</v>
      </c>
      <c r="G3497">
        <v>34.950000000000003</v>
      </c>
      <c r="H3497">
        <v>34.97</v>
      </c>
      <c r="I3497" t="s">
        <v>6505</v>
      </c>
      <c r="J3497">
        <v>0.39</v>
      </c>
      <c r="K3497">
        <v>0.39</v>
      </c>
      <c r="L3497">
        <v>35.35</v>
      </c>
      <c r="M3497">
        <v>35.39</v>
      </c>
      <c r="N3497">
        <v>34.18</v>
      </c>
    </row>
    <row r="3498" spans="1:14" x14ac:dyDescent="0.5">
      <c r="A3498" t="str">
        <f>"603808"</f>
        <v>603808</v>
      </c>
      <c r="B3498" t="s">
        <v>6506</v>
      </c>
      <c r="C3498">
        <v>1.44</v>
      </c>
      <c r="D3498">
        <v>15.89</v>
      </c>
      <c r="E3498">
        <v>17.66</v>
      </c>
      <c r="F3498">
        <v>0.25</v>
      </c>
      <c r="G3498">
        <v>17.649999999999999</v>
      </c>
      <c r="H3498">
        <v>17.66</v>
      </c>
      <c r="I3498" t="s">
        <v>6507</v>
      </c>
      <c r="J3498">
        <v>0.64</v>
      </c>
      <c r="K3498">
        <v>0.64</v>
      </c>
      <c r="L3498">
        <v>17.38</v>
      </c>
      <c r="M3498">
        <v>17.7</v>
      </c>
      <c r="N3498">
        <v>17.32</v>
      </c>
    </row>
    <row r="3499" spans="1:14" x14ac:dyDescent="0.5">
      <c r="A3499" t="str">
        <f>"603809"</f>
        <v>603809</v>
      </c>
      <c r="B3499" t="s">
        <v>6508</v>
      </c>
      <c r="C3499">
        <v>0.41</v>
      </c>
      <c r="D3499">
        <v>16.27</v>
      </c>
      <c r="E3499">
        <v>17.010000000000002</v>
      </c>
      <c r="F3499">
        <v>7.0000000000000007E-2</v>
      </c>
      <c r="G3499">
        <v>17</v>
      </c>
      <c r="H3499">
        <v>17.010000000000002</v>
      </c>
      <c r="I3499" t="s">
        <v>6155</v>
      </c>
      <c r="J3499">
        <v>2.27</v>
      </c>
      <c r="K3499">
        <v>2.27</v>
      </c>
      <c r="L3499">
        <v>16.8</v>
      </c>
      <c r="M3499">
        <v>17.02</v>
      </c>
      <c r="N3499">
        <v>16.760000000000002</v>
      </c>
    </row>
    <row r="3500" spans="1:14" x14ac:dyDescent="0.5">
      <c r="A3500" t="str">
        <f>"603810"</f>
        <v>603810</v>
      </c>
      <c r="B3500" t="s">
        <v>6509</v>
      </c>
      <c r="C3500">
        <v>-0.53</v>
      </c>
      <c r="D3500">
        <v>23.85</v>
      </c>
      <c r="E3500">
        <v>41.43</v>
      </c>
      <c r="F3500">
        <v>-0.22</v>
      </c>
      <c r="G3500">
        <v>41.42</v>
      </c>
      <c r="H3500">
        <v>41.43</v>
      </c>
      <c r="I3500" t="s">
        <v>6510</v>
      </c>
      <c r="J3500">
        <v>11.88</v>
      </c>
      <c r="K3500">
        <v>11.88</v>
      </c>
      <c r="L3500">
        <v>41.2</v>
      </c>
      <c r="M3500">
        <v>41.46</v>
      </c>
      <c r="N3500">
        <v>40.89</v>
      </c>
    </row>
    <row r="3501" spans="1:14" x14ac:dyDescent="0.5">
      <c r="A3501" t="str">
        <f>"603811"</f>
        <v>603811</v>
      </c>
      <c r="B3501" t="s">
        <v>6511</v>
      </c>
      <c r="C3501">
        <v>0.73</v>
      </c>
      <c r="D3501">
        <v>22.31</v>
      </c>
      <c r="E3501">
        <v>18</v>
      </c>
      <c r="F3501">
        <v>0.13</v>
      </c>
      <c r="G3501">
        <v>18</v>
      </c>
      <c r="H3501">
        <v>18.010000000000002</v>
      </c>
      <c r="I3501" t="s">
        <v>3105</v>
      </c>
      <c r="J3501">
        <v>2.15</v>
      </c>
      <c r="K3501">
        <v>2.15</v>
      </c>
      <c r="L3501">
        <v>17.79</v>
      </c>
      <c r="M3501">
        <v>18.02</v>
      </c>
      <c r="N3501">
        <v>17.77</v>
      </c>
    </row>
    <row r="3502" spans="1:14" x14ac:dyDescent="0.5">
      <c r="A3502" t="str">
        <f>"603813"</f>
        <v>603813</v>
      </c>
      <c r="B3502" t="s">
        <v>6512</v>
      </c>
      <c r="C3502">
        <v>1.38</v>
      </c>
      <c r="D3502">
        <v>31.16</v>
      </c>
      <c r="E3502">
        <v>19.87</v>
      </c>
      <c r="F3502">
        <v>0.27</v>
      </c>
      <c r="G3502">
        <v>19.850000000000001</v>
      </c>
      <c r="H3502">
        <v>19.87</v>
      </c>
      <c r="I3502" t="s">
        <v>6513</v>
      </c>
      <c r="J3502">
        <v>3.07</v>
      </c>
      <c r="K3502">
        <v>3.07</v>
      </c>
      <c r="L3502">
        <v>19.59</v>
      </c>
      <c r="M3502">
        <v>19.899999999999999</v>
      </c>
      <c r="N3502">
        <v>19.309999999999999</v>
      </c>
    </row>
    <row r="3503" spans="1:14" x14ac:dyDescent="0.5">
      <c r="A3503" t="str">
        <f>"603816"</f>
        <v>603816</v>
      </c>
      <c r="B3503" t="s">
        <v>6514</v>
      </c>
      <c r="C3503">
        <v>4.37</v>
      </c>
      <c r="D3503">
        <v>23.68</v>
      </c>
      <c r="E3503">
        <v>55.85</v>
      </c>
      <c r="F3503">
        <v>2.34</v>
      </c>
      <c r="G3503">
        <v>55.8</v>
      </c>
      <c r="H3503">
        <v>55.85</v>
      </c>
      <c r="I3503" t="s">
        <v>448</v>
      </c>
      <c r="J3503">
        <v>4.28</v>
      </c>
      <c r="K3503">
        <v>4.28</v>
      </c>
      <c r="L3503">
        <v>53.58</v>
      </c>
      <c r="M3503">
        <v>56.56</v>
      </c>
      <c r="N3503">
        <v>53.58</v>
      </c>
    </row>
    <row r="3504" spans="1:14" x14ac:dyDescent="0.5">
      <c r="A3504" t="str">
        <f>"603817"</f>
        <v>603817</v>
      </c>
      <c r="B3504" t="s">
        <v>6515</v>
      </c>
      <c r="C3504">
        <v>0.27</v>
      </c>
      <c r="D3504">
        <v>32.229999999999997</v>
      </c>
      <c r="E3504">
        <v>7.5</v>
      </c>
      <c r="F3504">
        <v>0.02</v>
      </c>
      <c r="G3504">
        <v>7.5</v>
      </c>
      <c r="H3504">
        <v>7.51</v>
      </c>
      <c r="I3504" t="s">
        <v>6516</v>
      </c>
      <c r="J3504">
        <v>2.48</v>
      </c>
      <c r="K3504">
        <v>2.48</v>
      </c>
      <c r="L3504">
        <v>7.4</v>
      </c>
      <c r="M3504">
        <v>7.56</v>
      </c>
      <c r="N3504">
        <v>7.39</v>
      </c>
    </row>
    <row r="3505" spans="1:14" x14ac:dyDescent="0.5">
      <c r="A3505" t="str">
        <f>"603818"</f>
        <v>603818</v>
      </c>
      <c r="B3505" t="s">
        <v>6517</v>
      </c>
      <c r="C3505">
        <v>1.25</v>
      </c>
      <c r="D3505">
        <v>23.56</v>
      </c>
      <c r="E3505">
        <v>8.07</v>
      </c>
      <c r="F3505">
        <v>0.1</v>
      </c>
      <c r="G3505">
        <v>8.06</v>
      </c>
      <c r="H3505">
        <v>8.07</v>
      </c>
      <c r="I3505" t="s">
        <v>6518</v>
      </c>
      <c r="J3505">
        <v>0.89</v>
      </c>
      <c r="K3505">
        <v>0.89</v>
      </c>
      <c r="L3505">
        <v>7.94</v>
      </c>
      <c r="M3505">
        <v>8.1300000000000008</v>
      </c>
      <c r="N3505">
        <v>7.81</v>
      </c>
    </row>
    <row r="3506" spans="1:14" x14ac:dyDescent="0.5">
      <c r="A3506" t="str">
        <f>"603819"</f>
        <v>603819</v>
      </c>
      <c r="B3506" t="s">
        <v>6519</v>
      </c>
      <c r="C3506">
        <v>-0.69</v>
      </c>
      <c r="D3506">
        <v>54.96</v>
      </c>
      <c r="E3506">
        <v>17.3</v>
      </c>
      <c r="F3506">
        <v>-0.12</v>
      </c>
      <c r="G3506">
        <v>17.29</v>
      </c>
      <c r="H3506">
        <v>17.3</v>
      </c>
      <c r="I3506" t="s">
        <v>2621</v>
      </c>
      <c r="J3506">
        <v>3.61</v>
      </c>
      <c r="K3506">
        <v>3.61</v>
      </c>
      <c r="L3506">
        <v>17.36</v>
      </c>
      <c r="M3506">
        <v>17.39</v>
      </c>
      <c r="N3506">
        <v>17.149999999999999</v>
      </c>
    </row>
    <row r="3507" spans="1:14" x14ac:dyDescent="0.5">
      <c r="A3507" t="str">
        <f>"603822"</f>
        <v>603822</v>
      </c>
      <c r="B3507" t="s">
        <v>6520</v>
      </c>
      <c r="C3507">
        <v>-1.51</v>
      </c>
      <c r="D3507">
        <v>38.5</v>
      </c>
      <c r="E3507">
        <v>32.69</v>
      </c>
      <c r="F3507">
        <v>-0.5</v>
      </c>
      <c r="G3507">
        <v>32.69</v>
      </c>
      <c r="H3507">
        <v>32.700000000000003</v>
      </c>
      <c r="I3507" t="s">
        <v>6521</v>
      </c>
      <c r="J3507">
        <v>7.52</v>
      </c>
      <c r="K3507">
        <v>7.52</v>
      </c>
      <c r="L3507">
        <v>31.8</v>
      </c>
      <c r="M3507">
        <v>32.770000000000003</v>
      </c>
      <c r="N3507">
        <v>31.39</v>
      </c>
    </row>
    <row r="3508" spans="1:14" x14ac:dyDescent="0.5">
      <c r="A3508" t="str">
        <f>"603823"</f>
        <v>603823</v>
      </c>
      <c r="B3508" t="s">
        <v>6522</v>
      </c>
      <c r="C3508">
        <v>0.06</v>
      </c>
      <c r="D3508">
        <v>19.11</v>
      </c>
      <c r="E3508">
        <v>17.07</v>
      </c>
      <c r="F3508">
        <v>0.01</v>
      </c>
      <c r="G3508">
        <v>17.07</v>
      </c>
      <c r="H3508">
        <v>17.09</v>
      </c>
      <c r="I3508" t="s">
        <v>3857</v>
      </c>
      <c r="J3508">
        <v>4.01</v>
      </c>
      <c r="K3508">
        <v>4.01</v>
      </c>
      <c r="L3508">
        <v>17.010000000000002</v>
      </c>
      <c r="M3508">
        <v>17.170000000000002</v>
      </c>
      <c r="N3508">
        <v>16.899999999999999</v>
      </c>
    </row>
    <row r="3509" spans="1:14" x14ac:dyDescent="0.5">
      <c r="A3509" t="str">
        <f>"603825"</f>
        <v>603825</v>
      </c>
      <c r="B3509" t="s">
        <v>6523</v>
      </c>
      <c r="C3509">
        <v>3.38</v>
      </c>
      <c r="D3509">
        <v>20.52</v>
      </c>
      <c r="E3509">
        <v>14.97</v>
      </c>
      <c r="F3509">
        <v>0.49</v>
      </c>
      <c r="G3509">
        <v>14.97</v>
      </c>
      <c r="H3509">
        <v>14.98</v>
      </c>
      <c r="I3509" t="s">
        <v>6376</v>
      </c>
      <c r="J3509">
        <v>7.4</v>
      </c>
      <c r="K3509">
        <v>7.4</v>
      </c>
      <c r="L3509">
        <v>14.45</v>
      </c>
      <c r="M3509">
        <v>15.08</v>
      </c>
      <c r="N3509">
        <v>14.35</v>
      </c>
    </row>
    <row r="3510" spans="1:14" x14ac:dyDescent="0.5">
      <c r="A3510" t="str">
        <f>"603826"</f>
        <v>603826</v>
      </c>
      <c r="B3510" t="s">
        <v>6524</v>
      </c>
      <c r="C3510">
        <v>0.42</v>
      </c>
      <c r="D3510">
        <v>42.95</v>
      </c>
      <c r="E3510">
        <v>16.77</v>
      </c>
      <c r="F3510">
        <v>7.0000000000000007E-2</v>
      </c>
      <c r="G3510">
        <v>16.760000000000002</v>
      </c>
      <c r="H3510">
        <v>16.77</v>
      </c>
      <c r="I3510" t="s">
        <v>6525</v>
      </c>
      <c r="J3510">
        <v>2.96</v>
      </c>
      <c r="K3510">
        <v>2.96</v>
      </c>
      <c r="L3510">
        <v>16.690000000000001</v>
      </c>
      <c r="M3510">
        <v>16.8</v>
      </c>
      <c r="N3510">
        <v>16.350000000000001</v>
      </c>
    </row>
    <row r="3511" spans="1:14" x14ac:dyDescent="0.5">
      <c r="A3511" t="str">
        <f>"603828"</f>
        <v>603828</v>
      </c>
      <c r="B3511" t="s">
        <v>6526</v>
      </c>
      <c r="C3511">
        <v>8.8699999999999992</v>
      </c>
      <c r="D3511">
        <v>48</v>
      </c>
      <c r="E3511">
        <v>11.05</v>
      </c>
      <c r="F3511">
        <v>0.9</v>
      </c>
      <c r="G3511">
        <v>11.04</v>
      </c>
      <c r="H3511">
        <v>11.05</v>
      </c>
      <c r="I3511" t="s">
        <v>6527</v>
      </c>
      <c r="J3511">
        <v>5.61</v>
      </c>
      <c r="K3511">
        <v>5.61</v>
      </c>
      <c r="L3511">
        <v>10.86</v>
      </c>
      <c r="M3511">
        <v>11.17</v>
      </c>
      <c r="N3511">
        <v>10.199999999999999</v>
      </c>
    </row>
    <row r="3512" spans="1:14" x14ac:dyDescent="0.5">
      <c r="A3512" t="str">
        <f>"603829"</f>
        <v>603829</v>
      </c>
      <c r="B3512" t="s">
        <v>6528</v>
      </c>
      <c r="C3512">
        <v>2.71</v>
      </c>
      <c r="D3512">
        <v>35.840000000000003</v>
      </c>
      <c r="E3512">
        <v>10.99</v>
      </c>
      <c r="F3512">
        <v>0.28999999999999998</v>
      </c>
      <c r="G3512">
        <v>10.99</v>
      </c>
      <c r="H3512">
        <v>11</v>
      </c>
      <c r="I3512" t="s">
        <v>3601</v>
      </c>
      <c r="J3512">
        <v>5.38</v>
      </c>
      <c r="K3512">
        <v>5.38</v>
      </c>
      <c r="L3512">
        <v>10.7</v>
      </c>
      <c r="M3512">
        <v>10.99</v>
      </c>
      <c r="N3512">
        <v>10.58</v>
      </c>
    </row>
    <row r="3513" spans="1:14" x14ac:dyDescent="0.5">
      <c r="A3513" t="str">
        <f>"603833"</f>
        <v>603833</v>
      </c>
      <c r="B3513" t="s">
        <v>6529</v>
      </c>
      <c r="C3513">
        <v>6.46</v>
      </c>
      <c r="D3513">
        <v>25.68</v>
      </c>
      <c r="E3513">
        <v>108.48</v>
      </c>
      <c r="F3513">
        <v>6.58</v>
      </c>
      <c r="G3513">
        <v>108.48</v>
      </c>
      <c r="H3513">
        <v>108.49</v>
      </c>
      <c r="I3513" t="s">
        <v>6530</v>
      </c>
      <c r="J3513">
        <v>1.47</v>
      </c>
      <c r="K3513">
        <v>1.47</v>
      </c>
      <c r="L3513">
        <v>104</v>
      </c>
      <c r="M3513">
        <v>111.26</v>
      </c>
      <c r="N3513">
        <v>101.01</v>
      </c>
    </row>
    <row r="3514" spans="1:14" x14ac:dyDescent="0.5">
      <c r="A3514" t="str">
        <f>"603838"</f>
        <v>603838</v>
      </c>
      <c r="B3514" t="s">
        <v>6531</v>
      </c>
      <c r="C3514">
        <v>0.66</v>
      </c>
      <c r="D3514">
        <v>40.840000000000003</v>
      </c>
      <c r="E3514">
        <v>9.2100000000000009</v>
      </c>
      <c r="F3514">
        <v>0.06</v>
      </c>
      <c r="G3514">
        <v>9.2100000000000009</v>
      </c>
      <c r="H3514">
        <v>9.2200000000000006</v>
      </c>
      <c r="I3514" t="s">
        <v>2825</v>
      </c>
      <c r="J3514">
        <v>1.43</v>
      </c>
      <c r="K3514">
        <v>1.43</v>
      </c>
      <c r="L3514">
        <v>9.0299999999999994</v>
      </c>
      <c r="M3514">
        <v>9.23</v>
      </c>
      <c r="N3514">
        <v>8.99</v>
      </c>
    </row>
    <row r="3515" spans="1:14" x14ac:dyDescent="0.5">
      <c r="A3515" t="str">
        <f>"603839"</f>
        <v>603839</v>
      </c>
      <c r="B3515" t="s">
        <v>6532</v>
      </c>
      <c r="C3515">
        <v>0.34</v>
      </c>
      <c r="D3515">
        <v>14.79</v>
      </c>
      <c r="E3515">
        <v>11.68</v>
      </c>
      <c r="F3515">
        <v>0.04</v>
      </c>
      <c r="G3515">
        <v>11.67</v>
      </c>
      <c r="H3515">
        <v>11.68</v>
      </c>
      <c r="I3515" t="s">
        <v>3959</v>
      </c>
      <c r="J3515">
        <v>3.64</v>
      </c>
      <c r="K3515">
        <v>3.64</v>
      </c>
      <c r="L3515">
        <v>11.57</v>
      </c>
      <c r="M3515">
        <v>11.7</v>
      </c>
      <c r="N3515">
        <v>11.48</v>
      </c>
    </row>
    <row r="3516" spans="1:14" x14ac:dyDescent="0.5">
      <c r="A3516" t="str">
        <f>"603843"</f>
        <v>603843</v>
      </c>
      <c r="B3516" t="s">
        <v>6533</v>
      </c>
      <c r="C3516">
        <v>1.67</v>
      </c>
      <c r="D3516">
        <v>42.82</v>
      </c>
      <c r="E3516">
        <v>8.5</v>
      </c>
      <c r="F3516">
        <v>0.14000000000000001</v>
      </c>
      <c r="G3516">
        <v>8.5</v>
      </c>
      <c r="H3516">
        <v>8.51</v>
      </c>
      <c r="I3516" t="s">
        <v>6534</v>
      </c>
      <c r="J3516">
        <v>6.8</v>
      </c>
      <c r="K3516">
        <v>6.8</v>
      </c>
      <c r="L3516">
        <v>8.33</v>
      </c>
      <c r="M3516">
        <v>8.58</v>
      </c>
      <c r="N3516">
        <v>8.27</v>
      </c>
    </row>
    <row r="3517" spans="1:14" x14ac:dyDescent="0.5">
      <c r="A3517" t="str">
        <f>"603848"</f>
        <v>603848</v>
      </c>
      <c r="B3517" t="s">
        <v>6535</v>
      </c>
      <c r="C3517">
        <v>0.34</v>
      </c>
      <c r="D3517">
        <v>27.83</v>
      </c>
      <c r="E3517">
        <v>17.68</v>
      </c>
      <c r="F3517">
        <v>0.06</v>
      </c>
      <c r="G3517">
        <v>17.68</v>
      </c>
      <c r="H3517">
        <v>17.690000000000001</v>
      </c>
      <c r="I3517" t="s">
        <v>6536</v>
      </c>
      <c r="J3517">
        <v>4.75</v>
      </c>
      <c r="K3517">
        <v>4.75</v>
      </c>
      <c r="L3517">
        <v>17.47</v>
      </c>
      <c r="M3517">
        <v>17.73</v>
      </c>
      <c r="N3517">
        <v>17.25</v>
      </c>
    </row>
    <row r="3518" spans="1:14" x14ac:dyDescent="0.5">
      <c r="A3518" t="str">
        <f>"603855"</f>
        <v>603855</v>
      </c>
      <c r="B3518" t="s">
        <v>6537</v>
      </c>
      <c r="C3518">
        <v>0.66</v>
      </c>
      <c r="D3518">
        <v>17.77</v>
      </c>
      <c r="E3518">
        <v>9.1</v>
      </c>
      <c r="F3518">
        <v>0.06</v>
      </c>
      <c r="G3518">
        <v>9.09</v>
      </c>
      <c r="H3518">
        <v>9.1</v>
      </c>
      <c r="I3518" t="s">
        <v>6538</v>
      </c>
      <c r="J3518">
        <v>0.94</v>
      </c>
      <c r="K3518">
        <v>0.94</v>
      </c>
      <c r="L3518">
        <v>9.0500000000000007</v>
      </c>
      <c r="M3518">
        <v>9.11</v>
      </c>
      <c r="N3518">
        <v>8.94</v>
      </c>
    </row>
    <row r="3519" spans="1:14" x14ac:dyDescent="0.5">
      <c r="A3519" t="str">
        <f>"603856"</f>
        <v>603856</v>
      </c>
      <c r="B3519" t="s">
        <v>6539</v>
      </c>
      <c r="C3519">
        <v>2.5</v>
      </c>
      <c r="D3519">
        <v>20.98</v>
      </c>
      <c r="E3519">
        <v>12.28</v>
      </c>
      <c r="F3519">
        <v>0.3</v>
      </c>
      <c r="G3519">
        <v>12.27</v>
      </c>
      <c r="H3519">
        <v>12.28</v>
      </c>
      <c r="I3519" t="s">
        <v>6540</v>
      </c>
      <c r="J3519">
        <v>6.32</v>
      </c>
      <c r="K3519">
        <v>6.32</v>
      </c>
      <c r="L3519">
        <v>11.98</v>
      </c>
      <c r="M3519">
        <v>12.28</v>
      </c>
      <c r="N3519">
        <v>11.92</v>
      </c>
    </row>
    <row r="3520" spans="1:14" x14ac:dyDescent="0.5">
      <c r="A3520" t="str">
        <f>"603858"</f>
        <v>603858</v>
      </c>
      <c r="B3520" t="s">
        <v>6541</v>
      </c>
      <c r="C3520">
        <v>1.3</v>
      </c>
      <c r="D3520">
        <v>14.4</v>
      </c>
      <c r="E3520">
        <v>28.75</v>
      </c>
      <c r="F3520">
        <v>0.37</v>
      </c>
      <c r="G3520">
        <v>28.74</v>
      </c>
      <c r="H3520">
        <v>28.75</v>
      </c>
      <c r="I3520" t="s">
        <v>6542</v>
      </c>
      <c r="J3520">
        <v>2.62</v>
      </c>
      <c r="K3520">
        <v>2.62</v>
      </c>
      <c r="L3520">
        <v>28.36</v>
      </c>
      <c r="M3520">
        <v>28.75</v>
      </c>
      <c r="N3520">
        <v>28.21</v>
      </c>
    </row>
    <row r="3521" spans="1:14" x14ac:dyDescent="0.5">
      <c r="A3521" t="str">
        <f>"603859"</f>
        <v>603859</v>
      </c>
      <c r="B3521" t="s">
        <v>6543</v>
      </c>
      <c r="C3521">
        <v>-0.38</v>
      </c>
      <c r="D3521">
        <v>59.51</v>
      </c>
      <c r="E3521">
        <v>26.12</v>
      </c>
      <c r="F3521">
        <v>-0.1</v>
      </c>
      <c r="G3521">
        <v>26.08</v>
      </c>
      <c r="H3521">
        <v>26.12</v>
      </c>
      <c r="I3521" t="s">
        <v>6544</v>
      </c>
      <c r="J3521">
        <v>8.8699999999999992</v>
      </c>
      <c r="K3521">
        <v>8.8699999999999992</v>
      </c>
      <c r="L3521">
        <v>25.9</v>
      </c>
      <c r="M3521">
        <v>26.39</v>
      </c>
      <c r="N3521">
        <v>24.88</v>
      </c>
    </row>
    <row r="3522" spans="1:14" x14ac:dyDescent="0.5">
      <c r="A3522" t="str">
        <f>"603860"</f>
        <v>603860</v>
      </c>
      <c r="B3522" t="s">
        <v>6545</v>
      </c>
      <c r="C3522">
        <v>1.71</v>
      </c>
      <c r="D3522">
        <v>38.979999999999997</v>
      </c>
      <c r="E3522">
        <v>26.76</v>
      </c>
      <c r="F3522">
        <v>0.45</v>
      </c>
      <c r="G3522">
        <v>26.75</v>
      </c>
      <c r="H3522">
        <v>26.76</v>
      </c>
      <c r="I3522" t="s">
        <v>6546</v>
      </c>
      <c r="J3522">
        <v>2.3199999999999998</v>
      </c>
      <c r="K3522">
        <v>2.3199999999999998</v>
      </c>
      <c r="L3522">
        <v>26.2</v>
      </c>
      <c r="M3522">
        <v>26.77</v>
      </c>
      <c r="N3522">
        <v>26.16</v>
      </c>
    </row>
    <row r="3523" spans="1:14" x14ac:dyDescent="0.5">
      <c r="A3523" t="str">
        <f>"603861"</f>
        <v>603861</v>
      </c>
      <c r="B3523" t="s">
        <v>6547</v>
      </c>
      <c r="C3523">
        <v>1.92</v>
      </c>
      <c r="D3523">
        <v>37.22</v>
      </c>
      <c r="E3523">
        <v>12.19</v>
      </c>
      <c r="F3523">
        <v>0.23</v>
      </c>
      <c r="G3523">
        <v>12.19</v>
      </c>
      <c r="H3523">
        <v>12.2</v>
      </c>
      <c r="I3523" t="s">
        <v>6548</v>
      </c>
      <c r="J3523">
        <v>3.52</v>
      </c>
      <c r="K3523">
        <v>3.52</v>
      </c>
      <c r="L3523">
        <v>11.93</v>
      </c>
      <c r="M3523">
        <v>12.2</v>
      </c>
      <c r="N3523">
        <v>11.82</v>
      </c>
    </row>
    <row r="3524" spans="1:14" x14ac:dyDescent="0.5">
      <c r="A3524" t="str">
        <f>"603866"</f>
        <v>603866</v>
      </c>
      <c r="B3524" t="s">
        <v>6549</v>
      </c>
      <c r="C3524">
        <v>-1.1100000000000001</v>
      </c>
      <c r="D3524">
        <v>39.979999999999997</v>
      </c>
      <c r="E3524">
        <v>53.28</v>
      </c>
      <c r="F3524">
        <v>-0.6</v>
      </c>
      <c r="G3524">
        <v>53.28</v>
      </c>
      <c r="H3524">
        <v>53.39</v>
      </c>
      <c r="I3524" t="s">
        <v>6550</v>
      </c>
      <c r="J3524">
        <v>0.18</v>
      </c>
      <c r="K3524">
        <v>0.18</v>
      </c>
      <c r="L3524">
        <v>53.59</v>
      </c>
      <c r="M3524">
        <v>54</v>
      </c>
      <c r="N3524">
        <v>52.8</v>
      </c>
    </row>
    <row r="3525" spans="1:14" x14ac:dyDescent="0.5">
      <c r="A3525" t="str">
        <f>"603868"</f>
        <v>603868</v>
      </c>
      <c r="B3525" t="s">
        <v>6551</v>
      </c>
      <c r="C3525">
        <v>4.01</v>
      </c>
      <c r="D3525">
        <v>21.56</v>
      </c>
      <c r="E3525">
        <v>44.91</v>
      </c>
      <c r="F3525">
        <v>1.73</v>
      </c>
      <c r="G3525">
        <v>44.91</v>
      </c>
      <c r="H3525">
        <v>44.92</v>
      </c>
      <c r="I3525" t="s">
        <v>393</v>
      </c>
      <c r="J3525">
        <v>5.48</v>
      </c>
      <c r="K3525">
        <v>5.48</v>
      </c>
      <c r="L3525">
        <v>43.29</v>
      </c>
      <c r="M3525">
        <v>45.48</v>
      </c>
      <c r="N3525">
        <v>43.01</v>
      </c>
    </row>
    <row r="3526" spans="1:14" x14ac:dyDescent="0.5">
      <c r="A3526" t="str">
        <f>"603869"</f>
        <v>603869</v>
      </c>
      <c r="B3526" t="s">
        <v>6552</v>
      </c>
      <c r="C3526">
        <v>1.51</v>
      </c>
      <c r="D3526">
        <v>18.600000000000001</v>
      </c>
      <c r="E3526">
        <v>20.190000000000001</v>
      </c>
      <c r="F3526">
        <v>0.3</v>
      </c>
      <c r="G3526">
        <v>20.18</v>
      </c>
      <c r="H3526">
        <v>20.190000000000001</v>
      </c>
      <c r="I3526" t="s">
        <v>4006</v>
      </c>
      <c r="J3526">
        <v>1.31</v>
      </c>
      <c r="K3526">
        <v>1.31</v>
      </c>
      <c r="L3526">
        <v>19.850000000000001</v>
      </c>
      <c r="M3526">
        <v>20.2</v>
      </c>
      <c r="N3526">
        <v>19.5</v>
      </c>
    </row>
    <row r="3527" spans="1:14" x14ac:dyDescent="0.5">
      <c r="A3527" t="str">
        <f>"603871"</f>
        <v>603871</v>
      </c>
      <c r="B3527" t="s">
        <v>6553</v>
      </c>
      <c r="C3527">
        <v>1.02</v>
      </c>
      <c r="D3527">
        <v>17.16</v>
      </c>
      <c r="E3527">
        <v>40.78</v>
      </c>
      <c r="F3527">
        <v>0.41</v>
      </c>
      <c r="G3527">
        <v>40.770000000000003</v>
      </c>
      <c r="H3527">
        <v>40.78</v>
      </c>
      <c r="I3527" t="s">
        <v>6554</v>
      </c>
      <c r="J3527">
        <v>5.21</v>
      </c>
      <c r="K3527">
        <v>5.21</v>
      </c>
      <c r="L3527">
        <v>40.200000000000003</v>
      </c>
      <c r="M3527">
        <v>40.950000000000003</v>
      </c>
      <c r="N3527">
        <v>39.840000000000003</v>
      </c>
    </row>
    <row r="3528" spans="1:14" x14ac:dyDescent="0.5">
      <c r="A3528" t="str">
        <f>"603876"</f>
        <v>603876</v>
      </c>
      <c r="B3528" t="s">
        <v>6555</v>
      </c>
      <c r="C3528">
        <v>2.04</v>
      </c>
      <c r="D3528">
        <v>28.47</v>
      </c>
      <c r="E3528">
        <v>19.5</v>
      </c>
      <c r="F3528">
        <v>0.39</v>
      </c>
      <c r="G3528">
        <v>19.489999999999998</v>
      </c>
      <c r="H3528">
        <v>19.5</v>
      </c>
      <c r="I3528" t="s">
        <v>4548</v>
      </c>
      <c r="J3528">
        <v>10.74</v>
      </c>
      <c r="K3528">
        <v>10.74</v>
      </c>
      <c r="L3528">
        <v>18.920000000000002</v>
      </c>
      <c r="M3528">
        <v>19.5</v>
      </c>
      <c r="N3528">
        <v>18.829999999999998</v>
      </c>
    </row>
    <row r="3529" spans="1:14" x14ac:dyDescent="0.5">
      <c r="A3529" t="str">
        <f>"603877"</f>
        <v>603877</v>
      </c>
      <c r="B3529" t="s">
        <v>6556</v>
      </c>
      <c r="C3529">
        <v>1.37</v>
      </c>
      <c r="D3529">
        <v>15.78</v>
      </c>
      <c r="E3529">
        <v>19.25</v>
      </c>
      <c r="F3529">
        <v>0.26</v>
      </c>
      <c r="G3529">
        <v>19.239999999999998</v>
      </c>
      <c r="H3529">
        <v>19.25</v>
      </c>
      <c r="I3529" t="s">
        <v>3855</v>
      </c>
      <c r="J3529">
        <v>1.22</v>
      </c>
      <c r="K3529">
        <v>1.22</v>
      </c>
      <c r="L3529">
        <v>19.04</v>
      </c>
      <c r="M3529">
        <v>19.350000000000001</v>
      </c>
      <c r="N3529">
        <v>18.989999999999998</v>
      </c>
    </row>
    <row r="3530" spans="1:14" x14ac:dyDescent="0.5">
      <c r="A3530" t="str">
        <f>"603878"</f>
        <v>603878</v>
      </c>
      <c r="B3530" t="s">
        <v>6557</v>
      </c>
      <c r="C3530">
        <v>1.23</v>
      </c>
      <c r="D3530">
        <v>15.62</v>
      </c>
      <c r="E3530">
        <v>14.03</v>
      </c>
      <c r="F3530">
        <v>0.17</v>
      </c>
      <c r="G3530">
        <v>14.01</v>
      </c>
      <c r="H3530">
        <v>14.03</v>
      </c>
      <c r="I3530" t="s">
        <v>6558</v>
      </c>
      <c r="J3530">
        <v>2.91</v>
      </c>
      <c r="K3530">
        <v>2.91</v>
      </c>
      <c r="L3530">
        <v>13.79</v>
      </c>
      <c r="M3530">
        <v>14.05</v>
      </c>
      <c r="N3530">
        <v>13.76</v>
      </c>
    </row>
    <row r="3531" spans="1:14" x14ac:dyDescent="0.5">
      <c r="A3531" t="str">
        <f>"603879"</f>
        <v>603879</v>
      </c>
      <c r="B3531" t="s">
        <v>6559</v>
      </c>
      <c r="C3531">
        <v>1.5</v>
      </c>
      <c r="D3531">
        <v>36.97</v>
      </c>
      <c r="E3531">
        <v>10.86</v>
      </c>
      <c r="F3531">
        <v>0.16</v>
      </c>
      <c r="G3531">
        <v>10.85</v>
      </c>
      <c r="H3531">
        <v>10.86</v>
      </c>
      <c r="I3531" t="s">
        <v>6560</v>
      </c>
      <c r="J3531">
        <v>3.58</v>
      </c>
      <c r="K3531">
        <v>3.58</v>
      </c>
      <c r="L3531">
        <v>10.65</v>
      </c>
      <c r="M3531">
        <v>10.93</v>
      </c>
      <c r="N3531">
        <v>10.58</v>
      </c>
    </row>
    <row r="3532" spans="1:14" x14ac:dyDescent="0.5">
      <c r="A3532" t="str">
        <f>"603880"</f>
        <v>603880</v>
      </c>
      <c r="B3532" t="s">
        <v>6561</v>
      </c>
      <c r="C3532">
        <v>2.44</v>
      </c>
      <c r="D3532">
        <v>28.63</v>
      </c>
      <c r="E3532">
        <v>13.41</v>
      </c>
      <c r="F3532">
        <v>0.32</v>
      </c>
      <c r="G3532">
        <v>13.41</v>
      </c>
      <c r="H3532">
        <v>13.42</v>
      </c>
      <c r="I3532" t="s">
        <v>3842</v>
      </c>
      <c r="J3532">
        <v>4.72</v>
      </c>
      <c r="K3532">
        <v>4.72</v>
      </c>
      <c r="L3532">
        <v>13</v>
      </c>
      <c r="M3532">
        <v>13.5</v>
      </c>
      <c r="N3532">
        <v>12.99</v>
      </c>
    </row>
    <row r="3533" spans="1:14" x14ac:dyDescent="0.5">
      <c r="A3533" t="str">
        <f>"603881"</f>
        <v>603881</v>
      </c>
      <c r="B3533" t="s">
        <v>6562</v>
      </c>
      <c r="C3533">
        <v>9.99</v>
      </c>
      <c r="D3533">
        <v>53.49</v>
      </c>
      <c r="E3533">
        <v>35.549999999999997</v>
      </c>
      <c r="F3533">
        <v>3.23</v>
      </c>
      <c r="G3533">
        <v>35.549999999999997</v>
      </c>
      <c r="H3533" t="s">
        <v>24</v>
      </c>
      <c r="I3533" t="s">
        <v>6563</v>
      </c>
      <c r="J3533">
        <v>8.8699999999999992</v>
      </c>
      <c r="K3533">
        <v>8.8699999999999992</v>
      </c>
      <c r="L3533">
        <v>32.32</v>
      </c>
      <c r="M3533">
        <v>35.549999999999997</v>
      </c>
      <c r="N3533">
        <v>32.32</v>
      </c>
    </row>
    <row r="3534" spans="1:14" x14ac:dyDescent="0.5">
      <c r="A3534" t="str">
        <f>"603882"</f>
        <v>603882</v>
      </c>
      <c r="B3534" t="s">
        <v>6564</v>
      </c>
      <c r="C3534">
        <v>-1.37</v>
      </c>
      <c r="D3534">
        <v>57.1</v>
      </c>
      <c r="E3534">
        <v>25.9</v>
      </c>
      <c r="F3534">
        <v>-0.36</v>
      </c>
      <c r="G3534">
        <v>25.9</v>
      </c>
      <c r="H3534">
        <v>25.91</v>
      </c>
      <c r="I3534" t="s">
        <v>6565</v>
      </c>
      <c r="J3534">
        <v>1.82</v>
      </c>
      <c r="K3534">
        <v>1.82</v>
      </c>
      <c r="L3534">
        <v>26.26</v>
      </c>
      <c r="M3534">
        <v>26.66</v>
      </c>
      <c r="N3534">
        <v>25.26</v>
      </c>
    </row>
    <row r="3535" spans="1:14" x14ac:dyDescent="0.5">
      <c r="A3535" t="str">
        <f>"603883"</f>
        <v>603883</v>
      </c>
      <c r="B3535" t="s">
        <v>6566</v>
      </c>
      <c r="C3535">
        <v>-0.17</v>
      </c>
      <c r="D3535">
        <v>38.590000000000003</v>
      </c>
      <c r="E3535">
        <v>57.7</v>
      </c>
      <c r="F3535">
        <v>-0.1</v>
      </c>
      <c r="G3535">
        <v>57.7</v>
      </c>
      <c r="H3535">
        <v>57.72</v>
      </c>
      <c r="I3535" t="s">
        <v>6567</v>
      </c>
      <c r="J3535">
        <v>0.59</v>
      </c>
      <c r="K3535">
        <v>0.59</v>
      </c>
      <c r="L3535">
        <v>57.76</v>
      </c>
      <c r="M3535">
        <v>57.76</v>
      </c>
      <c r="N3535">
        <v>56.51</v>
      </c>
    </row>
    <row r="3536" spans="1:14" x14ac:dyDescent="0.5">
      <c r="A3536" t="str">
        <f>"603885"</f>
        <v>603885</v>
      </c>
      <c r="B3536" t="s">
        <v>6568</v>
      </c>
      <c r="C3536">
        <v>0.15</v>
      </c>
      <c r="D3536">
        <v>16.04</v>
      </c>
      <c r="E3536">
        <v>13.56</v>
      </c>
      <c r="F3536">
        <v>0.02</v>
      </c>
      <c r="G3536">
        <v>13.56</v>
      </c>
      <c r="H3536">
        <v>13.57</v>
      </c>
      <c r="I3536" t="s">
        <v>6569</v>
      </c>
      <c r="J3536">
        <v>0.37</v>
      </c>
      <c r="K3536">
        <v>0.37</v>
      </c>
      <c r="L3536">
        <v>13.51</v>
      </c>
      <c r="M3536">
        <v>13.58</v>
      </c>
      <c r="N3536">
        <v>13.35</v>
      </c>
    </row>
    <row r="3537" spans="1:14" x14ac:dyDescent="0.5">
      <c r="A3537" t="str">
        <f>"603886"</f>
        <v>603886</v>
      </c>
      <c r="B3537" t="s">
        <v>6570</v>
      </c>
      <c r="C3537">
        <v>3.33</v>
      </c>
      <c r="D3537">
        <v>20.47</v>
      </c>
      <c r="E3537">
        <v>22.35</v>
      </c>
      <c r="F3537">
        <v>0.72</v>
      </c>
      <c r="G3537">
        <v>22.35</v>
      </c>
      <c r="H3537">
        <v>22.36</v>
      </c>
      <c r="I3537" t="s">
        <v>1694</v>
      </c>
      <c r="J3537">
        <v>1.48</v>
      </c>
      <c r="K3537">
        <v>1.48</v>
      </c>
      <c r="L3537">
        <v>21.5</v>
      </c>
      <c r="M3537">
        <v>22.62</v>
      </c>
      <c r="N3537">
        <v>21.47</v>
      </c>
    </row>
    <row r="3538" spans="1:14" x14ac:dyDescent="0.5">
      <c r="A3538" t="str">
        <f>"603887"</f>
        <v>603887</v>
      </c>
      <c r="B3538" t="s">
        <v>6571</v>
      </c>
      <c r="C3538">
        <v>6.55</v>
      </c>
      <c r="D3538">
        <v>27.72</v>
      </c>
      <c r="E3538">
        <v>17.239999999999998</v>
      </c>
      <c r="F3538">
        <v>1.06</v>
      </c>
      <c r="G3538">
        <v>17.239999999999998</v>
      </c>
      <c r="H3538">
        <v>17.25</v>
      </c>
      <c r="I3538" t="s">
        <v>6572</v>
      </c>
      <c r="J3538">
        <v>3.23</v>
      </c>
      <c r="K3538">
        <v>3.23</v>
      </c>
      <c r="L3538">
        <v>16.16</v>
      </c>
      <c r="M3538">
        <v>17.489999999999998</v>
      </c>
      <c r="N3538">
        <v>16.059999999999999</v>
      </c>
    </row>
    <row r="3539" spans="1:14" x14ac:dyDescent="0.5">
      <c r="A3539" t="str">
        <f>"603888"</f>
        <v>603888</v>
      </c>
      <c r="B3539" t="s">
        <v>6573</v>
      </c>
      <c r="C3539">
        <v>-1.2</v>
      </c>
      <c r="D3539">
        <v>39.22</v>
      </c>
      <c r="E3539">
        <v>22.18</v>
      </c>
      <c r="F3539">
        <v>-0.27</v>
      </c>
      <c r="G3539">
        <v>22.18</v>
      </c>
      <c r="H3539">
        <v>22.19</v>
      </c>
      <c r="I3539" t="s">
        <v>6574</v>
      </c>
      <c r="J3539">
        <v>13</v>
      </c>
      <c r="K3539">
        <v>13</v>
      </c>
      <c r="L3539">
        <v>22.61</v>
      </c>
      <c r="M3539">
        <v>22.73</v>
      </c>
      <c r="N3539">
        <v>21.31</v>
      </c>
    </row>
    <row r="3540" spans="1:14" x14ac:dyDescent="0.5">
      <c r="A3540" t="str">
        <f>"603889"</f>
        <v>603889</v>
      </c>
      <c r="B3540" t="s">
        <v>6575</v>
      </c>
      <c r="C3540">
        <v>0.1</v>
      </c>
      <c r="D3540">
        <v>18.77</v>
      </c>
      <c r="E3540">
        <v>10.42</v>
      </c>
      <c r="F3540">
        <v>0.01</v>
      </c>
      <c r="G3540">
        <v>10.41</v>
      </c>
      <c r="H3540">
        <v>10.42</v>
      </c>
      <c r="I3540" t="s">
        <v>6576</v>
      </c>
      <c r="J3540">
        <v>1.21</v>
      </c>
      <c r="K3540">
        <v>1.21</v>
      </c>
      <c r="L3540">
        <v>10.43</v>
      </c>
      <c r="M3540">
        <v>10.57</v>
      </c>
      <c r="N3540">
        <v>10.27</v>
      </c>
    </row>
    <row r="3541" spans="1:14" x14ac:dyDescent="0.5">
      <c r="A3541" t="str">
        <f>"603890"</f>
        <v>603890</v>
      </c>
      <c r="B3541" t="s">
        <v>6577</v>
      </c>
      <c r="C3541">
        <v>3.46</v>
      </c>
      <c r="D3541">
        <v>18.920000000000002</v>
      </c>
      <c r="E3541">
        <v>13.74</v>
      </c>
      <c r="F3541">
        <v>0.46</v>
      </c>
      <c r="G3541">
        <v>13.74</v>
      </c>
      <c r="H3541">
        <v>13.75</v>
      </c>
      <c r="I3541" t="s">
        <v>6075</v>
      </c>
      <c r="J3541">
        <v>4.46</v>
      </c>
      <c r="K3541">
        <v>4.46</v>
      </c>
      <c r="L3541">
        <v>13.26</v>
      </c>
      <c r="M3541">
        <v>13.74</v>
      </c>
      <c r="N3541">
        <v>13.2</v>
      </c>
    </row>
    <row r="3542" spans="1:14" x14ac:dyDescent="0.5">
      <c r="A3542" t="str">
        <f>"603895"</f>
        <v>603895</v>
      </c>
      <c r="B3542" t="s">
        <v>6578</v>
      </c>
      <c r="C3542">
        <v>4.29</v>
      </c>
      <c r="D3542">
        <v>42.96</v>
      </c>
      <c r="E3542">
        <v>26.25</v>
      </c>
      <c r="F3542">
        <v>1.08</v>
      </c>
      <c r="G3542">
        <v>26.24</v>
      </c>
      <c r="H3542">
        <v>26.25</v>
      </c>
      <c r="I3542" t="s">
        <v>3806</v>
      </c>
      <c r="J3542">
        <v>12.41</v>
      </c>
      <c r="K3542">
        <v>12.41</v>
      </c>
      <c r="L3542">
        <v>25.13</v>
      </c>
      <c r="M3542">
        <v>26.26</v>
      </c>
      <c r="N3542">
        <v>25.04</v>
      </c>
    </row>
    <row r="3543" spans="1:14" x14ac:dyDescent="0.5">
      <c r="A3543" t="str">
        <f>"603896"</f>
        <v>603896</v>
      </c>
      <c r="B3543" t="s">
        <v>6579</v>
      </c>
      <c r="C3543">
        <v>1.94</v>
      </c>
      <c r="D3543">
        <v>51.5</v>
      </c>
      <c r="E3543">
        <v>35.659999999999997</v>
      </c>
      <c r="F3543">
        <v>0.68</v>
      </c>
      <c r="G3543">
        <v>35.659999999999997</v>
      </c>
      <c r="H3543">
        <v>35.67</v>
      </c>
      <c r="I3543" t="s">
        <v>6580</v>
      </c>
      <c r="J3543">
        <v>2.84</v>
      </c>
      <c r="K3543">
        <v>2.84</v>
      </c>
      <c r="L3543">
        <v>34.630000000000003</v>
      </c>
      <c r="M3543">
        <v>35.979999999999997</v>
      </c>
      <c r="N3543">
        <v>34.630000000000003</v>
      </c>
    </row>
    <row r="3544" spans="1:14" x14ac:dyDescent="0.5">
      <c r="A3544" t="str">
        <f>"603897"</f>
        <v>603897</v>
      </c>
      <c r="B3544" t="s">
        <v>6581</v>
      </c>
      <c r="C3544">
        <v>4.9400000000000004</v>
      </c>
      <c r="D3544">
        <v>21.88</v>
      </c>
      <c r="E3544">
        <v>25.68</v>
      </c>
      <c r="F3544">
        <v>1.21</v>
      </c>
      <c r="G3544">
        <v>25.68</v>
      </c>
      <c r="H3544">
        <v>25.69</v>
      </c>
      <c r="I3544" t="s">
        <v>6582</v>
      </c>
      <c r="J3544">
        <v>14.15</v>
      </c>
      <c r="K3544">
        <v>14.15</v>
      </c>
      <c r="L3544">
        <v>24.31</v>
      </c>
      <c r="M3544">
        <v>25.8</v>
      </c>
      <c r="N3544">
        <v>24.22</v>
      </c>
    </row>
    <row r="3545" spans="1:14" x14ac:dyDescent="0.5">
      <c r="A3545" t="str">
        <f>"603898"</f>
        <v>603898</v>
      </c>
      <c r="B3545" t="s">
        <v>6583</v>
      </c>
      <c r="C3545">
        <v>5.59</v>
      </c>
      <c r="D3545">
        <v>13.17</v>
      </c>
      <c r="E3545">
        <v>19.09</v>
      </c>
      <c r="F3545">
        <v>1.01</v>
      </c>
      <c r="G3545">
        <v>19.09</v>
      </c>
      <c r="H3545">
        <v>19.100000000000001</v>
      </c>
      <c r="I3545" t="s">
        <v>6584</v>
      </c>
      <c r="J3545">
        <v>1.49</v>
      </c>
      <c r="K3545">
        <v>1.49</v>
      </c>
      <c r="L3545">
        <v>18.079999999999998</v>
      </c>
      <c r="M3545">
        <v>19.100000000000001</v>
      </c>
      <c r="N3545">
        <v>18.02</v>
      </c>
    </row>
    <row r="3546" spans="1:14" x14ac:dyDescent="0.5">
      <c r="A3546" t="str">
        <f>"603899"</f>
        <v>603899</v>
      </c>
      <c r="B3546" t="s">
        <v>6585</v>
      </c>
      <c r="C3546">
        <v>-0.79</v>
      </c>
      <c r="D3546">
        <v>38</v>
      </c>
      <c r="E3546">
        <v>31.28</v>
      </c>
      <c r="F3546">
        <v>-0.25</v>
      </c>
      <c r="G3546">
        <v>31.28</v>
      </c>
      <c r="H3546">
        <v>31.29</v>
      </c>
      <c r="I3546" t="s">
        <v>6586</v>
      </c>
      <c r="J3546">
        <v>0.41</v>
      </c>
      <c r="K3546">
        <v>0.41</v>
      </c>
      <c r="L3546">
        <v>31.86</v>
      </c>
      <c r="M3546">
        <v>31.86</v>
      </c>
      <c r="N3546">
        <v>30.82</v>
      </c>
    </row>
    <row r="3547" spans="1:14" x14ac:dyDescent="0.5">
      <c r="A3547" t="str">
        <f>"603900"</f>
        <v>603900</v>
      </c>
      <c r="B3547" t="s">
        <v>6587</v>
      </c>
      <c r="C3547">
        <v>0.75</v>
      </c>
      <c r="D3547">
        <v>16.29</v>
      </c>
      <c r="E3547">
        <v>13.46</v>
      </c>
      <c r="F3547">
        <v>0.1</v>
      </c>
      <c r="G3547">
        <v>13.46</v>
      </c>
      <c r="H3547">
        <v>13.47</v>
      </c>
      <c r="I3547" t="s">
        <v>2827</v>
      </c>
      <c r="J3547">
        <v>7.51</v>
      </c>
      <c r="K3547">
        <v>7.51</v>
      </c>
      <c r="L3547">
        <v>13.28</v>
      </c>
      <c r="M3547">
        <v>13.48</v>
      </c>
      <c r="N3547">
        <v>13.2</v>
      </c>
    </row>
    <row r="3548" spans="1:14" x14ac:dyDescent="0.5">
      <c r="A3548" t="str">
        <f>"603901"</f>
        <v>603901</v>
      </c>
      <c r="B3548" t="s">
        <v>6588</v>
      </c>
      <c r="C3548">
        <v>3.13</v>
      </c>
      <c r="D3548">
        <v>42.95</v>
      </c>
      <c r="E3548">
        <v>7.91</v>
      </c>
      <c r="F3548">
        <v>0.24</v>
      </c>
      <c r="G3548">
        <v>7.9</v>
      </c>
      <c r="H3548">
        <v>7.91</v>
      </c>
      <c r="I3548" t="s">
        <v>6589</v>
      </c>
      <c r="J3548">
        <v>3.91</v>
      </c>
      <c r="K3548">
        <v>3.91</v>
      </c>
      <c r="L3548">
        <v>7.68</v>
      </c>
      <c r="M3548">
        <v>7.96</v>
      </c>
      <c r="N3548">
        <v>7.59</v>
      </c>
    </row>
    <row r="3549" spans="1:14" x14ac:dyDescent="0.5">
      <c r="A3549" t="str">
        <f>"603903"</f>
        <v>603903</v>
      </c>
      <c r="B3549" t="s">
        <v>6590</v>
      </c>
      <c r="C3549">
        <v>1.29</v>
      </c>
      <c r="D3549">
        <v>24.5</v>
      </c>
      <c r="E3549">
        <v>23.53</v>
      </c>
      <c r="F3549">
        <v>0.3</v>
      </c>
      <c r="G3549">
        <v>23.53</v>
      </c>
      <c r="H3549">
        <v>23.54</v>
      </c>
      <c r="I3549" t="s">
        <v>6591</v>
      </c>
      <c r="J3549">
        <v>3.49</v>
      </c>
      <c r="K3549">
        <v>3.49</v>
      </c>
      <c r="L3549">
        <v>23.24</v>
      </c>
      <c r="M3549">
        <v>23.57</v>
      </c>
      <c r="N3549">
        <v>23.1</v>
      </c>
    </row>
    <row r="3550" spans="1:14" x14ac:dyDescent="0.5">
      <c r="A3550" t="str">
        <f>"603906"</f>
        <v>603906</v>
      </c>
      <c r="B3550" t="s">
        <v>6592</v>
      </c>
      <c r="C3550">
        <v>3.63</v>
      </c>
      <c r="D3550">
        <v>31.51</v>
      </c>
      <c r="E3550">
        <v>9.98</v>
      </c>
      <c r="F3550">
        <v>0.35</v>
      </c>
      <c r="G3550">
        <v>9.9700000000000006</v>
      </c>
      <c r="H3550">
        <v>9.98</v>
      </c>
      <c r="I3550" t="s">
        <v>3832</v>
      </c>
      <c r="J3550">
        <v>4.88</v>
      </c>
      <c r="K3550">
        <v>4.88</v>
      </c>
      <c r="L3550">
        <v>9.64</v>
      </c>
      <c r="M3550">
        <v>9.99</v>
      </c>
      <c r="N3550">
        <v>9.6300000000000008</v>
      </c>
    </row>
    <row r="3551" spans="1:14" x14ac:dyDescent="0.5">
      <c r="A3551" t="str">
        <f>"603908"</f>
        <v>603908</v>
      </c>
      <c r="B3551" t="s">
        <v>6593</v>
      </c>
      <c r="C3551">
        <v>1.66</v>
      </c>
      <c r="D3551">
        <v>39.43</v>
      </c>
      <c r="E3551">
        <v>24.54</v>
      </c>
      <c r="F3551">
        <v>0.4</v>
      </c>
      <c r="G3551">
        <v>24.54</v>
      </c>
      <c r="H3551">
        <v>24.55</v>
      </c>
      <c r="I3551" t="s">
        <v>6594</v>
      </c>
      <c r="J3551">
        <v>3.82</v>
      </c>
      <c r="K3551">
        <v>3.82</v>
      </c>
      <c r="L3551">
        <v>24.15</v>
      </c>
      <c r="M3551">
        <v>24.72</v>
      </c>
      <c r="N3551">
        <v>24.02</v>
      </c>
    </row>
    <row r="3552" spans="1:14" x14ac:dyDescent="0.5">
      <c r="A3552" t="str">
        <f>"603909"</f>
        <v>603909</v>
      </c>
      <c r="B3552" t="s">
        <v>6595</v>
      </c>
      <c r="C3552">
        <v>0.71</v>
      </c>
      <c r="D3552">
        <v>53.47</v>
      </c>
      <c r="E3552">
        <v>26.8</v>
      </c>
      <c r="F3552">
        <v>0.19</v>
      </c>
      <c r="G3552">
        <v>26.79</v>
      </c>
      <c r="H3552">
        <v>26.8</v>
      </c>
      <c r="I3552" t="s">
        <v>6596</v>
      </c>
      <c r="J3552">
        <v>6.19</v>
      </c>
      <c r="K3552">
        <v>6.19</v>
      </c>
      <c r="L3552">
        <v>26.48</v>
      </c>
      <c r="M3552">
        <v>26.8</v>
      </c>
      <c r="N3552">
        <v>26.28</v>
      </c>
    </row>
    <row r="3553" spans="1:14" x14ac:dyDescent="0.5">
      <c r="A3553" t="str">
        <f>"603912"</f>
        <v>603912</v>
      </c>
      <c r="B3553" t="s">
        <v>6597</v>
      </c>
      <c r="C3553">
        <v>3.86</v>
      </c>
      <c r="D3553">
        <v>31.39</v>
      </c>
      <c r="E3553">
        <v>16.95</v>
      </c>
      <c r="F3553">
        <v>0.63</v>
      </c>
      <c r="G3553">
        <v>16.95</v>
      </c>
      <c r="H3553">
        <v>16.96</v>
      </c>
      <c r="I3553" t="s">
        <v>2639</v>
      </c>
      <c r="J3553">
        <v>9.42</v>
      </c>
      <c r="K3553">
        <v>9.42</v>
      </c>
      <c r="L3553">
        <v>16.12</v>
      </c>
      <c r="M3553">
        <v>17.09</v>
      </c>
      <c r="N3553">
        <v>16.05</v>
      </c>
    </row>
    <row r="3554" spans="1:14" x14ac:dyDescent="0.5">
      <c r="A3554" t="str">
        <f>"603916"</f>
        <v>603916</v>
      </c>
      <c r="B3554" t="s">
        <v>6598</v>
      </c>
      <c r="C3554">
        <v>5.57</v>
      </c>
      <c r="D3554">
        <v>16.079999999999998</v>
      </c>
      <c r="E3554">
        <v>13.27</v>
      </c>
      <c r="F3554">
        <v>0.7</v>
      </c>
      <c r="G3554">
        <v>13.27</v>
      </c>
      <c r="H3554">
        <v>13.28</v>
      </c>
      <c r="I3554" t="s">
        <v>4452</v>
      </c>
      <c r="J3554">
        <v>8.06</v>
      </c>
      <c r="K3554">
        <v>8.06</v>
      </c>
      <c r="L3554">
        <v>12.84</v>
      </c>
      <c r="M3554">
        <v>13.33</v>
      </c>
      <c r="N3554">
        <v>12.79</v>
      </c>
    </row>
    <row r="3555" spans="1:14" x14ac:dyDescent="0.5">
      <c r="A3555" t="str">
        <f>"603917"</f>
        <v>603917</v>
      </c>
      <c r="B3555" t="s">
        <v>6599</v>
      </c>
      <c r="C3555">
        <v>3.53</v>
      </c>
      <c r="D3555">
        <v>20.18</v>
      </c>
      <c r="E3555">
        <v>12.89</v>
      </c>
      <c r="F3555">
        <v>0.44</v>
      </c>
      <c r="G3555">
        <v>12.89</v>
      </c>
      <c r="H3555">
        <v>12.9</v>
      </c>
      <c r="I3555" t="s">
        <v>2562</v>
      </c>
      <c r="J3555">
        <v>5.49</v>
      </c>
      <c r="K3555">
        <v>5.49</v>
      </c>
      <c r="L3555">
        <v>12.42</v>
      </c>
      <c r="M3555">
        <v>12.9</v>
      </c>
      <c r="N3555">
        <v>12.35</v>
      </c>
    </row>
    <row r="3556" spans="1:14" x14ac:dyDescent="0.5">
      <c r="A3556" t="str">
        <f>"603918"</f>
        <v>603918</v>
      </c>
      <c r="B3556" t="s">
        <v>6600</v>
      </c>
      <c r="C3556">
        <v>3.21</v>
      </c>
      <c r="D3556">
        <v>43.91</v>
      </c>
      <c r="E3556">
        <v>14.16</v>
      </c>
      <c r="F3556">
        <v>0.44</v>
      </c>
      <c r="G3556">
        <v>14.16</v>
      </c>
      <c r="H3556">
        <v>14.17</v>
      </c>
      <c r="I3556" t="s">
        <v>6601</v>
      </c>
      <c r="J3556">
        <v>1.66</v>
      </c>
      <c r="K3556">
        <v>1.66</v>
      </c>
      <c r="L3556">
        <v>13.64</v>
      </c>
      <c r="M3556">
        <v>14.18</v>
      </c>
      <c r="N3556">
        <v>13.58</v>
      </c>
    </row>
    <row r="3557" spans="1:14" x14ac:dyDescent="0.5">
      <c r="A3557" t="str">
        <f>"603919"</f>
        <v>603919</v>
      </c>
      <c r="B3557" t="s">
        <v>6602</v>
      </c>
      <c r="C3557">
        <v>-0.15</v>
      </c>
      <c r="D3557">
        <v>20.239999999999998</v>
      </c>
      <c r="E3557">
        <v>13.17</v>
      </c>
      <c r="F3557">
        <v>-0.02</v>
      </c>
      <c r="G3557">
        <v>13.16</v>
      </c>
      <c r="H3557">
        <v>13.17</v>
      </c>
      <c r="I3557" t="s">
        <v>6603</v>
      </c>
      <c r="J3557">
        <v>2.68</v>
      </c>
      <c r="K3557">
        <v>2.68</v>
      </c>
      <c r="L3557">
        <v>13.15</v>
      </c>
      <c r="M3557">
        <v>13.23</v>
      </c>
      <c r="N3557">
        <v>13</v>
      </c>
    </row>
    <row r="3558" spans="1:14" x14ac:dyDescent="0.5">
      <c r="A3558" t="str">
        <f>"603920"</f>
        <v>603920</v>
      </c>
      <c r="B3558" t="s">
        <v>6604</v>
      </c>
      <c r="C3558">
        <v>2.35</v>
      </c>
      <c r="D3558">
        <v>28.42</v>
      </c>
      <c r="E3558">
        <v>13.48</v>
      </c>
      <c r="F3558">
        <v>0.31</v>
      </c>
      <c r="G3558">
        <v>13.48</v>
      </c>
      <c r="H3558">
        <v>13.49</v>
      </c>
      <c r="I3558" t="s">
        <v>1187</v>
      </c>
      <c r="J3558">
        <v>4.71</v>
      </c>
      <c r="K3558">
        <v>4.71</v>
      </c>
      <c r="L3558">
        <v>13.25</v>
      </c>
      <c r="M3558">
        <v>13.49</v>
      </c>
      <c r="N3558">
        <v>13.18</v>
      </c>
    </row>
    <row r="3559" spans="1:14" x14ac:dyDescent="0.5">
      <c r="A3559" t="str">
        <f>"603922"</f>
        <v>603922</v>
      </c>
      <c r="B3559" t="s">
        <v>6605</v>
      </c>
      <c r="C3559">
        <v>1</v>
      </c>
      <c r="D3559">
        <v>34.6</v>
      </c>
      <c r="E3559">
        <v>18.2</v>
      </c>
      <c r="F3559">
        <v>0.18</v>
      </c>
      <c r="G3559">
        <v>18.190000000000001</v>
      </c>
      <c r="H3559">
        <v>18.2</v>
      </c>
      <c r="I3559" t="s">
        <v>6606</v>
      </c>
      <c r="J3559">
        <v>5.31</v>
      </c>
      <c r="K3559">
        <v>5.31</v>
      </c>
      <c r="L3559">
        <v>18</v>
      </c>
      <c r="M3559">
        <v>18.25</v>
      </c>
      <c r="N3559">
        <v>17.809999999999999</v>
      </c>
    </row>
    <row r="3560" spans="1:14" x14ac:dyDescent="0.5">
      <c r="A3560" t="str">
        <f>"603926"</f>
        <v>603926</v>
      </c>
      <c r="B3560" t="s">
        <v>6607</v>
      </c>
      <c r="C3560">
        <v>1.96</v>
      </c>
      <c r="D3560">
        <v>23.17</v>
      </c>
      <c r="E3560">
        <v>16.12</v>
      </c>
      <c r="F3560">
        <v>0.31</v>
      </c>
      <c r="G3560">
        <v>16.12</v>
      </c>
      <c r="H3560">
        <v>16.13</v>
      </c>
      <c r="I3560" t="s">
        <v>6608</v>
      </c>
      <c r="J3560">
        <v>1.89</v>
      </c>
      <c r="K3560">
        <v>1.89</v>
      </c>
      <c r="L3560">
        <v>15.95</v>
      </c>
      <c r="M3560">
        <v>16.16</v>
      </c>
      <c r="N3560">
        <v>15.82</v>
      </c>
    </row>
    <row r="3561" spans="1:14" x14ac:dyDescent="0.5">
      <c r="A3561" t="str">
        <f>"603928"</f>
        <v>603928</v>
      </c>
      <c r="B3561" t="s">
        <v>6609</v>
      </c>
      <c r="C3561">
        <v>1.22</v>
      </c>
      <c r="D3561">
        <v>19.43</v>
      </c>
      <c r="E3561">
        <v>14.9</v>
      </c>
      <c r="F3561">
        <v>0.18</v>
      </c>
      <c r="G3561">
        <v>14.89</v>
      </c>
      <c r="H3561">
        <v>14.9</v>
      </c>
      <c r="I3561" t="s">
        <v>6435</v>
      </c>
      <c r="J3561">
        <v>5.4</v>
      </c>
      <c r="K3561">
        <v>5.4</v>
      </c>
      <c r="L3561">
        <v>14.61</v>
      </c>
      <c r="M3561">
        <v>14.93</v>
      </c>
      <c r="N3561">
        <v>14.57</v>
      </c>
    </row>
    <row r="3562" spans="1:14" x14ac:dyDescent="0.5">
      <c r="A3562" t="str">
        <f>"603929"</f>
        <v>603929</v>
      </c>
      <c r="B3562" t="s">
        <v>6610</v>
      </c>
      <c r="C3562">
        <v>4.3899999999999997</v>
      </c>
      <c r="D3562">
        <v>21.47</v>
      </c>
      <c r="E3562">
        <v>18.079999999999998</v>
      </c>
      <c r="F3562">
        <v>0.76</v>
      </c>
      <c r="G3562">
        <v>18.079999999999998</v>
      </c>
      <c r="H3562">
        <v>18.09</v>
      </c>
      <c r="I3562" t="s">
        <v>6611</v>
      </c>
      <c r="J3562">
        <v>10.45</v>
      </c>
      <c r="K3562">
        <v>10.45</v>
      </c>
      <c r="L3562">
        <v>17.2</v>
      </c>
      <c r="M3562">
        <v>18.23</v>
      </c>
      <c r="N3562">
        <v>17.05</v>
      </c>
    </row>
    <row r="3563" spans="1:14" x14ac:dyDescent="0.5">
      <c r="A3563" t="str">
        <f>"603933"</f>
        <v>603933</v>
      </c>
      <c r="B3563" t="s">
        <v>6612</v>
      </c>
      <c r="C3563">
        <v>4.24</v>
      </c>
      <c r="D3563">
        <v>24.32</v>
      </c>
      <c r="E3563">
        <v>20.65</v>
      </c>
      <c r="F3563">
        <v>0.84</v>
      </c>
      <c r="G3563">
        <v>20.64</v>
      </c>
      <c r="H3563">
        <v>20.65</v>
      </c>
      <c r="I3563" t="s">
        <v>6613</v>
      </c>
      <c r="J3563">
        <v>10.18</v>
      </c>
      <c r="K3563">
        <v>10.18</v>
      </c>
      <c r="L3563">
        <v>19.809999999999999</v>
      </c>
      <c r="M3563">
        <v>20.65</v>
      </c>
      <c r="N3563">
        <v>19.63</v>
      </c>
    </row>
    <row r="3564" spans="1:14" x14ac:dyDescent="0.5">
      <c r="A3564" t="str">
        <f>"603936"</f>
        <v>603936</v>
      </c>
      <c r="B3564" t="s">
        <v>6614</v>
      </c>
      <c r="C3564">
        <v>2.65</v>
      </c>
      <c r="D3564">
        <v>43.89</v>
      </c>
      <c r="E3564">
        <v>18.2</v>
      </c>
      <c r="F3564">
        <v>0.47</v>
      </c>
      <c r="G3564">
        <v>18.2</v>
      </c>
      <c r="H3564">
        <v>18.21</v>
      </c>
      <c r="I3564" t="s">
        <v>6615</v>
      </c>
      <c r="J3564">
        <v>2.44</v>
      </c>
      <c r="K3564">
        <v>2.44</v>
      </c>
      <c r="L3564">
        <v>17.66</v>
      </c>
      <c r="M3564">
        <v>18.22</v>
      </c>
      <c r="N3564">
        <v>17.510000000000002</v>
      </c>
    </row>
    <row r="3565" spans="1:14" x14ac:dyDescent="0.5">
      <c r="A3565" t="str">
        <f>"603937"</f>
        <v>603937</v>
      </c>
      <c r="B3565" t="s">
        <v>6616</v>
      </c>
      <c r="C3565">
        <v>3.04</v>
      </c>
      <c r="D3565">
        <v>23.62</v>
      </c>
      <c r="E3565">
        <v>13.22</v>
      </c>
      <c r="F3565">
        <v>0.39</v>
      </c>
      <c r="G3565">
        <v>13.22</v>
      </c>
      <c r="H3565">
        <v>13.23</v>
      </c>
      <c r="I3565" t="s">
        <v>6617</v>
      </c>
      <c r="J3565">
        <v>8.6999999999999993</v>
      </c>
      <c r="K3565">
        <v>8.6999999999999993</v>
      </c>
      <c r="L3565">
        <v>12.71</v>
      </c>
      <c r="M3565">
        <v>13.25</v>
      </c>
      <c r="N3565">
        <v>12.61</v>
      </c>
    </row>
    <row r="3566" spans="1:14" x14ac:dyDescent="0.5">
      <c r="A3566" t="str">
        <f>"603938"</f>
        <v>603938</v>
      </c>
      <c r="B3566" t="s">
        <v>6618</v>
      </c>
      <c r="C3566">
        <v>1.25</v>
      </c>
      <c r="D3566">
        <v>22.23</v>
      </c>
      <c r="E3566">
        <v>20.32</v>
      </c>
      <c r="F3566">
        <v>0.25</v>
      </c>
      <c r="G3566">
        <v>20.32</v>
      </c>
      <c r="H3566">
        <v>20.329999999999998</v>
      </c>
      <c r="I3566" t="s">
        <v>6619</v>
      </c>
      <c r="J3566">
        <v>4.3899999999999997</v>
      </c>
      <c r="K3566">
        <v>4.3899999999999997</v>
      </c>
      <c r="L3566">
        <v>20.07</v>
      </c>
      <c r="M3566">
        <v>20.32</v>
      </c>
      <c r="N3566">
        <v>19.899999999999999</v>
      </c>
    </row>
    <row r="3567" spans="1:14" x14ac:dyDescent="0.5">
      <c r="A3567" t="str">
        <f>"603939"</f>
        <v>603939</v>
      </c>
      <c r="B3567" t="s">
        <v>6620</v>
      </c>
      <c r="C3567">
        <v>-1.92</v>
      </c>
      <c r="D3567">
        <v>50.19</v>
      </c>
      <c r="E3567">
        <v>53.57</v>
      </c>
      <c r="F3567">
        <v>-1.05</v>
      </c>
      <c r="G3567">
        <v>53.57</v>
      </c>
      <c r="H3567">
        <v>53.58</v>
      </c>
      <c r="I3567" t="s">
        <v>6621</v>
      </c>
      <c r="J3567">
        <v>1</v>
      </c>
      <c r="K3567">
        <v>1</v>
      </c>
      <c r="L3567">
        <v>55.47</v>
      </c>
      <c r="M3567">
        <v>55.5</v>
      </c>
      <c r="N3567">
        <v>52.36</v>
      </c>
    </row>
    <row r="3568" spans="1:14" x14ac:dyDescent="0.5">
      <c r="A3568" t="str">
        <f>"603955"</f>
        <v>603955</v>
      </c>
      <c r="B3568" t="s">
        <v>6622</v>
      </c>
      <c r="C3568">
        <v>3.62</v>
      </c>
      <c r="D3568">
        <v>23.12</v>
      </c>
      <c r="E3568">
        <v>17.18</v>
      </c>
      <c r="F3568">
        <v>0.6</v>
      </c>
      <c r="G3568">
        <v>17.18</v>
      </c>
      <c r="H3568">
        <v>17.190000000000001</v>
      </c>
      <c r="I3568" t="s">
        <v>1333</v>
      </c>
      <c r="J3568">
        <v>2.58</v>
      </c>
      <c r="K3568">
        <v>2.58</v>
      </c>
      <c r="L3568">
        <v>16.47</v>
      </c>
      <c r="M3568">
        <v>17.3</v>
      </c>
      <c r="N3568">
        <v>16.41</v>
      </c>
    </row>
    <row r="3569" spans="1:14" x14ac:dyDescent="0.5">
      <c r="A3569" t="str">
        <f>"603956"</f>
        <v>603956</v>
      </c>
      <c r="B3569" t="s">
        <v>6623</v>
      </c>
      <c r="C3569">
        <v>9.98</v>
      </c>
      <c r="D3569">
        <v>45.98</v>
      </c>
      <c r="E3569">
        <v>15.98</v>
      </c>
      <c r="F3569">
        <v>1.45</v>
      </c>
      <c r="G3569">
        <v>15.98</v>
      </c>
      <c r="H3569" t="s">
        <v>24</v>
      </c>
      <c r="I3569" t="s">
        <v>6320</v>
      </c>
      <c r="J3569">
        <v>1.94</v>
      </c>
      <c r="K3569">
        <v>1.94</v>
      </c>
      <c r="L3569">
        <v>15.98</v>
      </c>
      <c r="M3569">
        <v>15.98</v>
      </c>
      <c r="N3569">
        <v>15.98</v>
      </c>
    </row>
    <row r="3570" spans="1:14" x14ac:dyDescent="0.5">
      <c r="A3570" t="str">
        <f>"603958"</f>
        <v>603958</v>
      </c>
      <c r="B3570" t="s">
        <v>6624</v>
      </c>
      <c r="C3570">
        <v>2.56</v>
      </c>
      <c r="D3570">
        <v>411.76</v>
      </c>
      <c r="E3570">
        <v>8.81</v>
      </c>
      <c r="F3570">
        <v>0.22</v>
      </c>
      <c r="G3570">
        <v>8.8000000000000007</v>
      </c>
      <c r="H3570">
        <v>8.81</v>
      </c>
      <c r="I3570" t="s">
        <v>6625</v>
      </c>
      <c r="J3570">
        <v>8.0500000000000007</v>
      </c>
      <c r="K3570">
        <v>8.0500000000000007</v>
      </c>
      <c r="L3570">
        <v>8.5500000000000007</v>
      </c>
      <c r="M3570">
        <v>8.93</v>
      </c>
      <c r="N3570">
        <v>8.51</v>
      </c>
    </row>
    <row r="3571" spans="1:14" x14ac:dyDescent="0.5">
      <c r="A3571" t="str">
        <f>"603959"</f>
        <v>603959</v>
      </c>
      <c r="B3571" t="s">
        <v>6626</v>
      </c>
      <c r="C3571">
        <v>-0.78</v>
      </c>
      <c r="D3571">
        <v>49.48</v>
      </c>
      <c r="E3571">
        <v>22.88</v>
      </c>
      <c r="F3571">
        <v>-0.18</v>
      </c>
      <c r="G3571">
        <v>22.87</v>
      </c>
      <c r="H3571">
        <v>22.88</v>
      </c>
      <c r="I3571" t="s">
        <v>6627</v>
      </c>
      <c r="J3571">
        <v>2</v>
      </c>
      <c r="K3571">
        <v>2</v>
      </c>
      <c r="L3571">
        <v>22.85</v>
      </c>
      <c r="M3571">
        <v>23</v>
      </c>
      <c r="N3571">
        <v>22.29</v>
      </c>
    </row>
    <row r="3572" spans="1:14" x14ac:dyDescent="0.5">
      <c r="A3572" t="str">
        <f>"603960"</f>
        <v>603960</v>
      </c>
      <c r="B3572" t="s">
        <v>6628</v>
      </c>
      <c r="C3572">
        <v>0.1</v>
      </c>
      <c r="D3572">
        <v>63.37</v>
      </c>
      <c r="E3572">
        <v>31.41</v>
      </c>
      <c r="F3572">
        <v>0.03</v>
      </c>
      <c r="G3572">
        <v>31.41</v>
      </c>
      <c r="H3572">
        <v>31.47</v>
      </c>
      <c r="I3572" t="s">
        <v>6629</v>
      </c>
      <c r="J3572">
        <v>2.2200000000000002</v>
      </c>
      <c r="K3572">
        <v>2.2200000000000002</v>
      </c>
      <c r="L3572">
        <v>31.3</v>
      </c>
      <c r="M3572">
        <v>31.58</v>
      </c>
      <c r="N3572">
        <v>30.8</v>
      </c>
    </row>
    <row r="3573" spans="1:14" x14ac:dyDescent="0.5">
      <c r="A3573" t="str">
        <f>"603963"</f>
        <v>603963</v>
      </c>
      <c r="B3573" t="s">
        <v>6630</v>
      </c>
      <c r="C3573">
        <v>10.029999999999999</v>
      </c>
      <c r="D3573">
        <v>162.07</v>
      </c>
      <c r="E3573">
        <v>15.03</v>
      </c>
      <c r="F3573">
        <v>1.37</v>
      </c>
      <c r="G3573">
        <v>15.03</v>
      </c>
      <c r="H3573" t="s">
        <v>24</v>
      </c>
      <c r="I3573" t="s">
        <v>6631</v>
      </c>
      <c r="J3573">
        <v>8.52</v>
      </c>
      <c r="K3573">
        <v>8.52</v>
      </c>
      <c r="L3573">
        <v>13.75</v>
      </c>
      <c r="M3573">
        <v>15.03</v>
      </c>
      <c r="N3573">
        <v>13.7</v>
      </c>
    </row>
    <row r="3574" spans="1:14" x14ac:dyDescent="0.5">
      <c r="A3574" t="str">
        <f>"603966"</f>
        <v>603966</v>
      </c>
      <c r="B3574" t="s">
        <v>6632</v>
      </c>
      <c r="C3574">
        <v>3.03</v>
      </c>
      <c r="D3574">
        <v>31.98</v>
      </c>
      <c r="E3574">
        <v>10.53</v>
      </c>
      <c r="F3574">
        <v>0.31</v>
      </c>
      <c r="G3574">
        <v>10.52</v>
      </c>
      <c r="H3574">
        <v>10.53</v>
      </c>
      <c r="I3574" t="s">
        <v>6633</v>
      </c>
      <c r="J3574">
        <v>3.91</v>
      </c>
      <c r="K3574">
        <v>3.91</v>
      </c>
      <c r="L3574">
        <v>10.16</v>
      </c>
      <c r="M3574">
        <v>10.58</v>
      </c>
      <c r="N3574">
        <v>10.16</v>
      </c>
    </row>
    <row r="3575" spans="1:14" x14ac:dyDescent="0.5">
      <c r="A3575" t="str">
        <f>"603968"</f>
        <v>603968</v>
      </c>
      <c r="B3575" t="s">
        <v>6634</v>
      </c>
      <c r="C3575">
        <v>0.34</v>
      </c>
      <c r="D3575">
        <v>14.97</v>
      </c>
      <c r="E3575">
        <v>14.97</v>
      </c>
      <c r="F3575">
        <v>0.05</v>
      </c>
      <c r="G3575">
        <v>14.96</v>
      </c>
      <c r="H3575">
        <v>14.97</v>
      </c>
      <c r="I3575" t="s">
        <v>6635</v>
      </c>
      <c r="J3575">
        <v>2.0699999999999998</v>
      </c>
      <c r="K3575">
        <v>2.0699999999999998</v>
      </c>
      <c r="L3575">
        <v>14.93</v>
      </c>
      <c r="M3575">
        <v>15.07</v>
      </c>
      <c r="N3575">
        <v>14.71</v>
      </c>
    </row>
    <row r="3576" spans="1:14" x14ac:dyDescent="0.5">
      <c r="A3576" t="str">
        <f>"603969"</f>
        <v>603969</v>
      </c>
      <c r="B3576" t="s">
        <v>6636</v>
      </c>
      <c r="C3576">
        <v>1.73</v>
      </c>
      <c r="D3576">
        <v>36.549999999999997</v>
      </c>
      <c r="E3576">
        <v>5.29</v>
      </c>
      <c r="F3576">
        <v>0.09</v>
      </c>
      <c r="G3576">
        <v>5.28</v>
      </c>
      <c r="H3576">
        <v>5.29</v>
      </c>
      <c r="I3576" t="s">
        <v>6637</v>
      </c>
      <c r="J3576">
        <v>2.56</v>
      </c>
      <c r="K3576">
        <v>2.56</v>
      </c>
      <c r="L3576">
        <v>5.2</v>
      </c>
      <c r="M3576">
        <v>5.39</v>
      </c>
      <c r="N3576">
        <v>5.19</v>
      </c>
    </row>
    <row r="3577" spans="1:14" x14ac:dyDescent="0.5">
      <c r="A3577" t="str">
        <f>"603970"</f>
        <v>603970</v>
      </c>
      <c r="B3577" t="s">
        <v>6638</v>
      </c>
      <c r="C3577">
        <v>0.6</v>
      </c>
      <c r="D3577">
        <v>24.49</v>
      </c>
      <c r="E3577">
        <v>16.850000000000001</v>
      </c>
      <c r="F3577">
        <v>0.1</v>
      </c>
      <c r="G3577">
        <v>16.84</v>
      </c>
      <c r="H3577">
        <v>16.850000000000001</v>
      </c>
      <c r="I3577" t="s">
        <v>6639</v>
      </c>
      <c r="J3577">
        <v>4.8</v>
      </c>
      <c r="K3577">
        <v>4.8</v>
      </c>
      <c r="L3577">
        <v>16.66</v>
      </c>
      <c r="M3577">
        <v>16.91</v>
      </c>
      <c r="N3577">
        <v>16.48</v>
      </c>
    </row>
    <row r="3578" spans="1:14" x14ac:dyDescent="0.5">
      <c r="A3578" t="str">
        <f>"603976"</f>
        <v>603976</v>
      </c>
      <c r="B3578" t="s">
        <v>6640</v>
      </c>
      <c r="C3578">
        <v>1.76</v>
      </c>
      <c r="D3578">
        <v>32.64</v>
      </c>
      <c r="E3578">
        <v>18.52</v>
      </c>
      <c r="F3578">
        <v>0.32</v>
      </c>
      <c r="G3578">
        <v>18.52</v>
      </c>
      <c r="H3578">
        <v>18.53</v>
      </c>
      <c r="I3578" t="s">
        <v>2490</v>
      </c>
      <c r="J3578">
        <v>9.9</v>
      </c>
      <c r="K3578">
        <v>9.9</v>
      </c>
      <c r="L3578">
        <v>18.18</v>
      </c>
      <c r="M3578">
        <v>18.59</v>
      </c>
      <c r="N3578">
        <v>17.899999999999999</v>
      </c>
    </row>
    <row r="3579" spans="1:14" x14ac:dyDescent="0.5">
      <c r="A3579" t="str">
        <f>"603977"</f>
        <v>603977</v>
      </c>
      <c r="B3579" t="s">
        <v>6641</v>
      </c>
      <c r="C3579">
        <v>4.71</v>
      </c>
      <c r="D3579">
        <v>47.29</v>
      </c>
      <c r="E3579">
        <v>8.23</v>
      </c>
      <c r="F3579">
        <v>0.37</v>
      </c>
      <c r="G3579">
        <v>8.23</v>
      </c>
      <c r="H3579">
        <v>8.24</v>
      </c>
      <c r="I3579" t="s">
        <v>6642</v>
      </c>
      <c r="J3579">
        <v>2.5</v>
      </c>
      <c r="K3579">
        <v>2.5</v>
      </c>
      <c r="L3579">
        <v>7.86</v>
      </c>
      <c r="M3579">
        <v>8.26</v>
      </c>
      <c r="N3579">
        <v>7.77</v>
      </c>
    </row>
    <row r="3580" spans="1:14" x14ac:dyDescent="0.5">
      <c r="A3580" t="str">
        <f>"603978"</f>
        <v>603978</v>
      </c>
      <c r="B3580" t="s">
        <v>6643</v>
      </c>
      <c r="C3580">
        <v>0.91</v>
      </c>
      <c r="D3580">
        <v>35.43</v>
      </c>
      <c r="E3580">
        <v>23.35</v>
      </c>
      <c r="F3580">
        <v>0.21</v>
      </c>
      <c r="G3580">
        <v>23.35</v>
      </c>
      <c r="H3580">
        <v>23.36</v>
      </c>
      <c r="I3580" t="s">
        <v>6644</v>
      </c>
      <c r="J3580">
        <v>3.31</v>
      </c>
      <c r="K3580">
        <v>3.31</v>
      </c>
      <c r="L3580">
        <v>23.14</v>
      </c>
      <c r="M3580">
        <v>23.48</v>
      </c>
      <c r="N3580">
        <v>22.9</v>
      </c>
    </row>
    <row r="3581" spans="1:14" x14ac:dyDescent="0.5">
      <c r="A3581" t="str">
        <f>"603979"</f>
        <v>603979</v>
      </c>
      <c r="B3581" t="s">
        <v>6645</v>
      </c>
      <c r="C3581">
        <v>1.27</v>
      </c>
      <c r="D3581">
        <v>19.260000000000002</v>
      </c>
      <c r="E3581">
        <v>8.7799999999999994</v>
      </c>
      <c r="F3581">
        <v>0.11</v>
      </c>
      <c r="G3581">
        <v>8.77</v>
      </c>
      <c r="H3581">
        <v>8.7799999999999994</v>
      </c>
      <c r="I3581" t="s">
        <v>6646</v>
      </c>
      <c r="J3581">
        <v>0.78</v>
      </c>
      <c r="K3581">
        <v>0.78</v>
      </c>
      <c r="L3581">
        <v>8.61</v>
      </c>
      <c r="M3581">
        <v>8.7899999999999991</v>
      </c>
      <c r="N3581">
        <v>8.61</v>
      </c>
    </row>
    <row r="3582" spans="1:14" x14ac:dyDescent="0.5">
      <c r="A3582" t="str">
        <f>"603980"</f>
        <v>603980</v>
      </c>
      <c r="B3582" t="s">
        <v>6647</v>
      </c>
      <c r="C3582">
        <v>1.06</v>
      </c>
      <c r="D3582">
        <v>10.91</v>
      </c>
      <c r="E3582">
        <v>14.31</v>
      </c>
      <c r="F3582">
        <v>0.15</v>
      </c>
      <c r="G3582">
        <v>14.31</v>
      </c>
      <c r="H3582">
        <v>14.32</v>
      </c>
      <c r="I3582" t="s">
        <v>6648</v>
      </c>
      <c r="J3582">
        <v>1.82</v>
      </c>
      <c r="K3582">
        <v>1.82</v>
      </c>
      <c r="L3582">
        <v>14.14</v>
      </c>
      <c r="M3582">
        <v>14.39</v>
      </c>
      <c r="N3582">
        <v>14.07</v>
      </c>
    </row>
    <row r="3583" spans="1:14" x14ac:dyDescent="0.5">
      <c r="A3583" t="str">
        <f>"603985"</f>
        <v>603985</v>
      </c>
      <c r="B3583" t="s">
        <v>6649</v>
      </c>
      <c r="C3583">
        <v>0.32</v>
      </c>
      <c r="D3583">
        <v>22.68</v>
      </c>
      <c r="E3583">
        <v>27.8</v>
      </c>
      <c r="F3583">
        <v>0.09</v>
      </c>
      <c r="G3583">
        <v>27.79</v>
      </c>
      <c r="H3583">
        <v>27.8</v>
      </c>
      <c r="I3583" t="s">
        <v>2043</v>
      </c>
      <c r="J3583">
        <v>1.57</v>
      </c>
      <c r="K3583">
        <v>1.57</v>
      </c>
      <c r="L3583">
        <v>27.6</v>
      </c>
      <c r="M3583">
        <v>27.99</v>
      </c>
      <c r="N3583">
        <v>27.36</v>
      </c>
    </row>
    <row r="3584" spans="1:14" x14ac:dyDescent="0.5">
      <c r="A3584" t="str">
        <f>"603986"</f>
        <v>603986</v>
      </c>
      <c r="B3584" t="s">
        <v>6650</v>
      </c>
      <c r="C3584">
        <v>10</v>
      </c>
      <c r="D3584">
        <v>61.71</v>
      </c>
      <c r="E3584">
        <v>106.38</v>
      </c>
      <c r="F3584">
        <v>9.67</v>
      </c>
      <c r="G3584">
        <v>106.38</v>
      </c>
      <c r="H3584" t="s">
        <v>24</v>
      </c>
      <c r="I3584" t="s">
        <v>6651</v>
      </c>
      <c r="J3584">
        <v>4.6399999999999997</v>
      </c>
      <c r="K3584">
        <v>4.6399999999999997</v>
      </c>
      <c r="L3584">
        <v>97</v>
      </c>
      <c r="M3584">
        <v>106.38</v>
      </c>
      <c r="N3584">
        <v>95.8</v>
      </c>
    </row>
    <row r="3585" spans="1:14" x14ac:dyDescent="0.5">
      <c r="A3585" t="str">
        <f>"603987"</f>
        <v>603987</v>
      </c>
      <c r="B3585" t="s">
        <v>6652</v>
      </c>
      <c r="C3585">
        <v>2.99</v>
      </c>
      <c r="D3585">
        <v>21.73</v>
      </c>
      <c r="E3585">
        <v>7.23</v>
      </c>
      <c r="F3585">
        <v>0.21</v>
      </c>
      <c r="G3585">
        <v>7.22</v>
      </c>
      <c r="H3585">
        <v>7.23</v>
      </c>
      <c r="I3585" t="s">
        <v>6653</v>
      </c>
      <c r="J3585">
        <v>2.63</v>
      </c>
      <c r="K3585">
        <v>2.63</v>
      </c>
      <c r="L3585">
        <v>7.02</v>
      </c>
      <c r="M3585">
        <v>7.23</v>
      </c>
      <c r="N3585">
        <v>6.93</v>
      </c>
    </row>
    <row r="3586" spans="1:14" x14ac:dyDescent="0.5">
      <c r="A3586" t="str">
        <f>"603988"</f>
        <v>603988</v>
      </c>
      <c r="B3586" t="s">
        <v>6654</v>
      </c>
      <c r="C3586">
        <v>3.49</v>
      </c>
      <c r="D3586">
        <v>51.85</v>
      </c>
      <c r="E3586">
        <v>10.97</v>
      </c>
      <c r="F3586">
        <v>0.37</v>
      </c>
      <c r="G3586">
        <v>10.96</v>
      </c>
      <c r="H3586">
        <v>10.97</v>
      </c>
      <c r="I3586" t="s">
        <v>1343</v>
      </c>
      <c r="J3586">
        <v>2.6</v>
      </c>
      <c r="K3586">
        <v>2.6</v>
      </c>
      <c r="L3586">
        <v>10.59</v>
      </c>
      <c r="M3586">
        <v>10.99</v>
      </c>
      <c r="N3586">
        <v>10.51</v>
      </c>
    </row>
    <row r="3587" spans="1:14" x14ac:dyDescent="0.5">
      <c r="A3587" t="str">
        <f>"603989"</f>
        <v>603989</v>
      </c>
      <c r="B3587" t="s">
        <v>6655</v>
      </c>
      <c r="C3587">
        <v>3.37</v>
      </c>
      <c r="D3587">
        <v>27.39</v>
      </c>
      <c r="E3587">
        <v>21.78</v>
      </c>
      <c r="F3587">
        <v>0.71</v>
      </c>
      <c r="G3587">
        <v>21.58</v>
      </c>
      <c r="H3587">
        <v>21.78</v>
      </c>
      <c r="I3587" t="s">
        <v>6656</v>
      </c>
      <c r="J3587">
        <v>0.51</v>
      </c>
      <c r="K3587">
        <v>0.51</v>
      </c>
      <c r="L3587">
        <v>21.4</v>
      </c>
      <c r="M3587">
        <v>21.78</v>
      </c>
      <c r="N3587">
        <v>21.01</v>
      </c>
    </row>
    <row r="3588" spans="1:14" x14ac:dyDescent="0.5">
      <c r="A3588" t="str">
        <f>"603990"</f>
        <v>603990</v>
      </c>
      <c r="B3588" t="s">
        <v>6657</v>
      </c>
      <c r="C3588">
        <v>1.71</v>
      </c>
      <c r="D3588">
        <v>101.48</v>
      </c>
      <c r="E3588">
        <v>43.51</v>
      </c>
      <c r="F3588">
        <v>0.73</v>
      </c>
      <c r="G3588">
        <v>43.5</v>
      </c>
      <c r="H3588">
        <v>43.51</v>
      </c>
      <c r="I3588" t="s">
        <v>6658</v>
      </c>
      <c r="J3588">
        <v>0.83</v>
      </c>
      <c r="K3588">
        <v>0.83</v>
      </c>
      <c r="L3588">
        <v>42.89</v>
      </c>
      <c r="M3588">
        <v>43.55</v>
      </c>
      <c r="N3588">
        <v>42.7</v>
      </c>
    </row>
    <row r="3589" spans="1:14" x14ac:dyDescent="0.5">
      <c r="A3589" t="str">
        <f>"603991"</f>
        <v>603991</v>
      </c>
      <c r="B3589" t="s">
        <v>6659</v>
      </c>
      <c r="C3589">
        <v>1.08</v>
      </c>
      <c r="D3589">
        <v>38.25</v>
      </c>
      <c r="E3589">
        <v>20.65</v>
      </c>
      <c r="F3589">
        <v>0.22</v>
      </c>
      <c r="G3589">
        <v>20.65</v>
      </c>
      <c r="H3589">
        <v>20.69</v>
      </c>
      <c r="I3589" t="s">
        <v>6660</v>
      </c>
      <c r="J3589">
        <v>3.09</v>
      </c>
      <c r="K3589">
        <v>3.09</v>
      </c>
      <c r="L3589">
        <v>20.350000000000001</v>
      </c>
      <c r="M3589">
        <v>20.71</v>
      </c>
      <c r="N3589">
        <v>20.18</v>
      </c>
    </row>
    <row r="3590" spans="1:14" x14ac:dyDescent="0.5">
      <c r="A3590" t="str">
        <f>"603993"</f>
        <v>603993</v>
      </c>
      <c r="B3590" t="s">
        <v>6661</v>
      </c>
      <c r="C3590">
        <v>1.04</v>
      </c>
      <c r="D3590">
        <v>19.71</v>
      </c>
      <c r="E3590">
        <v>4.88</v>
      </c>
      <c r="F3590">
        <v>0.05</v>
      </c>
      <c r="G3590">
        <v>4.87</v>
      </c>
      <c r="H3590">
        <v>4.88</v>
      </c>
      <c r="I3590" t="s">
        <v>6662</v>
      </c>
      <c r="J3590">
        <v>1.1399999999999999</v>
      </c>
      <c r="K3590">
        <v>1.1399999999999999</v>
      </c>
      <c r="L3590">
        <v>4.79</v>
      </c>
      <c r="M3590">
        <v>4.88</v>
      </c>
      <c r="N3590">
        <v>4.7300000000000004</v>
      </c>
    </row>
    <row r="3591" spans="1:14" x14ac:dyDescent="0.5">
      <c r="A3591" t="str">
        <f>"603996"</f>
        <v>603996</v>
      </c>
      <c r="B3591" t="s">
        <v>6663</v>
      </c>
      <c r="C3591">
        <v>9.9600000000000009</v>
      </c>
      <c r="D3591">
        <v>18.73</v>
      </c>
      <c r="E3591">
        <v>11.37</v>
      </c>
      <c r="F3591">
        <v>1.03</v>
      </c>
      <c r="G3591">
        <v>11.37</v>
      </c>
      <c r="H3591" t="s">
        <v>24</v>
      </c>
      <c r="I3591" t="s">
        <v>6664</v>
      </c>
      <c r="J3591">
        <v>7.44</v>
      </c>
      <c r="K3591">
        <v>7.44</v>
      </c>
      <c r="L3591">
        <v>10.210000000000001</v>
      </c>
      <c r="M3591">
        <v>11.37</v>
      </c>
      <c r="N3591">
        <v>10.210000000000001</v>
      </c>
    </row>
    <row r="3592" spans="1:14" x14ac:dyDescent="0.5">
      <c r="A3592" t="str">
        <f>"603997"</f>
        <v>603997</v>
      </c>
      <c r="B3592" t="s">
        <v>6665</v>
      </c>
      <c r="C3592">
        <v>0.57999999999999996</v>
      </c>
      <c r="D3592">
        <v>17.53</v>
      </c>
      <c r="E3592">
        <v>8.64</v>
      </c>
      <c r="F3592">
        <v>0.05</v>
      </c>
      <c r="G3592">
        <v>8.64</v>
      </c>
      <c r="H3592">
        <v>8.65</v>
      </c>
      <c r="I3592" t="s">
        <v>6666</v>
      </c>
      <c r="J3592">
        <v>0.76</v>
      </c>
      <c r="K3592">
        <v>0.76</v>
      </c>
      <c r="L3592">
        <v>8.59</v>
      </c>
      <c r="M3592">
        <v>8.66</v>
      </c>
      <c r="N3592">
        <v>8.5299999999999994</v>
      </c>
    </row>
    <row r="3593" spans="1:14" x14ac:dyDescent="0.5">
      <c r="A3593" t="str">
        <f>"603998"</f>
        <v>603998</v>
      </c>
      <c r="B3593" t="s">
        <v>6667</v>
      </c>
      <c r="C3593">
        <v>1.33</v>
      </c>
      <c r="D3593">
        <v>57.9</v>
      </c>
      <c r="E3593">
        <v>6.1</v>
      </c>
      <c r="F3593">
        <v>0.08</v>
      </c>
      <c r="G3593">
        <v>6.1</v>
      </c>
      <c r="H3593">
        <v>6.11</v>
      </c>
      <c r="I3593" t="s">
        <v>1016</v>
      </c>
      <c r="J3593">
        <v>1.85</v>
      </c>
      <c r="K3593">
        <v>1.85</v>
      </c>
      <c r="L3593">
        <v>6.02</v>
      </c>
      <c r="M3593">
        <v>6.11</v>
      </c>
      <c r="N3593">
        <v>5.93</v>
      </c>
    </row>
    <row r="3594" spans="1:14" x14ac:dyDescent="0.5">
      <c r="A3594" t="str">
        <f>"603999"</f>
        <v>603999</v>
      </c>
      <c r="B3594" t="s">
        <v>6668</v>
      </c>
      <c r="C3594">
        <v>2.86</v>
      </c>
      <c r="D3594">
        <v>63.76</v>
      </c>
      <c r="E3594">
        <v>6.12</v>
      </c>
      <c r="F3594">
        <v>0.17</v>
      </c>
      <c r="G3594">
        <v>6.12</v>
      </c>
      <c r="H3594">
        <v>6.13</v>
      </c>
      <c r="I3594" t="s">
        <v>3728</v>
      </c>
      <c r="J3594">
        <v>2.1800000000000002</v>
      </c>
      <c r="K3594">
        <v>2.1800000000000002</v>
      </c>
      <c r="L3594">
        <v>5.93</v>
      </c>
      <c r="M3594">
        <v>6.16</v>
      </c>
      <c r="N3594">
        <v>5.87</v>
      </c>
    </row>
    <row r="3595" spans="1:14" x14ac:dyDescent="0.5">
      <c r="A3595" t="str">
        <f>"600401"</f>
        <v>600401</v>
      </c>
      <c r="B3595" t="s">
        <v>6669</v>
      </c>
      <c r="C3595" t="s">
        <v>24</v>
      </c>
      <c r="D3595" t="s">
        <v>24</v>
      </c>
      <c r="E3595">
        <v>0</v>
      </c>
      <c r="F3595" t="s">
        <v>24</v>
      </c>
      <c r="G3595" t="s">
        <v>24</v>
      </c>
      <c r="H3595" t="s">
        <v>24</v>
      </c>
      <c r="I3595" t="s">
        <v>4060</v>
      </c>
      <c r="J3595">
        <v>0</v>
      </c>
      <c r="K3595">
        <v>0</v>
      </c>
      <c r="L3595" t="s">
        <v>24</v>
      </c>
      <c r="M3595" t="s">
        <v>24</v>
      </c>
      <c r="N3595" t="s">
        <v>24</v>
      </c>
    </row>
    <row r="3596" spans="1:14" x14ac:dyDescent="0.5">
      <c r="A3596" t="str">
        <f>"600680"</f>
        <v>600680</v>
      </c>
      <c r="B3596" t="s">
        <v>6670</v>
      </c>
      <c r="C3596" t="s">
        <v>24</v>
      </c>
      <c r="D3596" t="s">
        <v>24</v>
      </c>
      <c r="E3596">
        <v>0</v>
      </c>
      <c r="F3596" t="s">
        <v>24</v>
      </c>
      <c r="G3596" t="s">
        <v>24</v>
      </c>
      <c r="H3596" t="s">
        <v>24</v>
      </c>
      <c r="I3596" t="s">
        <v>4060</v>
      </c>
      <c r="J3596">
        <v>0</v>
      </c>
      <c r="K3596">
        <v>0</v>
      </c>
      <c r="L3596" t="s">
        <v>24</v>
      </c>
      <c r="M3596" t="s">
        <v>24</v>
      </c>
      <c r="N3596" t="s">
        <v>24</v>
      </c>
    </row>
    <row r="3597" spans="1:14" x14ac:dyDescent="0.5">
      <c r="A3597" t="str">
        <f>"603681"</f>
        <v>603681</v>
      </c>
      <c r="B3597" t="s">
        <v>6671</v>
      </c>
      <c r="C3597" t="s">
        <v>24</v>
      </c>
      <c r="D3597" t="s">
        <v>24</v>
      </c>
      <c r="E3597">
        <v>0</v>
      </c>
      <c r="F3597" t="s">
        <v>24</v>
      </c>
      <c r="G3597" t="s">
        <v>24</v>
      </c>
      <c r="H3597" t="s">
        <v>24</v>
      </c>
      <c r="I3597" t="s">
        <v>24</v>
      </c>
      <c r="J3597" t="s">
        <v>24</v>
      </c>
      <c r="K3597" t="s">
        <v>24</v>
      </c>
      <c r="L3597" t="s">
        <v>24</v>
      </c>
      <c r="M3597" t="s">
        <v>24</v>
      </c>
      <c r="N3597" t="s">
        <v>24</v>
      </c>
    </row>
    <row r="3598" spans="1:14" x14ac:dyDescent="0.5">
      <c r="A3598" t="s">
        <v>6672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沪深Ａ股20190305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Yudong Young</dc:creator>
  <cp:lastModifiedBy>Yudong Young</cp:lastModifiedBy>
  <dcterms:created xsi:type="dcterms:W3CDTF">2019-03-05T07:58:45Z</dcterms:created>
  <dcterms:modified xsi:type="dcterms:W3CDTF">2019-03-05T07:58:45Z</dcterms:modified>
</cp:coreProperties>
</file>